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<sst xmlns="http://schemas.openxmlformats.org/spreadsheetml/2006/main" count="59920" uniqueCount="9257">
  <si>
    <t>Obra:</t>
  </si>
  <si>
    <t>BASE DE DATOS IRES</t>
  </si>
  <si>
    <t>Banco de precios</t>
  </si>
  <si>
    <t>Código</t>
  </si>
  <si>
    <t>Tipo</t>
  </si>
  <si>
    <t>Ud</t>
  </si>
  <si>
    <t>Resumen</t>
  </si>
  <si>
    <t>Cantidad</t>
  </si>
  <si>
    <t>Precio (€)</t>
  </si>
  <si>
    <t>Importe (€)</t>
  </si>
  <si>
    <t>Capítulo</t>
  </si>
  <si>
    <t>PRELIMINARES</t>
  </si>
  <si>
    <t>o PRELIMINARES</t>
  </si>
  <si>
    <t>LIMPIEZAS</t>
  </si>
  <si>
    <t>XXXXXXXXXX LIMPIEZAS</t>
  </si>
  <si>
    <t>LMP-REVESTIMIENTOS-PARED</t>
  </si>
  <si>
    <t>XXXXXXXXX LIMPIEZA DE REVESTIMIENTOS EN PARED</t>
  </si>
  <si>
    <t>LMP-MAN-ALICATADO-000-AT</t>
  </si>
  <si>
    <t>Partida</t>
  </si>
  <si>
    <t>m2</t>
  </si>
  <si>
    <t>XXXX  LIMPIEZA A MANO EN ANDAMIO TUBULAR DE ALICATADO CERÁMICO Y/O LADRILLO O.V.-KLINKER</t>
  </si>
  <si>
    <t>LIMPIEZA A MANO EN ANDAMIO TUBULAR DE ALICATADO CERÁMICO Y/O LADRILLO O.V.-KLINKER</t>
  </si>
  <si>
    <t>moc-std1-generico</t>
  </si>
  <si>
    <t>h</t>
  </si>
  <si>
    <t>Cuadrilla Std1 - 1 Oficial de 1ª, 1 Ayudante y 1/5 Ayudante</t>
  </si>
  <si>
    <t>mo-salarial-oficial1</t>
  </si>
  <si>
    <t>Mano de obra</t>
  </si>
  <si>
    <t>Oficial de 1ª</t>
  </si>
  <si>
    <t>mo-salarial-ayudante</t>
  </si>
  <si>
    <t>Ayudante</t>
  </si>
  <si>
    <t>mo-salarial-1/2ayudante</t>
  </si>
  <si>
    <t>1/5 Ayudante</t>
  </si>
  <si>
    <t>mo%</t>
  </si>
  <si>
    <t>%</t>
  </si>
  <si>
    <t>Herramientas Menores</t>
  </si>
  <si>
    <t>LMP-MAN-ALICATADO-000-MS</t>
  </si>
  <si>
    <t>XXXX  LIMPIEZA A MANO EN MEDIO SUSPENDIDO/COLGADO DE ALICATADO CERÁMICO Y/O LADRILLO O.V.-KLINKER</t>
  </si>
  <si>
    <t>LIMPIEZA A MANO EN MEDIO SUSPENDIDO/COLGADO DE ALICATADO CERÁMICO Y/O LADRILLO O.V.-KLINKER</t>
  </si>
  <si>
    <t>LMP-MAN-ALICATADO-DTG-AT</t>
  </si>
  <si>
    <t>XXXX  LIMPIEZA A MANO EN ANDAMIO TUBULAR Y CON DETERGENTE DILUIDO DE ALICATADO CERÁMICO Y/O LADRILLO O.V.-KLINKER</t>
  </si>
  <si>
    <t>LIMPIEZA A MANO EN ANDAMIO TUBULAR Y CON DETERGENTE DILUIDO DE ALICATADO CERÁMICO Y/O LADRILLO O.V.-KLINKER</t>
  </si>
  <si>
    <t>ma-lp-00394142</t>
  </si>
  <si>
    <t>Material</t>
  </si>
  <si>
    <t>envase</t>
  </si>
  <si>
    <t>Detergente neutro concentrado para limpieza y mantenimiento FILACLEANER (1 litro/envase).   Ref. lp-00394142</t>
  </si>
  <si>
    <t>LMP-MAN-ALICATADO-DTG-MS</t>
  </si>
  <si>
    <t>XXXX LIMPIEZA A MANO EN MEDIO SUSPENDIDO/COLGADO Y CON DETERGENTE DILUIDO DE ALICATADO CERÁMICO Y/O LADRILLO O.V.-KLINKER</t>
  </si>
  <si>
    <t>LIMPIEZA A MANO EN MEDIO SUSPENDIDO/COLGADO Y CON DETERGENTE DILUIDO DE ALICATADO CERÁMICO Y/O LADRILLO O.V.-KLINKER</t>
  </si>
  <si>
    <t>LMP-MAN-ALICATADO-LEJ-AT</t>
  </si>
  <si>
    <t>XXXX LIMPIEZA A MANO EN ANDAMIO TUBULAR Y CON LEJÍA DILUIDA DE ALICATADO CERÁMICO Y/O LADRILLO O.V.-KLINKER</t>
  </si>
  <si>
    <t>LIMPIEZA A MANO EN ANDAMIO TUBULAR Y CON LEJÍA DILUIDA DE ALICATADO CERÁMICO Y/O LADRILLO O.V.-KLINKER</t>
  </si>
  <si>
    <t>ma-bm-25046417</t>
  </si>
  <si>
    <t>Lejía para limpieza y desinfección de superficies EL CHÉ (5 litros/envase).   Ref. bm-25046417</t>
  </si>
  <si>
    <t>LMP-MAN-ALICATADO-LEJ-MS</t>
  </si>
  <si>
    <t>XXXX LIMPIEZA A MANO EN MEDIO SUSPENDIDO/COLGADO Y CON LEJÍA DILUIDA DE ALICATADO CERÁMICO Y/O LADRILLO O.V.-KLINKER</t>
  </si>
  <si>
    <t>LIMPIEZA A MANO EN MEDIO SUSPENDIDO/COLGADO Y CON LEJÍA DILUIDA DE ALICATADO CERÁMICO Y/O LADRILLO O.V.-KLINKER</t>
  </si>
  <si>
    <t>LMP-MAN-BALD.HIDRAULICAS-000-AT</t>
  </si>
  <si>
    <t>XXXX LIMPIEZA A MANO EN ANDAMIO TUBULAR DE BALDOSAS HIDRÁULICAS O PÉTREAS ARTIFICIALES</t>
  </si>
  <si>
    <t>LIMPIEZA A MANO EN ANDAMIO TUBULAR DE BALDOSAS HIDRÁULICAS O PÉTREAS ARTIFICIALES</t>
  </si>
  <si>
    <t>LMP-MAN-BALD.HIDRAULICAS-000-MS</t>
  </si>
  <si>
    <t>XXXX LIMPIEZA A MANO EN MEDIO SUSPENDIDO/COLGADO DE BALDOSAS HIDRÁULICAS O PÉTREAS ARTIFICIALES</t>
  </si>
  <si>
    <t>LIMPIEZA A MANO EN MEDIO SUSPENDIDO/COLGADO DE BALDOSAS HIDRÁULICAS O PÉTREAS ARTIFICIALES</t>
  </si>
  <si>
    <t>LMP-MAN-BALD.HIDRAULICAS-DTG-AT</t>
  </si>
  <si>
    <t>XXXX LIMPIEZA A MANO EN ANDAMIO TUBULAR Y CON DETERGENTE DILUIDO DE BALDOSAS HIDRÁULICAS O PÉTREAS ARTIFICIALES</t>
  </si>
  <si>
    <t>LIMPIEZA A MANO EN ANDAMIO TUBULAR Y CON DETERGENTE DILUIDO DE BALDOSAS HIDRÁULICAS O PÉTREAS ARTIFICIALES</t>
  </si>
  <si>
    <t>LMP-MAN-BALD.HIDRAULICAS-DTG-MS</t>
  </si>
  <si>
    <t>XXXX LIMPIEZA A MANO EN MEDIO SUSPENDIDO/COLGADO Y CON DETERGENTE DILUIDO DE BALDOSAS HIDRÁULICAS O PÉTREAS ARTIFICIALES</t>
  </si>
  <si>
    <t>LIMPIEZA A MANO EN MEDIO SUSPENDIDO/COLGADO Y CON DETERGENTE DILUIDO DE BALDOSAS HIDRÁULICAS O PÉTREAS ARTIFICIALES</t>
  </si>
  <si>
    <t>LMP-MAN-BALD.HIDRAULICAS-LEJ-AT</t>
  </si>
  <si>
    <t>XXXX LIMPIEZA A MANO EN ANDAMIO TUBULAR Y CON LEJIA DILUIDA DE BALDOSAS HIDRÁULICAS O PÉTREAS ARTIFICIALES</t>
  </si>
  <si>
    <t>LIMPIEZA A MANO EN ANDAMIO TUBULAR Y CON LEJIA DILUIDA DE BALDOSAS HIDRÁULICAS O PÉTREAS ARTIFICIALES</t>
  </si>
  <si>
    <t>LMP-MAN-BALD.HIDRAULICAS-LEJ-MS</t>
  </si>
  <si>
    <t>XXXX LIMPIEZA A MANO EN MEDIO SUSPENDIDO/COLGADO Y CON LEJIA DILUIDA DE BALDOSAS HIDRÁULICAS O PÉTREAS ARTIFICIALES</t>
  </si>
  <si>
    <t>LIMPIEZA A MANO EN MEDIO SUSPENDIDO/COLGADO Y CON LEJIA DILUIDA DE BALDOSAS HIDRÁULICAS O PÉTREAS ARTIFICIALES</t>
  </si>
  <si>
    <t>LMP-MAN-HORMIGON/MORTERO-000-AT</t>
  </si>
  <si>
    <t>XXXX LIMPIEZA A MANO EN ANDAMIO TUBULAR DE HORMIGÓN Y/O MORTERO</t>
  </si>
  <si>
    <t>LIMPIEZA A MANO EN ANDAMIO TUBULAR DE HORMIGÓN Y/O MORTERO</t>
  </si>
  <si>
    <t>LMP-MAN-HORMIGON/MORTERO-000-MS</t>
  </si>
  <si>
    <t>XXXX LIMPIEZA A MANO EN MEDIO SUSPENDIDO/COLGADO DE HORMIGÓN Y/O MORTERO</t>
  </si>
  <si>
    <t>LIMPIEZA A MANO EN MEDIO SUSPENDIDO/COLGADO DE HORMIGÓN Y/O MORTERO</t>
  </si>
  <si>
    <t>LMP-MAN-HORMIGON/MORTERO-DTG-AT</t>
  </si>
  <si>
    <t>XXXX LIMPIEZA A MANO EN ANDAMIO TUBULAR Y CON DETERGENTE DILUIDO DE HORMIGÓN Y/O MORTERO</t>
  </si>
  <si>
    <t>LIMPIEZA A MANO EN ANDAMIO TUBULAR Y CON DETERGENTE DILUIDO DE HORMIGÓN Y/O MORTERO</t>
  </si>
  <si>
    <t>LMP-MAN-HORMIGON/MORTERO-DTG-MS</t>
  </si>
  <si>
    <t>XXXX LIMPIEZA A MANO EN MEDIO SUSPENDIDO/COLGADO Y CON DETERGENTE DILUIDO DE HORMIGÓN Y/O MORTERO</t>
  </si>
  <si>
    <t>LIMPIEZA A MANO EN MEDIO SUSPENDIDO/COLGADO Y CON DETERGENTE DILUIDO DE HORMIGÓN Y/O MORTERO</t>
  </si>
  <si>
    <t>LMP-MAN-HORMIGON/MORTERO-LEJ-AT</t>
  </si>
  <si>
    <t>XXXX LIMPIEZA A MANO EN ANDAMIO TUBULAR Y CON LEJIA DILUIDA DE HORMIGÓN Y/O MORTERO</t>
  </si>
  <si>
    <t>LIMPIEZA A MANO EN ANDAMIO TUBULAR Y CON LEJIA DILUIDA DE HORMIGÓN Y/O MORTERO</t>
  </si>
  <si>
    <t>LMP-MAN-HORMIGON/MORTERO-LEJ-MS</t>
  </si>
  <si>
    <t>XXXX LIMPIEZA A MANO EN MEDIO SUSPENDIDO/COLGADO Y CON LEJIA DILUIDA DE HORMIGÓN Y/O MORTERO</t>
  </si>
  <si>
    <t>LIMPIEZA A MANO EN MEDIO SUSPENDIDO/COLGADO Y CON LEJIA DILUIDA DE HORMIGÓN Y/O MORTERO</t>
  </si>
  <si>
    <t>LMP-MAN-SILLERIA-000-MS</t>
  </si>
  <si>
    <t>XXXX LIMPIEZA A MANO EN ANDAMIO TUBULAR DE SILLERÍA Y/O LADRILLO O.V.-TEJAR</t>
  </si>
  <si>
    <t>LIMPIEZA A MANO EN ANDAMIO TUBULAR DE SILLERÍA Y/O LADRILLO O.V.-TEJAR</t>
  </si>
  <si>
    <t>LMP-MAN-SILLERIA-000-AT</t>
  </si>
  <si>
    <t>LMP-MAN-SILLERIA-DTG-AT</t>
  </si>
  <si>
    <t>XXXX LIMPIEZA A MANO EN ANDAMIO TUBULAR Y CON DETERGENTE DILUIDO DE SILLERÍA Y/O LADRILLO O.V.-TEJAR</t>
  </si>
  <si>
    <t>LIMPIEZA A MANO EN ANDAMIO TUBULAR Y CON DETERGENTE DILUIDO DE SILLERÍA Y/O LADRILLO O.V.-TEJAR</t>
  </si>
  <si>
    <t>LMP-MAN-SILLERIA-DTG-MS</t>
  </si>
  <si>
    <t>XXXX LIMPIEZA A MANO EN MEDIO SUSPENDIDO/COLGADO Y CON DETERGENTE DILUIDO DE SILLERÍA Y/O LADRILLO O.V.-TEJAR</t>
  </si>
  <si>
    <t>LIMPIEZA A MANO EN MEDIO SUSPENDIDO/COLGADO Y CON DETERGENTE DILUIDO DE SILLERÍA Y/O LADRILLO O.V.-TEJAR</t>
  </si>
  <si>
    <t>LMP-MAN-SILLERIA-LEJ-AT</t>
  </si>
  <si>
    <t>XXXX LIMPIEZA A MANO EN ANDAMIO TUBULAR Y CON LEJIA DILUIDA DE SILLERÍA Y/O LADRILLO O.V.-TEJAR</t>
  </si>
  <si>
    <t>LIMPIEZA A MANO EN ANDAMIO TUBULAR Y CON LEJIA DILUIDA DE SILLERÍA Y/O LADRILLO O.V.-TEJAR</t>
  </si>
  <si>
    <t>LMP-MAN-SILLERIA-LEJ-MS</t>
  </si>
  <si>
    <t>XXXX LIMPIEZA A MANO EN MEDIO SUSPENDIDO/COLGADO Y CON LEJIA DILUIDA DE SILLERÍA Y/O LADRILLO O.V.-TEJAR</t>
  </si>
  <si>
    <t>LIMPIEZA A MANO EN MEDIO SUSPENDIDO/COLGADO Y CON LEJIA DILUIDA DE SILLERÍA Y/O LADRILLO O.V.-TEJAR</t>
  </si>
  <si>
    <t>LMP-MAQ-ALICATADO-000-AT</t>
  </si>
  <si>
    <t>XXXX LIMPIEZA A MÁQUINA EN ANDAMIO TUBULAR DE ALICATADO CERÁMICO Y/O LADRILLO O.V.-KLINKER</t>
  </si>
  <si>
    <t>LIMPIEZA A MÁQUINA EN ANDAMIO TUBULAR DE ALICATADO CERÁMICO Y/O LADRILLO O.V.-KLINKER</t>
  </si>
  <si>
    <t>alq-hidrolimpiadora-ra-01</t>
  </si>
  <si>
    <t>Maquinaria</t>
  </si>
  <si>
    <t>Alquiler de HidroLimpiadora Eléctrica 200 bares.   Ref. RENTAIRE</t>
  </si>
  <si>
    <t>LMP-MAQ-ALICATADO-000-MS</t>
  </si>
  <si>
    <t>XXXX LIMPIEZA A MÁQUINA EN MEDIO SUSPENDIDO/COLGADO DE ALICATADO CERÁMICO Y/O LADRILLO O.V.-KLINKER</t>
  </si>
  <si>
    <t>LIMPIEZA A MÁQUINA EN MEDIO SUSPENDIDO/COLGADO DE ALICATADO CERÁMICO Y/O LADRILLO O.V.-KLINKER</t>
  </si>
  <si>
    <t>LMP-MAQ-ALICATADO-DTG-AT</t>
  </si>
  <si>
    <t>XXXX LIMPIEZA A MÁQUINA EN ANDAMIO TUBULAR Y CON DETERGENTE DILIUIDO DE ALICATADO CERÁMICO Y/O LADRILLO O.V.-KLINKER</t>
  </si>
  <si>
    <t>LIMPIEZA A MÁQUINA EN ANDAMIO TUBULAR Y CON DETERGENTE DILIUIDO DE ALICATADO CERÁMICO Y/O LADRILLO O.V.-KLINKER</t>
  </si>
  <si>
    <t>LMP-MAQ-ALICATADO-DTG-MS</t>
  </si>
  <si>
    <t>LMP-MAQ-ALICATADO-LEJ-AT</t>
  </si>
  <si>
    <t>XXXX LIMPIEZA A MÁQUINA EN ANDAMIO TUBULAR Y CON LEJIA DILUIDA DE ALICATADO CERÁMICO Y/O LADRILLO O.V.-KLINKER</t>
  </si>
  <si>
    <t>LIMPIEZA A MÁQUINA EN ANDAMIO TUBULAR Y CON LEJIA DILUIDA DE ALICATADO CERÁMICO Y/O LADRILLO O.V.-KLINKER</t>
  </si>
  <si>
    <t>LMP-MAQ-ALICATADO-LEJ-MS</t>
  </si>
  <si>
    <t>XXXX LIMPIEZA A MÁQUINA EN MEDIO SUSPENDIDO/COLGADO Y CON LEJIA DILUIDA DE ALICATADO CERÁMICO Y/O LADRILLO O.V.-KLINKER</t>
  </si>
  <si>
    <t>LIMPIEZA A MÁQUINA EN MEDIO SUSPENDIDO/COLGADO Y CON LEJIA DILUIDA DE ALICATADO CERÁMICO Y/O LADRILLO O.V.-KLINKER</t>
  </si>
  <si>
    <t>LMP-MAQ-BALD.HIDRAULICAS-000-AT</t>
  </si>
  <si>
    <t>XXXX LIMPIEZA A MÁQUINA EN ANDAMIO TUBULAR DE BALDOSAS HIDRÁULICAS O PÉTREAS ARTIFICIALES</t>
  </si>
  <si>
    <t>bb</t>
  </si>
  <si>
    <t>LMP-MAQ-BALD.HIDRAULICAS-000-MS</t>
  </si>
  <si>
    <t>XXXX LIMPIEZA A MÁQUINA EN MEDIO SUSPENDIDO/COLGADO DE BALDOSAS HIDRÁULICAS O PÉTREAS ARTIFICIALES</t>
  </si>
  <si>
    <t>LIMPIEZA A MÁQUINA EN MEDIO SUSPENDIDO/COLGADO Y CON DETERGENTE DILIUIDO DE BALDOSAS HIDRÁULICAS O PÉTREAS ARTIFICIALES</t>
  </si>
  <si>
    <t>LMP-MAQ-BALD.HIDRAULICAS-DTG-AT</t>
  </si>
  <si>
    <t>XXXX LIMPIEZA A MÁQUINA EN ANDAMIO TUBULAR Y CON DETERGENTE DILIUIDO DE BALDOSAS HIDRÁULICAS O PÉTREAS ARTIFICIALES</t>
  </si>
  <si>
    <t>LIMPIEZA A MÁQUINA EN ANDAMIO TUBULAR Y CON DETERGENTE DILIUIDO DE BALDOSAS HIDRÁULICAS O PÉTREAS ARTIFICIALES</t>
  </si>
  <si>
    <t>LMP-MAQ-BALD.HIDRAULICAS-DTG-MS</t>
  </si>
  <si>
    <t>XXXX LIMPIEZA A MÁQUINA EN MEDIO SUSPENDIDO/COLGADO Y CON DETERGENTE DILIUIDO DE BALDOSAS HIDRÁULICAS O PÉTREAS ARTIFICIALES</t>
  </si>
  <si>
    <t>LMP-MAQ-BALD.HIDRAULICAS-LEJ-AT</t>
  </si>
  <si>
    <t>XXXX LIMPIEZA A MÁQUINA EN ANDAMIO TUBULAR Y CON LEJIA DILUIDA DE BALDOSAS HIDRÁULICAS O PÉTREAS ARTIFICIALES</t>
  </si>
  <si>
    <t>LIMPIEZA A MÁQUINA EN ANDAMIO TUBULAR Y CON LEJIA DILUIDA DE BALDOSAS HIDRÁULICAS O PÉTREAS ARTIFICIALES</t>
  </si>
  <si>
    <t>LMP-MAQ-BALD.HIDRAULICAS-LEJ-MS</t>
  </si>
  <si>
    <t>XXXX LIMPIEZA A MÁQUINA EN MEDIO SUSPENDIDO/COLGADO Y CON LEJIA DILUIDA DE BALDOSAS HIDRÁULICAS O PÉTREAS ARTIFICIALES</t>
  </si>
  <si>
    <t>LIMPIEZA A MÁQUINA EN MEDIO SUSPENDIDO/COLGADO Y CON LEJIA DILUIDA DE BALDOSAS HIDRÁULICAS O PÉTREAS ARTIFICIALES</t>
  </si>
  <si>
    <t>LMP-MAQ-HORMIGON/MORTERO-000-AT</t>
  </si>
  <si>
    <t>XXXX LIMPIEZA A MÁQUINA EN ANDAMIO TUBULAR DE HORMIGÓN Y/O MORTERO</t>
  </si>
  <si>
    <t>LIMPIEZA A MÁQUINA EN ANDAMIO TUBULAR DE HORMIGÓN Y/O MORTERO</t>
  </si>
  <si>
    <t>LMP-MAQ-HORMIGON/MORTERO-000-MS</t>
  </si>
  <si>
    <t>XXXX LIMPIEZA A MÁQUINA EN MEDIO SUSPENDIDO/COLGADO DE HORMIGÓN Y/O MORTERO</t>
  </si>
  <si>
    <t>LIMPIEZA A MÁQUINA EN MEDIO SUSPENDIDO/COLGADO DE HORMIGÓN Y/O MORTERO</t>
  </si>
  <si>
    <t>LMP-MAQ-HORMIGON/MORTERO-DTG-AT</t>
  </si>
  <si>
    <t>XXXX LIMPIEZA A MÁQUINA EN ANDAMIO TUBULAR Y CON DETERGENTE DILUIDO DE HORMIGÓN Y/O MORTERO</t>
  </si>
  <si>
    <t>LIMPIEZA A MÁQUINA EN ANDAMIO TUBULAR Y CON DETERGENTE DILUIDO DE HORMIGÓN Y/O MORTERO</t>
  </si>
  <si>
    <t>LMP-MAQ-HORMIGON/MORTERO-DTG-MS</t>
  </si>
  <si>
    <t>XXXX LIMPIEZA A MÁQUINA EN MEDIO SUSPENDIDO/COLGADO Y CON DETERGENTE DILIUIDO DE HORMIGÓN Y/O MORTERO</t>
  </si>
  <si>
    <t>LIMPIEZA A MÁQUINA EN MEDIO SUSPENDIDO/COLGADO Y CON DETERGENTE DILIUIDO DE HORMIGÓN Y/O MORTERO</t>
  </si>
  <si>
    <t>LMP-MAQ-HORMIGON/MORTERO-LEJ-AT</t>
  </si>
  <si>
    <t>XXXX LIMPIEZA A MÁQUINA EN ANDAMIO TUBULAR Y CON LEJIA DILUIDA DE HORMIGÓN Y/O MORTERO</t>
  </si>
  <si>
    <t>LIMPIEZA A MÁQUINA EN ANDAMIO TUBULAR Y CON LEJIA DILUIDA DE HORMIGÓN Y/O MORTERO</t>
  </si>
  <si>
    <t>LMP-MAQ-HORMIGON/MORTERO-LEJ-MS</t>
  </si>
  <si>
    <t>XXXX LIMPIEZA A MÁQUINA EN MEDIO SUSPENDIDO/COLGADO Y CON LEJIA DILUIDA DE HORMIGÓN Y/O MORTERO</t>
  </si>
  <si>
    <t>LIMPIEZA A MÁQUINA EN MEDIO SUSPENDIDO/COLGADO Y CON LEJIA DILUIDA DE HORMIGÓN Y/O MORTERO</t>
  </si>
  <si>
    <t>LMP-MAQ-SILLERIA-000-AT</t>
  </si>
  <si>
    <t>XXXX LIMPIEZA A MÁQUINA EN ANDAMIO TUBULAR DE SILLERÍA Y/O LADRILLO O.V.-TEJAR</t>
  </si>
  <si>
    <t>LIMPIEZA A MÁQUINA EN ANDAMIO TUBULAR DE SILLERÍA Y/O LADRILLO O.V.-TEJAR</t>
  </si>
  <si>
    <t>LMP-MAQ-SILLERIA-000-MS</t>
  </si>
  <si>
    <t>XXXX LIMPIEZA A MÁQUINA EN MEDIO SUSPENDIDO/COLGADO DE SILLERÍA Y/O LADRILLO O.V.-TEJAR</t>
  </si>
  <si>
    <t>LIMPIEZA A MÁQUINA EN MEDIO SUSPENDIDO/COLGADO DE SILLERÍA Y/O LADRILLO O.V.-TEJAR</t>
  </si>
  <si>
    <t>LMP-MAQ-SILLERIA-DTG-AT</t>
  </si>
  <si>
    <t>XXXX LIMPIEZA A MÁQUINA EN ANDAMIO TUBULAR Y CON DETERGENTE DILIUIDO DE SILLERÍA Y/O LADRILLO O.V.-TEJAR</t>
  </si>
  <si>
    <t>LIMPIEZA A MÁQUINA EN ANDAMIO TUBULAR Y CON DETERGENTE DILIUIDO DE SILLERÍA Y/O LADRILLO O.V.-TEJAR</t>
  </si>
  <si>
    <t>LMP-MAQ-SILLERIA-DTG-MS</t>
  </si>
  <si>
    <t>XXXX LIMPIEZA A MÁQUINA EN MEDIO SUSPENDIDO/COLGADO Y CON DETERGENTE DILIUIDO DE SILLERÍA Y/O LADRILLO O.V.-TEJAR</t>
  </si>
  <si>
    <t>LIMPIEZA A MÁQUINA EN MEDIO SUSPENDIDO/COLGADO Y CON DETERGENTE DILIUIDO DE SILLERÍA Y/O LADRILLO O.V.-TEJAR</t>
  </si>
  <si>
    <t>LMP-MAQ-SILLERIA-LEJ-AT</t>
  </si>
  <si>
    <t>XXXX LIMPIEZA A MÁQUINA EN ANDAMIO TUBULAR Y CON LEJIA DILUIDA DE SILLERÍA Y/O LADRILLO O.V.-TEJAR</t>
  </si>
  <si>
    <t>LIMPIEZA A MÁQUINA EN ANDAMIO TUBULAR Y CON LEJIA DILUIDA DE SILLERÍA Y/O LADRILLO O.V.-TEJAR</t>
  </si>
  <si>
    <t>LMP-MAQ-SILLERIA-LEJ-MS</t>
  </si>
  <si>
    <t>XXXX LIMPIEZA A MÁQUINA EN MEDIO SUSPENDIDO/COLGADO Y CON LEJIA DILUIDA DE SILLERÍA Y/O LADRILLO O.V.-TEJAR</t>
  </si>
  <si>
    <t>LIMPIEZA A MÁQUINA EN MEDIO SUSPENDIDO/COLGADO Y CON LEJIA DILUIDA DE SILLERÍA Y/O LADRILLO O.V.-TEJAR</t>
  </si>
  <si>
    <t>LMP-CHORRO-SILICATO.ALUM-V-AT</t>
  </si>
  <si>
    <t>XXXX LIMPIEZA MECANICA DE PARAMENTO VERTICAL DE FACHADA CON PROYECCION DE CHORRO ABRASIVO (SILICATO DE ALUMINIO), MEDIANTE EL USO DE ANDAMIO TUBULAR</t>
  </si>
  <si>
    <t>LIMPIEZA MECANICA DE PARAMENTO VERTICAL DE FACHADA CON PROYECCION DE CHORRO ABRASIVO (SILICATO DE ALUMINIO), MEDIANTE EL USO DE ANDAMIO TUBULAR</t>
  </si>
  <si>
    <t>ma-jomafa-9997</t>
  </si>
  <si>
    <t>saco</t>
  </si>
  <si>
    <t>Silicato de Aluminio RUGOS 2000; grano 50/80 y medida 0,10-0,50 (25 kg/saco).   Ref. jomafa-9997</t>
  </si>
  <si>
    <t>alq-chorreadora-mym-01</t>
  </si>
  <si>
    <t>Alquiler de Equipo Arenador Chorro de Arena.   Ref. MÁQUINAS Y MÁQUINAS</t>
  </si>
  <si>
    <t>alq-compresor-ra-01</t>
  </si>
  <si>
    <t>Alquiler de Compresor Móvil 4litros/8kg presión, Caudal 4.000 LPM, Peso 1.025 kg.   Ref. RENTAIRE</t>
  </si>
  <si>
    <t>LMP-CHORRO-SILICATO.ALUM-H-MS</t>
  </si>
  <si>
    <t>XXXX LIMPIEZA MECANICA DE PARAMENTO HORIZONTAL DE FACHADA CON PROYECCION DE CHORRO ABRASIVO (SILICATO DE ALUMINIO), MEDIANTE EL USO DE MEDIO SUSPENDIDO/COLGADO</t>
  </si>
  <si>
    <t>LIMPIEZA MECANICA DE PARAMENTO HORIZONTAL DE FACHADA CON PROYECCION DE CHORRO ABRASIVO (SILICATO DE ALUMINIO), MEDIANTE EL USO DE MEDIO SUSPENDIDO/COLGADO</t>
  </si>
  <si>
    <t>LMP-CHORRO-SILICATO.ALUM-H-AT</t>
  </si>
  <si>
    <t>XXXX LIMPIEZA MECANICA DE PARAMENTO HORIZONTAL DE FACHADA CON PROYECCION DE CHORRO ABRASIVO (SILICATO DE ALUMINIO), MEDIANTE EL USO DE ANDAMIO TUBULAR</t>
  </si>
  <si>
    <t>LIMPIEZA MECANICA DE PARAMENTO HORIZONTAL DE FACHADA CON PROYECCION DE CHORRO ABRASIVO (SILICATO DE ALUMINIO), MEDIANTE EL USO DE ANDAMIO TUBULAR</t>
  </si>
  <si>
    <t>LMP-REVESTIMIENTOS-SUELO</t>
  </si>
  <si>
    <t>XXXXXXXX LIMPIEZA DE REVESTIMIENTOS EN SUELO</t>
  </si>
  <si>
    <t>LIMPIEZA-PAVIMENTO-01</t>
  </si>
  <si>
    <t>XXXX LIMPIEZA DE PAVIMENTOS CON DETERGENTE SUAVE</t>
  </si>
  <si>
    <t>LIMPIEZA DE PAVIMENTOS EN PATIOS CON DETERGENTE SUAVE</t>
  </si>
  <si>
    <t>OTROS.TRATAMIENTOS</t>
  </si>
  <si>
    <t>XXXXXXXX OTROS TRATAMIENTOS</t>
  </si>
  <si>
    <t>OTROS.TRATAMIENTOS-PARAMENTOS</t>
  </si>
  <si>
    <t>XXXXXXXX OTROS TRATAMIENTOS EN PARAMENTOS</t>
  </si>
  <si>
    <t>OTP-BRILLO.MARMOL-V-AT-01</t>
  </si>
  <si>
    <t>XXXX ABRILLANTAMIENTO MECÁNICO DE MÁRMOL EN PARAMENTOS VERTICALES, MEDIANTE EL USO DE ANDAMIO TUBULAR</t>
  </si>
  <si>
    <t>ABRILLANTAMIENTO MECÁNICO DE MÁRMOL EN PARAMENTOS VERTICALES, MEDIANTE EL USO DE ANDAMIO TUBULAR</t>
  </si>
  <si>
    <t>ma-lp-00195806</t>
  </si>
  <si>
    <t>Abrillantador protector de mármol interior PASO de CEYS (1 litro/envase).   Ref. lp-00195806</t>
  </si>
  <si>
    <t>OTP-BRILLO.MARMOL-V-MS-01</t>
  </si>
  <si>
    <t>XXXX ABRILLANTAMIENTO MECÁNICO DE MÁRMOL EN PARAMENTOS VERTICALES, MEDIANTE EL USO DE MEDIO SUSPENDIDO/COLGADO</t>
  </si>
  <si>
    <t>ABRILLANTAMIENTO MECÁNICO DE MÁRMOL EN PARAMENTOS VERTICALES, MEDIANTE EL USO DE MEDIO SUSPENDIDO/COLGADO</t>
  </si>
  <si>
    <t>PRE</t>
  </si>
  <si>
    <t>o PRELIMINARES OK</t>
  </si>
  <si>
    <t>NOTA1</t>
  </si>
  <si>
    <t>NOTA 1: ELEMENTOS PARTICULARES A CARGO DE LA PROPIEDAD</t>
  </si>
  <si>
    <t>El desmontaje, acopio y posterior montaje con medios manuales y/o mecánicos de todos aquellos elementos particulares, como pueden ser los toldos y su estructura, persianas alicantinas, aires acondicionados, tendederos, mobiliario, plantas, brezo, tarimas de madera, etc... para poder llevar a cabo los trabajos de rehabilitación, correran a cargo de la propiedad y deben realizarse previamente al inicio de los trabajos.</t>
  </si>
  <si>
    <t>NOTA2</t>
  </si>
  <si>
    <t>NOTA 2: ORIGEN DE LAS FILTRACIONES</t>
  </si>
  <si>
    <t>**Nota Aclaratoria: Alcance de los Trabajos de Reparación en Cubierta**
Se deja constancia de que los trabajos presupuestados en este documento están orientados a la reparación de los defectos detectados visualmente en la cubierta.
Es importante señalar que esta intervención se considera un arreglo de lo detectado en la visita realizada y no un estudio exhaustivo para determinar la causa raíz de las filtraciones. Por lo tanto, no podemos garantizar que el origen de la misma se encuentre exclusivamente en el área intervenida ni que futuras filtraciones no se manifiesten en otros puntos de la cubierta.
Para una solución definitiva y encontrar el origen de la filtración, se recomienda realizar un estudio y pruebas de los demas elementos que pudieran provocar dicha filtración, que permita identificar y corregir cualquier otra deficiencia que pueda estar presente.</t>
  </si>
  <si>
    <t>PRE001</t>
  </si>
  <si>
    <t>PAR</t>
  </si>
  <si>
    <t>o PROTECCION DE PAVIMENTOS Y MOBILIARIO</t>
  </si>
  <si>
    <t>Proteccion de pavimento y mobiliario en el interior de vivienda mediante la cubricion con lamina de plastico y/o carton, que se mantendra durante los trabajos de rehabilitacion o reforma, y posterior retirada de la proteccion.</t>
  </si>
  <si>
    <t>ma-lp-00139017</t>
  </si>
  <si>
    <t>rollo</t>
  </si>
  <si>
    <t>Cartón ondulado (50x0,90 m/rollo)   Ref. lp-00139017</t>
  </si>
  <si>
    <t>ma-lp-00534910</t>
  </si>
  <si>
    <t>Cinta pintor KREPP 29 mm (45 m/rollo).   Ref. lp-00534910</t>
  </si>
  <si>
    <t>ma-lp-00007667</t>
  </si>
  <si>
    <t>und</t>
  </si>
  <si>
    <t>Plástico cubretodo grueso MIARCO; 4x5 m/und   Ref. lp-00007667</t>
  </si>
  <si>
    <t>ma-lp-00222965</t>
  </si>
  <si>
    <t>Tablero de encofrar tricapa de madera de abeto 1970x500x27 mm   Ref. lp-00222965</t>
  </si>
  <si>
    <t>ma-lp-00006257</t>
  </si>
  <si>
    <t>Tablero MDF 2440x1220x10 mm   Ref. lp-00006257</t>
  </si>
  <si>
    <t>ma-lp-00535305</t>
  </si>
  <si>
    <t>Toldo multiusos PROTEX; 2x3 m   Ref. lp-00535305</t>
  </si>
  <si>
    <t>PRE002</t>
  </si>
  <si>
    <t>o PROTECCIÓN DE ASCENSOR</t>
  </si>
  <si>
    <t>Protección de ascensor interior de edificios mediante 100% de cubrición de suelo y paramentos, con tablero de madera, lámina plástica, cartón corrugado y cinta adhesiva, que se mantendrá durante la ejecución de la obra; no incluye posterior retirada, recogida y carga sobre contenedor</t>
  </si>
  <si>
    <t>ma-lp-00534912</t>
  </si>
  <si>
    <t>Cinta pintor KREPP 48 mm (45 m/rollo).   Ref. lp-00534912</t>
  </si>
  <si>
    <t>PRE003</t>
  </si>
  <si>
    <t>o TRASLADO DE MOBILIARIO Y/O PLANTAS</t>
  </si>
  <si>
    <t>Traslado de mobiliario dentro del predio de la ejecución de la obra, mediante carretilla y/o transpaleta</t>
  </si>
  <si>
    <t>PRE004</t>
  </si>
  <si>
    <t>o PROTECCIÓN DE VENTANAS EN ÁREAS EXTERIORES DEL EDIFICIO DURANTE LA EJECUCIÓN DE LA OBRA MEDIANTE EL USO DE MEDIO SUSPENDIDO/COLGADO</t>
  </si>
  <si>
    <t>Protección de ventanas en el exterior de edificios mediante cubrición con lámina plástica, cartón corrugado y cinta adhesiva, que se mantendrá durante la ejecución de la obra; no incluye posterior retirada, recogida y carga sobre contenedor</t>
  </si>
  <si>
    <t>PRE005</t>
  </si>
  <si>
    <t>M2</t>
  </si>
  <si>
    <t>o LIMPIEZA DE PARAMENTO DE FACHADA CON DETERGENTE O SALFUMAN</t>
  </si>
  <si>
    <t>Limpieza manual de paramento de fachada con presencia de suciedad, grasas o polvo mediante la aplicación de detergente alcalino o acido, con un rendimiento de 0,2 l/m² y aclarado posterior de la superficie con abundante agua limpia hasta eliminar los residuos del producto aplicado.</t>
  </si>
  <si>
    <t>ma-lp-00557771</t>
  </si>
  <si>
    <t>ud</t>
  </si>
  <si>
    <t>Salfuman 5 L (aguafuerte)</t>
  </si>
  <si>
    <t>PRE006</t>
  </si>
  <si>
    <t>o LIMPIEZA DE PAVIMENTO CERAMICO</t>
  </si>
  <si>
    <t>Limpieza de pavimento cerámico de baldosín catalán en estado de conservación regular, eliminando manchas, sales, eflorescencias salinas y microorganismos, mediante el vertido sobre la superficie de una disolución acuosa de ácido acético y cepillado.</t>
  </si>
  <si>
    <t>ma-pequinsa-acido.acetico-5</t>
  </si>
  <si>
    <t>Ácido acético en solución al 80% de PEQUINSA (5 litros/envase).   Ref. pequinsa-acido.acetico-5</t>
  </si>
  <si>
    <t>PRE007</t>
  </si>
  <si>
    <t>o LIMPIEZA DE PARAMENTO DE FACHADA CON FUGNICIDA</t>
  </si>
  <si>
    <t>Limpieza química de fachada de fábrica de ladrillos cerámicos cara vista en estado de conservación regular, mediante la aplicación con cepillo de lejía con un 10% de agua, aclarado con lanza de agua a presión, aplicación con brocha de la imprimación fungicida, y limpieza final con lanza de agua a presión, a fin de eliminar hongos, algas y mohos; considerando un grado de complejidad medio.</t>
  </si>
  <si>
    <t>ma-pinturas.es-01</t>
  </si>
  <si>
    <t>Líquido imprimador-saneador de fachadas con alguicida y fungicida (5 litros/envase).   Ref. pinturas.es-01</t>
  </si>
  <si>
    <t>PRE008</t>
  </si>
  <si>
    <t>o LIMPIEZA DE PARAMENTO DE FACHADA CON FAKOLITH FK-12</t>
  </si>
  <si>
    <t>Limpieza de enfoscado y revoco de estuco de cal de todo el  cerramiento vertical de fachada principal, con medios mecánicos, mediante proyección de agua a presión controlada con máquina hidrolimpiadora y producto desincrustante neutro tipo FK-12 (Fakolith) sin afectar el color ni la textura de los elementos, dejando toda la superficie exenta de suciedades e impurezas.</t>
  </si>
  <si>
    <t>ma-pintam-01</t>
  </si>
  <si>
    <t>Limpiador FAKOLITH FK-12 para daños de Humedad+Salitre+Moho+Verdín (5 litros/envase).   Ref pintam-01</t>
  </si>
  <si>
    <t>PRE009</t>
  </si>
  <si>
    <t>o LIMPIEZA DE PIEDRA NATURAL EN FACHADA CON KEIM</t>
  </si>
  <si>
    <t>Limpieza de las superficies con detergente líquido biodegradable, con producto específico para superficies de piedra naturaleza, hormigón u obra vista, tipo KEIM LIMPIADOR DE PIEDRA, con una proporción de 1:10 partes de agua, recomendado por fabricante y adaptante la disolución a las necesidades del paramento. Este detergente es adecuado para limpiar grasas, aceites y polución. Se aplicará con pincel. Posteriormente, las zonas tratadas se limpiarán con agua a presión, de abajo a arriba, finalmente las superficies así limpiadas se aclararán posteriormente con agua.</t>
  </si>
  <si>
    <t>ma-altermat-01330LP</t>
  </si>
  <si>
    <t>bidón</t>
  </si>
  <si>
    <t>Limpiador de piedra natural STEINREINIGER-N de KEIM (10 kg/bidón).   Ref. altermat-01330LP</t>
  </si>
  <si>
    <t>alq-vaporeta-mh-01</t>
  </si>
  <si>
    <t>Alquiler de Equipo Eléctrico Limpiador a Vapor (Vaporeta).   Ref. MIL HERRAMIENTAS</t>
  </si>
  <si>
    <t>PRE010</t>
  </si>
  <si>
    <t>o LIMPIEZA MECANICA DE FACHADA CON PROYECCION  DE CHORRO ABRASIVO</t>
  </si>
  <si>
    <t>Limpieza mecánica de fachada de mampostería en estado de conservación regular, mediante proyección controlada de chorro de abrasivo seco (silicato de aluminio), considerando un grado de complejidad medio.</t>
  </si>
  <si>
    <t>PRE010TV</t>
  </si>
  <si>
    <t>o LIMPIEZA MECANICA DE FACHADA CON PROYECCION  DE CHORRO ABRASIVO C/TRABAJOS VERTICALES</t>
  </si>
  <si>
    <t>LIMPIEZA MECANICA DE PARAMENTO VERTICAL DE FACHADA CON PROYECCION DE CHORRO ABRASIVO (SILICATO DE ALUMINIO), MEDIANTE EL USO DE MEDIO SUSPENDIDO/COLGADO</t>
  </si>
  <si>
    <t>moc-std1-TVERTICAL</t>
  </si>
  <si>
    <t>Cuadrilla Std2 - VERTICALES - 1 Oficial de 1ª, 2 Ayudante</t>
  </si>
  <si>
    <t>mo-ofi-TV</t>
  </si>
  <si>
    <t>Oficial de 1ª con trabajos verticales</t>
  </si>
  <si>
    <t>mo-ayu-TV</t>
  </si>
  <si>
    <t>Ayudante de trabajos verticales</t>
  </si>
  <si>
    <t>mo-1_4-ayu-TV</t>
  </si>
  <si>
    <t>1/2 Ayudante de trabajos verticales</t>
  </si>
  <si>
    <t>PRE011</t>
  </si>
  <si>
    <t>U</t>
  </si>
  <si>
    <t>o PROTECCIÓN DE FAROLAS FIJADAS A PARAMENTOS</t>
  </si>
  <si>
    <t>Suministro y colocación de protección durante la ejecución de obra de farolas murales fijadas a paramentos verticales de fachada.</t>
  </si>
  <si>
    <t>ma-lp-00534911</t>
  </si>
  <si>
    <t>Cinta pintor KREPP 36 mm (45 m/rollo).   Ref. lp-00534911</t>
  </si>
  <si>
    <t>PRE012</t>
  </si>
  <si>
    <t>o APEO DE FORJADO</t>
  </si>
  <si>
    <t>Montaje y desmontaje de apeo de forjado horizontal y voladizo, con altura libre de planta de hasta 3 m, compuesto por 4 puntales metálicos telescópicos y tablones de madera.</t>
  </si>
  <si>
    <t>00019465</t>
  </si>
  <si>
    <t>u</t>
  </si>
  <si>
    <t>PUNTAL P3N 1,6X3 M Ref.: 00019465</t>
  </si>
  <si>
    <t>00222965</t>
  </si>
  <si>
    <t>TABLERO ENCOFRAR TRICAPA 1970X500X27 MM Ref.: 00222965</t>
  </si>
  <si>
    <t>PRE013</t>
  </si>
  <si>
    <t>o APUNTALAMIENTO DE VIGAS</t>
  </si>
  <si>
    <t>Montaje y desmontaje de puntales en vigas horizontales de madera en mal estado situada a una altura de mas de 3 m de altura, compuesto por 5 puntales metálicos telescópicos y tablones de madera.</t>
  </si>
  <si>
    <t>ma-lp-00019466</t>
  </si>
  <si>
    <t>Puntal metálico telescópico P4N; 4 m Ø 48x2 / Ø 40x2   Ref. lp-00019466</t>
  </si>
  <si>
    <t>PRE014</t>
  </si>
  <si>
    <t>o DESMONTAJE Y POSTERIOR MONTAJE DE EQUIPO DE AIRE ACONDICIONADO</t>
  </si>
  <si>
    <t>Desmontaje y posterior montaje de las unidades exteriores del sistema de aire acondicionado, con medios manuales (incluye los accesorios y soportes de fijación). Acopiarlos. Montarlos, una vez realizado los trabajos situandolos en el mismo lugar. (No se incluye la reposicion de Gas frigorifico). Previa la retirada se comprobará por parte de la empresa constructora su correcto funcionamiento. Éstas se darán a los diferentes propietarios para que las almacenen hasta la finalización de las obras.</t>
  </si>
  <si>
    <t>ma-lm-87272580</t>
  </si>
  <si>
    <t>Gas refrigerante orgánico GASICA V2 (226 gr/envase).   Ref. lm-87272580</t>
  </si>
  <si>
    <t>ma-lp-00016978</t>
  </si>
  <si>
    <t>Aflojatodo en Spray WD-40 (200 ml/envase).   Ref. lp-00016978</t>
  </si>
  <si>
    <t>PRE015</t>
  </si>
  <si>
    <t>M</t>
  </si>
  <si>
    <t>o ENMALLADO DE BALCONES</t>
  </si>
  <si>
    <t>Suministro y colocación de redes anti-desprendimientos en cantos de forjado, mediante red de protección, en color verde. Fijada en techo de balcon y atadas a parte inferior de barandillas. Incluido los complementos necesarios para su fijación, clips para mallas, cuerdas de unión, bridas, y tacos con arandela plástica.</t>
  </si>
  <si>
    <t>ma-lp-00225436</t>
  </si>
  <si>
    <t>caja</t>
  </si>
  <si>
    <t>Taco con plato de 60 mm para fijación mecánica de placa aislante; medidas: 10x110 mm (200 pzas/caja).   Ref. lp-00225436</t>
  </si>
  <si>
    <t>ma-lp-00112954</t>
  </si>
  <si>
    <t>Malla para protección de fachadas verde/negro 6x20 m  Ref.: lp-00112954</t>
  </si>
  <si>
    <t>ma-lp-00514905</t>
  </si>
  <si>
    <t>bolsa</t>
  </si>
  <si>
    <t>Bridas plásticas 300x4,8 mm (100 pzas/bolsa)   Ref. lp-00514905</t>
  </si>
  <si>
    <t>PRE016</t>
  </si>
  <si>
    <t>o DESMONTAJE Y POSTERIOR MONTAJE DE PLACAS DE CLARABOIA</t>
  </si>
  <si>
    <t>Desmontaje y posterior montaje de placas de policarbonato y/o cristal para la correcta ejecucion de los trabajos, con medios manuales, sin afectar a la estabilidad de la estructura. 
Nota: Las placas, pueden sufrir daños por el tiempo de vida del mismo material, en dicho caso estos suministros y trabajos se presupuestaran aparte.</t>
  </si>
  <si>
    <t>PRE017</t>
  </si>
  <si>
    <t>o TOMAS DE SERVICIOS DE LUZ Y AGUA REQUERIDOS DURANTE LA EJECUCIÓN DE LA OBRA</t>
  </si>
  <si>
    <t>Tomas de servicios de luz y agua requeridos durante la ejecución de la obra</t>
  </si>
  <si>
    <t>ma-lp-00532429</t>
  </si>
  <si>
    <t>Manguera BIGMAT 25x25 1” y 7 bar (25 m/rollo).   Ref. lp-00532429</t>
  </si>
  <si>
    <t>ma-bm-10893295</t>
  </si>
  <si>
    <t>cubo</t>
  </si>
  <si>
    <t>Cubo de basura de polipropileno con tapa; color negro de UNIVERSAL (100 litros/cubo).   Ref. bm-10893295</t>
  </si>
  <si>
    <t>ma-lp-00535168</t>
  </si>
  <si>
    <t>pza</t>
  </si>
  <si>
    <t>Racor acople de AQUA 19 mm para prolongación de manguera.   Ref. lp-00535168</t>
  </si>
  <si>
    <t>ma-lp-00254198</t>
  </si>
  <si>
    <t>Pistola de riego ECO con control de caudal y multijet 7 posiciones.   Ref. lp-00254198</t>
  </si>
  <si>
    <t>ma-lp-00010889</t>
  </si>
  <si>
    <t>Cinta Teflón PTFE de GYMCOL 25 mm (25 m/rollo).   Ref. lp-00010889</t>
  </si>
  <si>
    <t>ma-lp-00261116</t>
  </si>
  <si>
    <t>m</t>
  </si>
  <si>
    <t>Manguera flexible PVC H05VV-F 3G2,5 CPR de RCT.   Ref. lp-00261116</t>
  </si>
  <si>
    <t>ma-lp-00013301</t>
  </si>
  <si>
    <t>Base 4 tomas 2P+TTL 10-16 A 250 V; color blanco.   Ref. lp-00013301</t>
  </si>
  <si>
    <t>ma-lp-00532380</t>
  </si>
  <si>
    <t>Cinta aislante vulcanizada; color negro (19 mm x 9,15 m/rollo).   Ref. lp-00532380</t>
  </si>
  <si>
    <t>PRE018</t>
  </si>
  <si>
    <t>o TRATAMIENTO LINEAL CURATIVO Y PREVENTIVO ANTIMOHO Y FUNGUCIDA EN ELEMENTOS DE MADERA (ancho &lt;= 30 cm)</t>
  </si>
  <si>
    <t>TRATAMIENTO LINEAL CURATIVO Y PREVENTIVO ANTIMOHO Y FUNGUCIDA EN ELEMENTOS DE MADERA (ancho &lt;= 30 cm)</t>
  </si>
  <si>
    <t>PRE019</t>
  </si>
  <si>
    <t>o CATA DE INSPECCION EN PAVIMENTO</t>
  </si>
  <si>
    <t>Apertura de cata para la correcta ejecución de la inspeccion en pavimento, realizado con medios manuales. Incluye: transporte de residuos inertes, producidos por demolición a vertedero específico. Apertura de acuerdo a las indicaciones de la direccion facultativa.
Segun lo encontrado se presupuestara aparte la solucion y la reposicion de las aperturas realizadas.</t>
  </si>
  <si>
    <t>ma-lp-00019688</t>
  </si>
  <si>
    <t>Saco de rafia para materiales y escombros; 50x90 cm    Ref. lp-00019688</t>
  </si>
  <si>
    <t>BIGBAG01</t>
  </si>
  <si>
    <t>Big Bag runa 1m3</t>
  </si>
  <si>
    <t>PRE020</t>
  </si>
  <si>
    <t>o TOMA DE SERVICIO</t>
  </si>
  <si>
    <t>Realización de conexión de luz y agua por parte de la empresa constructora a los respectivos servicios de los elementos comunes mediante todos los trabajos y elementos auxiliares necesarios para proveer de luz y agua a los equipos que así lo requieran por la realización de los trabajos descritos en el proyecto.</t>
  </si>
  <si>
    <t>PRE021</t>
  </si>
  <si>
    <t>o REORDENACION DE CABLEADO EXISTENTE</t>
  </si>
  <si>
    <t>Reordenación del cableado existente en fachada principal, retirando aquellos que estén anulados (previa confirmación de la propiedad) y unificando el resto de líneas, desplazándolas por su ordenación dentro de los límites que permita el cableado existente, con abrazaderas de plástico, apretándolas a fachada con grapas específicas para el uso. No se contempla la derivación. Esta partida únicamente incluye el ordenamiento de los cables, en ningún caso reducciones ni ampliaciones ni ningún otro tipo de modificación en dichas instalaciones, de carácter particular.
NOTA: No incluye trabajos a realizar por compañía suministradora en caso necesario por la ejecución de los trabajos.</t>
  </si>
  <si>
    <t>PRE022</t>
  </si>
  <si>
    <t>UD</t>
  </si>
  <si>
    <t>o PROTECCION DE TOLDOS EXISTENTES</t>
  </si>
  <si>
    <t>Suministro y colocación de láminas de polietileno transparente envolviendo los toldos o cortinas existentes que no se prevén desmontar por la ejecución de los trabajos, fijadas con cinta adhesiva, para protegerlo ante la suciedad y polvo ocasionado por los trabajos de rehabilitación. Incluso posterior retirada de láminas, recogida y carga sobre contenedor.</t>
  </si>
  <si>
    <t>PRE023</t>
  </si>
  <si>
    <t>o LIMPIEZA CON SANEART S DE ARTIC</t>
  </si>
  <si>
    <t>Limpieza de enfoscado y revoco de estuco de cal de todo el  cerramiento vertical de fachada principal, con medios mecánicos, mediante proyección de agua a presión controlada con máquina hidrolimpiadora y producto se aplicará producto biocida Saneart S (Artic). Es inhibidor del desarrollo de bacterias grama positivas, grama negativas, virus, liquenes, musgos y algas. Esporicida y miquicida.</t>
  </si>
  <si>
    <t>ma-web1</t>
  </si>
  <si>
    <t>SANEART S biocida Artic de 25L</t>
  </si>
  <si>
    <t>PRE024</t>
  </si>
  <si>
    <t>o LIMPIEZA DE FACHADA CON DESINCRUSTANTES BIODECAPANTE UNIVERSAL MACS SG-94</t>
  </si>
  <si>
    <t>Limpieza sobre paramento vertical de mortero de cal, de polvo, restos orgánicos y biodepósitos-detritus con medios manuales no agresivos e instrumentos desincrustantes Biodecapante Universal libre de hidrocarburos clorados y 100% ecológico tipo MACS SG-94.</t>
  </si>
  <si>
    <t>ma-web-1</t>
  </si>
  <si>
    <t>Desincrustantes Biodecapante  MACS SG-94 de 5L</t>
  </si>
  <si>
    <t>PRE025</t>
  </si>
  <si>
    <t>o PROTECCION DE ZONA POR EL PASO DE ANDAMIO</t>
  </si>
  <si>
    <t>Protecciones de las paredes, mobiliario, pavimento, etc con cartones, plásticos, etc. Lo necesario para evitar cualquier lesión durante el traslado del andamio por el interior del edificio. Se realizará un reportaje fotográfico del estado actual para garantizar que no exista daños sobrevenidos.</t>
  </si>
  <si>
    <t>PRE026</t>
  </si>
  <si>
    <t>o CLAUSURA DE SALIDA A LOS BALCONES</t>
  </si>
  <si>
    <t>Proteccion y/o clausura de las aberturas de acceso a los balcones, tipo balconera, con la colocación de 3º de puntales telescópicos por balconera y hasta 2,00 ml de malla naranja, para evitar el acceso a andamios de personas ajenas a la obra.</t>
  </si>
  <si>
    <t>ma-lap-00018624</t>
  </si>
  <si>
    <t>Malla señalización naranja 1x50m</t>
  </si>
  <si>
    <t>00019466</t>
  </si>
  <si>
    <t>PUNTAL P4N 2X4 M Ref.: 00019466</t>
  </si>
  <si>
    <t>PRE027</t>
  </si>
  <si>
    <t>o LIMPIEZA CON HIERBICIDA ( FC )</t>
  </si>
  <si>
    <t>LIMPIEZA CON HIERBICIDA</t>
  </si>
  <si>
    <t>ma-herbicida-01</t>
  </si>
  <si>
    <t>Herbicida de 5L</t>
  </si>
  <si>
    <t>AND001</t>
  </si>
  <si>
    <t>o ANDAMIO EN FACHADA</t>
  </si>
  <si>
    <t>Alquiler, transporte, montaje y desmontaje de andamio tubular metálico fijo formado por premarcos de 70 cm y altura &lt;= 200 cm, con bases regulables, tubos travesaños, tubos de trabamiento, plataformas de trabajo de anchura como mínimo de 60 cm, escaleras de acceso, barandillas laterales, zócalos y red de protección de poliamida, colocada en toda la cara exterior y amarres cada 20 m2 de fachada, incluidos todos los elementos de señalización normalizados y el transporte con un recorrido total máximo de 20 km.</t>
  </si>
  <si>
    <t>alq-andamio/m2-fijo</t>
  </si>
  <si>
    <t>Alquiler de Sistema de Andamios Tubulares Metálicos Fijos con Bases Regulables; incluye Montaje, Desmontaje y Transportes Asociados.</t>
  </si>
  <si>
    <t>m.o.And</t>
  </si>
  <si>
    <t>Mano de Obra de ANDAMIO</t>
  </si>
  <si>
    <t>AND001.2</t>
  </si>
  <si>
    <t>DIA</t>
  </si>
  <si>
    <t>o AMORTIZACIÓN DIARIA DE 500M2 DE ANDAMIO TUBULAR METÁLICO</t>
  </si>
  <si>
    <t>Amortización diaria de andamio tubular metálico fijo, formado por marcos de 70 cm de ancho y altura &lt;= 200 cm, con bases regulables, travesaños de tubo, tubos de trabada, plataformas de trabajo de ancho como mínimo de 60 cm, escaleras de acceso, barandillas laterales, zócalos y red de protección de poliamida colocada en toda la cara exterior y amarradores cada 20 m2 de fachada.</t>
  </si>
  <si>
    <t>amortd</t>
  </si>
  <si>
    <t>Alquiler diario de andamio tubular</t>
  </si>
  <si>
    <t>AND001.3</t>
  </si>
  <si>
    <t>MES</t>
  </si>
  <si>
    <t>o AMORTIZACIÓN MENSUAL DE 500M2 DE ANDAMIO TUBULAR METÁLICO</t>
  </si>
  <si>
    <t>Alquiler, durante 30 días naturales, de andamio tubular normalizado, tipo multidireccional, hasta 10 m de altura máxima de trabajo,  formado por estructura tubular de acero galvanizado en caliente, de 48,3 mm de diámetro y 3,2 mm de espesor, sin duplicidad de  elementos verticales, compuesto por plataformas de trabajo de 60 cm de ancho, dispuestas cada 2 m de altura, escalera interior con  trampilla, barandilla trasera con dos barras y rodapié, y barandilla delantera con una barra; para la ejecución de fachada de 500 m².</t>
  </si>
  <si>
    <t>AND001.4</t>
  </si>
  <si>
    <t>oTRANSPORTE Y RETIRADA DE 500M2 DE ANDAMIO TUBULAR DE FACHADA.</t>
  </si>
  <si>
    <t>Transporte y retirada de andamio tubular normalizado, tipo multidireccional, hasta 10 m de altura máxima de trabajo, formado por estructura tubular de acero galvanizado en caliente, sin duplicidad de elementos verticales y plataformas de trabajo de 60 cm de ancho; para ejecución de fachada de 500 m².</t>
  </si>
  <si>
    <t>mq13ats013a</t>
  </si>
  <si>
    <t>Repercusión, por m², de transporte a obra y retirada de andamio tubular normalizado, tipo multidireccional, de 10 m de altura máxima de trabajo, constituido por estructura tubular de acero galvanizado en caliente, de 48,3 mm de diámetro y 3,2 mm de espesor, sin duplicidad de elementos verticales, fabricado cumpliendo las exigencias de calidad recogidas en la norma UNE-EN ISO 9001, según UNE-EN 12810 y UNE-EN 12811; compuesto de plataformas de trabajo de 60 cm de ancho, dispuestas cada 2 m de altura, escalera interior con trampilla, barandilla trasera con dos barras y rodapié, y barandilla delantera con una barra; para ejecución de fachada; incluso red flexible, tipo mosquitera monofilamento, de polietileno 100%.</t>
  </si>
  <si>
    <t>Costes directos complementarios</t>
  </si>
  <si>
    <t>AND001.5</t>
  </si>
  <si>
    <t>oMONTAJE Y DESMONTAJE DE 500M2 DE ANDAMIO TUBULAR DE FACHADA.</t>
  </si>
  <si>
    <t>Montaje y desmontaje de andamio tubular normalizado, tipo multidireccional, hasta 10 m de altura máxima de trabajo, formado por estructura tubular de acero galvanizado en caliente, sin duplicidad de elementos verticales y plataformas de trabajo de 60 cm de ancho; para ejecución de fachada de 250 m², según planos de montaje, considerando una distancia máxima de 20 m entre el punto de descarga de los materiales y el punto más alejado del montaje. Incluso montaje y desmontaje de red flexible, tipo mosquitera monofilamento, de polietileno 100%, accesorios, sistemas de protección, anclajes y reposiciones.</t>
  </si>
  <si>
    <t>mq13ats011a</t>
  </si>
  <si>
    <t>Repercusión, por m², de montaje de andamio tubular normalizado, tipo multidireccional, de 10 m de altura máxima de trabajo, constituido por estructura tubular de acero galvanizado en caliente, de 48,3 mm de diámetro y 3,2 mm de espesor, sin duplicidad de elementos verticales, fabricado cumpliendo las exigencias de calidad recogidas en la norma UNE-EN ISO 9001, según UNE-EN 12810 y UNE-EN 12811; compuesto de plataformas de trabajo de 60 cm de ancho, dispuestas cada 2 m de altura, escalera interior con trampilla, barandilla trasera con dos barras y rodapié, y barandilla delantera con una barra; para ejecución de fachada; incluso red flexible, tipo mosquitera monofilamento, de polietileno 100%.</t>
  </si>
  <si>
    <t>mq13ats012a</t>
  </si>
  <si>
    <t>Repercusión, por m², de desmontaje de andamio tubular normalizado, tipo multidireccional, de 10 m de altura máxima de trabajo, constituido por estructura tubular de acero galvanizado en caliente, de 48,3 mm de diámetro y 3,2 mm de espesor, sin duplicidad de elementos verticales, fabricado cumpliendo las exigencias de calidad recogidas en la norma UNE-EN ISO 9001, según UNE-EN 12810 y UNE-EN 12811; compuesto de plataformas de trabajo de 60 cm de ancho, dispuestas cada 2 m de altura, escalera interior con trampilla, barandilla trasera con dos barras y rodapié, y barandilla delantera con una barra; para ejecución de fachada; incluso red flexible, tipo mosquitera monofilamento, de polietileno 100%.</t>
  </si>
  <si>
    <t>AND002</t>
  </si>
  <si>
    <t>o ANDAMIO EN FACHADA POSTERIOR</t>
  </si>
  <si>
    <t>Andamio en fachada posteior: Alquiler, transporte, montaje y desmontaje de andamio tubular metálico fijo formado por premarcos de 70 cm y altura &lt;= 200 cm, con bases regulables, tubos travesaños, tubos de trabamiento, plataformas de trabajo de anchura como mínimo de 60 cm, escaleras de acceso, barandillas laterales, zócalos y red de protección de poliamida, colocada en toda la cara exterior y amarres cada 20 m2 de fachada, incluidos todos los elementos de señalización normalizados y el transporte con un recorrido total máximo de 20 km.</t>
  </si>
  <si>
    <t>AND003</t>
  </si>
  <si>
    <t>o ANDAMIO EN PATIO</t>
  </si>
  <si>
    <t>AND004</t>
  </si>
  <si>
    <t>o ALQUILER DIARIO DE ANDAMIO MOVIL</t>
  </si>
  <si>
    <t>Alquiler diario de torre de trabajo móvil, situada a una altura de 4.20 m con plataforma de trabajo de 3x1 m², formada por estructura tubular de acero galvanizado en caliente de 48,3 mm y 3,2 mm de espesor, preparada para soportar una carga de 2,0 kN/m² uniformemente distribuida sobre la plataforma y una carga puntual de 1,5 kN.</t>
  </si>
  <si>
    <t>alq-andamio-0.75x4.20-tq-dia</t>
  </si>
  <si>
    <t>dia</t>
  </si>
  <si>
    <t>Alquiler diario de Torre 4,20 m de Andamio Tubular de Aluminio (Largo x Ancho x Altura de Trabajo: 1,80x0,75 m).   Ref. TOOLQUICK</t>
  </si>
  <si>
    <t>AND005</t>
  </si>
  <si>
    <t>o PROTECCIÓN DE PASO PEATONAL</t>
  </si>
  <si>
    <t>Alquiler, transporte, montaje y desmontaje de estructura de protección para paso peatonal, con paso libre de 1,5 m de anchura, 3,0 m de altura y 7,0m de largo, formada por estructura tubular de acero galvanizado en caliente, con techo superior para protección de peatones, y visera para evitar la caída de objetos en fachada.</t>
  </si>
  <si>
    <t>andpe1</t>
  </si>
  <si>
    <t>Alquiler mensual de estructura de protección para paso</t>
  </si>
  <si>
    <t>AND006</t>
  </si>
  <si>
    <t>o S/I MALLA DE PROTECCIÓN DE FACHADAS VERDE/NEGRO</t>
  </si>
  <si>
    <t>Suministro y colocacion de malla en fachada, para proteccion de peatones por caida de objetos.</t>
  </si>
  <si>
    <t>moc-std1-andamio</t>
  </si>
  <si>
    <t>Cuadrilla Std1 Andamio - 1 Oficial de 1ª y 1 Ayudante</t>
  </si>
  <si>
    <t>AND007</t>
  </si>
  <si>
    <t>o LONAS DE EVACUACIÓN EN ANDAMIO TUBULAR</t>
  </si>
  <si>
    <t>Suministro, montaje, aprovechamiento y desmontaje de lonas de evacuación de PVC en la parte inferior del andamio, específicamente diseñadas para labores de limpieza con agua a presión, provista de orificios específicos para la conexión de las mangueras de evacuación, y envolviendo la primera planta del andamio, incluso suministro y colocación de las mangueras de evacuación, y atado de éstas a los pies del andamio, para garantizar una evacuación controlada del agua residual resultante de la limpieza.</t>
  </si>
  <si>
    <t>ma-lp-00566617</t>
  </si>
  <si>
    <t>toldo</t>
  </si>
  <si>
    <t>Toldo Multiusos BIGMAT para sujeción y protección a la lluvia; color azul (6x10 m/toldo).   Ref. lp-00566617</t>
  </si>
  <si>
    <t>ma-lp-00392493</t>
  </si>
  <si>
    <t>Sumidero sifonado descarga lateral de MODEM CH11-01 (11,5x11,5 cm).   Ref. lp-00392493</t>
  </si>
  <si>
    <t>ma-lp-00001390</t>
  </si>
  <si>
    <t>Codo evacuación M-H PVC 87º x 125 mm; color gris.   Ref. lp-00001390</t>
  </si>
  <si>
    <t>ma-bm-10885763</t>
  </si>
  <si>
    <t>Hidrotubo PVC flexible; diámetros 20 y 25 mm, color gris (25 m/rollo).   Ref. bm-10885763</t>
  </si>
  <si>
    <t>ma-lp-00564064</t>
  </si>
  <si>
    <t>Limpiador disolvente para tuberías de PVC BIGMAT (500 ml/envase)   Ref. lp-00564064</t>
  </si>
  <si>
    <t>ma-lp-00540063</t>
  </si>
  <si>
    <t>Pegamento para tubería de PVC BIGMAT (500 ml/envase)   Ref. lp-00540063</t>
  </si>
  <si>
    <t>AND008</t>
  </si>
  <si>
    <t>o ALARMA EN ANDAMIO</t>
  </si>
  <si>
    <t>Suministro, instalación, conexión y alquiler de sistema de alarma ubicado en la parte inferior del andamio para evitar el acceso de intrusos a las diferentes viviendas del edificio mientras el andamio esté instalado. Incluye la colocación de rótulos de presencia de sistema de seguridad.</t>
  </si>
  <si>
    <t>Alarma-Andamios</t>
  </si>
  <si>
    <t>Sin clasificar</t>
  </si>
  <si>
    <t>Sub-Contrato de Alquiler de 1 mes</t>
  </si>
  <si>
    <t>AND009</t>
  </si>
  <si>
    <t>o LONAS PUBLICITARIAS</t>
  </si>
  <si>
    <t>Suministro y colocación de lonas publicitarias provisionales de señalización de comercios existentes en planta baja con unas dimensiones aproximadas de 150x80 cm. Retirada de las mismas una vez finalizadas las obras de rehabilitación de fachada.</t>
  </si>
  <si>
    <t>ma-lona-publi</t>
  </si>
  <si>
    <t>Lonas microperforadas con refuerzo perimetral y ojales cada 50 cm, impresas CMYK 1 cara. Medida 150 x 80 cm.</t>
  </si>
  <si>
    <t>AUX001</t>
  </si>
  <si>
    <t>LINEA</t>
  </si>
  <si>
    <t>o TRABAJOS VERTICALES</t>
  </si>
  <si>
    <t>Técnica de trabajos verticales, utilizando cuerdas homologadas que cumplirán la normativa vigente, fijadas a anclajes instalados en elementos estructurales seguros, arnés y cinturón de seguridad, silla, cuerdas, fijaciones y conjunto de elementos para llevar a cabo los trabajos de manera segura y eficiente, así como los correspondientes elementos de seguridad.</t>
  </si>
  <si>
    <t>VERT1</t>
  </si>
  <si>
    <t>par</t>
  </si>
  <si>
    <t>Conjunto de material y útiles (cuerdas, silla, etc) para la realización de trabajos con técnicas de trabajos verticales</t>
  </si>
  <si>
    <t>m.o.TV</t>
  </si>
  <si>
    <t>Montaje y desmontaje de cuerdas: 1 Oficial y 1 Ayudante</t>
  </si>
  <si>
    <t>AUX002</t>
  </si>
  <si>
    <t>o CANASTA COLGANTE</t>
  </si>
  <si>
    <t>Conjunto de personal, material y útiles para la realización de trabajos con técnicas de trabajos verticales, con personal colgado mediante pescante con contrapesos y canasta. Incluida parte proporcional de montaje y desmontaje de instalaciones y elementos de soporte, cuerdas de acero, fijaciones, plataformas y conjunto de elementos para llevar a cabo los trabajos de manera segura y eficiente, así como los correspondientes elementos de seguridad.</t>
  </si>
  <si>
    <t>VERT2</t>
  </si>
  <si>
    <t>Cabina Basic 500 Manual con Pescante y contrapesos</t>
  </si>
  <si>
    <t>trnsprtires</t>
  </si>
  <si>
    <t>Transporte furgoneta</t>
  </si>
  <si>
    <t>m.o.canasta</t>
  </si>
  <si>
    <t>Montaje y desmontaje de canasta: 1 Oficial y 1 Ayudante</t>
  </si>
  <si>
    <t>AUX003</t>
  </si>
  <si>
    <t>o LINEA DE VIDA</t>
  </si>
  <si>
    <t>Suministro y colocacion de linea de vida anticaídas deslizante que se desplaza sin intervención manual, incluye: 1 Un anticaídas deslizante, 1 Un absorbedor de energía, 2 mosquetones, 1 Un anillo de cinta de 150cm, 1 cuerda 11 mm con terminal cosido y disipador de energía integrado, 1 lastre, placa de señalización y conjunto de dos precintos de seguridad. Incluso fijaciones para la sujeción de los componentes de la línea de anclaje al soporte.</t>
  </si>
  <si>
    <t>Linea</t>
  </si>
  <si>
    <t>Petzl ASAP Lock Fall Arrest Kit - 10 m - S-L</t>
  </si>
  <si>
    <t>AUX004</t>
  </si>
  <si>
    <t>o MES DE PLATAFORMA ELEVADORA DE TIJERAS</t>
  </si>
  <si>
    <t>Alquiler diario de plataforma elevadora de tijera, motor diésel, de 12 m de altura máxima de trabajo. El precio incluye el mantenimiento y el seguro de responsabilidad civil.</t>
  </si>
  <si>
    <t>BTID12</t>
  </si>
  <si>
    <t>PLATAFORMA TIJERA DIESEL 12M ALQUILER DIARIO 63.27€</t>
  </si>
  <si>
    <t>SEGURO</t>
  </si>
  <si>
    <t>SEGURO 14% (DÍAS NATURALES)</t>
  </si>
  <si>
    <t>RESID</t>
  </si>
  <si>
    <t>GESTIÓN DE RESIDUOS 14€ (POR CONTRATO).</t>
  </si>
  <si>
    <t>ENTRG1</t>
  </si>
  <si>
    <t>PORTES DE ENTREGA</t>
  </si>
  <si>
    <t>RECO1</t>
  </si>
  <si>
    <t>PORTE DE RECOGIDA</t>
  </si>
  <si>
    <t>FIAN</t>
  </si>
  <si>
    <t>FIANZA DE ALQUILER Y CONSUMO DE COMBUSTIBLE</t>
  </si>
  <si>
    <t>SEGURO14</t>
  </si>
  <si>
    <t>Seguro obligatorio 14% (Cálculo días naturales)</t>
  </si>
  <si>
    <t>DIESEL</t>
  </si>
  <si>
    <t>l</t>
  </si>
  <si>
    <t>Diesel</t>
  </si>
  <si>
    <t>operador1</t>
  </si>
  <si>
    <t>Operador plataforma de tijera</t>
  </si>
  <si>
    <t>AUX005</t>
  </si>
  <si>
    <t>o DIA  DE PLATAFORMA ELEVADORA DE TIJERAS</t>
  </si>
  <si>
    <t>ALQUILER DIA DE PLATAFORMA ELEVADORA DE TIJERAS</t>
  </si>
  <si>
    <t>AUX006</t>
  </si>
  <si>
    <t>o TRANSPORTE DE PLATAFORMA ELEVADORA</t>
  </si>
  <si>
    <t>Transporte a obra y retirada de plataforma elevadora de tijera, motor diésel, de 18 m de altura máxima de trabajo.</t>
  </si>
  <si>
    <t>AUX007</t>
  </si>
  <si>
    <t>o PERMISO DE OCUPACION DE VIA PUBLICA</t>
  </si>
  <si>
    <t>Permiso de ocupacion de via publica para plataforma elevadora de tijeras</t>
  </si>
  <si>
    <t>permiso1</t>
  </si>
  <si>
    <t>Permiso de ocupacion de via plublica</t>
  </si>
  <si>
    <t>AUX008</t>
  </si>
  <si>
    <t>ML</t>
  </si>
  <si>
    <t>o MARQUESINA DE PROTECCION</t>
  </si>
  <si>
    <t>Marquesina de protección perimetral del edificio en la primera planta ante la posible caída de objetos formada por: brazos plegables, tipo ménsula, de perfil hueco de acero de 60x40x2 mm, con un tramo horizontal y un tramo inclinado a 45°, fijados al forjado cada 2,5 m con soportes tipo Omega previamente anclados al forjado con fijaciones mecánicas y plataforma de chapa de acero galvanizado, que protege una zona de 1,5 m de anchura, apoyada sobre los brazos tipo ménsula y con solape entre chapas. Incluso tornillos para la sujeción de las chapas a los brazos.</t>
  </si>
  <si>
    <t>BARZ1</t>
  </si>
  <si>
    <t>ménsula</t>
  </si>
  <si>
    <t>OM1</t>
  </si>
  <si>
    <t>Soporte tipo Omega de chapa de acero, de 60x40 mm y 5 mm de espesor</t>
  </si>
  <si>
    <t>fij2</t>
  </si>
  <si>
    <t>Fijación compuesta por taco químico, arandela y tornillo de acero</t>
  </si>
  <si>
    <t>chp1</t>
  </si>
  <si>
    <t>Chapa perfilada de acero galvanizado, de 1 mm de espesor</t>
  </si>
  <si>
    <t>TOR1</t>
  </si>
  <si>
    <t>Tornillo galvanizado con taco de plástico y arandela plomo/hierro, para</t>
  </si>
  <si>
    <t>AUX009</t>
  </si>
  <si>
    <t>o ANDAMIO COLGANTE DE 5.50M</t>
  </si>
  <si>
    <t>Alquiler, montaje y tranporte de andamio colgante de 5.50m; Incluida parte proporcional de montaje y desmontaje de instalaciones y elementos de soporte, cuerdas de acero, fijaciones, plataformas y conjunto de elementos para llevar a cabo los trabajos de manera segura y eficiente, así como los correspondientes elementos de seguridad.</t>
  </si>
  <si>
    <t>PRE025.01</t>
  </si>
  <si>
    <t>Alquiler un mes días andamio colgante eléctrico 5,50 mts</t>
  </si>
  <si>
    <t>PRE025.02</t>
  </si>
  <si>
    <t>Montaje, subir material y conexión eléctrica</t>
  </si>
  <si>
    <t>PRE025.03</t>
  </si>
  <si>
    <t>Desmontaje y bajada material</t>
  </si>
  <si>
    <t>PRE025.04</t>
  </si>
  <si>
    <t>Cambios de ubicación</t>
  </si>
  <si>
    <t>PRE025.05</t>
  </si>
  <si>
    <t>Transporte andamio colgante 5,50 mts</t>
  </si>
  <si>
    <t>AUX010</t>
  </si>
  <si>
    <t>o ALQUILER DE PUNTALES</t>
  </si>
  <si>
    <t>Alquiler de puntales en vigas horizontales de madera en mal estado situada a una altura de mas de 3 m de altura, compuesto por 5 puntales metálicos telescópicos y tablones de madera.</t>
  </si>
  <si>
    <t>AUX011</t>
  </si>
  <si>
    <t>o VALLA PEATONAL PERIMETRAL</t>
  </si>
  <si>
    <t>Delimitación de la zona de excavaciones abiertas mediante vallado perimetral formado por vallas peatonales de hierro, de 1,10x2,50 m, color amarillo, con barrotes verticales montados sobre bastidor de tubo, con dos pies metálicos, amortizables en 20 usos.</t>
  </si>
  <si>
    <t>ma-lp-00020205</t>
  </si>
  <si>
    <t>Valla metálica 1 pie para obra de ALTRAD; color amarillo.   Ref. lp-00020205</t>
  </si>
  <si>
    <t>mo-seguridad.y.salud-peon</t>
  </si>
  <si>
    <t>Peón especializado en Seguridad y Salud</t>
  </si>
  <si>
    <t>AUX012</t>
  </si>
  <si>
    <t>o CONO REFLECTOR DE 75CM</t>
  </si>
  <si>
    <t>Con d'abalisament reflector de 75 cm d'altura, de 2 peces, amb cos de polietilè i base de cautxú, amb 1 banda reflectora de 300 mm d'amplada i retroreflectància nivell 1 (E.G.), amortitzable en 10 usos</t>
  </si>
  <si>
    <t>ma-lp-00557162</t>
  </si>
  <si>
    <t>Cono de señalización (2 pzas de 75 cm/und).   Ref. lp-00557162</t>
  </si>
  <si>
    <t>AUX013</t>
  </si>
  <si>
    <t>o MEDIOS AUXILIARES PARA TRABAJOS EN ALTURA</t>
  </si>
  <si>
    <t>Medios auxiliares necesarios para llevar a cabo todos los trabajos de la obra (torrilla, escaleras, puntales, andamios, grueta, hormigonera, compresor, taladro, etc…). Estos medios serán especialmente necesarios para llevar a cabo los trabajos en las plantas ático y sobreático.</t>
  </si>
  <si>
    <t>ma-lp-00559942</t>
  </si>
  <si>
    <t>Andamio móvil 1,8 metros (h plataforma = 90 cm).   Ref. lp-00559942</t>
  </si>
  <si>
    <t>ma-lp-00145530</t>
  </si>
  <si>
    <t>pack</t>
  </si>
  <si>
    <t>Caballete/Borriqueta plegable JUNIOR de STANLEY (2 pzas/pack).   Ref. lp-00145530</t>
  </si>
  <si>
    <t>ma-bauhaus-14416274</t>
  </si>
  <si>
    <t>Tablero aserrado de madera sin pulir de abeto rojo (300 x 20 x 4 cm/pza).   Ref. bauhaus-14416274</t>
  </si>
  <si>
    <t>ma-lp-00461515</t>
  </si>
  <si>
    <t>Escalera tijera de aluminio STEPPY 3 tramos de TENDO (h trabajo = 2,68 m).   Ref. lp-00461515</t>
  </si>
  <si>
    <t>ma-lp-00556967</t>
  </si>
  <si>
    <t>Escalera multiposición de aluminio 4x4 BIGMAT de LITAN (h = 3,83 m).   Ref. lp-00556967</t>
  </si>
  <si>
    <t>AUX014</t>
  </si>
  <si>
    <t>o ANDAMIO COLGANTE DE 12.00M</t>
  </si>
  <si>
    <t>Alquiler, montaje y tranporte de andamio colgante de 12.00m; Incluida parte proporcional de montaje y desmontaje de instalaciones y elementos de soporte, cuerdas de acero, fijaciones, plataformas y conjunto de elementos para llevar a cabo los trabajos de manera segura y eficiente, así como los correspondientes elementos de seguridad.</t>
  </si>
  <si>
    <t>aux014.1</t>
  </si>
  <si>
    <t>pa</t>
  </si>
  <si>
    <t>Alquiler mensual de andamio colgante electrico de 12m</t>
  </si>
  <si>
    <t>aux014.2</t>
  </si>
  <si>
    <t>Montaje, subir material (ascensor) y conexion electrica</t>
  </si>
  <si>
    <t>aux014.3</t>
  </si>
  <si>
    <t>Desmontaje y bajada de material</t>
  </si>
  <si>
    <t>aux014.4</t>
  </si>
  <si>
    <t>Cambio de lugar</t>
  </si>
  <si>
    <t>aux014.5</t>
  </si>
  <si>
    <t>Transporte</t>
  </si>
  <si>
    <t>AUX015</t>
  </si>
  <si>
    <t>H</t>
  </si>
  <si>
    <t>o PLATAFORMA ELEVADORA SUBE MUEBLES A VENTANAS</t>
  </si>
  <si>
    <t>Plataforma elevadora con acceso a terrazas o ventanas, para la elevacion de muebles.</t>
  </si>
  <si>
    <t>PLATF1</t>
  </si>
  <si>
    <t>Plataforma elevadora con acceso a terrazas o ventanas, para la elevacion de muebles, Incluye: Operario</t>
  </si>
  <si>
    <t>PLATF2</t>
  </si>
  <si>
    <t>Precio apartir de la 2da hora</t>
  </si>
  <si>
    <t>perm1</t>
  </si>
  <si>
    <t>Gestion del permiso por parte del industrial de la plataforma</t>
  </si>
  <si>
    <t>AUX016</t>
  </si>
  <si>
    <t>o ANDAMIO ACCESO A CUBIERTA PARA 6 NIVELES EN FACHADA PRINCIPAL</t>
  </si>
  <si>
    <t>Andamio para acceder a cubierta en fachada principal para 6 niveles (18m) Incluye: Alquiler, transporte, montaje y desmontaje de andamio tubular metálico fijo formado por premarcos de 70 cm y altura &lt;= 200 cm, con bases regulables, tubos travesaños, tubos de trabamiento, plataformas de trabajo de anchura como mínimo de 60 cm, escaleras de acceso, barandillas laterales, zócalos y red de protección de poliamida, colocada en toda la cara exterior y amarres cada 20 m2 de fachada, incluidos todos los elementos de señalización normalizados y el transporte con un recorrido total máximo de 20 km.</t>
  </si>
  <si>
    <t>juanvillamil</t>
  </si>
  <si>
    <t>Precio dado por Andamios Juan Villamil</t>
  </si>
  <si>
    <t>AUX017</t>
  </si>
  <si>
    <t>o ANDAMIO ACCESO A CUBIERTA PARA 6 NIVELES EN FACHADA POSTERIOR</t>
  </si>
  <si>
    <t>Andamio para acceder a cubierta en fachada posterior para 6 niveles (18m) Incluye: Alquiler, transporte, montaje y desmontaje de andamio tubular metálico fijo formado por premarcos de 70 cm y altura &lt;= 200 cm, con bases regulables, tubos travesaños, tubos de trabamiento, plataformas de trabajo de anchura como mínimo de 60 cm, escaleras de acceso, barandillas laterales, zócalos y red de protección de poliamida, colocada en toda la cara exterior y amarres cada 20 m2 de fachada, incluidos todos los elementos de señalización normalizados y el transporte con un recorrido total máximo de 20 km.</t>
  </si>
  <si>
    <t>PRE-MOB-PROTECCION-01.MUEBLE/M3</t>
  </si>
  <si>
    <t>XXXX PROTECCIÓN DE MOBILIARIO DURANTE LA EJECUCIÓN DE LA OBRA (DENSIDAD APROX. = 1 MUEBLE/M3)</t>
  </si>
  <si>
    <t>Suministro y colocación de láminas de polietileno transparente sobre el mobiliario (aproximadamente 1 ud/m³), solapadas entre sí al menos 15 cm y fijadas con cinta adhesiva, para protegerlo frente a la suciedad y el polvo ocasionado por los trabajos de rehabilitación.</t>
  </si>
  <si>
    <t>PRE-MOB-PROTECCION-02.MUEBLE/M3</t>
  </si>
  <si>
    <t>XXXX PROTECCIÓN DE MOBILIARIO DURANTE LA EJECUCIÓN DE LA OBRA (DENSIDAD APROX. = 2 MUEBLES/M3)</t>
  </si>
  <si>
    <t>PRE-MOB-PROTECCION-03.MUEBLE/M3</t>
  </si>
  <si>
    <t>XXXX PROTECCIÓN DE MOBILIARIO DURANTE LA EJECUCIÓN DE LA OBRA (DENSIDAD APROX. = 3 MUEBLES/M3)</t>
  </si>
  <si>
    <t>PRE-MOB-PROTECCION-07.MUEBLE/M3</t>
  </si>
  <si>
    <t>XXXX PROTECCIÓN DE MOBILIARIO DURANTE LA EJECUCIÓN DE LA OBRA (DENSIDAD APROX. = 7 MUEBLES/M3)</t>
  </si>
  <si>
    <t>PRE-MOB-PROTECCION-10.MUEBLE/M3</t>
  </si>
  <si>
    <t>XXXX PROTECCIÓN DE MOBILIARIO DURANTE LA EJECUCIÓN DE LA OBRA (DENSIDAD APROX. = 10 MUEBLES/M3)</t>
  </si>
  <si>
    <t>PRE-MOB-TRASLADO-01.MUEBLE/M3</t>
  </si>
  <si>
    <t>XXXX TRASLADO DE MOBILIARIO DENTRO DEL PREDIO DE LA EJECUCIÓN DE LA OBRA (DENSIDAD APROX. = 1 MUEBLE/M3 Y HASTA 500 KG/M3); MEDIANTE CARRETILLA Y/O TRANSPALETA</t>
  </si>
  <si>
    <t>Traslado de mobiliario dentro del predio de la ejecución de la obra (densidad aprox. = 1 Mueble/m3 y hasta 500 kg/m3); mediante carretilla y/o transpaleta</t>
  </si>
  <si>
    <t>PRE-MOB-TRASLADO-02.MUEBLE/M3</t>
  </si>
  <si>
    <t>XXXX TRASLADO DE MOBILIARIO DENTRO DEL PREDIO DE LA EJECUCIÓN DE LA OBRA (DENSIDAD APROX. = 2 MUEBLES/M3 Y HASTA 500 KG/M3); MEDIANTE CARRETILLA Y/O TRANSPALETA</t>
  </si>
  <si>
    <t>Traslado de mobiliario dentro del predio de la ejecución de la obra (densidad aprox. = 2 Muebles/m3 y hasta 500 kg/m3); mediante carretilla y/o transpaleta</t>
  </si>
  <si>
    <t>PRE-MOB-TRASLADO-03.MUEBLE/M3</t>
  </si>
  <si>
    <t>XXXX TRASLADO DE MOBILIARIO DENTRO DEL PREDIO DE LA EJECUCIÓN DE LA OBRA (DENSIDAD APROX. = 3 MUEBLES/M3 Y HASTA 500 KG/M3); MEDIANTE CARRETILLA Y/O TRANSPALETA</t>
  </si>
  <si>
    <t>Traslado de mobiliario dentro del predio de la ejecución de la obra (densidad aprox. = 3 Muebles/m3 y hasta 500 kg/m3); mediante carretilla y/o transpaleta</t>
  </si>
  <si>
    <t>PRE-MOB-TRASLADO-07.MUEBLE/M3</t>
  </si>
  <si>
    <t>XXXX TRASLADO DE MOBILIARIO DENTRO DEL PREDIO DE LA EJECUCIÓN DE LA OBRA (DENSIDAD APROX. = 7 MUEBLES/M3 Y HASTA 500 KG/M3); MEDIANTE CARRETILLA Y/O TRANSPALETA</t>
  </si>
  <si>
    <t>Traslado de mobiliario dentro del predio de la ejecución de la obra (densidad aprox. = 7 Muebles/m3 y hasta 500 kg/m3); mediante carretilla y/o transpaleta</t>
  </si>
  <si>
    <t>PRE-SUELO-PROTECCION-01</t>
  </si>
  <si>
    <t>XXXX PROTECCIÓN DE SUELOS EN ÁREAS INTERIORES DEL EDIFICIO DURANTE LA EJECUCIÓN DE LA OBRA</t>
  </si>
  <si>
    <t>Protección de suelos en el interior de edificios mediante cubrición con lámina plástica, cartón corrugado y cinta adhesiva, que se mantendrá durante la ejecución de la obra; no incluye posterior retirada, recogida y carga sobre contenedor</t>
  </si>
  <si>
    <t>PRE-SUELO.Y.PARED-PROTECCION-02</t>
  </si>
  <si>
    <t>XXXX PROTECCIÓN DE SUELOS Y PAREDES EN PASILLOS INTERIORES DEL EDIFICIO DURANTE LA EJECUCIÓN DE LA OBRA</t>
  </si>
  <si>
    <t>Protección de suelos en el interior de edificios mediante cubrición con lámina plástica, cartón corrugado y cinta adhesiva, que se mantendrá durante la ejecución de la obra; no incluye posterior retirada, recogida y carga sobre contenedor.</t>
  </si>
  <si>
    <t>PRE-VENTANA-PROTECCION-AT</t>
  </si>
  <si>
    <t>XXXX PROTECCIÓN DE VENTANAS EN ÁREAS EXTERIORES DEL EDIFICIO DURANTE LA EJECUCIÓN DE LA OBRA MEDIANTE EL USO DE ANDAMIO TUBULAR</t>
  </si>
  <si>
    <t>AUX</t>
  </si>
  <si>
    <t>XXXX BORRIQUETA METALICA</t>
  </si>
  <si>
    <t>Suministro y colocacion de borriqueta metalica para la correcta ejecucion de los trabajos en parte baja de techo, formada por estructura tubular de acero, tablones de madera.</t>
  </si>
  <si>
    <t>ma-lp-00016940</t>
  </si>
  <si>
    <t>Caballete/Borriqueta fija para andamio estándar (1x0,7 m/und).   Ref. lp-00016940</t>
  </si>
  <si>
    <t>PRE-TTMTO.CURATIVO-PARAMENTO-01</t>
  </si>
  <si>
    <t>XXXX TRATAMIENTO CURATIVO Y PREVENTIVO ANTIMOHO Y FUNGUCIDA EN PARAMENTO DE FACHADA (FCH)</t>
  </si>
  <si>
    <t>Tratamiento curativo y preventivo antimoho y fungucida en paramento de fachada (FCH)</t>
  </si>
  <si>
    <t>ma-pintunova-01</t>
  </si>
  <si>
    <t>Limpiador de fachadas con conservante antimoho de BLATEM (5 litros/envase).   Ref. pintunova-01</t>
  </si>
  <si>
    <t>ma-ferberpainting-01</t>
  </si>
  <si>
    <t>Líquido para tratamiento fungicida de paredes FERBERPAINTING (5 litros/envase).   Ref. ferberpainting-01</t>
  </si>
  <si>
    <t>ma-lm-87907803</t>
  </si>
  <si>
    <t>Impregnante hidrófugo y fungicida SIKAGARD-711 ES; incoloro (5 litros/envase).   Ref. lm-87907803</t>
  </si>
  <si>
    <t>DEMOLICIONES.Y.CONEXOS</t>
  </si>
  <si>
    <t>o DEMOLICIONES, REPICADOS, DECAPADOS, REMOCIONES, DESMONTAJES</t>
  </si>
  <si>
    <t>DEM-REVESTIMIENTOS</t>
  </si>
  <si>
    <t>XXXXXXXX DEMOLICIÓN DE REVESTIMIENTOS</t>
  </si>
  <si>
    <t>DEM-ALICATADOS</t>
  </si>
  <si>
    <t>XXXXXXX DEMOLICIÓN DE ALICATADOS</t>
  </si>
  <si>
    <t>DEM-MAN-ALICATADO-PETREO-AT</t>
  </si>
  <si>
    <t>XXXX DEMOLICIÓN A MANO DE ALICATADOS EN BALDOSAS HIDRÁULICAS O PÉTREAS MEDIANTE EL USO DE ANDAMIO TUBULAR</t>
  </si>
  <si>
    <t>DEMOLICIÓN A MANO DE ALICATADOS EN BALDOSAS HIDRÁULICAS O PÉTREAS MEDIANTE EL USO DE ANDAMIO TUBULAR</t>
  </si>
  <si>
    <t>DEM-MAN-ALICATADO-PETREO-MS</t>
  </si>
  <si>
    <t>XXXX DEMOLICIÓN A MANO DE ALICATADOS EN BALDOSAS HIDRÁULICAS O PÉTREAS MEDIANTE EL USO DE MEDIO SUSPENDIDO/COLGADO</t>
  </si>
  <si>
    <t>DEMOLICIÓN A MANO DE ALICATADOS EN BALDOSAS HIDRÁULICAS O PÉTREAS MEDIANTE EL USO DE MEDIO SUSPENDIDO/COLGADO</t>
  </si>
  <si>
    <t>DEM-MAQ-ALICATADO-PETREO-AT</t>
  </si>
  <si>
    <t>XXXX DEMOLICIÓN A MÁQUINA CON EQUIPO LIVIANO DE ALICATADOS EN BALDOSAS HIDRÁULICAS O PÉTREAS MEDIANTE EL USO DE ANDAMIO TUBULAR</t>
  </si>
  <si>
    <t>DEMOLICIÓN A MÁQUINA CON EQUIPO LIVIANO DE ALICATADOS EN BALDOSAS HIDRÁULICAS O PÉTREAS MEDIANTE EL USO DE ANDAMIO TUBULAR</t>
  </si>
  <si>
    <t>alq-demoledor-lp-00254673</t>
  </si>
  <si>
    <t>Alquiler de Martillo Demoledor BOSCH GSH 16-30 1750 W (16,9 kg)   Ref. 00254673</t>
  </si>
  <si>
    <t>mq-lp-00254673</t>
  </si>
  <si>
    <t>Martillo Demoledor Eléctrico BOSCH GSH 16-30 1750 W (16,9 kg)   Ref. 00254673</t>
  </si>
  <si>
    <t>DEM-MAQ-ALICATADO-PETREO-MS</t>
  </si>
  <si>
    <t>XXXX DEMOLICIÓN A MÁQUINA CON EQUIPO LIVIANO DE ALICATADOS EN BALDOSAS HIDRÁULICAS O PÉTREAS MEDIANTE EL USO DE MEDIO SUSPENDIDO/COLGADO</t>
  </si>
  <si>
    <t>DEMOLICIÓN A MÁQUINA CON EQUIPO LIVIANO DE ALICATADOS EN BALDOSAS HIDRÁULICAS O PÉTREAS MEDIANTE EL USO DE MEDIO SUSPENDIDO/COLGADO</t>
  </si>
  <si>
    <t>DEM-MAQ-ALICATADO-CERAMICO-AT</t>
  </si>
  <si>
    <t>XXXX DEMOLICIÓN A MÁQUINA CON EQUIPO LIVIANO DE ALICATADOS CERÁMICOS MEDIANTE EL USO DE ANDAMIO TUBULAR</t>
  </si>
  <si>
    <t>DEMOLICIÓN A MÁQUINA CON EQUIPO LIVIANO DE ALICATADOS CERÁMICOS MEDIANTE EL USO DE ANDAMIO TUBULAR</t>
  </si>
  <si>
    <t>DEM-MAQ-ALICATADO-CERAMICO-MS</t>
  </si>
  <si>
    <t>XXXX DEMOLICIÓN A MÁQUINA CON EQUIPO LIVIANO DE ALICATADOS CERÁMICOS MEDIANTE EL USO DE MEDIO SUSPENDIDO/COLGADO</t>
  </si>
  <si>
    <t>DEMOLICIÓN A MÁQUINA CON EQUIPO LIVIANO DE ALICATADOS CERÁMICOS MEDIANTE EL USO DE MEDIO SUSPENDIDO/COLGADO</t>
  </si>
  <si>
    <t>DEM-APLACADOS</t>
  </si>
  <si>
    <t>XXXXXXX DEMOLICIÓN DE APLACADOS</t>
  </si>
  <si>
    <t>DEM-MAN-APLACADO-PETREO-AT</t>
  </si>
  <si>
    <t>XXXX DEMOLICIÓN A MANO DE APLACADOS EN BALDOSAS HIDRÁULICAS O PÉTREAS ARTIFICIALES MEDIANTE EL USO DE ANDAMIO TUBULAR</t>
  </si>
  <si>
    <t>DEMOLICIÓN A MANO DE APLACADOS EN BALDOSAS HIDRÁULICAS O PÉTREAS MEDIANTE EL USO DE ANDAMIO TUBULAR</t>
  </si>
  <si>
    <t>DEM-MAN-APLACADO-PETREO-MS</t>
  </si>
  <si>
    <t>XXXX DEMOLICIÓN A MANO DE APLACADOS EN BALDOSAS HIDRÁULICAS O PÉTREAS ARTIFICIALES MEDIANTE EL USO DE MEDIO SUSPENDIDO/COLGADO</t>
  </si>
  <si>
    <t>DEMOLICIÓN A MANO DE APLACADOS EN BALDOSAS HIDRÁULICAS O PÉTREAS ARTIFICIALES MEDIANTE EL USO DE MEDIO SUSPENDIDO/COLGADO</t>
  </si>
  <si>
    <t>DEM-MAQ-APLACADO-PETREO-AT</t>
  </si>
  <si>
    <t>XXXX DEMOLICIÓN A MÁQUINA CON EQUIPO LIVIANO DE APLACADOS EN BALDOSAS HIDRÁULICAS O PÉTREAS ARTIFICIALES (FCH)</t>
  </si>
  <si>
    <t>DEMOLICIÓN A MÁQUINA CON EQUIPO LIVIANO DE APLACADOS EN BALDOSAS HIDRÁULICAS O PÉTREAS ARTIFICIALES MEDIANTE EL USO DE ANDAMIO TUBULAR</t>
  </si>
  <si>
    <t>DEM-MAQ-APLACADO-PETREO-MS</t>
  </si>
  <si>
    <t>XXXX DEMOLICIÓN A MÁQUINA CON EQUIPO LIVIANO DE APLACADOS EN BALDOSAS HIDRÁULICAS O PÉTREAS ARTIFICIALES MEDIANTE EL USO DE MEDIO SUSPENDIDO/COLGADO</t>
  </si>
  <si>
    <t>DEMOLICIÓN A MÁQUINA CON EQUIPO LIVIANO DE APLACADOS EN BALDOSAS HIDRÁULICAS O PÉTREAS ARTIFICIALES MEDIANTE EL USO DE MEDIO SUSPENDIDO/COLGADO</t>
  </si>
  <si>
    <t>DEM-MAN-APLACADO-CERAMICO-AT</t>
  </si>
  <si>
    <t>XXXX DEMOLICIÓN A MANO DE APLACADOS CERÁMICOS MEDIANTE EL USO DE ANDAMIO TUBULAR</t>
  </si>
  <si>
    <t>APLACADO A MANO DE APLACADOS CERÁMICOS MEDIANTE EL USO DE ANDAMIO TUBULAR</t>
  </si>
  <si>
    <t>DEM-MAN-APLACADO-CERAMICO-MS</t>
  </si>
  <si>
    <t>XXXX DEMOLICIÓN A MANO DE APLACADOS CERÁMICOS MEDIANTE EL USO DE MEDIO SUSPENDIDO/COLGADO</t>
  </si>
  <si>
    <t>DEMOLICIÓN A MANO DE APLACADOS CERÁMICOS MEDIANTE EL USO DE MEDIO SUSPENDIDO/COLGADO</t>
  </si>
  <si>
    <t>DEM-MAQ-APLACADO-CERAMICO-AT</t>
  </si>
  <si>
    <t>XXXX DEMOLICIÓN A MÁQUINA CON EQUIPO LIVIANO DE APLACADOS CERÁMICOS MEDIANTE EL USO DE ANDAMIO TUBULAR</t>
  </si>
  <si>
    <t>DEMOLICIÓN A MÁQUINA CON EQUIPO LIVIANO DE APLACADOS CERÁMICOS MEDIANTE EL USO DE ANDAMIO TUBULAR</t>
  </si>
  <si>
    <t>DEM-MAQ-APLACADO-CERAMICO-MS</t>
  </si>
  <si>
    <t>XXXX DEMOLICIÓN A MÁQUINA CON EQUIPO LIVIANO DE APLACADOS CERÁMICOS MEDIANTE EL USO DE MEDIO SUSPENDIDO/COLGADO</t>
  </si>
  <si>
    <t>DEMOLICIÓN A MÁQUINA CON EQUIPO LIVIANO DE APLACADOS CERÁMICOS MEDIANTE EL USO DE MEDIO SUSPENDIDO/COLGADO</t>
  </si>
  <si>
    <t>DEM-BOVEDA.DE.FABRICA</t>
  </si>
  <si>
    <t>XXXXXXX DEMOLICIÓN DE BÓVEDA DE FABRICA</t>
  </si>
  <si>
    <t>DEM-ENFOSCADOS</t>
  </si>
  <si>
    <t>XXXXXXX DEMOLICIÓN DE ENFOSCADOS</t>
  </si>
  <si>
    <t>DEM-ENFOSCADO-CANTO.FORJA-30-AT</t>
  </si>
  <si>
    <t>XXXX DEMOLICIÓN A MANO DE ENFOSCADO EN CANTO DE FORJADO (ancho &lt;= 30 cm) MEDIANTE EL USO DE ANDAMIO TUBULAR</t>
  </si>
  <si>
    <t>DEMOLICIÓN A MANO DE ENFOSCADO EN CANTO DE FORJADO (ancho &lt;= 30 cm) MEDIANTE EL USO DE ANDAMIO TUBULAR</t>
  </si>
  <si>
    <t>DEM-ENFOSCADO-CANTO.FORJA-30-MS</t>
  </si>
  <si>
    <t>XXXX DEMOLICIÓN A MANO DE ENFOSCADO EN CANTO DE FORJADO (ancho &lt;= 30 cm) MEDIANTE EL USO DE MEDIO SUSPENDIDO/COLGADO</t>
  </si>
  <si>
    <t>DEMOLICIÓN A MANO DE ENFOSCADO EN CANTO DE FORJADO (ancho &lt;= 30 cm) MEDIANTE EL USO DE MEDIO SUSPENDIDO/COLGADO</t>
  </si>
  <si>
    <t>DEM-ENFOSCADO-CANTO.FORJA-50-AT</t>
  </si>
  <si>
    <t>XXXX DEMOLICIÓN A MANO DE ENFOSCADO EN CANTO DE FORJADO (30 cm &lt; ancho &lt;= 50 cm) MEDIANTE EL USO DE ANDAMIO TUBULAR</t>
  </si>
  <si>
    <t>DEMOLICIÓN A MANO DE ENFOSCADO EN CANTO DE FORJADO (30 cm &lt; ancho &lt;= 50 cm) MEDIANTE EL USO DE ANDAMIO TUBULAR</t>
  </si>
  <si>
    <t>DEM-ENFOSCADO-CANTO.FORJA-50-MS</t>
  </si>
  <si>
    <t>XXXX DEMOLICIÓN A MANO DE ENFOSCADO EN CANTO DE FORJADO (30 cm &lt; ancho &lt;= 50 cm) MEDIANTE EL USO DE MEDIO SUSPENDIDO/COLGADO</t>
  </si>
  <si>
    <t>DEMOLICIÓN A MANO DE ENFOSCADO EN CANTO DE FORJADO (30 cm &lt; ancho &lt;= 50 cm) MEDIANTE EL USO DE MEDIO SUSPENDIDO/COLGADO</t>
  </si>
  <si>
    <t>DEM-HORMIGON</t>
  </si>
  <si>
    <t>XXXXXXX DEMOLICIÓN DE HORMIGÓN</t>
  </si>
  <si>
    <t>DEM-RECUBRIMIENTO</t>
  </si>
  <si>
    <t>XXXXXX DEMOLICIÓN DE CAPA DE RECUBRIMIENTO DE HORMIGÓN</t>
  </si>
  <si>
    <t>DEM-IMPERMEABILIZACIONES</t>
  </si>
  <si>
    <t>XXXXXXX DEMOLICIONES DE IMPERMEABILIZACIONES</t>
  </si>
  <si>
    <t>DEM-PAV.y.IMPERMEABILIZACION-GCA</t>
  </si>
  <si>
    <t>XXXX DEMOLICIÓN DE PAVIMENTO E IMPERMEABILIZACIÓN EXISTENTES (GRADO DE COMPLEJIDAD ALTO)</t>
  </si>
  <si>
    <t>DEMOLICIÓN DE PAVIMENTO E IMPERMEABILIZACIÓN EXISTENTES (GRADO DE COMPLEJIDAD ALTO)</t>
  </si>
  <si>
    <t>alq-martillo-mym-16kg</t>
  </si>
  <si>
    <t>Alquiler de Martillo Eléctrico Picador-Demoledor 16 kg.   Ref. MÁQUINAS Y MÁQUINAS</t>
  </si>
  <si>
    <t>DEM-SOLADOS</t>
  </si>
  <si>
    <t>XXXXXXX DEMOLICIÓN DE SOLADOS</t>
  </si>
  <si>
    <t>DEM-SOLADOS-01</t>
  </si>
  <si>
    <t>XXXX DEMOLICIÓN A MANO DE SOLADO CERÁMICO</t>
  </si>
  <si>
    <t>DEMOLICIÓN A MANO DE SOLADO CERÁMICO</t>
  </si>
  <si>
    <t>DEM-SOLADOS-02</t>
  </si>
  <si>
    <t>XXXX DEMOLICIÓN A MANO DE SOLADO EN BALDOSAS HIDRÁULICAS O PÉTREAS ARTIFICIALES</t>
  </si>
  <si>
    <t>DEMOLICIÓN A MANO DE SOLADO EN BALDOSAS HIDRÁULICAS O PÉTREAS ARTIFICIALES</t>
  </si>
  <si>
    <t>DEM-SOLADOS-03</t>
  </si>
  <si>
    <t>XXXX DEMOLICIÓN A MÁQUINA DE SOLADO CERÁMICO</t>
  </si>
  <si>
    <t>DEMOLICIÓN A MÁQUINA DE SOLADO CERÁMICO</t>
  </si>
  <si>
    <t>DEM-SOLADOS-04</t>
  </si>
  <si>
    <t>XXXX DEMOLICIÓN A MÁQUINA DE SOLADO EN BALDOSAS HIDRÁULICAS O PÉTREAS ARTIFICIALES</t>
  </si>
  <si>
    <t>DEMOLICIÓN A MÁQUINA DE SOLADO EN BALDOSAS HIDRÁULICAS O PÉTREAS ARTIFICIALES</t>
  </si>
  <si>
    <t>DEM-SOLERAS</t>
  </si>
  <si>
    <t>XXXXXXX DEMOLICIÓN DE SOLERAS</t>
  </si>
  <si>
    <t>DEM-SOLERAS-01</t>
  </si>
  <si>
    <t>XXXXXX DEMOLICIÓN A MÁQUINA CON EQUIPO liviano DE SOLERA DE HORMIGÓN ARMADO (e=15 cm)</t>
  </si>
  <si>
    <t>DEMOLICIÓN A MÁQUINA CON EQUIPO LIVIANO DE SOLERA DE HORMIGÓN ARMADO (e=15 cm)</t>
  </si>
  <si>
    <t>alq-demoledor-mf-0088381693349</t>
  </si>
  <si>
    <t>Alquiler de Martillo Demoledor Eléctrico MAKITA HM1812 2000W (32 kg)   Ref. 0088381693349</t>
  </si>
  <si>
    <t>mq-mf-0088381693349</t>
  </si>
  <si>
    <t>Martillo Demoledor Eléctrico MAKITA HM1812 2000W (32 kg)   Ref. 0088381693349</t>
  </si>
  <si>
    <t>alq-soplete-mym-01</t>
  </si>
  <si>
    <t>Alquiler de Equipo de Oxi-Corte.   Ref. MÁQUINAS Y MÁQUINAS</t>
  </si>
  <si>
    <t>DEM-SOLERAS-02</t>
  </si>
  <si>
    <t>XXXX DEMOLICIÓN A MÁQUINA CON EQUIPO PESADO DE SOLERA DE HORMIGÓN ARMADO (e=20 cm)</t>
  </si>
  <si>
    <t>DEMOLICIÓN A MÁQUINA CON EQUIPO PESADO DE SOLERA DE HORMIGÓN ARMADO (e=20 cm)</t>
  </si>
  <si>
    <t>alq-martillo.neum.rompedor-ra-01</t>
  </si>
  <si>
    <t>Alquiler de Martillo Neumático Rompedor 24 kg (Longitud 686 mm; Consumo de Aire: 1,25 m3).   Ref. RENTAIRE</t>
  </si>
  <si>
    <t>alq-martillo.neum.picador-ra-01</t>
  </si>
  <si>
    <t>Alquiler de Martillo Neumático Picador 10 kg (Longitud 490 mm; Consumo de Aire: 0,95 m3).   Ref. RENTAIRE</t>
  </si>
  <si>
    <t>DEM-VIERTEAGUAS-MIMBELES</t>
  </si>
  <si>
    <t>XXXXXXX DEMOLICIÓN DE VIERTEAGUAS Y MIMBELES</t>
  </si>
  <si>
    <t>DEM-CUBREMUROS</t>
  </si>
  <si>
    <t>XXXXXX DEMOLICIÓN DE CUBREMUROS Y PASAMANOS EN MUROS DE CORONACIÓN</t>
  </si>
  <si>
    <t>DEM-MIMBELES</t>
  </si>
  <si>
    <t>XXXXXX DEMOLICIÓN DE MIMBELES</t>
  </si>
  <si>
    <t>DEM-VIERTEAGUAS</t>
  </si>
  <si>
    <t>XXXXXX DEMOLICIÓN DE VIERTEAGUAS</t>
  </si>
  <si>
    <t>DEMOLICIONES-HEBERT</t>
  </si>
  <si>
    <t>o DEMOLICIONES OK</t>
  </si>
  <si>
    <t>DEM001</t>
  </si>
  <si>
    <t>o DEMOLICIÓN DE FALSO TECHO EN PLADUR ( RE / VE / BT / BJ / MT / AM / RF )</t>
  </si>
  <si>
    <t>Demolición de falso techo continuo de placas de yeso o de escayola, situado a una altura menor de 4 m, con medios manuales, sin deteriorar los elementos constructivos contiguos, y carga manual sobre camión o contenedor. El precio incluye la demolición de la estructura metálica de sujeción.</t>
  </si>
  <si>
    <t>DEM002</t>
  </si>
  <si>
    <t>o DEMOLICION DE MURO DE FABRICA ( RE / VE / BT / BJ / MT / AM / RF )</t>
  </si>
  <si>
    <t>Demolición de partición interior de muro, formada por ladrillo macizo de 11/12 cm de espesor, con medios manuales, sin afectar a la estabilidad de los elementos constructivos contiguos, y carga manual sobre camión o contenedor.</t>
  </si>
  <si>
    <t>DEM002TV</t>
  </si>
  <si>
    <t>o DEMOLICION DE MURO DE FABRICA C/TRABAJOS VERTICALES ( FC / PT / ME )</t>
  </si>
  <si>
    <t>DEMOLICION DE MURO DE FABRICA C/TRABAJOS VERTICALES ( FC / ME )</t>
  </si>
  <si>
    <t>DEM003</t>
  </si>
  <si>
    <t>o DEMOLICIÓN DE ALICATADO CERÁMICO ( VE / BJ / MT / AM / RF )</t>
  </si>
  <si>
    <t>Demolición de alicatado ceramico, con medios manuales, sin deteriorar los elementos constructivos contiguos, y carga manual sobre camión o contenedor.</t>
  </si>
  <si>
    <t>DEM003TV</t>
  </si>
  <si>
    <t>o DEMOLICIÓN DE ALICATADO CERÁMICO C/TRABAJOS VERTICALES ( FC)</t>
  </si>
  <si>
    <t>Demolición de alicatado ceramico con trabajos verticales, con medios manuales, sin deteriorar los elementos constructivos contiguos, y carga manual sobre camión o contenedor.</t>
  </si>
  <si>
    <t>DEM004</t>
  </si>
  <si>
    <t>o RETIRO A MANO DE CAPA DE IMPERMEABILIZACION EN CUBIERTA (CUB)</t>
  </si>
  <si>
    <t>Retirada de capa de impermeabilizacion en cubierta plana, con medios manuales y carga manual sobre camion o contenedor.</t>
  </si>
  <si>
    <t>DEM005</t>
  </si>
  <si>
    <t>o DESMONTAJE DE CONJUNTO DE MOBILIARIO DE COCINA</t>
  </si>
  <si>
    <t>Desmontaje de conjunto de mobiliario de cocina, con medios manuales, sin afectar a la estabilidad de los elementos resistentes a los que puedan estar unidos, y carga manual sobre camión o contenedor. El precio incluye el desmontaje de los accesorios.</t>
  </si>
  <si>
    <t>DEM006</t>
  </si>
  <si>
    <t>o DEMOLICION DE VIERTEAGUAS CERÁMICO  ( FC / PT / CB )</t>
  </si>
  <si>
    <t>Demolición de vierteaguas, con medios manuales, sin deteriorar los elementos constructivos contiguos, y carga manual sobre camión o contenedor.</t>
  </si>
  <si>
    <t>DEM006TV</t>
  </si>
  <si>
    <t>o DEMOLICION DE VIERTEAGUAS CERÁMICO CON TRABAJOS VERTICALES  ( FC / PT )</t>
  </si>
  <si>
    <t>Demolición de vierteaguas CON TRABAJOS VERTICALES, con medios manuales, sin deteriorar los elementos constructivos contiguos, y carga manual sobre camión o contenedor.</t>
  </si>
  <si>
    <t>DEM007</t>
  </si>
  <si>
    <t>o DEMOLICION DE VIERTEAGUAS DE PIEDRA NATURAL  ( FC / PT / CB )</t>
  </si>
  <si>
    <t>DEMOLICION A MANO Y CON ANDAMIO TUBULAR DE VIERTEAGUAS DE PIEDRA NATURAL</t>
  </si>
  <si>
    <t>alq-martillo-mym-32kg</t>
  </si>
  <si>
    <t>Alquiler de Martillo Eléctrico Picador-Demoledor 32 kg.   Ref. MÁQUINAS Y MÁQUINAS</t>
  </si>
  <si>
    <t>DEM007TV</t>
  </si>
  <si>
    <t>o DEMOLICION DE VIERTEAGUAS DE PIEDRA NATURAL CON TRABAJOS VERTICALES  ( FC / PT )</t>
  </si>
  <si>
    <t>DEMOLICION A MANO Y EN MEDIO SUSPENDIDO/COLGADO DE VIERTEAGUAS DE PIEDRA NATURAL</t>
  </si>
  <si>
    <t>DEM008</t>
  </si>
  <si>
    <t>o DEMOLICIÓN DE MIMBEL ( FC / PT / CB )</t>
  </si>
  <si>
    <t>Demolición de mimbel cerámico en cubierta plana, con medios manuales, sin afectar a la estabilidad de los elementos constructivos contiguos, y carga manual sobre camión o contenedor.</t>
  </si>
  <si>
    <t>DEM008TV</t>
  </si>
  <si>
    <t>o DEMOLICIÓN DE MIMBEL CON TRABAJOS VERTICALES</t>
  </si>
  <si>
    <t>Demolición de mimbel cerámico en cornisa CON TRABAJOS VERTICALES, con medios manuales, sin afectar a la estabilidad de los elementos constructivos contiguos, y carga manual sobre camión o contenedor.</t>
  </si>
  <si>
    <t>DEM009</t>
  </si>
  <si>
    <t>o DEMOLICIÓN DE CUBREMURO ( FC / PT / CB )</t>
  </si>
  <si>
    <t>Demolición de cubremuro cerámico, con medios manuales, sin afectar a la estabilidad de los elementos constructivos contiguos, y carga manual sobre camión o contenedor.</t>
  </si>
  <si>
    <t>DEM009TV</t>
  </si>
  <si>
    <t>o DEMOLICION DE CUBREMURO CON TRABAJOS VERTICALES ( FC / PT / CB )</t>
  </si>
  <si>
    <t>Demolición de cubremuro cerámico CON TRABAJOS VERTICALES, con medios manuales, sin afectar a la estabilidad de los elementos constructivos contiguos, y carga manual sobre camión o contenedor.</t>
  </si>
  <si>
    <t>DEM010</t>
  </si>
  <si>
    <t>o DEMOLICION DE PAVIMENTO ( FC / PT / CB / VE / CL / RF )</t>
  </si>
  <si>
    <t>Demolición de pavimento existente, con medios manuales, sin deteriorar los elementos constructivos contiguos, y carga manual sobre camión o contenedor. El precio incluye el picado del material de agarre adherido al soporte, pero no incluye la demolición de la base soporte.</t>
  </si>
  <si>
    <t>DEM011</t>
  </si>
  <si>
    <t>o DEMOLICION DE TABIQUE PLACAS DE YESO ( VE / RF)</t>
  </si>
  <si>
    <t>Demolición de tabique de placas de yeso laminado, instaladas sobre una estructura simple, con medios manuales, sin afectar a la estabilidad de los elementos constructivos contiguos, y carga manual sobre camión o contenedor.</t>
  </si>
  <si>
    <t>DEM012</t>
  </si>
  <si>
    <t>o RETIRADA DE JUNTA DE DILATACION ( CB )</t>
  </si>
  <si>
    <t>Retirada del material de sellado existente en junta de dilatación de estructura, con amoladora equipada con disco de corte de diamante, y limpieza posterior.</t>
  </si>
  <si>
    <t>DEM013</t>
  </si>
  <si>
    <t>o LEVANTADO DE PAVIMENTO LAMINADO ( VE / RF )</t>
  </si>
  <si>
    <t>Levantado de pavimento laminado existente en el interior, de lamas, con medios manuales, sin deteriorar los elementos constructivos contiguos, y carga manual sobre camión o contenedor. El precio no incluye la demolición de la base soporte.</t>
  </si>
  <si>
    <t>DEM014</t>
  </si>
  <si>
    <t>o DEMOLICION DE SOLERA</t>
  </si>
  <si>
    <t>Demolición de solera de hormigón armado de 15 cm de espesor, con medios manuales y equipo de oxicorte, sin deteriorar los elementos constructivos contiguos, y carga manual sobre camión o contenedor.
NOTA: Se demolerán únicamente las zonas necesarias para el cambio de los colectores soterrados de la red de evacuación general del edificio y el cambio de la pequeña red de evacuación privativa de la entidad de planta baja correspondiente. Ver planos de derribo para comprobar las zonas a derribar y excavar.</t>
  </si>
  <si>
    <t>DEM015</t>
  </si>
  <si>
    <t>o DEMOLICION DE CUBIERTA PLANA TRANSITABLE ( CB )</t>
  </si>
  <si>
    <t>Demolición completa de cubierta plana transitable, no ventilada, con pavimento cerámico; con martillo neumático, sin afectar a la estabilidad de los elementos constructivos contiguos, y carga manual sobre camión o contenedor. El precio incluye la demolición de todas las capas que componen la cubierta, incluyendo la capa de formación de pendientes y la impermeabilizacion.</t>
  </si>
  <si>
    <t>DEM016</t>
  </si>
  <si>
    <t>M3</t>
  </si>
  <si>
    <t>o DEMOLICION DE VIGA DE HORMIGON ( RE )</t>
  </si>
  <si>
    <t>Demolición de viga de hormigón armado, con medios manuales, martillo neumático y equipo de oxicorte, y carga manual sobre camión o contenedor.</t>
  </si>
  <si>
    <t>DEM017</t>
  </si>
  <si>
    <t>o DEMOLICION DE FACHADA CON PANELES PREFABRICADOS DE HORMIGON</t>
  </si>
  <si>
    <t>Demolición de cerramiento de fachada formado por paneles prefabricados de hormigón de hasta 20 cm de espesor, dispuestos en posición vertical, con medios mecánicos, sin deteriorar los elementos constructivos a los que están sujetos, y carga mecánica sobre camión o contenedor.</t>
  </si>
  <si>
    <t>alq-grua.autopropulsada-60ton</t>
  </si>
  <si>
    <t>Grúa Autopropulsada de Brazo Telescópico con Capacidad de Elevación de 60 ton y 58 m de altura máxima de trabajo (Referencia: Generador de Precios)</t>
  </si>
  <si>
    <t>DEM018</t>
  </si>
  <si>
    <t>o DEMOLICIÓN A MÁQUINA DE BÓVEDA DE FÁBRICA DE LADRILLO CERÁMICO ( RE / VE / RF )</t>
  </si>
  <si>
    <t>DEMOLICIÓN A MÁQUINA CON EQUIPO PESADO DE BÓVEDA DE FÁBRICA DE LADRILLO CERÁMICO MACIZO DE 1/2 PIE DE ESPESOR</t>
  </si>
  <si>
    <t>DEM019</t>
  </si>
  <si>
    <t>o DEMOLICIÓN DE ENFOSCADO EN MURO</t>
  </si>
  <si>
    <t>Demolicion de enfoscado en mal estado, con medios manuales, sin deteriorar los elementos constructivos contiguos, y carga manual sobre camión o contenedor.</t>
  </si>
  <si>
    <t>DEM019TV</t>
  </si>
  <si>
    <t>o DEMOLICIÓN DE ENFOSCADO EN MURO CON TRABAJOS VERTICALES</t>
  </si>
  <si>
    <t>Demolicion de enfoscado en mal estado CON TRABAJOS VERTICALES, con medios manuales, sin deteriorar los elementos constructivos contiguos, y carga manual sobre camión o contenedor.</t>
  </si>
  <si>
    <t>DEM020</t>
  </si>
  <si>
    <t>o DEMOLICIÓN DE ENFOSCADO EN TECHO</t>
  </si>
  <si>
    <t>Demolición a mano de enfoscado en paramentos horizontales mediante el uso de andamio tubular</t>
  </si>
  <si>
    <t>DEM020TV</t>
  </si>
  <si>
    <t>o DEMOLICIÓN DE ENFOSCADO EN TECHO CON TRABAJOS VERTICALES</t>
  </si>
  <si>
    <t>Demolición a mano de enfoscado en paramentos horizontales de fachada mediante el uso de medio suspendido/colgado</t>
  </si>
  <si>
    <t>DEM021</t>
  </si>
  <si>
    <t>o DEMOLICIÓN A MANO DE CAPA DE RECUBRIMIENTO EN HORMIGÓN</t>
  </si>
  <si>
    <t>DEMOLICIÓN A MANO DE CAPA DE RECUBRIMIENTO EN MIEMBROS DE HORMIGÓN.
Saneamiento del hormigón eliminando las zonas rotas o disgregadas y dejando al descubierto las armaduras oxidadas.</t>
  </si>
  <si>
    <t>alq-soplador-fm-01</t>
  </si>
  <si>
    <t>Alquiler de Soplador Eléctrico Portátil de Aire STIHL BR 600 MAGNUM</t>
  </si>
  <si>
    <t>DEM022</t>
  </si>
  <si>
    <t>o DEMOLICIÓN A MÀQUINA DE CAPA DE RECUBRIMIENTO EN HORMIGÓN</t>
  </si>
  <si>
    <t>DEMOLICIÓN A MÀQUINA DE CAPA DE RECUBRIMIENTO EN MIEMBROS DE HORMIGÓN.
Saneamiento del hormigón eliminando las zonas rotas o disgregadas y dejando al descubierto las armaduras oxidadas.</t>
  </si>
  <si>
    <t>DEM023</t>
  </si>
  <si>
    <t>o DEMOLICION DE BALCON</t>
  </si>
  <si>
    <t>Enderroc controlat de balcó format per biguetes metàl·liques i obra ceràmica, fins a deixar les bigues vistes, sense deteriorar els elements constructius contigus. Càrrega manual de runa sobre camió o contenidor, i transport a abocador autoritzat.</t>
  </si>
  <si>
    <t>DEM024</t>
  </si>
  <si>
    <t>o LEVANTADO DE REVESTIMIENTO DE PAPEL O TEXTIL</t>
  </si>
  <si>
    <t>Levantado de revestimiento de papel o textil en paramentos interiores, con medios manuales, sin deteriorar la superficie soporte, que quedará al descubierto y preparada para su posterior revestimiento, y carga manual sobre camión o contenedor.</t>
  </si>
  <si>
    <t>DEM025</t>
  </si>
  <si>
    <t>o DEMOLICIÓN DE YESO</t>
  </si>
  <si>
    <t>Demolición de revestimiento de yeso, con medios manuales, sin deteriorar la  superficie soporte, que quedará al descubierto y preparada para su posterior revestimiento, y carga manual sobre camión o contenedor.</t>
  </si>
  <si>
    <t>REMOCIONES.RETIROS.Y.DESMONTAJES</t>
  </si>
  <si>
    <t>o RETIROS Y DESMONTAJES</t>
  </si>
  <si>
    <t>DESMONTAJES</t>
  </si>
  <si>
    <t>o DESMONTAJES PRELIMINARES</t>
  </si>
  <si>
    <t>DES001</t>
  </si>
  <si>
    <t>o DESMONTAJE Y POSTERIOR MONTAJE DE PLATO DE DUCHA ( BJ /RF )</t>
  </si>
  <si>
    <t>Desmontaje de plato de ducha, con medios manuales, y recuperación, acopio y montaje del material en el mismo emplazamiento, sin afectar a la estabilidad de los elementos constructivos a los que pueda estar sujeto, y carga manual sobre camión o contenedor.</t>
  </si>
  <si>
    <t>DES002</t>
  </si>
  <si>
    <t>o DESMONTAJE DE VENTANA ( FC / PT / VE / RF )</t>
  </si>
  <si>
    <t>Desmontaje de ventana de madera con cristal en medidas de 1.03x0.68m de altura, situado en los rellanos de escalera, con medios manuales, sin deteriorar los elementos constructivos a los que esta sujeta, y carga manual sobre camion o contenedor.</t>
  </si>
  <si>
    <t>DES003</t>
  </si>
  <si>
    <t>o DESMONTAJE DE TOLDO ( FC )</t>
  </si>
  <si>
    <t>Desmontaje de toldo, situado en fachada y fijado al paramento, con medios manuales y recuperación del material para su posterior ubicación, sin deteriorar los elementos constructivos a los que está sujeto. El precio incluye el desmontaje de los accesorios y de los elementos de fijación.</t>
  </si>
  <si>
    <t>DES004</t>
  </si>
  <si>
    <t>o DESMONTAJE DE BARANDILLA ( FC / PT / VE / RF )</t>
  </si>
  <si>
    <t>Levantado con medios manuales y equipo de oxicorte, de barandilla en forma recta, de 100 cm de altura, sin deteriorar los elementos constructivos a los que está sujeta, y carga manual sobre camión o contenedor. El precio incluye el desmontaje de los accesorios y de los elementos de fijación.</t>
  </si>
  <si>
    <t>oxic</t>
  </si>
  <si>
    <t>Equipo de oxicorte</t>
  </si>
  <si>
    <t>DES005</t>
  </si>
  <si>
    <t>o DESMONTAJE Y POSTERIOR MONTAJE DE INODORO ( BJ / AM / RF )</t>
  </si>
  <si>
    <t>Desmontaje y posterior montaje de inodoro, con medios manuales, recuperación, acopio y montaje del material en el mismo emplazamiento, sin afectar a la estabilidad de los elementos constructivos a los que pueda estar sujeto, y carga manual sobre camión o contenedor.</t>
  </si>
  <si>
    <t>ma-lp-00012108</t>
  </si>
  <si>
    <t>Tapón M latón 1/2” (13 mm) de ALTECH.   Ref. lp-00012108</t>
  </si>
  <si>
    <t>DES006</t>
  </si>
  <si>
    <t>o DESMONTAJE Y ALMACENAMIENTO DE ANTENA (CB)</t>
  </si>
  <si>
    <t>Desmontaje y almacenamiento de antena de television sus correspondiente fijaciones, conexiones y mecanismos, para posibilitar el correcto acceso y ejecución de los trabajos en las zonas de intervención. Incluye el suministro y colocación de envoltorio protector de plástico una vez desmontado, garantizando la perfecta protección de este elemento durante la ejecución de los trabajos.</t>
  </si>
  <si>
    <t>DES007</t>
  </si>
  <si>
    <t>o DESMONTAJE Y ALMACENAMIENTO DE LÁMINAS DE POLICARBONATO ( PT / CB / VE / BJ / MT / AM )</t>
  </si>
  <si>
    <t>Desmontaje y almacenamiento de laminas de policarbonato con sus correspondiente fijaciones, para posibilitar el correcto acceso y ejecución de los trabajos contratados.</t>
  </si>
  <si>
    <t>DES008</t>
  </si>
  <si>
    <t>o DESMONTAJE Y ALMACENAMIENTO DE LÁMINAS DE VIDRIO ( PT / CB / VE / BJ / MT / AM )</t>
  </si>
  <si>
    <t>Desmontaje y almacenamiento de laminas de vidrio con sus correspondiente fijaciones, para posibilitar el correcto acceso y ejecución de los trabajos contratados.</t>
  </si>
  <si>
    <t>DES009</t>
  </si>
  <si>
    <t>o DESMONTAJE Y ALMACENAMIENTO DE VALLADO</t>
  </si>
  <si>
    <t>Desmontaje y almacenamiento del sistema de vallado de sombre/ocultación existente con sus correspondiente fijaciones, conexiones y mecanismos, para posibilitar el correcto acceso y ejecución de los trabajos en las zonas de intervención. Incluye el suministro y colocación de envoltorio protector de plástico una vez desmontado, garantizando la perfecta protección de este elemento durante la ejecución de los trabajos.</t>
  </si>
  <si>
    <t>DES010</t>
  </si>
  <si>
    <t>o DESMONTAJE DE TENDEDEROS CON CUERDAS ( PT / CB / BJ / MT / AM )</t>
  </si>
  <si>
    <t>Desmontaje y almacenamiento de tendederos con cuerdas con sus correspondiente fijaciones, para posibilitar el correcto acceso y ejecución de los trabajos contratados.</t>
  </si>
  <si>
    <t>DES011</t>
  </si>
  <si>
    <t>o DESMONTAJE DE BAJANTE DE PVC</t>
  </si>
  <si>
    <t>Desmontaje de bajante de PVC, de 90mm A 160mm de diámetro máximo, con medios manuales, y carga manual sobre camión o contenedor. El precio incluye el desmontaje del material de sujeción, de los accesorios y de las piezas especiales.</t>
  </si>
  <si>
    <t>DES011TV</t>
  </si>
  <si>
    <t>o DESMONTAJE DE BAJANTE DE PVC C/TRABAJOS VERTICALES</t>
  </si>
  <si>
    <t>Desmontaje de bajante de PVC CON TRABAJOS VERTICALES, de 90mm A 160mm de diámetro máximo, con medios manuales, y carga manual sobre camión o contenedor. El precio incluye el desmontaje del material de sujeción, de los accesorios y de las piezas especiales.</t>
  </si>
  <si>
    <t>DES012</t>
  </si>
  <si>
    <t>o DESMONTAJE SIN RECUPERACIÓN DE BUZÓN ( VE )</t>
  </si>
  <si>
    <t>Desmontaje sin recuperacion de buzon, con sus correspondiente fijaciones, para posibilitar el correcto acceso y ejecución de los trabajos contratados.</t>
  </si>
  <si>
    <t>DES013</t>
  </si>
  <si>
    <t>o DESMONTAJE Y POSTERIOR MONTAJE DE LAVABO ( BJ / AM / RF )</t>
  </si>
  <si>
    <t>DES014</t>
  </si>
  <si>
    <t>o DESMONTAJE SIN RECUPERACIÓN DE CAJÓN DE PERSIANA ( FC / PT / RF )</t>
  </si>
  <si>
    <t>Levantado con medios manuales y sin recuperación, de cajón de persiana existente, sin deteriorar los elementos constructivos a los que está sujeto.</t>
  </si>
  <si>
    <t>DES015</t>
  </si>
  <si>
    <t>o DESMONTAJE CON RECUPERACIÓN DE PUERTA, BALCONERA, VENTANA O REJA ( FC / PT / VE / RF )</t>
  </si>
  <si>
    <t>Levantado con medios manuales y con recuperación, de puerta o balconera fijada al paramento mediante recibido en obra de fábrica, sin deteriorar los elementos constructivos a los que está sujeta; incluye acopio con suministro y colocación de envoltorios protectores para la unidad desmontada, garantizando la perfecta protección de este elemento durante la ejecución de los trabajos.</t>
  </si>
  <si>
    <t>alq-amolador-mym-01</t>
  </si>
  <si>
    <t>Alquiler de Amolador Radial Eléctrico Portátil Diámetro 115 mm 750 W / 230 V.   Ref. MÁQUINAS Y MÁQUINAS</t>
  </si>
  <si>
    <t>ma-lp-00556678</t>
  </si>
  <si>
    <t>disco</t>
  </si>
  <si>
    <t>Disco de corte BIGMAT estándar para metal 115x2,5.   Ref. lp-00556678</t>
  </si>
  <si>
    <t>DES016</t>
  </si>
  <si>
    <t>o DESMONTAJE SIN RECUPERACIÓN DE PUERTA, BALCONERA, VENTANA O REJA ( FC / PT / VE / RF )</t>
  </si>
  <si>
    <t>Levantado con medios manuales y sin recuperación, de puerta o balconera fijada al paramento mediante recibido en obra de fábrica, sin deteriorar los elementos constructivos a los que está sujeta.</t>
  </si>
  <si>
    <t>DES017</t>
  </si>
  <si>
    <t>o DESMONTAJE DE TARIMA</t>
  </si>
  <si>
    <t>Desmontaje de tarima en exterior, con medios manuales, sin afectar a la estabilidad de los elementos constructivos a los que pueda estar sujeto, y carga manual sobre camión o contenedor.</t>
  </si>
  <si>
    <t>DES018</t>
  </si>
  <si>
    <t>o DESMONTAJE Y REPOSICIÓN DE CORTINAS DE LONA ACRILICA</t>
  </si>
  <si>
    <t>Desmontaje y posterior colocación de cortinas existentes, de hasta 2000 mm de longitud aproximada, de lona acrílica, incluso elementos de fijación y accesorios, situado en techos de balcones y recibido a estructura del voladizo, con medios manuales, sin deteriorar los elementos constructivos a los que está sujeto. Incluso p/p de carga, descarga, limpieza, acopio, retirada y traslado dentro del mismo edificio a buen recaudo durante la realización de las obras para posterior colocación.</t>
  </si>
  <si>
    <t>ma-lp-00215083</t>
  </si>
  <si>
    <t>Taco DUOPOWER de FISCHER (50 pzas/caja).   Ref. lp-00215083</t>
  </si>
  <si>
    <t>alq-taladro-tq-01</t>
  </si>
  <si>
    <t>Alquiler de Taladro Percutor (Cable-Batería).   Ref. TOOLQUICK</t>
  </si>
  <si>
    <t>ma-bm-10003607</t>
  </si>
  <si>
    <t>Broca para hormigón SDS Plus-3 BOSCH CYL-3; 14x260 mm   Ref. bm-10003607</t>
  </si>
  <si>
    <t>DES019</t>
  </si>
  <si>
    <t>o DESMONTAJE Y REPOSICIÓN DE TOLDO DE LONA ACRILICA</t>
  </si>
  <si>
    <t>Desmontaje, retirada provisional, protección y almacenamiento de toldo existente y de sus correspondiente fijaciones, guías y mecanismos actualmente instalados en el ámbito exterior de fachada, para posibilitar el correcto acceso y ejecución de los trabajos en las zonas de intervención. Incluye el suministro y colocación de envoltorio protector de plástico para el toldo una vez desmontado, garantizando la perfecta protección de este elemento durante la ejecución de los trabajos.</t>
  </si>
  <si>
    <t>DES020</t>
  </si>
  <si>
    <t>o DESMONTAJE Y RECOLOCACIÓN PERSIANAS ALICANTINAS</t>
  </si>
  <si>
    <t>Retirada de persianas enrollables previo al inicio de las obras y entrega a los propietarios para su almacenamiento durante las obras. Una vez finalizadas las obras, se volverán a instalar las persianas en su lugar original utilizando el mismo sistema de anclaje existente.</t>
  </si>
  <si>
    <t>DES021</t>
  </si>
  <si>
    <t>o DESMONTAJE DE TUBERIAS HASTA 1"</t>
  </si>
  <si>
    <t>Desmontaje de tuberias de hasta 1" de diámetro, en instalación superficial de gas, con medios manuales, sin deteriorar los elementos constructivos a los que están sujetos, y carga manual sobre camión o contenedor.</t>
  </si>
  <si>
    <t>ma-bd-EAN.5059340418391</t>
  </si>
  <si>
    <t>Disco de corte ERBAUER inox/metal 125x1 mm.   Ref. bd-EAN.5059340418391</t>
  </si>
  <si>
    <t>ma-lp-00016980</t>
  </si>
  <si>
    <t>Aflojatodo en Spray WD-40 (500 ml/envase).   Ref. lp-00016980</t>
  </si>
  <si>
    <t>DES022</t>
  </si>
  <si>
    <t>o DESMONTAJE Y POSTERIOR MONTAJE DE LUMINARIA</t>
  </si>
  <si>
    <t>Desmontaje de luminaria, instalada en superficie con medios manuales y recuperación,  acopio y montaje del material en el mismo emplazamiento, siendo el orden de ejecución del proceso inverso al de su instalación, sin  deteriorar los elementos constructivos a los que pueda estar sujeta, y carga manual sobre camión o contenedor.</t>
  </si>
  <si>
    <t>DES023</t>
  </si>
  <si>
    <t>o DESMONTAJE SIN RECUPERACION DE LUMINARIA</t>
  </si>
  <si>
    <t>Desmontaje de luminaria, instalada en superficie con medios manuales, sin  deteriorar los elementos constructivos a los que pueda estar sujeta, y carga manual sobre camión o contenedor.</t>
  </si>
  <si>
    <t>DES024</t>
  </si>
  <si>
    <t>o DESMONTAJE SIN RECUPERACIÓN DE REJILLA DE VENTILACIÓN</t>
  </si>
  <si>
    <t>Desmontaje de rejilla 20X20cm, con medios manuales, y carga manual sobre camión o contenedor. El precio incluye el desmontaje de los accesorios y de los elementos de fijación.</t>
  </si>
  <si>
    <t>DES025</t>
  </si>
  <si>
    <t>o DESMONTAJE Y REPOSICION DE CORTINAS DE LONA ACRILICA</t>
  </si>
  <si>
    <t>Desmuntatge i posterior col·locació de cortines existents, de fins a 2000 mm de longitud aproximada, de lona acrílica, inclús elements de fixació i accessoris, situat en sostres de balcons i rebut a estructura del voladís, amb mitjans manuals, sense deteriorar els elements constructius als quals està subjecte. Fins i tot p/p de càrrega, descàrrega, neteja, aplec, retirada i trasllat dins del mateix edifici en lloc segur durant la realització de les obres per posterior col·locació.</t>
  </si>
  <si>
    <t>DES026</t>
  </si>
  <si>
    <t>o DESMONTAJE DE VIERTEAGUAS DE ALUMINIO</t>
  </si>
  <si>
    <t>Desmontaje de vierteaguas de aluminio, con medios manuales, sin deteriorar los elementos constructivos contiguos, y carga manual sobre camión o contenedor.</t>
  </si>
  <si>
    <t>DES027</t>
  </si>
  <si>
    <t>o DESMONTAJE DE PESCANTES METÁLICOS O  VIGA SUBE MUEBLES</t>
  </si>
  <si>
    <t>Eliminación de pescante metálico o viga sube muebles, mediante el repicado por medios manuales o mecánicos de la zona de empotramiento, para realizar corte con radial del mismo. Aplicación de protección de barrera contra la corrosión para acabar con el recrecido de la zona con material de agarre de mortero de reparación.</t>
  </si>
  <si>
    <t>ma-lp-00540827</t>
  </si>
  <si>
    <t>Mortero de reparación estructural R4 PROPAM REPAR TECHNO (25 kg/saco)   Ref. lp-00540827</t>
  </si>
  <si>
    <t>ma-lp-00540914</t>
  </si>
  <si>
    <t>Mortero de reparación y pasivante MAPEFER 1K (5 kg/saco)   Ref. lp-00540914</t>
  </si>
  <si>
    <t>DESM-TOLDOS-3a6</t>
  </si>
  <si>
    <t>XXXX DESMONTAJE, RETIRO PROVISIONAL, PROTECCIÓN Y ALMACENAMIENTO DE TOLDOS EXISTENTES (3 m2 &lt; SUPERFICIE &lt;= 6 m2) Y DE SUS CORRESPONDIENTE FIJACIONES, GUÍAS Y MECANISMOS ACTUALMENTE INSTALADOS EN EL ÁMBITO EXTERIOR DE FACHADA (FCH)</t>
  </si>
  <si>
    <t>Desmontaje, retirada provisional, protección y almacenamiento de toldos existentes (3 m2 &lt; superficie &lt;= 6 m2) y de sus correspondiente fijaciones, guías y mecanismos actualmente instalados en el ámbito exterior de fachada, para posibilitar el correcto acceso y ejecución de los trabajos en las zonas de intervención. Incluye el suministro y colocación de envoltorio protector de plástico para el toldo una vez desmontado, garantizando la perfecta protección de este elemento durante la ejecución de los trabajos.</t>
  </si>
  <si>
    <t>DESM-TOLDOS-6a8</t>
  </si>
  <si>
    <t>XXXX DESMONTAJE, RETIRO PROVISIONAL, PROTECCIÓN Y ALMACENAMIENTO DE TOLDOS EXISTENTES (6 m2 &lt; SUPERFICIE &lt;= 8 m2) Y DE SUS CORRESPONDIENTE FIJACIONES, GUÍAS Y MECANISMOS ACTUALMENTE INSTALADOS EN EL ÁMBITO EXTERIOR DE FACHADA (FCH)</t>
  </si>
  <si>
    <t>Desmontaje, retirada provisional, protección y almacenamiento de toldos existentes y de sus correspondiente fijaciones, guías y mecanismos actualmente instalados en el ámbito exterior de fachada, para posibilitar el correcto acceso y ejecución de los trabajos en las zonas de intervención. Incluye el suministro y colocación de envoltorio protector de plástico para el toldo una vez desmontado, Acopio en zona designada por el inquilino. Posterior montaje una vez realizado los trabajos.</t>
  </si>
  <si>
    <t>DESM-TENDEDEROS-02</t>
  </si>
  <si>
    <t>XXXX DESMONTAJE, RETIRO PROVISIONAL, PROTECCIÓN Y ALMACENAMIENTO DE TENDEDEROS Y CORDAJES EXISTENTES DISPUESTOS EN EL PLANO EXTERIOR DE LOS BALCONES EN CADA PLANTA Y EN PARAMENTOS DE FACHADA (FCH)</t>
  </si>
  <si>
    <t>DESMONTAJE, RETIRO PROVISIONAL, PROTECCIÓN Y ALMACENAMIENTO DE TENDEDEROS Y CORDAJES EXISTENTES DISPUESTOS EN EL PLANO EXTERIOR DE LOS BALCONES EN CADA PLANTA Y EN PARAMENTOS DE FACHADA (FCH)</t>
  </si>
  <si>
    <t>DESM-C/RECUP.INODOROS-01</t>
  </si>
  <si>
    <t>PZA</t>
  </si>
  <si>
    <t>XXXXXXXDESMONTAJE, RETIRO PROVISIONAL, PROTECCIÓN Y ALMACENAMIENTO DE INODORO EXISTENTE</t>
  </si>
  <si>
    <t>DESMONTAJE, RETIRO PROVISIONAL, PROTECCIÓN Y ALMACENAMIENTO DE INODORO EXISTENTE</t>
  </si>
  <si>
    <t>LEVANTADOS</t>
  </si>
  <si>
    <t>XXXXXXXXX LEVANTADOS PRELIMINARES</t>
  </si>
  <si>
    <t>LEVANTADO-REJA-C/RECUP.-01</t>
  </si>
  <si>
    <t>XXXXXXX LEVANTADO MANUAL Y CON RECUPERACIÓN DE REJA EXISTENTE</t>
  </si>
  <si>
    <t>Levantado con medios manuales y con recuperación, de reja fijada al paramento mediante recibido en obra de fábrica, sin deteriorar los elementos constructivos a los que está sujeta; incluye acopio con suministro y colocación de envoltorios protectores para la unidad desmontada, garantizando la perfecta protección de este elemento durante la ejecución de los trabajos.</t>
  </si>
  <si>
    <t>LEVANTADO-REJA-S/RECUP.-01</t>
  </si>
  <si>
    <t>XXXXXXX LEVANTADO MANUAL Y SIN RECUPERACIÓN DE REJA EXISTENTE</t>
  </si>
  <si>
    <t>Levantado con medios manuales y sin recuperación, de reja fijada al paramento mediante recibido en obra de fábrica, sin deteriorar los elementos constructivos a los que está sujeta.</t>
  </si>
  <si>
    <t>LEVANTADO-VENTANA-C/RECUP.-01</t>
  </si>
  <si>
    <t>XXXXXXX LEVANTADO MANUAL Y CON RECUPERACIÓN DE VENTANA EXISTENTE</t>
  </si>
  <si>
    <t>Levantado con medios manuales y con recuperación, de ventana fijada al paramento mediante recibido en obra de fábrica, sin deteriorar los elementos constructivos a los que está sujeta; incluye acopio con suministro y colocación de envoltorios protectores para la unidad desmontada, garantizando la perfecta protección de este elemento durante la ejecución de los trabajos.</t>
  </si>
  <si>
    <t>LEVANTADO-VENTANA-S/RECUP.-01</t>
  </si>
  <si>
    <t>XXXXXXX LEVANTADO MANUAL Y SIN RECUPERACIÓN DE VENTANA EXISTENTE</t>
  </si>
  <si>
    <t>Levantado con medios manuales y sin recuperación, de ventana fijada al paramento mediante recibido en obra de fábrica, sin deteriorar los elementos constructivos a los que está sujeta.</t>
  </si>
  <si>
    <t>PREP</t>
  </si>
  <si>
    <t>XXXXXX  PREPARACIONES</t>
  </si>
  <si>
    <t>REM-CAPAS.ACABADO</t>
  </si>
  <si>
    <t>XXXXXX  REMOCIONES DE CAPAS DE ACABADO FINAL</t>
  </si>
  <si>
    <t>DECAPADOS-001</t>
  </si>
  <si>
    <t>XXXXXX DECAPADO CON GEL ESPECIAL PARA MADERA</t>
  </si>
  <si>
    <t>DECAPADO DE MADERA (PRODUCTO V33)</t>
  </si>
  <si>
    <t>ma-lm-11471460</t>
  </si>
  <si>
    <t>Decapante Gel Express especial para Madera V33 (500 ml/envase).   Ref. lm-11471460</t>
  </si>
  <si>
    <t>alq-decapadora-tq-01</t>
  </si>
  <si>
    <t>Alquiler de Decapadora de Pintura 1.600 W.   Ref. TOOLQUICK</t>
  </si>
  <si>
    <t>moc-std2-generico</t>
  </si>
  <si>
    <t>Cuadrilla Std2 - 1 Oficial de 1ª y 1 Ayudante</t>
  </si>
  <si>
    <t>DECAPADOS-BALCONERAS-01</t>
  </si>
  <si>
    <t>XXXXXX DECAPADO A MANO DE PINTURA AL BARNIZ/ESMALTE EXISTENTE EN BALCONERAS CON PRODUCTO BIODEGRADABLE DE KEIM</t>
  </si>
  <si>
    <t>Preparación de superficie de carpintería metálica o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</si>
  <si>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ma-bc-s/c</t>
  </si>
  <si>
    <t>Decapante biodegradable KEIM-DISPERSIONSENTFERNER (5 kg/envase)   Ref. S/C</t>
  </si>
  <si>
    <t>ma-lp-00539029</t>
  </si>
  <si>
    <t>Disolvente-Diluente Nitro BIGMAT (1 litro/envase)   Ref. lp-00539029</t>
  </si>
  <si>
    <t>DECAPADOS-BALCONERAS-02</t>
  </si>
  <si>
    <t>XXXXXX DECAPADO A MANO DE PINTURA AL BARNIZ/ESMALTE EXISTENTE EN BALCONERAS CON PRODUCTO CONVENCIONAL DE ISAVAL</t>
  </si>
  <si>
    <t>ma-servicolor-848016</t>
  </si>
  <si>
    <t>Decapante o quitapinturas universal de ISAVAL (4 litros/envase).   Ref. servicolor-848016</t>
  </si>
  <si>
    <t>DECAPADOS-BARANDA-01</t>
  </si>
  <si>
    <t>XXXXXX DECAPADO A MANO DE PINTURA EXISTENTE EN BARANDILLAS Y VERJAS STANDARD CON PRODUCTO CONVENCIONAL</t>
  </si>
  <si>
    <t>DECAPADO MANUAL DE PINTURA EXISTENTE EN BARANDILLAS Y VERJAS STANDARD CON PRODUCTO CONVENCIONAL</t>
  </si>
  <si>
    <t>ma-lp-00107760</t>
  </si>
  <si>
    <t>Decapante o quitapinturas en gel BARPIMO (4 litros/envase)   Ref. lp-00107760.</t>
  </si>
  <si>
    <t>DECAPADOS-MALLORIQUINAS-01</t>
  </si>
  <si>
    <t>XXXXXX DECAPADO A MANO DE PINTURA AL BARNIZ/ESMALTE EXISTENTE EN MALLORQUINAS DE MADERA/METAL CON PRODUCTO BIODEGRADABLE DE KEIM</t>
  </si>
  <si>
    <t>DECAPADOS-MALLORQUINAS-02</t>
  </si>
  <si>
    <t>XXXXXX DECAPADO A MANO DE PINTURA AL BARNIZ/ESMALTE EXISTENTE EN MALLORQUINAS DE MADERA/METAL CON PRODUCTO CONVENCIONAL DE ISAVAL</t>
  </si>
  <si>
    <t>DECAPADOS-MARCO-01</t>
  </si>
  <si>
    <t>XXXXXX DECAPADO A MANO DE PINTURA EXISTENTE EN MARCOS Y PERFILES CON PRODUCTO CONVENCIONAL</t>
  </si>
  <si>
    <t>DECAPADO MANUAL DE PINTURA EXISTENTE EN MARCOS Y PERFILES CON PRODUCTO CONVENCIONAL</t>
  </si>
  <si>
    <t>DECAPADOS-PARED-01</t>
  </si>
  <si>
    <t>XXXXXX DECAPADO A MANO DE PINTURA EXISTENTE EN PAREDES CON PRODUCTO CONVENCIONAL</t>
  </si>
  <si>
    <t>DECAPADO MANUAL DE PINTURA EXISTENTE EN PAREDES CON PRODUCTO CONVENCIONAL</t>
  </si>
  <si>
    <t>DECAPADOS-PARED-02</t>
  </si>
  <si>
    <t>XXXXXX DECAPADO A MANO DE PINTURA EXISTENTE EN PAREDES CON PRODUCTO BIODEGRADABLE</t>
  </si>
  <si>
    <t>DECAPADO A MANO DE PINTURA EXISTENTE EN PAREDES CON PRODUCTO BIODEGRADABLE</t>
  </si>
  <si>
    <t>ma-pp-00600000988J</t>
  </si>
  <si>
    <t>Decapante o quitapinturas en gel de PLX COATS ECODECAGRAFI (5 litros/envase)   Ref. pp-00600000988J</t>
  </si>
  <si>
    <t>DECAPADOS-GRANULITE-AT-01</t>
  </si>
  <si>
    <t>XXXXXX DECAPADO MIXTO DE PINTURA TIPO GRANULITE EN PARED MEDIANTE EL USO DE ANDAMIO TUBULAR (BARPIMO)</t>
  </si>
  <si>
    <t>DECAPADO MIXTO DE PINTURA TIPO GRANULITE EN PARED MEDIANTE EL USO DE ANDAMIO TUBULAR (BARPIMO)</t>
  </si>
  <si>
    <t>DECAPADOS-PARED-04</t>
  </si>
  <si>
    <t>XXXXXX DECAPADO A MANO DE PINTURA EXISTENTE EN PAREDES CON DECAPANTE UNIVERSAL DE ISAVAL</t>
  </si>
  <si>
    <t>DECAPADO A MANO DE PINTURA EXISTENTE EN PAREDES CON DECAPANTE UNIVERSAL DE ISAVAL</t>
  </si>
  <si>
    <t>DECAPADOS-SUELO-01</t>
  </si>
  <si>
    <t>XXXXXX DECAPADO A MANO DE SUELOS DE TERRACOTA O SIMILAR CON PRODUCTO CONVENCIONAL</t>
  </si>
  <si>
    <t>DECAPADO A MANO DE SUELOS DE TERRACOTA O SIMILAR CON PRODUCTO CONVENCIONAL</t>
  </si>
  <si>
    <t>ma-lp-00195801</t>
  </si>
  <si>
    <t>Decapante universal PASO para suelos porosos/no porosos (1 litro/envase)   Ref. lp-00195801</t>
  </si>
  <si>
    <t>ma-lp-00195803</t>
  </si>
  <si>
    <t>Protector abrillantador PASO para suelos de terracota o similar (1 litro/envase)   Ref. lp-00195803</t>
  </si>
  <si>
    <t>DECAPADOS-SUELO-02</t>
  </si>
  <si>
    <t>XXXXXX DECAPADO A MANO DE SUELOS DE MADERA O SIMILAR CON PRODUCTO CONVENCIONAL</t>
  </si>
  <si>
    <t>DECAPADO A MANO DE SUELOS DE MADERA O SIMILAR CON PRODUCTO CONVENCIONAL</t>
  </si>
  <si>
    <t>ma-lp-00195808</t>
  </si>
  <si>
    <t>Protector abrillantador PASO para suelos de madera o similar (1 litro/envase)   Ref. lp-00195808</t>
  </si>
  <si>
    <t>DESBASTADOS-MAQ-PINTURA-ML-GCA</t>
  </si>
  <si>
    <t>XXXXXX DESBASTADO SUPERFICIAL A MÁQUINA CON EQUIPO LIVIANO DE PINTURA (ACTIVIDAD CON GRADO DE COMPLEJIDAD ALTO(GCA))</t>
  </si>
  <si>
    <t>DESBASTADO SUPERFICIAL A MÁQUINA CON EQUIPO LIVIANO DE PINTURA (ACTIVIDAD CON GRADO DE COMPLEJIDAD ALTO(GCA))</t>
  </si>
  <si>
    <t>ma-lp-00017597</t>
  </si>
  <si>
    <t>Cepillo Taza Acero 120 mm 50813-120 de BELLOTA.   Ref. lp-00017597</t>
  </si>
  <si>
    <t>DESBASTADOS-MAQ-PINTURA-ML-GCM</t>
  </si>
  <si>
    <t>XXXXXX DESBASTADO LINEAL A MÁQUINA CON EQUIPO LIVIANO DE PINTURA (ACTIVIDAD CON GRADO DE COMPLEJIDAD MEDIO (GCM))</t>
  </si>
  <si>
    <t>DESBASTADO LINEAL A MÁQUINA CON EQUIPO LIVIANO DE PINTURA (ACTIVIDAD CON GRADO DE COMPLEJIDAD MEDIO (GCM))</t>
  </si>
  <si>
    <t>DESBASTADOS-MAQ-PINTURA-M2-GCA</t>
  </si>
  <si>
    <t>XXXXXX DESBASTADO SUPERFICIAL A MÁQUINA CON EQUIPO LIVIANO DE PINTURA (ACTIVIDAD CON GRADO DE COMPLEJIDAD ALTO (GCA))</t>
  </si>
  <si>
    <t>DESBASTADO SUPERFICIAL A MÁQUINA CON EQUIPO LIVIANO DE PINTURA (ACTIVIDAD CON GRADO DE COMPLEJIDAD ALTO (GCA))</t>
  </si>
  <si>
    <t>DESBASTADOS-MAQ-PINTURA-M2-GCM</t>
  </si>
  <si>
    <t>XXXXXX DESBASTADO SUPERFICIAL A MÁQUINA CON EQUIPO LIVIANO DE PINTURA (ACTIVIDAD CON GRADO DE COMPLEJIDAD MEDIO (GCM))</t>
  </si>
  <si>
    <t>DESBASTADO SUPERFICIAL A MÁQUINA CON EQUIPO LIVIANO DE PINTURA (ACTIVIDAD CON GRADO DE COMPLEJIDAD MEDIO (GCM))</t>
  </si>
  <si>
    <t>PINT033XX</t>
  </si>
  <si>
    <t>XXXXXX DECAPADO DE PINTURA EN MADERA</t>
  </si>
  <si>
    <t>Preparación de superficie de carpintería de madera, con capas de pintura en mal estado, mediante la aplicación con brocha de decapante, impregnando la pintura existente, eliminándola con espátula una vez reblandecida y lavado posterior con agua o disolvente hasta eliminar los restos del decapante, para proceder posteriormente a su repintado.</t>
  </si>
  <si>
    <t>PINT034XX</t>
  </si>
  <si>
    <t>XXXXXX DECAPANTE DE PINTURA EN FACHADA CON DECAPANTE BIODEGRADABLE KEIM</t>
  </si>
  <si>
    <t>Trabajos de eliminación de pintura existente sobre paramentos de estuco. Se realizarán pruebas a obra para determinar el mejor sistema de decapado, que podrá ser mediante la aplicación de KEIM decapante biodegradable.</t>
  </si>
  <si>
    <t>DISNIT1407</t>
  </si>
  <si>
    <t>Disolvente Nitro 1407 - MONTO</t>
  </si>
  <si>
    <t>REM-SELLADOS.DE.CRISTALES-MS-1</t>
  </si>
  <si>
    <t>XXXXXX REMOCIÓN DE SELLADOS DE JUNTAS ENTRE VIDRIO Y CARPINTERÍA, MEDIANTE EL USO DE MEDIO SUSPENDIDO/COLGADO</t>
  </si>
  <si>
    <t>REMOCIÓN DE SELLADOS DE JUNTAS ENTRE VIDRIO Y CARPINTERÍA, MEDIANTE EL USO DE MEDIO SUSPENDIDO/COLGADO</t>
  </si>
  <si>
    <t>REM-EQUIPOS</t>
  </si>
  <si>
    <t>XXXXXX REMOCIÓN DE EQUIPOS</t>
  </si>
  <si>
    <t>REM-EQPS-AA</t>
  </si>
  <si>
    <t>XXXXXX REMOCIÓN DE EQUIPOS DE AIRE ACONDICIONADO</t>
  </si>
  <si>
    <t>REM-EQPS-EAA-01</t>
  </si>
  <si>
    <t>XXXXXX REMOCIÓN CON RECUPERACIÓN DE UNIDAD CONDENSADORA DE EQUIPO SPLIT DE A/A DE 1 TON (12000 BTU/HR) HASTA 2 TON (24000 BTU/HR); INCLUYE LA DISPOSICIÓN TEMPORAL DE LA UNIDAD RECUPERADA EN EL ÁREA DE TRABAJO.</t>
  </si>
  <si>
    <t>Remoción con recuperación de unidad condensadora de equipo split de A/A de 1 ton (12000 BTU/hr) hasta 2 ton (24000 BTU/hr); incluye la disposición temporal de la unidad recuperada en el área de trabajo.</t>
  </si>
  <si>
    <t>REM-EQPS-EAA-02</t>
  </si>
  <si>
    <t>XXXXXX REMOCIÓN CON RECUPERACIÓN DE UNIDAD CONDENSADORA DE EQUIPO SPLIT DE A/A DE 2,5 TON (30000 BTU/HR) HASTA 4 TON (48000 BTU/HR); INCLUYE LA DISPOSICIÓN TEMPORAL DE LA UNIDAD RECUPERADA EN EL ÁREA DE TRABAJO.</t>
  </si>
  <si>
    <t>Remoción con recuperación de unidad condensadora de equipo split de A/A de 2,5 ton (30000 BTU/hr) hasta 4 ton (48000 BTU/hr); incluye la disposición temporal de la unidad recuperada en el área de trabajo.</t>
  </si>
  <si>
    <t>REM-LAMPARAS</t>
  </si>
  <si>
    <t>XXXXXX REMOCIÓN DE LÁMPARAS</t>
  </si>
  <si>
    <t>REM-LAMPARAS-TECHO-02</t>
  </si>
  <si>
    <t>XXXXXX REMOCIÓN CON RECUPERACIÓN DE LÁMPARAS EMBUTIDAS EN TECHO</t>
  </si>
  <si>
    <t>REMOCIÓN CON RECUPERACIÓN DE LÁMPARAS EMBUTIDAS EN TECHO</t>
  </si>
  <si>
    <t>REM-MOBILIARIO</t>
  </si>
  <si>
    <t>XXXXXX REMOCIÓN CON RECUPERACIÓN DE MOBILIARIO Y ENSERES</t>
  </si>
  <si>
    <t>REM-JARDINERIA-01</t>
  </si>
  <si>
    <t>XXXXXX REMOCIÓN CON RECUPERACIÓN DE VEGETACIÓN (JARDINERAS Y/O MACETAS)</t>
  </si>
  <si>
    <t>REMOCIÓN CON RECUPERACIÓN DE VEGETACIÓN (JARDINERAS Y/O MACETAS)</t>
  </si>
  <si>
    <t>REM-MUEBLES-01</t>
  </si>
  <si>
    <t>XXXXXX REMOCIÓN CON RECUPERACIÓN DE MUEBLES Y ENSERES</t>
  </si>
  <si>
    <t>REMOCIÓN CON RECUPERACIÓN DE MUEBLES Y ENSERES</t>
  </si>
  <si>
    <t>REM-TUBERIA</t>
  </si>
  <si>
    <t>XXXXXX REMOCIÓN DE TUBERÍA</t>
  </si>
  <si>
    <t>REM-TUB-PLOMO-35</t>
  </si>
  <si>
    <t>XXXXXXX REMOCIÓN SIN RECUPERACIÓN DE TUBERÍA DE PLOMO 35 mm PARA MONTANTES DE AGUA POTABLE</t>
  </si>
  <si>
    <t>Remoción sin recuperación de tubería de plomo 35 mm para montantes de agua potable</t>
  </si>
  <si>
    <t>RETIROS</t>
  </si>
  <si>
    <t>XXXXXX RETIROS PRELIMINARES</t>
  </si>
  <si>
    <t>RET-BARANDILLAS-01</t>
  </si>
  <si>
    <t>XXXXXX RETIRO DE BARANDILLAS METÁLICAS EXISTENTES</t>
  </si>
  <si>
    <t>RETIRO DE BARANDILLAS METÁLICAS EXISTENTES</t>
  </si>
  <si>
    <t>RET-EQPS.MENORES-01</t>
  </si>
  <si>
    <t>XXXXXX RETIRO SIN RECUPERACIÓN DE EQUIPOS MENORES Y OBSOLETOS</t>
  </si>
  <si>
    <t>RETIRO SIN RECUPERACIÓN DE EQUIPOS MENORES Y OBSOLETOS</t>
  </si>
  <si>
    <t>RET-PUERTA-01</t>
  </si>
  <si>
    <t>XXXXXX RETIRO SIN RECUPERACIÓN DE PUERTA Y MARCO EXISTENTES</t>
  </si>
  <si>
    <t>RETIRO SIN RECUPERACIÓN DE PUERTA Y MARCO EXISTENTES</t>
  </si>
  <si>
    <t>RET-TMP-TUBERIAS-AABB/GAS-01</t>
  </si>
  <si>
    <t>XXXXXX RETIRO TEMPORAL (DURANTE EJECUCIÓN DE LA OBRA) DE TUBERÍAS A VISTA DE AGUAS BLANCAS/GAS; INCLUYE REMOCIÓN SIN RECUPERACIÓN DE MATERIAL Y ACCESORIOS DE FIJACIÓN</t>
  </si>
  <si>
    <t>Retiro temporal (durante ejecución de la obra) de tuberías a vista de aguas blancas/gas; incluye remoción sin recuperación de material y accesorios de fijación</t>
  </si>
  <si>
    <t>REPICADOS</t>
  </si>
  <si>
    <t>XXXXXX REPICADOS DE REVOCO O REBOZADO</t>
  </si>
  <si>
    <t>REPICADOS-PARED-01</t>
  </si>
  <si>
    <t>XXXX REPICADO A MANO DE REVOCO EN PARED</t>
  </si>
  <si>
    <t>Repicado de matterial en mal estado, con medios manuales, sin deteriorar los elementos constructivos contiguos, y carga manual sobre camión o contenedor.</t>
  </si>
  <si>
    <t>REPICADOS-TECHO-01</t>
  </si>
  <si>
    <t>XXXX REPICADO A MANO DE REVOCO EN TECHO</t>
  </si>
  <si>
    <t>TERR</t>
  </si>
  <si>
    <t>o Acondicionamento del terreno</t>
  </si>
  <si>
    <t>TERR001</t>
  </si>
  <si>
    <t>o CANALETA DE DRENAJE</t>
  </si>
  <si>
    <t>Canaleta prefabricada de copolimero de polipropileno reforzado, en tramos de 100cm de longitud, 13cm de anchura y 5cm de altura, con rejilla de acero galvanizado, colocada sobre solera de hormigón en masa de 10 cm de espesor. Incluso accesorios de montaje, piezas especiales y elementos de sujeción.</t>
  </si>
  <si>
    <t>ma-lp-00392485</t>
  </si>
  <si>
    <t>CANALETA NOR H5 13X100+REJILLA GALVANIZADA Ref.: 00392485</t>
  </si>
  <si>
    <t>KITMONT</t>
  </si>
  <si>
    <t>Kit de accesorios y montaje</t>
  </si>
  <si>
    <t>ma-lp-00000068</t>
  </si>
  <si>
    <t>m3</t>
  </si>
  <si>
    <t>HORMIGÓN SECO H-20, EN BIG-BAG, LA PLATAFORMA Ref.: 00000068</t>
  </si>
  <si>
    <t>TERR02XX</t>
  </si>
  <si>
    <t>XXXXXXARQUETA DE BOMBEO</t>
  </si>
  <si>
    <t>Arqueta de bombeo para elevación de aguas grises, instalación enterrada, formada por arqueta cuadrada de polipropileno con marco y tapa, tubería interior, bomba sumergible, interruptor de flotador, para control automático del nivel, válvula antirretorno. Incluso accesorios de montaje, piezas especiales y elementos de sujeción.</t>
  </si>
  <si>
    <t>m.o.1</t>
  </si>
  <si>
    <t>Mano de Obra: 1 Oficial de 1ª, 1 Ayudante y 1/2 Ayudante</t>
  </si>
  <si>
    <t>CIM</t>
  </si>
  <si>
    <t>Cimentaciones</t>
  </si>
  <si>
    <t>CIM01</t>
  </si>
  <si>
    <t>HORMIGON PARA MUROS DE CONTENCION HA-25/P/20IIa</t>
  </si>
  <si>
    <t>ma-promsa-HA25</t>
  </si>
  <si>
    <t>HA 25 B 20 IIa</t>
  </si>
  <si>
    <t>mq-promsa-Bomba</t>
  </si>
  <si>
    <t>BOMBEO MINIMO 4H. HASTA PLUMA 36</t>
  </si>
  <si>
    <t>mq-promsa-Desplz</t>
  </si>
  <si>
    <t>DESPLAZAMIENTO BOMBA HASTA PLUMA 36</t>
  </si>
  <si>
    <t>ma-promsa-Limp</t>
  </si>
  <si>
    <t>Limpieza bomba, se facturará si no existe punto de lavado en obra</t>
  </si>
  <si>
    <t>CIM02</t>
  </si>
  <si>
    <t>KG</t>
  </si>
  <si>
    <t>ACERO B-500 PARA ELABORACION Y MONTAJE EN LOSA DE CIMENTACION.</t>
  </si>
  <si>
    <t>Acero UNE-EN 10080 B 500 S para elaboración y montaje de la ferralla en losa de cimentación. Incluso alambre de atar y separadores.</t>
  </si>
  <si>
    <t>ma-lp-00277865</t>
  </si>
  <si>
    <t>Redondo acero corrugado diámetro 10 mm (2 m/pza)   Ref. lp-00277865</t>
  </si>
  <si>
    <t>00124026</t>
  </si>
  <si>
    <t>kg</t>
  </si>
  <si>
    <t>ALAMBRE DE ATAR 1,20 MM 25 KG Ref.: 00124026</t>
  </si>
  <si>
    <t>ma-Cype</t>
  </si>
  <si>
    <t>Separador homologado de plástico, para armaduras de cimentaciones de varios diámetros</t>
  </si>
  <si>
    <t>CIM03</t>
  </si>
  <si>
    <t>MURO DE HORMIGON LISO CARAVISTA BLANCO 20x40x20CM</t>
  </si>
  <si>
    <t>Muro de cierre para revestir de 20 cm de espesor de bloque agujereado de hormigón, de 20x40x20cm, liso, colocado con mortero mixto 1:2:10 de cemento portland color blanco</t>
  </si>
  <si>
    <t>01AYUDANTE</t>
  </si>
  <si>
    <t>Mano de Obra: 1 Ayudante</t>
  </si>
  <si>
    <t>ma-pl-00001554</t>
  </si>
  <si>
    <t>BLOQUE HORMIGÓN CARAVISTA LISO 20X20X40 CM BLANCO Ref.: 00001554</t>
  </si>
  <si>
    <t>STRC</t>
  </si>
  <si>
    <t>Estructuras</t>
  </si>
  <si>
    <t>STRCHA</t>
  </si>
  <si>
    <t>o HORMIGON ARMADO</t>
  </si>
  <si>
    <t>HAR001</t>
  </si>
  <si>
    <t>o REPARACION DE FRENTE DE FORJADO CON PROPAM REPAR 40, DE CANTO 30CM y 3CM</t>
  </si>
  <si>
    <t>Reparación de frente de forjado de hormigón armado, de canto 30 cm y 3 cm de espesor, mediante picado del hormigón deteriorado, eliminando el hormigón en mal estado hasta llegar a las armaduras; saneado de las armaduras que han quedado al descubierto, eliminando la suciedad superficial, la herrumbre y toda sustancia que pueda disminuir la adherencia; aplicación manual de mortero monocomponente a base de cemento, inhibidores de corrosión y polímeros en polvo, para la protección y pasivación de armaduras de acero, y como puente de unión entre mortero de reparación y hormigón existente, garantizando la adherencia entre ambos; recrecido del forjado con hormigón con mortero de reparacion estructural. El precio incluye el montaje y desmontaje del sistema de encofrado y el desplazamiento.</t>
  </si>
  <si>
    <t>ma-lp-00540825</t>
  </si>
  <si>
    <t>Mortero de reparación estructural R4 PROPAM REPAR 40 (25 kg/Saco)   Ref. lp-00540825</t>
  </si>
  <si>
    <t>ma-lp-00001705</t>
  </si>
  <si>
    <t>Malla de fibra de vidrio azul para refuerzo de morteros y revocos (rollo 50x1 m)   Ref. lp-00001705</t>
  </si>
  <si>
    <t>ma-lp-00019465</t>
  </si>
  <si>
    <t>Puntal metálico telescópico P3N; 3 m Ø 48x1,6 / Ø 40x1,6   Ref. lp-00019465</t>
  </si>
  <si>
    <t>HAR001TV</t>
  </si>
  <si>
    <t>o REPARACION DE FRENTE DE FORJADO CONPROPAM REPAR 40, DE CANTO 30CM y 3CM C/TRABAJOS VERTICALES</t>
  </si>
  <si>
    <t>Reparación de frente de forjado de hormigón armado CON TRABAJOS VERTICALES, de canto 30 cm y 3cm de espesor, mediante picado del hormigón deteriorado, eliminando el hormigón en mal estado hasta llegar a las armaduras; saneado de las armaduras que han quedado al descubierto, eliminando la suciedad superficial, la herrumbre y toda sustancia que pueda disminuir la adherencia; aplicación manual de mortero monocomponente a base de cemento, inhibidores de corrosión y polímeros en polvo, para la protección y pasivación de armaduras de acero, y como puente de unión entre mortero de reparación y hormigón existente, garantizando la adherencia entre ambos; recrecido del forjado con hormigón con mortero de reparacion estructural. El precio incluye el montaje y desmontaje del sistema de encofrado y el desplazamiento.</t>
  </si>
  <si>
    <t>HAR002</t>
  </si>
  <si>
    <t>o REPARACION DE FRENTE DE FORJADO CON GEOLITE 40 DE KERAKOLL, DE CANTO 30CM y 3CM</t>
  </si>
  <si>
    <t>Reparació de cantells de balcons; consistent en el repicat puntual i neteja per mitjans manuals i / o mecànics fins a base ferma; aplicació de morter de reparació classe R4, tipus Geolite 40 de la marca Kerakoll; monocomponent, amb garantia de la passivació dels ferros (CA), tixotròpic, exempt de fibres orgàniques i d'enduriment semirápido (40min); per a la passivació, reparació, allisat i protecció monolítica del formigó degradat, segons norma EN1504. S'ha consideratuna afectació aproximada de 8 a 10 lesions per balcó de 9ml.</t>
  </si>
  <si>
    <t>ma-lp-00539210</t>
  </si>
  <si>
    <t>Mortero de reparación GEOLITE 40 de KERAKOLL (25 kg/saco)   Ref. lp-00539210</t>
  </si>
  <si>
    <t>ma-lp-00001672</t>
  </si>
  <si>
    <t>Redondo acero corrugado diámetro 10 mm (3 m/pza).   Ref. lp-00001672</t>
  </si>
  <si>
    <t>HAR003</t>
  </si>
  <si>
    <t>o REPARACION DE FRENTE DE FORJADO CON PROPAM REPAR 40, DE CANTO 30CM Y 8CM</t>
  </si>
  <si>
    <t>Reparación de frente de forjado de hormigón armado, de canto 30 cm y 8 cm de espesor, mediante picado del hormigón deteriorado, eliminando el hormigón en mal estado hasta llegar a las armaduras; saneado de las armaduras que han quedado al descubierto, eliminando la suciedad superficial, la herrumbre y toda sustancia que pueda disminuir la adherencia; aplicación manual de mortero monocomponente a base de cemento, inhibidores de corrosión y polímeros en polvo, para la protección y pasivación de armaduras de acero, y como puente de unión entre mortero de reparación y hormigón existente, garantizando la adherencia entre ambos; recrecido del forjado con hormigón con mortero de reparacion estructural. El precio incluye el montaje y desmontaje del sistema de encofrado y el desplazamiento.</t>
  </si>
  <si>
    <t>ma-lp-00016626</t>
  </si>
  <si>
    <t>cartucho</t>
  </si>
  <si>
    <t>Anclaje/Taco químico de resina FISCHER FIS VS 300 T (300 ml/cartucho).   Ref. lp-00016626</t>
  </si>
  <si>
    <t>HAR003TV</t>
  </si>
  <si>
    <t>o REPARACION DE FRENTE DE FORJADO CON PROPAM REPAR 40, DE CANTO 30CM Y 8CM C/TRABAJOS VERTICALES</t>
  </si>
  <si>
    <t>Reparación de frente de forjado de hormigón armado CON TRABAJOS VERTICALES, de canto 30 cm y 8cm de espesor, mediante picado del hormigón deteriorado, eliminando el hormigón en mal estado hasta llegar a las armaduras; saneado de las armaduras que han quedado al descubierto, eliminando la suciedad superficial, la herrumbre y toda sustancia que pueda disminuir la adherencia; aplicación manual de mortero monocomponente a base de cemento, inhibidores de corrosión y polímeros en polvo, para la protección y pasivación de armaduras de acero, y como puente de unión entre mortero de reparación y hormigón existente, garantizando la adherencia entre ambos; recrecido del forjado con hormigón con mortero de reparacion estructural. El precio incluye el montaje y desmontaje del sistema de encofrado y el desplazamiento.</t>
  </si>
  <si>
    <t>HAR004</t>
  </si>
  <si>
    <t>o REPICADO DE CANTO DE FORJADO</t>
  </si>
  <si>
    <t>Repicado de cantos de forjado, hasta dejar la estructura/armadura al descubierto con medios manuales, sin deteriorar los elementos constructivos contiguos, y carga manual sobre camión o contenedor.</t>
  </si>
  <si>
    <t>HAR004TV</t>
  </si>
  <si>
    <t>o REPICADO DE CANTO DE FORJADO C/TRABAJOS VERTICALES</t>
  </si>
  <si>
    <t>Repicado de cantos de forjado CON TRABAJOS VERTICALES, hasta dejar la estructura/armadura al descubierto con medios manuales, sin deteriorar los elementos constructivos contiguos, y carga manual sobre camión o contenedor.</t>
  </si>
  <si>
    <t>HAR005</t>
  </si>
  <si>
    <t>o PROTECCION Y PASIVACION DE ARMADURA MAPEI MAPEFER</t>
  </si>
  <si>
    <t>Aplicación manual de imprimación de MAPEFER, a base de cemento, áridos seleccionados, polímeros y aditivos, para la protección y pasivación de armaduras de acero, y como puente de unión entre morteros de reparación y hormigón existente, garantizando la adherencia entre ambos. El precio no incluye el mortero de reparación.</t>
  </si>
  <si>
    <t>ma-lp-00136728</t>
  </si>
  <si>
    <t>Convertidor de óxido CONVERTÓXIDO de BARPIMO (1 litro/envase).   Ref. lp-00136728</t>
  </si>
  <si>
    <t>HAR005TV</t>
  </si>
  <si>
    <t>o PROTECCION Y PASIVACION DE ARMADURA MAPEI MAPEFER C/TRABAJOS VERTICALES</t>
  </si>
  <si>
    <t>Aplicación manual de imprimación de MAPEFER CON TRABAJOS VERTICALES, a base de cemento, áridos seleccionados, polímeros y aditivos, para la protección y pasivación de armaduras de acero, y como puente de unión entre morteros de reparación y hormigón existente, garantizando la adherencia entre ambos. El precio no incluye el mortero de reparación.</t>
  </si>
  <si>
    <t>HAR006</t>
  </si>
  <si>
    <t>o PROTECCION Y PASIVACION DE ARMADURA SIKA MONOTOP 910</t>
  </si>
  <si>
    <t>Aplicación manual de imprimación Sika Monotop - 910, a base de cemento, áridos seleccionados, polímeros y aditivos, para la protección y pasivación de armaduras de acero, y como puente de unión entre morteros de reparación y hormigón existente, garantizando la adherencia entre ambos. El precio no incluye el mortero de reparación.</t>
  </si>
  <si>
    <t>ma-lm-sika.monotop.910s</t>
  </si>
  <si>
    <t>Pasivador de armaduras y puente de unión para morteros de reparación SIKA MONOTOP-910 S (4 kg/envase).   Ref. lm-sika.monotop.910s</t>
  </si>
  <si>
    <t>ma-om-10519845</t>
  </si>
  <si>
    <t>Malla de refuerzo de fibra de vidrio ARMATOP 100 de SIKA (1x50 m/rollo; 175 gr/m2).   Ref. om-10519845</t>
  </si>
  <si>
    <t>HAR007</t>
  </si>
  <si>
    <t>o PROTECCION Y PASIVACION DE ARMADURA  BETOPRIM DE PROPAMSA</t>
  </si>
  <si>
    <t>PASIVACIÓN "BETOPRIM/PROPAMSA" DE ARMADURA AL DESCUBIERTO EN FONDO DE LOSA; NO INCLUYE REFUERZO METÁLICO COMPLEMENTARIO</t>
  </si>
  <si>
    <t>ma-pp-s/c-07</t>
  </si>
  <si>
    <t>Convertidor de óxido para eliminar y frenar su aparición sobre superficies metálicas MINOXIL de BEISSIER (1 litro/envase).   Ref. pp-s/c-07</t>
  </si>
  <si>
    <t>ma-prolisur-01</t>
  </si>
  <si>
    <t>Imprimante para protección de armaduras y puente de unión en hormigones y morteros BETOPRIM de PROPAMSA (5 kg/envase).   Ref. prolisur-01</t>
  </si>
  <si>
    <t>HAR008</t>
  </si>
  <si>
    <t>o PROTECCION Y PASIVACION DE ARMADURA TOP ARMATEC 110 EPOCEM DE SIKA</t>
  </si>
  <si>
    <t>Puente de union y antioxidante con Sika Top Armatec-110 EpoCem en un revestimiento cementoso con resinas epoxi modificadas, de tres componentes y con inhibidor de corrosión usado para la protección de las armaduras del hormigón frente a la corrosión y como capa de adherencia.</t>
  </si>
  <si>
    <t>ma-manau-92355</t>
  </si>
  <si>
    <t>SIKA TOP ARMATEC 110 EPOCEM. (4kg)</t>
  </si>
  <si>
    <t>HAR009</t>
  </si>
  <si>
    <t>o REPARACION ESTRUCTURAL DE HORMIGON CON MORTERO R4, PROPAM REPAR 40</t>
  </si>
  <si>
    <t>Aplicación manual de mortero PROPAM REPAR 40 de 15mm de espesor, modificado con polímeros, resistencia a compresión con inhibidores de corrosión para la reparación estructural de hormigón, clase R4, según UNE-EN 1504-3, Euroclase A1 de reacción al  fuego, según UNE-EN 13501-1, en capa de 15 mm de espesor medio, para reparación y refuerzo estructural de elemento de hormigón.</t>
  </si>
  <si>
    <t>HAR010</t>
  </si>
  <si>
    <t>o REPARACION ESTRUCTURAL DE HORMIGON CON MORTERO R4, GEOLITE 40 DE KERAKOLL</t>
  </si>
  <si>
    <t>Aplicación manual de mortero GEOLITE 40 DE KERAKOLL de 15mm de espesor, Mortero de Reparación (Clase R4) para la reparación y refuerzo de estructuras de hormigón armado y mampostería (vigas, pilares, losas, balcones, rampas, cornisas). Eco-compatible, idóneo para Greenbuilding. Tixotrópico, de fraguado semi-rápido, 40 minutos, pintable tras 4 horas.</t>
  </si>
  <si>
    <t>HAR011</t>
  </si>
  <si>
    <t>o REPARACION ESTRUCTURAL DE HORMIGON CON MORTERO R4, WEBEREP HORMIPLUS NEO</t>
  </si>
  <si>
    <t>Aplicación manual de mortero WEBEREP HORMIPLUS NEO de 15mm de espesor, modificado con polímeros, resistencia a compresión con inhibidores de corrosión para la reparación estructural de hormigón, clase R4, según UNE-EN 1504-3, Euroclase A1 de reacción al  fuego, según UNE-EN 13501-1, en capa de 15 mm de espesor medio, para reparación y refuerzo estructural de elemento de hormigón.</t>
  </si>
  <si>
    <t>ma-om-10764054</t>
  </si>
  <si>
    <t>Mortero de reparación R4 WEBEREP HORMIPLUS NEO (25 kg/saco).   Ref: om-10764054</t>
  </si>
  <si>
    <t>HAR012</t>
  </si>
  <si>
    <t>o REPARACION ESTRUCTURAL DE HORMIGON CON MORTERO R4, SIKATOP 122</t>
  </si>
  <si>
    <t>Aplicación manual de mortero SIKATOP 122 de 15mm de espesor, mortero de Reparación es un mortero de dos componentes, a base de cemento, mejorado con resinas sintéticas, humo de sílice y fibras de poliamida; de altas resistencias mecánicas, especialmente indicado para la reparación y regularización de elementos de hormigón. Cumple con los requerimientos de la clase R4 de la UNE-EN 1504-3.</t>
  </si>
  <si>
    <t>ma-s.lucia-sikatop122</t>
  </si>
  <si>
    <t>kit</t>
  </si>
  <si>
    <t>Mortero de reparación estructural R4 del hormigón bicomponente SIKATOP-122 de SIKA (28 kg de mezcla A+B/kit).   Ref. s.lucia-sikatop122</t>
  </si>
  <si>
    <t>HAR013</t>
  </si>
  <si>
    <t>o REPARACION ESTRUCTURAL DE HORMIGON CON MORTERO R3, 15MM PROPAM REPAR 30</t>
  </si>
  <si>
    <t>Aplicación manual de mortero tixotrópico PROPAM REPAR 30 de 15mm de espesor, monocomponente, compuesto por cementos especiales, áridos seleccionados, fibras y  resinas sintéticas, modificado con polímeros, reforzado con fibras, resistente a los sulfatos, de retracción compensada, Propam Repar  30 "PROPAMSA", con una resistencia a compresión a 28 días mayor o igual a 25 N/mm² y un módulo de elasticidad mayor o igual a  15000 N/mm², clase R3, tipo PCC, según UNE-EN 1504-3, Euroclase A1 de reacción al fuego, según UNE-EN 13501-1, en capa de 15  mm de espesor medio, con acabado superficial fratasado con esponja o fratás, para reparación y refuerzo estructural de  hormigón.</t>
  </si>
  <si>
    <t>ma-prolisur-P1631</t>
  </si>
  <si>
    <t>Mortero de reparación estructural R3 PROPAM REPAR 30 - equivalente a SIKA MONOTOP 612 (25kg/saco).   Ref. prolisur-P1631</t>
  </si>
  <si>
    <t>HAR014</t>
  </si>
  <si>
    <t>o REPARACION ESTRUCTURAL DE HORMIGON CON MORTERO R3, 10MM SIKA MONOTOP 612</t>
  </si>
  <si>
    <t>Aplicación manual de mortero tixotrópico SIKA MONOTOP 612 de 10mm de espesor, monocomponente, compuesto por cementos especiales, áridos seleccionados, fibras y  resinas sintéticas, modificado con polímeros, reforzado con fibras, resistente a los sulfatos, de retracción compensada, con una resistencia a compresión a 28 días mayor o igual a 25 N/mm² y un módulo de elasticidad mayor o igual a  15000 N/mm², clase R3, tipo PCC, según UNE-EN 1504-3, Euroclase A1 de reacción al fuego, según UNE-EN 13501-1, en capa de 15  mm de espesor medio, con acabado superficial fratasado con esponja o fratás, para reparación y refuerzo estructural de  hormigón.</t>
  </si>
  <si>
    <t>ma-manau-92339</t>
  </si>
  <si>
    <t>Mortero de Reparación Clase R3 SIKA MONOTOP-612 de SIKA (25 kg/saco).</t>
  </si>
  <si>
    <t>HAR015</t>
  </si>
  <si>
    <t>o REPARACION ESTRUCTURAL DE HORMIGON CON MORTERO R3, 5MM SIKA MONOTOP 620</t>
  </si>
  <si>
    <t>Aplicación manual de mortero tixotrópico SIKA MONOTOP 620 de 5mm de espesor, monocomponente, compuesto por cementos especiales, áridos seleccionados, fibras y  resinas sintéticas, modificado con polímeros, reforzado con fibras, resistente a los sulfatos, de retracción compensada, con una resistencia a compresión a 28 días mayor o igual a 25 N/mm² y un módulo de elasticidad mayor o igual a  15000 N/mm², clase R3, tipo PCC, según UNE-EN 1504-3, Euroclase A1 de reacción al fuego, según UNE-EN 13501-1, en capa de 15  mm de espesor medio, con acabado superficial fratasado con esponja o fratás, para reparación y refuerzo estructural de  hormigón.</t>
  </si>
  <si>
    <t>ma-s.lucia-sikamonotop-620-gris</t>
  </si>
  <si>
    <t>Mortero de Reparación R3 en Capa Fina, Alisado y Regularización de Superficies de Hormigón SIKA MONOTOP-620 de SIKA (25 kg/saco).   Ref. s.lucia-sikamonotop-620-gris</t>
  </si>
  <si>
    <t>ma-lp-00225432</t>
  </si>
  <si>
    <t>Perfil cantonera de PVC con malla de fibra de vidrio (medida de la malla: 8x12 cm.; longitud: 2,5 m)   Ref. lp-00225432</t>
  </si>
  <si>
    <t>HAR016</t>
  </si>
  <si>
    <t>o REPARACIÓN DE FISURAS MENORES CON PROPAM REPAR 40</t>
  </si>
  <si>
    <t>La actividad requiere un repicado en profundidad, así como el relleno del espacio abierto con mortero de reparación reforzado con malla de fibra de vidrio antiálcali. Se abrirán los labios hasta 5 cm, y se asume un espesor de relleno de 3 cm.</t>
  </si>
  <si>
    <t>HAR017</t>
  </si>
  <si>
    <t>o PASIVACIÓN FONDO DE PERFIL IPN14</t>
  </si>
  <si>
    <t>PASIVACIÓN FONDO DE PERFIL IPN14</t>
  </si>
  <si>
    <t>HAR018</t>
  </si>
  <si>
    <t>o HORMIGONADO tipo HA-25/F/10/XC3</t>
  </si>
  <si>
    <t>Hormigonado del conjunto con hormigón tipo HA-25/F/10/XC3, confeccionado en obra y aligerado con arcilla expandida tipo Arlita, vertido con medios manuales, incluye la colocación de malla electrosoldada ME 15x15 Ø 8 en ambos sentidos como capa de compresión.</t>
  </si>
  <si>
    <t>ma-barcell-hle-25</t>
  </si>
  <si>
    <t>hormigón HLE-25/FL/  XC3</t>
  </si>
  <si>
    <t>ma-barcell-bomba</t>
  </si>
  <si>
    <t>Servicio de autobomba hasta 28 ml de 4 h + 1 desplazamiento y limpieza vertedero</t>
  </si>
  <si>
    <t>HAR019</t>
  </si>
  <si>
    <t>o LOSA MACIZA</t>
  </si>
  <si>
    <t>Losa maciza de hormigón armado, horizontal, con altura libre de planta de hasta 3 m, canto 24 cm, realizada con hormigón HA-25/F/20/XC2 fabricado en central, y vertido con cubilote, y acero UNE-EN 10080 B 500 S, con una cuantía aproximada de 21 kg/m²; montaje y desmontaje de sistema de encofrado continuo, con acabado tipo industrial para revestir, formado por: superficie encofrante de tableros de madera tratada, reforzados con varillas y perfiles, amortizables en 25 usos; estructura soporte horizontal de sopandas metálicas y accesorios de montaje, amortizables en 150 usos y estructura soporte vertical de puntales metálicos, amortizables en 150 usos. Incluso nervios y zunchos perimetrales de planta y huecos, alambre de atar, separadores, aplicación de líquido desencofrante y agente filmógeno, para el curado de hormigones y morteros. El precio incluye la elaboración de la ferralla (corte, doblado y conformado de elementos) en taller industrial y el montaje en el lugar definitivo de su colocación en obra, pero no incluye los pilares.</t>
  </si>
  <si>
    <t>ma-lp-00124026</t>
  </si>
  <si>
    <t>Alambre de atar 1,20 mm (25 kg/rollo).   Ref. lp-00124026</t>
  </si>
  <si>
    <t>ma-lp-00001159</t>
  </si>
  <si>
    <t>Mortero seco H-25 de VALSEC (25 kg/saco).   Ref. lp-00001159</t>
  </si>
  <si>
    <t>HAR020</t>
  </si>
  <si>
    <t>o ANCLAJE QUIMICO</t>
  </si>
  <si>
    <t>Anclaje químico estructural, mediante perforación de 10 mm, relleno del orificio con inyección de resina epoxi, libre de estireno, y posterior inserción de varilla roscada con tuerca y arandela de acero galvanizado.</t>
  </si>
  <si>
    <t>ma-lp-00551136</t>
  </si>
  <si>
    <t>Anclaje/Taco químico resina epoxi sin estireno BIGMAT. cargas medias-altas (410 ml/cartucho)   Ref. lp-00551136</t>
  </si>
  <si>
    <t>ma-lp-00016912</t>
  </si>
  <si>
    <t>Espárrago/Varilla de inyección para anclaje químico FISCHER FIS GS; 10x165 mm (8 pzas/bolsa).   Ref. lp-00016912.</t>
  </si>
  <si>
    <t>ma-lp-00017168</t>
  </si>
  <si>
    <t>Broca para metal BOSCH HSS-G; 12x134x205 mm   Ref. lp-00017168</t>
  </si>
  <si>
    <t>HAR021</t>
  </si>
  <si>
    <t>o PERFIL GOTERON</t>
  </si>
  <si>
    <t>PERFIL GOTERON</t>
  </si>
  <si>
    <t>ma-lp-00511369</t>
  </si>
  <si>
    <t>Perfil goterón VLT de PVC con malla de fibra de vidrio (long.: 2,5 m; ancho: 100x100 mm; espesor 9 mm)   Ref. lp-00511369</t>
  </si>
  <si>
    <t>HAR022</t>
  </si>
  <si>
    <t>o RODEADO DE PILAR DE HORMIGON ARMADO CON FIBRA DE CARBON</t>
  </si>
  <si>
    <t>Rodeado de pilar de hormigón armado, mediante el sistema Mapewrap W "MAPEI SPAIN", formado por 1 capa de hojas de fibra de carbono unidireccional, Mapewrap C UNI-AX 300/20 W "MAPEI SPAIN", 300 g/m2, de 20 cm de 6 ancho y 20 cm de ancho 5100 MPa y elongación última 1,95%, impregnadas por ambas caras con Mapewrap 31 "MAPEI SPAIN" colocada sobre la superficie soporte de hormigón previamente imprimada con Mapewrap Primer 1 "MAPEI SPAIN", aplicada con brocha. El precio no incluye la preparación del soporte ni el revestimiento.
FASES:
Sobre pilar previamente reparado:
1.-Limpieza de la superficie y aplicación de imprimación epoxídica MAPEIWRAP PRIMERO 1.
2.-Colocación de bandas en aristas aplicadas de forma longitudinal en el eje del pilar de MAPEWRAP S FRABRIC, compuesto de tejido unidireccional de fibras de acero galvanizado de alta resistencia aplicado con adhesivo epoxídico de consistencia tixotrópica MAPEIWRAP 11 / MAPEIWRAP 12.
3.-Conexión a la base mediante porciones de MAPEWRAP S FABRIC, ancladas en la base del
pilar con fijación química epoxídica MAPEFIX EP 385 y encoladas sobre las bandas de tejido con adhesivo epoxídico, bicomponente, de consistencia tixotrópica MAPEWRAP 11 / MAPEWRAP 12.
4.-Colocación de una capa en forma de "U" de MAPEWRAP C UNI-AX, tejido unidireccional de fibra de carbono de alta resistencia y módulo elevado elástico, clase de sistema FRP 210C, aplicado con capa de regularización y encolado con adhesivo epoxídico de consistencia 1 PERA 12e impregnación en obra del tejido con adhesivo epoxídico de viscosidad media MAPEW- RAP 31. Longitud de superposición a la envoltura completa: mínimo 20 cm.
5.-Espolvorear arena de cuarzo seca a saturación sobre la superficie de la última capa de resina todavía fresca para preparar la superficie para posterior aplicación de capa de acabado.</t>
  </si>
  <si>
    <t>mt09rem020a</t>
  </si>
  <si>
    <t>Imprimación de dos componentes a base de resina epoxi, Mapewrap Primer 1 "MAPEI SPAIN", para aplicar con brocha o rodillo sobre elemento estructural a reforzar mediante hojas o laminados de fibra de carbono.</t>
  </si>
  <si>
    <t>mt09rem001n</t>
  </si>
  <si>
    <t>m²</t>
  </si>
  <si>
    <t>Hoja de fibra de carbono unidireccional, Mapewrap C UNI-AX 300/20 W "MAPEI SPAIN", 300 g/m², de 20 cm de anchura y 0,166 mm de espesor, resistencia a tracción 5100 MPa, módulo de elasticidad 245000 N/mm² y elongación última 1,95%, para refuerzo de estructuras.</t>
  </si>
  <si>
    <t>mt09rem030a</t>
  </si>
  <si>
    <t>Resina epoxi saturante, Mapewrap 31 "MAPEI SPAIN", para la aplicación con rodillo sobre soportes de hormigón o acero, en sistemas de refuerzo estructural mediante hojas de fibra de carbono, fibra de vidrio o fibra de aramida en pilares trabajando a compresión, vigas trabajando a cortante o flexión, según UNE-EN 1504-4.</t>
  </si>
  <si>
    <t>HAR00666</t>
  </si>
  <si>
    <t>ENCOFRADO DE BALCON</t>
  </si>
  <si>
    <t>Montaje y desmontaje de sistema de encofrado para formación de balcón de hormigón armado, con acabado tipo industrial para revestir en su cara inferior y laterales, formado por: superficie encofrante de tablones de madera de pino, amortizables en 10 usos; y estructura soporte vertical de puntales metálicos, amortizables en 150 usos. Dejando un recubrimiento de los perfiles metálicos, de 4 cm. Incluso líquido desencofrante, para evitar la adherencia del hormigón al encofrado, y colocación de moldura de poliestireno o similar en perímetro de balcón siguiendo la geometría del modelo original.</t>
  </si>
  <si>
    <t>STCH101-BALCON-02</t>
  </si>
  <si>
    <t>Nuevo Balcón 4,70 m2</t>
  </si>
  <si>
    <t>Partida opcional según balcón. Derribo completo de balcón de 4.7m2. El nuevo balcón se ejecutará según detalle con estructura metálica de mensulas ancladas con tacos químicos en fachada y estructura de ladrillo y capa de compresión, según plano detalle. Incluye todos los acabados con enlucido de mortero de cal.</t>
  </si>
  <si>
    <t>GES02-RAFIA.3.USOS</t>
  </si>
  <si>
    <t>GESTIÓN DE RESIDUOS BIG BAG 1 m3 (3 Usos/Saco de Rafia)</t>
  </si>
  <si>
    <t>B%</t>
  </si>
  <si>
    <t>Gestión del Certificado de Residuos</t>
  </si>
  <si>
    <t>ma-hierromiguel-IPN160</t>
  </si>
  <si>
    <t>Perfil de acero estructural tipo IPN 160 mm (17,90 kg/m).   Ref. hierromiguel-IPN160</t>
  </si>
  <si>
    <t>STCH101-BALCON-01</t>
  </si>
  <si>
    <t>Nueva capa de compresión en balcones, a partir de mallado de acero D6 c20cm BS500 y negativos anclados con HILTI HAS D12 en fachada (3 cada m2). Posterior aplicación de capa de compresión de 5cm con su encofrado perimetral y refuerzos grifados en canto de balcón (Balcón de 4,70 m2).</t>
  </si>
  <si>
    <t>Nueva capa de compresión en balcones, a partir de mallado de acero D6 c20cm BS500 y negativos anclados con HILTI HAS D12 en fachada (3 cada m2). Posterior aplicación de capa de compresión de 5cm con su encofrado perimetral y refuerzos grifados en canto de balcón.(Balcón de 4,70 m2)</t>
  </si>
  <si>
    <t>ma-lp-00001673</t>
  </si>
  <si>
    <t>Redondo acero corrugado diámetro 12 mm (3 m/pza).   Ref. lp-00001673</t>
  </si>
  <si>
    <t>ma-bm-10943415</t>
  </si>
  <si>
    <t>Tamiz de nylon para taco/anclaje químico; 16x130 mm FISCHER (20 pzas./bolsa)   Ref. bm-10943415</t>
  </si>
  <si>
    <t>ma-lp-00001179</t>
  </si>
  <si>
    <t>Mallazo de acero corrugado electrosoldado; cuadrícula de 20x20 cm, diámetro 5 mm (3x2,5 m/pza).   Ref. lp-00001179</t>
  </si>
  <si>
    <t>ma-lp-00001603A</t>
  </si>
  <si>
    <t>Mortero seco para aplicaciones en albañilería M-7,5 VALSEC; color gris (25 kg/saco)   Ref. lp-00001603</t>
  </si>
  <si>
    <t>STRCHA12</t>
  </si>
  <si>
    <t>XXXXXX LIMPIEZA AIRE A PRESION EN FACHADA</t>
  </si>
  <si>
    <t>LIMPIEZA AIRE A PRESION EN FACHADA</t>
  </si>
  <si>
    <t>car1</t>
  </si>
  <si>
    <t>Equipo de chorro de agua a presion</t>
  </si>
  <si>
    <t>STRCHA13</t>
  </si>
  <si>
    <t>XXXXXX LIMPIEZA AIRE A PRESION EN FRENTE DE FORJADO</t>
  </si>
  <si>
    <t>LIMPIEZA AIRE A PRESION EN FRENTE DE FORJADO</t>
  </si>
  <si>
    <t>STRCHA18</t>
  </si>
  <si>
    <t>XXXXXX PREPARACION DE SUPERFICIE DE HORMIGON ESTRUCTURAL, CON MEDIOS MANUALES</t>
  </si>
  <si>
    <t>Preparación de superficie de hormigón estructural, para la posterior aplicación de productos reparadores y protectores, mediante cepillado con cepillo de púas de acero, hasta eliminar una capa de 2 mm de espesor, y carga manual de los restos generados sobre camión o contenedor.</t>
  </si>
  <si>
    <t>STRCHA19</t>
  </si>
  <si>
    <t>XXXXXX PASIVACIÓN "MAPEFER/MAPEI" DE ARMADURA AL DESCUBIERTO EN CANTO DE FORJADO O VIGA DE CUELGUE (h &lt;= 30 cm); NO INCLUYE REFUERZO METÁLICO</t>
  </si>
  <si>
    <t>Aplicación manual de pasivacion Mapefer de mapei, a base de cemento, áridos seleccionados, polímeros y aditivos, para la protección y pasivación de armaduras de acero, y como puente de unión entre morteros de reparación y hormigón existente, garantizando la adherencia entre ambos. El precio no incluye el mortero de reparación.</t>
  </si>
  <si>
    <t>DEM01-ELIMINAR</t>
  </si>
  <si>
    <t>XXXXXX REPICADO DE ENFOSCADO</t>
  </si>
  <si>
    <t>Repicado de enfoscado de cemento, aplicado sobre paramento vertical de hasta 3 m de altura, con medios manuales, sin deteriorar la superficie soporte, que quedará al descubierto y preparada para su posterior revestimiento, y carga manual sobre camión o contenedor.</t>
  </si>
  <si>
    <t>ENCACHADO.MANUAL-GRAVILLA-10cm</t>
  </si>
  <si>
    <t>XXXXXX ENCACHADO A MANO PARA BASE DE SOLERA O LECHO DE TUBERÍA CON GRAVILLA</t>
  </si>
  <si>
    <t>ENCACHADO A MANO PARA BASE DE SOLERA O LECHO DE TUBERÍA CON GRAVILLA</t>
  </si>
  <si>
    <t>ma-lp-00001630</t>
  </si>
  <si>
    <t>Grava gravilla fina (6/20) LA PLATAFORMA (15 kg/saco).   Ref. lp-00001630</t>
  </si>
  <si>
    <t>alq-pison.compactador-mym-68kg</t>
  </si>
  <si>
    <t>Alquiler de Pisón-Compactador - Motor 3HO 68 kg.   Ref. MÁQUINAS Y MÁQUINAS</t>
  </si>
  <si>
    <t>FACHYP-CANTO.FORJA-SR-AT</t>
  </si>
  <si>
    <t>RESTABLECIMIENTO DE CANTO DE FORJADO Y VIGAS DE CUELGUE, INCLUYENDO LA RECUPERACIÓN DE VOLÚMENES Y ARISTAS CON MORTERO DE REPARACIÓN TIXOTRÓPICO A BASE DE CEMENTO, Y EXCLUYE LA RESTAURACIÓN DE ARMADURA DE REFUERZO; MEDIANTE EL USO DE ANDAMIO TUBULAR</t>
  </si>
  <si>
    <t>Restablecimiento de canto de forjado y vigas de cuelgue, incluyendo la recuperación de volúmenes y aristas con mortero de reparación tixotrópico a base de cemento, y excluye la restauración de armadura de refuerzo; mediante el uso de andamio tubular</t>
  </si>
  <si>
    <t>REVPINT-ACRILSILOXANO-V-MS</t>
  </si>
  <si>
    <t>XXXXXX PINTURA ACRILSILOXÁNICA EN PARAMENTOS VERTICALES DE FACHADAS CON PRODUCTO "REVETÓN ABSYDE"; MEDIANTE USO DE MEDIO SUSPENDIDO/COLGADO</t>
  </si>
  <si>
    <t>Pintura acrilsiloxánica en paramentos verticales de fachadas con producto "REVETÓN ABSYDE"; mediante uso de medio suspendido/colgado.</t>
  </si>
  <si>
    <t>ma-bricosyl-01</t>
  </si>
  <si>
    <t>Pintura acrilsiloxánica para fachadas REVETÓN ABSYDE; color blanco y acabado mate. (15 litros/bidón).   Ref. bricosyl-01</t>
  </si>
  <si>
    <t>moc-std1-pintura</t>
  </si>
  <si>
    <t>Cuadrilla Std1 Pintura - 1 Oficial de 1ª, 1 Ayudante y 1/2 Ayudante</t>
  </si>
  <si>
    <t>mo-pintor-oficial1</t>
  </si>
  <si>
    <t>Oficial Pintor de 1ª</t>
  </si>
  <si>
    <t>mo-pintor-ayudante</t>
  </si>
  <si>
    <t>Ayudante de Pintor</t>
  </si>
  <si>
    <t>STRCHA18-MNR-BTP-PIE.BRD</t>
  </si>
  <si>
    <t>pto</t>
  </si>
  <si>
    <t>XXXXXX PASIVACIÓN "BETOPRIM/PROPAMSA" DE PERFILES DE APOYO DE BARANDILLA AL DESCUBIERTO; NO INCLUYE REFUERZO METÁLICO COMPLEMENTARIO</t>
  </si>
  <si>
    <t>PASIVACIÓN "BETOPRIM/PROPAMSA" DE PERFILES DE APOYO DE BARANDILLA AL DESCUBIERTO; NO INCLUYE REFUERZO METÁLICO COMPLEMENTARIO</t>
  </si>
  <si>
    <t>STRCHA03-MNR-H-MPF-SR</t>
  </si>
  <si>
    <t>XXXXXX PASIVACIÓN "MAPEFER/MAPEI" DE ARMADURA AL DESCUBIERTO EN FONDO DE LOSA; NO INCLUYE REFUERZO METÁLICO COMPLEMENTARIO</t>
  </si>
  <si>
    <t>PASIVACIÓN "MAPEFER/MAPEI" DE ARMADURA AL DESCUBIERTO EN FONDO DE LOSA; NO INCLUYE REFUERZO METÁLICO COMPLEMENTARIO</t>
  </si>
  <si>
    <t>STRCHA03-MNR-V-MPF-SR-50</t>
  </si>
  <si>
    <t>XXXXXX PASIVACIÓN "MAPEFER/MAPEI" DE ARMADURA AL DESCUBIERTO EN CANTO DE FORJADO O VIGA DE CUELGUE (30 cm &lt; h &lt;= 50 cm); NO INCLUYE REFUERZO METÁLICO COMPLEMENTARIO</t>
  </si>
  <si>
    <t>PASIVACIÓN "MAPEFER/MAPEI" DE ARMADURA AL DESCUBIERTO EN CANTO DE FORJADO O VIGA DE CUELGUE (30 cm &lt; h &lt;= 50 cm); NO INCLUYE REFUERZO METÁLICO COMPLEMENTARIO</t>
  </si>
  <si>
    <t>STRCHA03-MNR-H-MPF-CR</t>
  </si>
  <si>
    <t>XXXXXX PASIVACIÓN "MAPEFER/MAPEI" DE ARMADURA AL DESCUBIERTO EN FONDO DE LOSA; INCLUYE REFUERZO METÁLICO COMPLEMENTARIO</t>
  </si>
  <si>
    <t>PASIVACIÓN "MAPEFER/MAPEI" DE ARMADURA AL DESCUBIERTO EN FONDO DE LOSA; INCLUYE REFUERZO METÁLICO COMPLEMENTARIO</t>
  </si>
  <si>
    <t>alq.soldadora-mym-01</t>
  </si>
  <si>
    <t>Alquiler de Soldadora Eléctrica Inverter Electrodo 3,25 mm 160A/60% 230 V.   Ref. MÁQUINAS Y MÁQUINAS</t>
  </si>
  <si>
    <t>ma-lp-00351172</t>
  </si>
  <si>
    <t>Electrodo Rutilo 6013  2,5x350 mm (5kg o 55 varillas/caja)   Ref. lp-00351172</t>
  </si>
  <si>
    <t>STRCHA03-MNR-V-MPF-CR-30</t>
  </si>
  <si>
    <t>XXXXXX PASIVACIÓN "MAPEFER/MAPEI" DE ARMADURA AL DESCUBIERTO EN CANTO DE FORJADO O VIGA DE CUELGUE (h &lt; 30 cm); INCLUYE REFUERZO METÁLICO COMPLEMENTARIO</t>
  </si>
  <si>
    <t>PASIVACIÓN "MAPEFER/MAPEI" DE ARMADURA AL DESCUBIERTO EN CANTO DE FORJADO O VIGA DE CUELGUE; INCLUYE REFUERZO METÁLICO COMPLEMENTARIO</t>
  </si>
  <si>
    <t>STRCHA03-MNR-V-MPF-CR-50</t>
  </si>
  <si>
    <t>XXXXXX PASIVACIÓN "MAPEFER/MAPEI" DE ARMADURA AL DESCUBIERTO EN CANTO DE FORJADO O VIGA DE CUELGUE (30 cm &lt; h &lt;= 50 cm); INCLUYE REFUERZO METÁLICO COMPLEMENTARIO</t>
  </si>
  <si>
    <t>PASIVACIÓN "MAPEFER/MAPEI" DE ARMADURA AL DESCUBIERTO EN CANTO DE FORJADO O VIGA DE CUELGUE (30 cm &lt; h &lt;= 50 cm); INCLUYE REFUERZO METÁLICO COMPLEMENTARIO</t>
  </si>
  <si>
    <t>STRCHA03-MNR-V-BTP-SR-30</t>
  </si>
  <si>
    <t>XXXXXX PASIVACIÓN "BETOPRIM/PROPAMSA" DE ARMADURA AL DESCUBIERTO EN CANTO DE FORJADO O VIGA DE CUELGUE (h &lt;= 30 cm); NO INCLUYE REFUERZO METÁLICO COMPLEMENTARIO</t>
  </si>
  <si>
    <t>PASIVACIÓN "BETOPRIM/PROPAMSA" DE ARMADURA AL DESCUBIERTO EN CANTO DE FORJADO O VIGA DE CUELGUE (h &lt;= 30 cm); NO INCLUYE REFUERZO METÁLICO COMPLEMENTARIO</t>
  </si>
  <si>
    <t>STRCHA03-MNR-V-BTP-SR-50</t>
  </si>
  <si>
    <t>XXXXXX PASIVACIÓN "BETOPRIM/PROPAMSA" DE ARMADURA AL DESCUBIERTO EN CANTO DE FORJADO O VIGA DE CUELGUE (30 cm &lt; h &lt;= 50 cm); NO INCLUYE REFUERZO METÁLICO COMPLEMENTARIO</t>
  </si>
  <si>
    <t>PASIVACIÓN "BETOPRIM/PROPAMSA" DE ARMADURA AL DESCUBIERTO EN CANTO DE FORJADO O VIGA DE CUELGUE (30 cm &lt; h &lt;= 50 cm); NO INCLUYE REFUERZO METÁLICO COMPLEMENTARIO</t>
  </si>
  <si>
    <t>STRCHA03-MNR-H-BTP-CR</t>
  </si>
  <si>
    <t>XXXXXX PASIVACIÓN "BETOPRIM/PROPAMSA" DE ARMADURA AL DESCUBIERTO EN FONDO DE LOSA; INCLUYE REFUERZO METÁLICO COMPLEMENTARIO</t>
  </si>
  <si>
    <t>PASIVACIÓN "BETOPRIM/PROPAMSA" DE ARMADURA AL DESCUBIERTO EN FONDO DE LOSA; INCLUYE REFUERZO METÁLICO COMPLEMENTARIO</t>
  </si>
  <si>
    <t>STRCHA03-MNR-V-BTP-CR-30</t>
  </si>
  <si>
    <t>XXXXXX PASIVACIÓN "BETOPRIM/PROPAMSA" DE ARMADURA AL DESCUBIERTO EN CANTO DE FORJADO O VIGA DE CUELGUE (h &lt;= 30 cm); INCLUYE REFUERZO METÁLICO COMPLEMENTARIO</t>
  </si>
  <si>
    <t>PASIVACIÓN "BETOPRIM/PROPAMSA" DE ARMADURA AL DESCUBIERTO EN CANTO DE FORJADO O VIGA DE CUELGUE (h &lt;= 30 cm); INCLUYE REFUERZO METÁLICO COMPLEMENTARIO</t>
  </si>
  <si>
    <t>STRCHA03-MNR-V-BTP-CR-50</t>
  </si>
  <si>
    <t>XXXXXX PASIVACIÓN "BETOPRIM/PROPAMSA" DE ARMADURA AL DESCUBIERTO EN CANTO DE FORJADO O VIGA DE CUELGUE (30 cm &lt; h &lt;= 50 cm); INCLUYE REFUERZO METÁLICO COMPLEMENTARIO</t>
  </si>
  <si>
    <t>PASIVACIÓN "BETOPRIM/PROPAMSA" DE ARMADURA AL DESCUBIERTO EN CANTO DE FORJADO O VIGA DE CUELGUE (30 cm &lt; h &lt;= 50 cm); INCLUYE REFUERZO METÁLICO COMPLEMENTARIO</t>
  </si>
  <si>
    <t>STRCHA15-MNR-H-BTP-CR</t>
  </si>
  <si>
    <t>XXXXXX PASIVACIÓN Y PUENTE DE UNIÓN "BETOPRIM/PROPAMSA" ENTRE SOPORTES DE PARAMENTOS FONDO DE LOSA; INCLUYE REFUERZO METÁLICO COMPLEMENTARIO</t>
  </si>
  <si>
    <t>Pasivación y puente de unión "betoprim/propamsa" entre soportes de paramentos fondo de losa; no incluye refuerzo metálico complementario.
Esta opción consiste en asumir que el producto BETOPRIM de PROPAMSA se utiliza como Puente de Unión, con efecto secundario de Pasivador de los Refuerzos Metálicos existentes.</t>
  </si>
  <si>
    <t>STRCHA15-MNR-V-BTP-CR-50</t>
  </si>
  <si>
    <t>XXXXXX PASIVACIÓN Y PUENTE DE UNIÓN "BETOPRIM/PROPAMSA" DE ARMADURA AL DESCUBIERTO EN CANTO DE FORJADO O VIGA DE CUELGUE (30 cm &lt; h &lt;= 50 cm); INCLUYE REFUERZO METÁLICO COMPLEMENTARIO</t>
  </si>
  <si>
    <t>PASIVACIÓN Y PUENTE DE UNIÓN "BETOPRIM/PROPAMSA" DE ARMADURA AL DESCUBIERTO EN CANTO DE FORJADO O VIGA DE CUELGUE (30 cm &lt; h &lt;= 50 cm); INCLUYE REFUERZO METÁLICO COMPLEMENTARIO.
Esta opción consiste en asumir que el producto BETOPRIM de PROPAMSA se utiliza como Puente de Unión, con efecto secundario de Pasivador de los Refuerzos Metálicos existentes.</t>
  </si>
  <si>
    <t>STRCHA15-MNR-V-BTP-CR-30</t>
  </si>
  <si>
    <t>XXXXXX PASIVACIÓN Y PUENTE DE UNIÓN "BETOPRIM/PROPAMSA" DE ARMADURA AL DESCUBIERTO EN CANTO DE FORJADO O VIGA DE CUELGUE (h &lt;= 30 cm); INCLUYE REFUERZO METÁLICO COMPLEMENTARIO</t>
  </si>
  <si>
    <t>PASIVACIÓN Y PUENTE DE UNIÓN "BETOPRIM/PROPAMSA" DE ARMADURA AL DESCUBIERTO EN CANTO DE FORJADO O VIGA DE CUELGUE (h &lt;= 30 cm); INCLUYE REFUERZO METÁLICO COMPLEMENTARIO.
Esta opción consiste en asumir que el producto BETOPRIM de PROPAMSA se utiliza como Puente de Unión, con efecto secundario de Pasivador de los Refuerzos Metálicos existentes.</t>
  </si>
  <si>
    <t>STRCHA16-MNR-H-15-GDK-CR</t>
  </si>
  <si>
    <t>XXXXXX REPARACIÓN 15 mm DE FONDO DE LOSA DE HORMIGÓN ARMADO C/GEOLITE 40 DE KERAKOLL Y MAPEFER 1K DE MAPEI; INCLUYE REFUERZO METÁLICO COMPLEMENTARIO</t>
  </si>
  <si>
    <t>REPARACIÓN 15 mm DE FONDO DE LOSA DE HORMIGÓN ARMADO C/GEOLITE 40 DE KERAKOLL Y MAPEFER 1K DE MAPEI; INCLUYE REFUERZO METÁLICO COMPLEMENTARIO</t>
  </si>
  <si>
    <t>STRCHA16-MNR-H-15-TCH-CR</t>
  </si>
  <si>
    <t>XXXXXX REPARACIÓN 15 mm DE FONDO DE LOSA DE HORMIGÓN ARMADO C/REPAR TECHNO Y BETOPRIM DE PROPAMSA; INCLUYE REFUERZO METÁLICO COMPLEMENTARIO</t>
  </si>
  <si>
    <t>REPARACIÓN 15 mm DE FONDO DE LOSA DE HORMIGÓN ARMADO C/REPAR TECHNO Y BETOPRIM DE PROPAMSA; INCLUYE REFUERZO METÁLICO COMPLEMENTARIO</t>
  </si>
  <si>
    <t>STRCHA05</t>
  </si>
  <si>
    <t>Reparación de hormigón armado, mediante picado del hormigón deteriorado, eliminando el hormigón en mal estado hasta llegar a las armaduras; recrecido del forjado con hormigón con mortero de reparacion estructural. El precio incluye el montaje y desmontaje del sistema de encofrado y el desplazamiento.</t>
  </si>
  <si>
    <t>STRCHA16-MNR-H-20-GDK-CR</t>
  </si>
  <si>
    <t>XXXXXX REPARACIÓN 20 mm DE FONDO DE LOSA DE HORMIGÓN ARMADO C/GEOLITE 40 DE KERAKOLL Y MAPEFER 1K DE MAPEI; INCLUYE REFUERZO METÁLICO COMPLEMENTARIO</t>
  </si>
  <si>
    <t>REPARACIÓN 20 mm DE FONDO DE LOSA DE HORMIGÓN ARMADO C/GEOLITE 40 DE KERAKOLL Y MAPEFER 1K DE MAPEI; INCLUYE REFUERZO METÁLICO COMPLEMENTARIO</t>
  </si>
  <si>
    <t>STRCHA16-MNR-H-20-TCH-CR</t>
  </si>
  <si>
    <t>XXXXXX REPARACIÓN 20 mm DE FONDO DE LOSA DE HORMIGÓN ARMADO C/REPAR TECHNO Y BETOPRIM DE PROPAMSA; INCLUYE REFUERZO METÁLICO COMPLEMENTARIO</t>
  </si>
  <si>
    <t>REPARACIÓN 20 mm DE FONDO DE LOSA DE HORMIGÓN ARMADO C/REPAR TECHNO Y BETOPRIM DE PROPAMSA; INCLUYE REFUERZO METÁLICO COMPLEMENTARIO</t>
  </si>
  <si>
    <t>STRCHA16-MNR-V-15-GDK-CR-30</t>
  </si>
  <si>
    <t>XXXXXX REPARACIÓN 15 mm DE CANTOS DE FORJADO O VIGAS DE CUELGUE DE HORMIGÓN ARMADO C/GEOLITE 40 de KERAKOLL Y MAPEFER 1K DE MAPEI (h &lt;= 30 cm); INCLUYE REFUERZO METÁLICO COMPLEMENTARIO</t>
  </si>
  <si>
    <t>REPARACIÓN 15 mm DE CANTOS DE FORJADO O VIGAS DE CUELGUE DE HORMIGÓN ARMADO C/GEOLITE 40 de KERAKOLL Y MAPEFER 1K DE MAPEI (h &lt;= 30 cm); INCLUYE REFUERZO METÁLICO COMPLEMENTARIO</t>
  </si>
  <si>
    <t>STRCHA16-MNR-V-15-GDK-CR-50</t>
  </si>
  <si>
    <t>XXXXXX REPARACIÓN 15 mm DE CANTOS DE FORJADO O VIGAS DE CUELGUE DE HORMIGÓN ARMADO C/GEOLITE 40 de KERAKOLL Y MAPEFER 1K DE MAPEI (30 cm &lt; h &lt;= 50 cm); INCLUYE REFUERZO METÁLICO COMPLEMENTARIO</t>
  </si>
  <si>
    <t>REPARACIÓN 15 mm DE CANTOS DE FORJADO O VIGAS DE CUELGUE DE HORMIGÓN ARMADO C/GEOLITE 40 de KERAKOLL Y MAPEFER 1K DE MAPEI (30 cm &lt; h &lt;= 50 cm); INCLUYE REFUERZO METÁLICO COMPLEMENTARIO</t>
  </si>
  <si>
    <t>STRCHA16-MNR-V-15-TCH-CR-30</t>
  </si>
  <si>
    <t>XXXXXX REPARACIÓN 15 mm DE CANTOS DE FORJADO O VIGAS DE CUELGUE DE HORMIGÓN ARMADO C/REPAR TECHNO Y BETOPRIM DE PROPAMSA (h &lt;= 30 cm); INCLUYE REFUERZO METÁLICO COMPLEMENTARIO</t>
  </si>
  <si>
    <t>REPARACIÓN 15 mm DE CANTOS DE FORJADO O VIGAS DE CUELGUE DE HORMIGÓN ARMADO C/REPAR TECHNO Y BETOPRIM DE PROPAMSA (h &lt;= 30 cm); INCLUYE REFUERZO METÁLICO COMPLEMENTARIO</t>
  </si>
  <si>
    <t>STRCHA16-MNR-V-15-TCH-CR-50</t>
  </si>
  <si>
    <t>XXXXXX REPARACIÓN 15 mm DE CANTOS DE FORJADO O VIGAS DE CUELGUE DE HORMIGÓN ARMADO C/REPAR TECHNO Y BETOPRIM DE PROPAMSA (30 cm &lt; h &lt;= 50 cm); INCLUYE REFUERZO METÁLICO COMPLEMENTARIO</t>
  </si>
  <si>
    <t>REPARACIÓN 15 mm DE CANTOS DE FORJADO O VIGAS DE CUELGUE DE HORMIGÓN ARMADO C/REPAR TECHNO Y BETOPRIM DE PROPAMSA (30 cm &lt; h &lt;= 50 cm); INCLUYE REFUERZO METÁLICO COMPLEMENTARIO</t>
  </si>
  <si>
    <t>STRCHA16-MNR-V-20-GDK-CR-30</t>
  </si>
  <si>
    <t>XXXXXX REPARACIÓN 20 mm DE CANTOS DE FORJADO O VIGAS DE CUELGUE DE HORMIGÓN ARMADO C/GEOLITE 40 de KERAKOLL Y MAPEFER 1K DE MAPEI (h &lt;= 30 cm); INCLUYE REFUERZO METÁLICO COMPLEMENTARIO</t>
  </si>
  <si>
    <t>REPARACIÓN 20 mm DE CANTOS DE FORJADO O VIGAS DE CUELGUE DE HORMIGÓN ARMADO C/GEOLITE 40 de KERAKOLL Y MAPEFER 1K DE MAPEI (h &lt;= 30 cm); INCLUYE REFUERZO METÁLICO COMPLEMENTARIO</t>
  </si>
  <si>
    <t>STRCHA16-MNR-V-20-GDK-CR-50</t>
  </si>
  <si>
    <t>XXXXXX REPARACIÓN 20 mm DE CANTOS DE FORJADO O VIGAS DE CUELGUE DE HORMIGÓN ARMADO C/GEOLITE 40 de KERAKOLL Y MAPEFER 1K DE MAPEI (30 cm &lt; h &lt;= 50 cm); INCLUYE REFUERZO METÁLICO COMPLEMENTARIO</t>
  </si>
  <si>
    <t>REPARACIÓN 20 mm DE CANTOS DE FORJADO O VIGAS DE CUELGUE DE HORMIGÓN ARMADO C/GEOLITE 40 de KERAKOLL Y MAPEFER 1K DE MAPEI (30 cm &lt; h &lt;= 50 cm); INCLUYE REFUERZO METÁLICO COMPLEMENTARIO</t>
  </si>
  <si>
    <t>STRCHA16-MNR-V-20-TCH-CR-30</t>
  </si>
  <si>
    <t>XXXXXX REPARACIÓN 20 mm DE CANTOS DE FORJADO O VIGAS DE CUELGUE DE HORMIGÓN ARMADO C/REPAR TECHNO Y BETOPRIM DE PROPAMSA (h &lt;= 30 cm); INCLUYE REFUERZO METÁLICO COMPLEMENTARIO</t>
  </si>
  <si>
    <t>REPARACIÓN 20 mm DE CANTOS DE FORJADO O VIGAS DE CUELGUE DE HORMIGÓN ARMADO C/REPAR TECHNO Y BETOPRIM DE PROPAMSA (h &lt;= 30 cm); INCLUYE REFUERZO METÁLICO COMPLEMENTARIO</t>
  </si>
  <si>
    <t>STRCHA16-MNR-V-20-TCH-CR-50</t>
  </si>
  <si>
    <t>XXXXXX REPARACIÓN 20 mm DE CANTOS DE FORJADO O VIGAS DE CUELGUE DE HORMIGÓN ARMADO C/REPAR TECHNO Y BETOPRIM DE PROPAMSA (30 cm &lt; h &lt;= 50 cm); INCLUYE REFUERZO METÁLICO COMPLEMENTARIO</t>
  </si>
  <si>
    <t>REPARACIÓN 20 mm DE CANTOS DE FORJADO O VIGAS DE CUELGUE DE HORMIGÓN ARMADO C/REPAR TECHNO Y BETOPRIM DE PROPAMSA (30 cm &lt; h &lt;= 50 cm); INCLUYE REFUERZO METÁLICO COMPLEMENTARIO</t>
  </si>
  <si>
    <t>STRCHA20-PERFIL10-BTP-AT</t>
  </si>
  <si>
    <t>XXXXXX PASIVACIÓN Y PUENTE DE UNIÓN "BETOPRIM/PROPAMSA" EN ANDAMIO TUBULAR DE PERFIL IPN10</t>
  </si>
  <si>
    <t>Pasivación y puente de unión "BETOPRIM/PROPAMSA" en andamio tubular de perfil IPN10</t>
  </si>
  <si>
    <t>STRCHA20-PERFIL12-BTP-AT</t>
  </si>
  <si>
    <t>XXXXXX PASIVACIÓN Y PUENTE DE UNIÓN "BETOPRIM/PROPAMSA" EN ANDAMIO TUBULAR DE PERFIL IPN12</t>
  </si>
  <si>
    <t>Pasivación y puente de unión "BETOPRIM/PROPAMSA" en andamio tubular de perfil IPN12</t>
  </si>
  <si>
    <t>STRCHA20-PERFIL14-BTP-AT</t>
  </si>
  <si>
    <t>XXXXXX PASIVACIÓN Y PUENTE DE UNIÓN "BETOPRIM/PROPAMSA" EN ANDAMIO TUBULAR DE PERFIL IPN14</t>
  </si>
  <si>
    <t>Pasivación y puente de unión "BETOPRIM/PROPAMSA" en andamio tubular de perfil IPN14</t>
  </si>
  <si>
    <t>STRCA</t>
  </si>
  <si>
    <t>ACERO</t>
  </si>
  <si>
    <t>STRCA01</t>
  </si>
  <si>
    <t>REFUERZO DE VIGA C/ANGULO 90X90X9MM: PRINCIPE DE VAINA, 5 - PLANTA 4ª</t>
  </si>
  <si>
    <t>STRCA0101</t>
  </si>
  <si>
    <t>Enderroc integral de fals sostre de plaques de cartró-guix</t>
  </si>
  <si>
    <t>02AYUDANTES</t>
  </si>
  <si>
    <t>Mano de obra: 2 Ayudantes</t>
  </si>
  <si>
    <t>STRCA0102</t>
  </si>
  <si>
    <t>Escatat integral de les bigues de fusta</t>
  </si>
  <si>
    <t>STRCA0103</t>
  </si>
  <si>
    <t>Formació de nou forat per a extracció de fums de cuina al costat de l'existent</t>
  </si>
  <si>
    <t>GASFRIG</t>
  </si>
  <si>
    <t>Gas frigorifico</t>
  </si>
  <si>
    <t>STRCA0104</t>
  </si>
  <si>
    <t>Subministrament i colocació de perfils angulars de 90x90x9mm</t>
  </si>
  <si>
    <t>PERANG90x90</t>
  </si>
  <si>
    <t>Perfils angulars de 90x90x9mm de 344cm de llarg</t>
  </si>
  <si>
    <t>PLETINA</t>
  </si>
  <si>
    <t>Platina de 150x90x8mm amb dos forats colissos de 14mm de diametre i 30mm d'alçada separats 90mm.</t>
  </si>
  <si>
    <t>ANCLM12</t>
  </si>
  <si>
    <t>Anclaje pared M12</t>
  </si>
  <si>
    <t>00557751</t>
  </si>
  <si>
    <t>ANCLAJE QUÍMICO BIGMAT EPOXI SIN ESTIRENO 300 ML Ref.: 00557751</t>
  </si>
  <si>
    <t>PERMISOVP</t>
  </si>
  <si>
    <t>Permiso de Via publica</t>
  </si>
  <si>
    <t>WEBER600</t>
  </si>
  <si>
    <t>WeberTec Grout 600 25Kg. Gris</t>
  </si>
  <si>
    <t>TRNS</t>
  </si>
  <si>
    <t>GRUA</t>
  </si>
  <si>
    <t>Grua</t>
  </si>
  <si>
    <t>m.o.1.e</t>
  </si>
  <si>
    <t>Mano de obra Especializada: 1 Oficial + 2 Ayudante</t>
  </si>
  <si>
    <t>STRCA0105</t>
  </si>
  <si>
    <t>Reblert dels forats resultants en la jàssera de fusta del passadís</t>
  </si>
  <si>
    <t>00000364</t>
  </si>
  <si>
    <t>LADRILLO CERÁMICO NATURAL HIDROFUGADO 24X11,5X5 MARRÓN Ref.: 00000364</t>
  </si>
  <si>
    <t>SIKA612U</t>
  </si>
  <si>
    <t>Sika Monotop 612. 25 kg</t>
  </si>
  <si>
    <t>STRCA0106</t>
  </si>
  <si>
    <t>Formació de nou fals sostre</t>
  </si>
  <si>
    <t>TECHHIDRO</t>
  </si>
  <si>
    <t>Falso techo Hidrofugo  con Omega</t>
  </si>
  <si>
    <t>STRCA0107</t>
  </si>
  <si>
    <t>Pintat de sostres i paraments de les estances afectades</t>
  </si>
  <si>
    <t>PINTACRI</t>
  </si>
  <si>
    <t>Pintura acrilica</t>
  </si>
  <si>
    <t>IMP</t>
  </si>
  <si>
    <t>Imprimacion</t>
  </si>
  <si>
    <t>GES001</t>
  </si>
  <si>
    <t>GESTION DE RESIDUOS</t>
  </si>
  <si>
    <t>ADM01</t>
  </si>
  <si>
    <t>Gestion del certificado de residuos</t>
  </si>
  <si>
    <t>STRCA02</t>
  </si>
  <si>
    <t>REFUERZO DE VIGA C/MECANOVIGA: SANT ANTONIO ABAT, 29 - LOCAL</t>
  </si>
  <si>
    <t>STRCA0201</t>
  </si>
  <si>
    <t>AYUDAS DE ALBAÑILERIA</t>
  </si>
  <si>
    <t>STRCA0202</t>
  </si>
  <si>
    <t>REFUERZO DE VIGA DE 4.04 M MECANOVIGA</t>
  </si>
  <si>
    <t>00551136</t>
  </si>
  <si>
    <t>ANCLAJE QUÍMICO BIGMAT EPOXI SIN ESTIRENO 410 ML Ref.: 00551136</t>
  </si>
  <si>
    <t>00016913</t>
  </si>
  <si>
    <t>VARILLA FIS GS M12X120 B FISCHER Ref.: 00016913</t>
  </si>
  <si>
    <t>ret1</t>
  </si>
  <si>
    <t>Retacado de las alas del perfil</t>
  </si>
  <si>
    <t>hor1</t>
  </si>
  <si>
    <t>Horcel (espumante de mortero) 1 L</t>
  </si>
  <si>
    <t>horc1</t>
  </si>
  <si>
    <t>Horcel (espumante de mortero) 1L</t>
  </si>
  <si>
    <t>IMPREV</t>
  </si>
  <si>
    <t>Imprevistos</t>
  </si>
  <si>
    <t>cm</t>
  </si>
  <si>
    <t>Cemento portland</t>
  </si>
  <si>
    <t>HW-120</t>
  </si>
  <si>
    <t>MVV 16 5000</t>
  </si>
  <si>
    <t>Mort1</t>
  </si>
  <si>
    <t>Mortero (alas) modelo MVH 491-680</t>
  </si>
  <si>
    <t>bomb1</t>
  </si>
  <si>
    <t>Bomba de mortero celular + manguera</t>
  </si>
  <si>
    <t>STRCA0203</t>
  </si>
  <si>
    <t>REFUERZO DE 2 VIGAS CON ANGULO EN "L"</t>
  </si>
  <si>
    <t>mat2</t>
  </si>
  <si>
    <t>Tubo cuadrado acero inoxidable 100 x 2,5 x 2,5 cm</t>
  </si>
  <si>
    <t>STRCA03</t>
  </si>
  <si>
    <t>PROTECCION PASIVA CONTRA INCENDIOS</t>
  </si>
  <si>
    <t>STRCA0301</t>
  </si>
  <si>
    <t>PROTECCION PASIVA CONTRA INCENDIOS DE ESTRUCTURA, CON MORTERO IGNIFUGO PROYECTADO ( PERLITA Y VERMICULITA)</t>
  </si>
  <si>
    <t>PERLI</t>
  </si>
  <si>
    <t>PERLIWOOL IGNIFUGO PERLITA Y VERMICULITA  300 Kg/m3 - 1.04€/KG</t>
  </si>
  <si>
    <t>alq-mezcladora1-s/c</t>
  </si>
  <si>
    <t>Alquiler de Mezcladora Bombeadora para morteros</t>
  </si>
  <si>
    <t>STRCA04</t>
  </si>
  <si>
    <t>Acero laminado S235JR, perfil en caliente de las series IPN, IPE, HEB, HEA, HEM y UPN</t>
  </si>
  <si>
    <t>Acero laminado UNE-EN 10025 S235JR, en pieza simple de perfiles laminados en caliente de las series IPN, IPE, HEB, HEA, HEM y UPN, acabado con imprimación antioxidante, conformando elementos de anclaje, trabajado en taller y fijado mediante soldadura, para refuerzo estructural colocado a una altura de hasta 3 m. El precio incluye las soldaduras, los cortes, los despuntes, las piezas especiales, los casquillos y los elementos auxiliares de montaje.</t>
  </si>
  <si>
    <t>IPN</t>
  </si>
  <si>
    <t>Acero IPN</t>
  </si>
  <si>
    <t>SOLDADORA</t>
  </si>
  <si>
    <t>Alquiler y auxiliares de soldadura</t>
  </si>
  <si>
    <t>00351244</t>
  </si>
  <si>
    <t>ELECTRODO BASICO 3,2X350 MM 5 KG, 150 UDS Ref.: 00351244</t>
  </si>
  <si>
    <t>ma-lp-00016623</t>
  </si>
  <si>
    <t>Anclaje químico Fischer FIS P PLUS 300 T cartucho de 300 ml + 1 boquilla mezcladora. Ref.: 00016623</t>
  </si>
  <si>
    <t>00016911</t>
  </si>
  <si>
    <t>VARILLA FIS GS M10X120 B FISCHER Ref.: 00016911</t>
  </si>
  <si>
    <t>ESTRCRV</t>
  </si>
  <si>
    <t>REFUERZOS DE VIGAS</t>
  </si>
  <si>
    <t>STRCRV01</t>
  </si>
  <si>
    <t>Suministro y colocacion de refuerzo en viga de metalica en mal estado o deteriorada, formado por perfiles, pletina union, de acero laminado UNE-EN 10025 S235JR, de 404 cm, apoyado sobre dos soportes metálicos de postensión, anclados al elemento de apoyo de la viga o vigueta de metalica, y posterior relleno de alas de la pieza en U con mortero de union R4 de retraccion controlada.</t>
  </si>
  <si>
    <t>STRCRV02</t>
  </si>
  <si>
    <t>REFUERZO DE VIGA DE 4.04 M NOU-BAU</t>
  </si>
  <si>
    <t>VIG2</t>
  </si>
  <si>
    <t>SUMINISTRO Y MONTAJE VIGAS DE 4.04M DE NOUBAU</t>
  </si>
  <si>
    <t>PRPTRAN</t>
  </si>
  <si>
    <t>PREPARACION I TRANSPORTE</t>
  </si>
  <si>
    <t>STRCRV03</t>
  </si>
  <si>
    <t>REHABILITACION DE CABEZA DE VIGA</t>
  </si>
  <si>
    <t>Rehabilitacio de vigas de madera en cabeza de viga mediante sistema HERMS.
Incluye:
1) Protección de todo el mobiliario existente en la zona adyacente a la actuación, envolviendo los elementos con lámina de polietileno.
2) Apuntalamiento de la viga a tratar a 30cm de la pared, mediante alzaprima metalico, con descarga es sus extremos superior e inferior, sobre tablones de madera de 200x200x50mm. 
3) Apertura perimetral de la albañilería en el entorno de la viga para facilitar la extracción del trozo de viga en mal estado, y transporte de runa a vertedero.
4) Suministro e instalacion de refuerzo de viga con sistema HERMS de 30cm de largo, anclado a muro con tornillos M12.
5) Aplicación de pintura antioxidante.
6) Restitución de la albañilería mediante aplicación de mortero.
7) Revoco y dos manos de pintura similar a la existente.
8) Suministro y colocacion de techo de pladur, previa demolicion del mismo.</t>
  </si>
  <si>
    <t>STRCRV0301</t>
  </si>
  <si>
    <t>PROTECCION DE PAVIMENTOS Y MOBILIARIO</t>
  </si>
  <si>
    <t>00139017</t>
  </si>
  <si>
    <t>CARTÓN ONDULADO 50 M Ref.: 00139017</t>
  </si>
  <si>
    <t>00007667</t>
  </si>
  <si>
    <t>PLÁSTICO CUBRETODO GRUESO 4X5 MIARCO Ref.: 00007667</t>
  </si>
  <si>
    <t>00534908</t>
  </si>
  <si>
    <t>CINTA DE PINTOR KREPP 18 MM X 45 M Ref.: 00534908</t>
  </si>
  <si>
    <t>STRCRV0302</t>
  </si>
  <si>
    <t>AYUDAS DE ALBAÑILERIAS (entre 4ml)</t>
  </si>
  <si>
    <t>STRCRV0303</t>
  </si>
  <si>
    <t>PASIVADO Y TRATAMIENTO DE ARMADURA</t>
  </si>
  <si>
    <t>00540914</t>
  </si>
  <si>
    <t>MORTERO REPARACIÓN MAPEFER, 1K DE 5 KG Ref.: 00540914</t>
  </si>
  <si>
    <t>STRCRV0304</t>
  </si>
  <si>
    <t>REFUERZO CABEZA DE VIGA DE MADERA HERMS</t>
  </si>
  <si>
    <t>CBZ1</t>
  </si>
  <si>
    <t>Conjunto soporte cabeza de viga HERMS</t>
  </si>
  <si>
    <t>resn1</t>
  </si>
  <si>
    <t>Cartuchos resina vinilester sin estireno</t>
  </si>
  <si>
    <t>r4s1</t>
  </si>
  <si>
    <t>Sacos mortero de unión R4 de retracción controlada</t>
  </si>
  <si>
    <t>imprherms</t>
  </si>
  <si>
    <t>Imprimación antioxidante TITAN SX-130 0,75 L</t>
  </si>
  <si>
    <t>disherms</t>
  </si>
  <si>
    <t>Disolvente Universal TITAN</t>
  </si>
  <si>
    <t>rodl1</t>
  </si>
  <si>
    <t>Rodillo espuma para imprimación</t>
  </si>
  <si>
    <t>DEM01</t>
  </si>
  <si>
    <t>DEMOLICION DE FALSO TECHO</t>
  </si>
  <si>
    <t>PINT002</t>
  </si>
  <si>
    <t>o PINTURA TRANSPIRABLE PALAS-INTERFACHADAS</t>
  </si>
  <si>
    <t>0120100600</t>
  </si>
  <si>
    <t>FT-PALAS INTER FACHADAS BLANCO 14L       PINTURAS PALACIOS</t>
  </si>
  <si>
    <t>ma-palacios-0135001400SL</t>
  </si>
  <si>
    <t>FIJADOR ISACRILICO 15L             PINTURAS PALACIOS</t>
  </si>
  <si>
    <t>ma-palacios-019506100017</t>
  </si>
  <si>
    <t>CUBETA PL. NEGRA+REJ.PLAST. *PINTOR* 16L   PINTURAS PALACIOS</t>
  </si>
  <si>
    <t>ma-palacios-019501240022</t>
  </si>
  <si>
    <t>ROD.NYLON BICOLOR D60 22cm PTR   PINTURAS PALACIOS</t>
  </si>
  <si>
    <t>ma-palacios-020500000024</t>
  </si>
  <si>
    <t>CINTA KREPP M 24mm X 45MI     PINTURAS PALACIOS</t>
  </si>
  <si>
    <t>ma-palacios-019002001312</t>
  </si>
  <si>
    <t>BRO.PRENSADA EXTRA AZUL 12   PINTURAS PALACIOS</t>
  </si>
  <si>
    <t>REV05</t>
  </si>
  <si>
    <t>REVESTIMIENTO DE YESO</t>
  </si>
  <si>
    <t>ma-lp-00001706</t>
  </si>
  <si>
    <t>Malla de fibra de vidrio para yeso REGARSA con luz de 5x5 mm (50 m/rollo)   Ref. lp-00001706</t>
  </si>
  <si>
    <t>ma-lp-00579020</t>
  </si>
  <si>
    <t>Yeso controlado LONGIPS PREMIUM de PLACO (17 kg/saco).   Ref. lp-00579020</t>
  </si>
  <si>
    <t>ma-lp-00018144</t>
  </si>
  <si>
    <t>Esquinero pequeño monocapa para carga de 8 mm (2,5 m/pza).   Ref. lp-00018144</t>
  </si>
  <si>
    <t>00018338</t>
  </si>
  <si>
    <t>GUARDAVIVO PVC 2,50 M Ref.: 00018338</t>
  </si>
  <si>
    <t>FACHTEC03-OK</t>
  </si>
  <si>
    <t>FALSO TECHO NORMAL</t>
  </si>
  <si>
    <t>tech1</t>
  </si>
  <si>
    <t>Falso techo continuo NORMAL adosado, liso, 12,5+15+15</t>
  </si>
  <si>
    <t>STRCRV04</t>
  </si>
  <si>
    <t>REFUERZO DE VIGA DE MECANOVIGA MVV12</t>
  </si>
  <si>
    <t>STRCRV0401</t>
  </si>
  <si>
    <t>MEDIOS AUXILIARES ANDAMIO</t>
  </si>
  <si>
    <t>00016940</t>
  </si>
  <si>
    <t>BORRIQUETA FIJA 1 M Ref.: 00016940</t>
  </si>
  <si>
    <t>STRCRV0402</t>
  </si>
  <si>
    <t>DEMOLICION DE MURO DE FABRICA</t>
  </si>
  <si>
    <t>STRCRV0403</t>
  </si>
  <si>
    <t>APUNTALAMIENTO DE VIGAS</t>
  </si>
  <si>
    <t>STRCRV0404</t>
  </si>
  <si>
    <t>PROTECCION DE PAVIMENTOS Y MOBILIARIO (entre 8m2)</t>
  </si>
  <si>
    <t>cint</t>
  </si>
  <si>
    <t>CINTA DE PINTOR NOVIPRO 50 M X 19 MM  Ref.: 00399328</t>
  </si>
  <si>
    <t>STRCRV0405</t>
  </si>
  <si>
    <t>DEMOLICION DE TECHO  (entre 8m2)</t>
  </si>
  <si>
    <t>STRCRV0406</t>
  </si>
  <si>
    <t>STRCRV0407</t>
  </si>
  <si>
    <t>STRCRV0408</t>
  </si>
  <si>
    <t>REFUERZO DE VIGA DE 4.00 M (Dividido entre 4m)</t>
  </si>
  <si>
    <t>RED1</t>
  </si>
  <si>
    <t>Resina de dos comp. epoxi sin estireno 410ml</t>
  </si>
  <si>
    <t>trns</t>
  </si>
  <si>
    <t>STRCRV0409</t>
  </si>
  <si>
    <t>FALSO TECHO DE PLADUR (entre 8m2)</t>
  </si>
  <si>
    <t>fis1</t>
  </si>
  <si>
    <t>falso techo 44€/m2</t>
  </si>
  <si>
    <t>STRCRV0410</t>
  </si>
  <si>
    <t>PINTURA PLASTICA  (entre 8m2)</t>
  </si>
  <si>
    <t>STRCRV0411</t>
  </si>
  <si>
    <t>GESTION DE RESIDUOS BIG BAG 1M3</t>
  </si>
  <si>
    <t>STRCRV0412</t>
  </si>
  <si>
    <t>00095260</t>
  </si>
  <si>
    <t>YESO MANUAL CONTROLADO S1 17 KG LA PLATAFORMA Ref.: 00095260</t>
  </si>
  <si>
    <t>STRCRV05</t>
  </si>
  <si>
    <t>REFUERZO DE VIGA DE 4.85M MVV16</t>
  </si>
  <si>
    <t>MVV16S</t>
  </si>
  <si>
    <t>Viga MVV15 de 4.85m</t>
  </si>
  <si>
    <t>varM12</t>
  </si>
  <si>
    <t>Varilla roscada M12 con arandela y tuerca</t>
  </si>
  <si>
    <t>trns2</t>
  </si>
  <si>
    <t>Transporte a obra</t>
  </si>
  <si>
    <t>STRCRV06</t>
  </si>
  <si>
    <t>REFUERZO DE VIGA MECANOVIGA 4.30M ppto 25.0008</t>
  </si>
  <si>
    <t>Suministro hasta pie del punto de montaje y colocación de vigas de la casa Mecanovia, incluido todas las piezas y materiales necesarias para su correcta ejecución, 1 kits MVV 12 de 4300mm</t>
  </si>
  <si>
    <t>MVV12-4250</t>
  </si>
  <si>
    <t>Viga de mecanoviga mod. MVV12-4250</t>
  </si>
  <si>
    <t>M.O.MECANOV2</t>
  </si>
  <si>
    <t>Colocacion de kits MVV e inyectado con bomba</t>
  </si>
  <si>
    <t>M.O.MECANOVIGA</t>
  </si>
  <si>
    <t>Subida de material a obra MECANOVIGA</t>
  </si>
  <si>
    <t>STRCRV07</t>
  </si>
  <si>
    <t>PERFIL DE REFUERZO BAJO VIGUETA DE BALCON UPN-140</t>
  </si>
  <si>
    <t>Suministro y colocación de perfil metálico tipo UPN 140 o equivalente, acabado con imprimación antioxidante, por formación de escuadra por apoyo de viga en voladizo, formado por un tramo horizontal bajo viga y un tramo inferior a 30 grados, soldados entre sí en extremo o según indicaciones de la DF, y fijado maciza cuadrada de 200x200x8 mm o geometría que permita el emplazamiento, fijada con varilla roscada de acero inoxidable y taco químico (no se permite tornillos de expansión).Rellenado de espacio entre el perfil de refuerzo y la viga existente con mortero de baja retracción SIKA MONOTOP. Incluso replanteo, repercusión de medios auxiliares necesarios, y limpieza de restos.</t>
  </si>
  <si>
    <t>ma-bm-10282853</t>
  </si>
  <si>
    <t>Espárrago/Varilla de inyección para anclaje químico; 10x165 mm (8 Pzas./Bolsa)   Ref. bm-10282853</t>
  </si>
  <si>
    <t>ma-bi-s/c-002</t>
  </si>
  <si>
    <t>Pletina o barra maciza de acero inoxidable AISI-304 BA acabado exterior pulido industrial; 50x10x1000 mm (1 m/pza).   Ref. BRICOINOX-S/C-002</t>
  </si>
  <si>
    <t>FACH</t>
  </si>
  <si>
    <t>Fachadas y particiones</t>
  </si>
  <si>
    <t>01.14</t>
  </si>
  <si>
    <t>ml</t>
  </si>
  <si>
    <t>Remat de planxa prelacada, d= 60 cm, remat superior</t>
  </si>
  <si>
    <t>Subministrament i col·locació de perfil metàl·lic per a remat superior d’envà pluvial, en trobada amb mur superior de remat de coberta o terrat, de xapa plegada d'alumini lacat en color, amb 60 micres de gruix mínim de pel·lícula seca, espessor 1,5 mm, desenvolupament de fins a 600 mm i 3 plecs formant goteró en la seva cara exterior, fixat mecànicament amb ancoratge mecànic amb tac de niló i cargol d'acer galvanitzat, de cap aixamfranat, per a fixació d'element no estructural sobre fàbrica. Inclou el segellat dels junts entre peces i la col·locació de doble cordó de segellat en la unió amb el mur amb segellador adhesiu monocomponent. Inclús replanteig, execució del forat i neteja amb aire a pressió, col·locació del cargol i cargolat directament en la perforació, aplicació del parell de collada amb clau dinamomètrica i neteja de restes.
NOTA: Trobada amb el ràfec inclinat superior.
Ràfec inclinat: 1 x 1,50 = 1,50</t>
  </si>
  <si>
    <t>HRR100</t>
  </si>
  <si>
    <t>Pieza de remate de aluminio prelacado.</t>
  </si>
  <si>
    <t>mt20rca010lw</t>
  </si>
  <si>
    <t>Pieza de remate de chapa plegada de aluminio prelacado, espesor 1.5 mm, desarrollo 600 mm y 3 pliegues.</t>
  </si>
  <si>
    <t>ma-manomano-562170</t>
  </si>
  <si>
    <t>Taco alargado DuoXpand 10x140 mm FISCHER FUS acero (50 pzas/caja).   Ref. manomano-562170</t>
  </si>
  <si>
    <t>ma-s.lucia-sikaflex117metalforce</t>
  </si>
  <si>
    <t>Adhesivo de construcción para pegado de metales SIKAFLEX-117 METAL FORCE (290 ml/cartucho).   Ref. s.lucia-sikaflex117metalforce</t>
  </si>
  <si>
    <t>ma-lm-339080</t>
  </si>
  <si>
    <t>Masilla de poliuretano SIKAFLEX 11FC de SIKA; color marrón (300 cm3/cartucho).   Ref. lm-339080</t>
  </si>
  <si>
    <t>FACHYP</t>
  </si>
  <si>
    <t>FACHADAS Y PATIOS</t>
  </si>
  <si>
    <t>FACH001</t>
  </si>
  <si>
    <t>o REPARACION DE GRIETA CON GRAPA INOX</t>
  </si>
  <si>
    <t>Reparación de grieta en fábrica de ladrillo cerámico mediante el cosido estático de la misma con grapas de acero inox de 0.20x0.095m de 10 mm de diámetro, cruzando transversalmente la grieta, recibidas con mortero reparador, modificado con polímeros, reforzado con fibras, de muy alta resistencia mecánica y retracción compensada, clase R3.</t>
  </si>
  <si>
    <t>ma-lp-00278894</t>
  </si>
  <si>
    <t>Grapa de acero inoxidable para reparar grietas en fachadas (200x95x10 mm).   Ref. lp-00278894</t>
  </si>
  <si>
    <t>FACH001TV</t>
  </si>
  <si>
    <t>o REPARACION DE GRIETA CON GRAPA INOX C/TRABAJOS VERTICALES</t>
  </si>
  <si>
    <t>FACH002</t>
  </si>
  <si>
    <t>REPARACION DE GRIETA CON GRAPA INOX</t>
  </si>
  <si>
    <t>Reparación de grieta en fábrica de ladrillo cerámico mediante el cosido estático de la misma con grapas 1 a cada 30cm de acero inox de 0.20x0.095m de 10 mm de diámetro, cruzando transversalmente la grieta, recibidas con mortero reparador, modificado con polímeros, reforzado con fibras, de muy alta resistencia mecánica y retracción compensada, clase R3.</t>
  </si>
  <si>
    <t>FACH002TV</t>
  </si>
  <si>
    <t>REPARACION DE GRIETA CON GRAPA INOX C/TRABAJOS VERTICALES</t>
  </si>
  <si>
    <t>Reparación de grieta  C/TRABAJOS VERTICALES en fábrica de ladrillo cerámico mediante el cosido estático de la misma con grapas 1 a cada 30cm de acero inox de 0.20x0.095m de 10 mm de diámetro, cruzando transversalmente la grieta, recibidas con mortero reparador, modificado con polímeros, reforzado con fibras, de muy alta resistencia mecánica y retracción compensada, clase R3.</t>
  </si>
  <si>
    <t>FACH003</t>
  </si>
  <si>
    <t>APLACADO CON LADRILLO PICHOLÍN REFRACTARIO C/TRABAJOS VERTICALES</t>
  </si>
  <si>
    <t>Restitución de la obra vista C/TRABAJOS VERTICALES, piezas de picholín 22x5,5x3cm cogidas con mortero y relleno de juntas.</t>
  </si>
  <si>
    <t>ma-lp-00001196</t>
  </si>
  <si>
    <t>Ladrillo picholín refractario cortado (22x5,5x3 cm/pza).   Ref. lp-00001196</t>
  </si>
  <si>
    <t>ma-lm-17553375</t>
  </si>
  <si>
    <t>Puente de unión epóxico bicomponente para adherencia entre hormigones frescos y endurecidos BETOPOX 93 de PROPAMSA (pack 5 kg de Componentes A y B).   Ref. lm-17553375</t>
  </si>
  <si>
    <t>ma-lp-00001704</t>
  </si>
  <si>
    <t>Malla de fibra de vidrio blanca para refuerzo de impermeabilización (rollo 50x1 m)   Ref. lp-00001704</t>
  </si>
  <si>
    <t>FACH004</t>
  </si>
  <si>
    <t>FACH005</t>
  </si>
  <si>
    <t>NEGATIVOS EN LOSAS DE BALCON</t>
  </si>
  <si>
    <t>Suministro y colocación de negativos en losa de balcón, fijados a muro de fachada con taladro y taco químico, mediante barras corrugadas de 10mm de diámetro y 1m de longitud.</t>
  </si>
  <si>
    <t>ma-lp-00539160</t>
  </si>
  <si>
    <t>Disco diamante contínuo DHTI de MILWAUKEE 115 mm.   Ref. lp-00539160</t>
  </si>
  <si>
    <t>FACHYP50-MNR-08</t>
  </si>
  <si>
    <t>REVESTIMIENTO DE CAPA FINA CON MORTERO SECO IMPERMEABLE</t>
  </si>
  <si>
    <t>ma-lm-11001634</t>
  </si>
  <si>
    <t>Mortero seco de revestimiento para terminación de fachadas, patios e interiores MORCEMSEC CAPA FINA; color blanco. (25 kg/saco).   Ref. lm-11001634</t>
  </si>
  <si>
    <t>REM0050</t>
  </si>
  <si>
    <t>GARGOLA DE HORMIGON POLIMERO</t>
  </si>
  <si>
    <t>Gárgola de hormigón polímero, de color blanco, de 140x350x100 mm y base rectangular, con goterón; colocación con adhesivo cementoso flexible y de gran adherencia y sellado e impermeabilización de la junta perimetral con masilla de poliuretano, previa aplicación de la imprimación.</t>
  </si>
  <si>
    <t>mt20wwa040</t>
  </si>
  <si>
    <t>Adhesivo cementoso flexible y de gran adherencia, C2 S2, según UNE-EN 12004.</t>
  </si>
  <si>
    <t>mt20ghp010h</t>
  </si>
  <si>
    <t>Gárgola de hormigón polímero de superficie pulida, de color blanco, de 140x350x100 mm y base rectangular, con goterón.</t>
  </si>
  <si>
    <t>mt20wwa035</t>
  </si>
  <si>
    <t>Cartucho de 250 cm³ de imprimación para masillas.</t>
  </si>
  <si>
    <t>mt20wwa030</t>
  </si>
  <si>
    <t>Cartucho de 310 cm³ de masilla de poliuretano impermeable.</t>
  </si>
  <si>
    <t>CARP006</t>
  </si>
  <si>
    <t>SELLADO DE JUNTA DE CARPINTERÍA Y CRISTALES</t>
  </si>
  <si>
    <t>Sellado exterior de la junta de carpintería y cristales, con masilla de poliuretano, adhesivo y sellador monocomponente de alto rendimiento, de elasticidad permanente y curado rápido; mediante el uso de andamio tubular</t>
  </si>
  <si>
    <t>ma-lp-00541254</t>
  </si>
  <si>
    <t>Masilla de poliuretano BIGMAT (600 ml/envase); color blanco.   Ref. lp-00541254</t>
  </si>
  <si>
    <t>FACHYP-GAI-AQ-H-AT</t>
  </si>
  <si>
    <t>XXXX REPARACIÓN EN ANDAMIO TUBULAR DE GRIETAS EN PARAMENTO HORIZONTAL CON GRAPAS ACERO INOXIDABLE (200x95x10 mm) Y ANCLAJE QUÍMICO (FCH)</t>
  </si>
  <si>
    <t>Reparación en andamio tubular de grietas en paramento horizontal con grapas de acero inoxidable 10 mm (200x95 cm) y anclaje químico; incluye el repicado y saneamiento previo de la hendidura hasta 5 cm de profundidad, abriendo los labios con el fin de eliminar todo la parte afectado y/o desprendida (FCH).</t>
  </si>
  <si>
    <t>FACHYP-GAI-AQ-V-MS</t>
  </si>
  <si>
    <t>REPARACIÓN EN MEDIO SUSPENDIDO/COLGADO DE GRIETAS EN PARAMENTO VERTICAL CON GRAPAS ACERO INOXIDABLE (200x95x10 mm) Y ANCLAJE QUÍMICO (FCH)</t>
  </si>
  <si>
    <t>Reparación en medio suspendido/colgado de grietas en paramento vertical con grapas de acero inoxidable 10 mm (200x95 cm) y anclaje químico; incluye el repicado y saneamiento previo de la hendidura hasta 5 cm de profundidad, abriendo los labios con el fin de eliminar todo la parte afectado y/o desprendida (FCH).</t>
  </si>
  <si>
    <t>FACHYP-04-MNR-03</t>
  </si>
  <si>
    <t>REPARACIÓN SUPERFICIAL DE GRIETAS EN PASAMANOS DE HORMIGÓN DE BARANDILLAS DE BALAUSTRES ORNAMENTALES CON GRAPAS ACERO INOXIDABLE (125x95x6 mm) Y ANCLAJE QUÍMICO (FCH)</t>
  </si>
  <si>
    <t>REPARACIÓN SUPERFICIAL DE GRIETAS EN PARAMENTO HORIZONTAL CON GRAPAS ACERO INOXIDABLE (200x95x10 mm) Y ANCLAJE QUÍMICO (FCH)</t>
  </si>
  <si>
    <t>ma-sie-GP07</t>
  </si>
  <si>
    <t>paquete</t>
  </si>
  <si>
    <t>Grapas de contención de grietas en acero inoxidable 95x125x6 mm (4 pzas/paquete).   Ref. sie-GP07</t>
  </si>
  <si>
    <t>FACHYP-GAC-AQ-H-AT</t>
  </si>
  <si>
    <t>XXXXXXXX REPARACIÓN EN ANDAMIO TUBULAR DE GRIETAS EN PARAMENTO VERTICAL CON GRAPAS ACERO CORRUGADO (15x40x15 cm/pza) Y ANCLAJE QUÍMICO (FCH)</t>
  </si>
  <si>
    <t>Reparación en andamio tubular de grietas en paramento horizontal con grapas de acero corrugado 10 mm (15x40x15 cm/pza) y anclaje químico; incluye el repicado y saneamiento previo de la hendidura hasta 5 cm de profundidad, abriendo los labios con el fin de eliminar todo la parte afectado y/o desprendida (FCH).</t>
  </si>
  <si>
    <t>STR.AC-FAB.GRAPAS-10mm</t>
  </si>
  <si>
    <t>FABRICACIÓN DE GRAPAS DE ACERO CORRUGADO 10 mm PARA REPARAR GRIETAS EN FACHADAS (15x40x15 cm/pza)</t>
  </si>
  <si>
    <t>alq-dobladora.ferralla-gm-01</t>
  </si>
  <si>
    <t>Alquiler de Dobladora Ferralla Portátil 500 W / 220 V / 17 kg.</t>
  </si>
  <si>
    <t>FACHYP-GAC-AQ-V-AT</t>
  </si>
  <si>
    <t>Reparación en andamio tubular de grietas en paramento vertical con grapas de acero corrugado 10 mm (15x40x15 cm/pza) y anclaje químico; incluye el repicado y saneamiento previo de la hendidura hasta 5 cm de profundidad, abriendo los labios con el fin de eliminar todo la parte afectado y/o desprendida (FCH).</t>
  </si>
  <si>
    <t>FACHYP-GAC-AQ-H-MS</t>
  </si>
  <si>
    <t>XXXXXXXX REPARACIÓN EN MEDIO SUSPENDIDO/COLGADO DE GRIETAS EN PARAMENTO HORIZONTAL CON GRAPAS ACERO CORRUGADO (15x40x15 cm/pza) Y ANCLAJE QUÍMICO (FCH)</t>
  </si>
  <si>
    <t>Reparación en medio suspendido/colgado de grietas en paramento horizontal con grapas de acero corrugado 10 mm (15x40x15 cm/pza) y anclaje químico; incluye el repicado y saneamiento previo de la hendidura hasta 5 cm de profundidad, abriendo los labios con el fin de eliminar todo la parte afectado y/o desprendida (FCH).</t>
  </si>
  <si>
    <t>FACHYP-GAC-AQ-V-MS</t>
  </si>
  <si>
    <t>XXXXXXXX REPARACIÓN EN MEDIO SUSPENDIDO/COLGADO DE GRIETAS EN PARAMENTO VERTICAL CON GRAPAS ACERO CORRUGADO (15x40x15 cm/pza) Y ANCLAJE QUÍMICO (FCH)</t>
  </si>
  <si>
    <t>Reparación en medio suspendido/colgado de grietas en paramento vertical con grapas de acero corrugado 10 mm (15x40x15 cm/pza) y anclaje químico; incluye el repicado y saneamiento previo de la hendidura hasta 5 cm de profundidad, abriendo los labios con el fin de eliminar todo la parte afectado y/o desprendida (FCH).</t>
  </si>
  <si>
    <t>FACHYP01</t>
  </si>
  <si>
    <t>ENDERROC I DESMUNTATGE</t>
  </si>
  <si>
    <t>FACHYP0101</t>
  </si>
  <si>
    <t>Repicat d'arrebossat a façana</t>
  </si>
  <si>
    <t>FACHYP0102</t>
  </si>
  <si>
    <t>Repicat de revestiment dels balcons</t>
  </si>
  <si>
    <t>FACHYP0103</t>
  </si>
  <si>
    <t>Repicat fins a base d'ancoratge</t>
  </si>
  <si>
    <t>FACHYP0104</t>
  </si>
  <si>
    <t>Repicat de totes les parts esquerdades</t>
  </si>
  <si>
    <t>FACHYP-REVOCO-HIDROFUGO-V-AT-15</t>
  </si>
  <si>
    <t>XXXXXXXXXXXXXXXXXXXXXXX ENFOSCADO DE MORTERO HIDROFUGO PROPAM REVOC 15 mm (FCH)</t>
  </si>
  <si>
    <t>Revestimiento de paramentos exteriores con mortero hidrofugo, color gris, gama Estándar, espesor 15 mm, aplicado manualmente, armado y reforzado con malla de fibra de vidrio antiálcalis, incluso en los cambios de material.</t>
  </si>
  <si>
    <t>ma-lp-00540808</t>
  </si>
  <si>
    <t>Mortero para revoco PROPAM REVOC color gris (25 kg/saco)   Ref. lp-00540808</t>
  </si>
  <si>
    <t>ma-lp-00001498</t>
  </si>
  <si>
    <t>Junquillo monocapa PVC (2 m/und).   Ref. lp-00001498</t>
  </si>
  <si>
    <t>FACHYP07-OK</t>
  </si>
  <si>
    <t>SELLADO JUNTA DILATACION MEDIANERA</t>
  </si>
  <si>
    <t>Eliminación de capa de pintura y zonas con desprendimiento de material en mal estado, aplicada sobre paramento vertical, con medios manuales.</t>
  </si>
  <si>
    <t>ma-lm-322182</t>
  </si>
  <si>
    <t>Masilla de poliuretano SIKAFLEX 11FC de SIKA; color gris (300 cm3/cartucho).   Ref. lm-322182</t>
  </si>
  <si>
    <t>ma-bm-10393222</t>
  </si>
  <si>
    <t>Cordón para junta de polietileno macizo CHOVA REJUNTEX-25 de CHOVA.   Ref. bm-10393222</t>
  </si>
  <si>
    <t>FACHYP08-PROPAM.REVAT.CAL-OK</t>
  </si>
  <si>
    <t>MORTERO DE CAL PROPAM REVAT CAL DE 10MM</t>
  </si>
  <si>
    <t>MORTERO DE CAL PROPAM REVET CAL DE 10MM</t>
  </si>
  <si>
    <t>ma-lp-00540813</t>
  </si>
  <si>
    <t>Mortero para revoco PROPAM REVAT CAL ENFOSCADO (25 kg/saco).   Ref. lp-00540813</t>
  </si>
  <si>
    <t>FACHYP08-WEBER.HYDROMUR-OK</t>
  </si>
  <si>
    <t>MORTERO DE CAL WEBERCAL HYDROMUR de WEBER DE 10MM</t>
  </si>
  <si>
    <t>ma-bm-10388315</t>
  </si>
  <si>
    <t>Mortero Transpirable e Impermeable WEBERCAL HYDROMUR de WEBER (25 kg/saco).   Ref. bm-10388315</t>
  </si>
  <si>
    <t>FACHYP10-OK</t>
  </si>
  <si>
    <t>AISLAMIENTO TERMICO EXTERIOR DE POLIESTIRENO EXTRUIDO DE 40MM</t>
  </si>
  <si>
    <t>Aislamiento térmico por el exterior en fachada, formado por panel rígido de poliestireno expandido, de superficie lisa y mecanizado lateral recto, de color blanco, de 40 mm de espesor, con resistencia al envejecimiento y permeable al vapor de agua,, conductividad térmica, colocado a tope y fijado con mortero adhesivo y fijaciones mecánicas. El precio no incluye la capa de regularización ni la capa de acabado.</t>
  </si>
  <si>
    <t>ma-lp-00540868</t>
  </si>
  <si>
    <t>Mortero hidrofugado PROPAM AISTERM para colocación y protección de paneles aislantes; color gris (25 kg/saco).   Ref. lp-00540868</t>
  </si>
  <si>
    <t>ma-lp-00535724</t>
  </si>
  <si>
    <t>placa</t>
  </si>
  <si>
    <t>Placa EPS para Sistema SATE; blanca (1000x500x40 mm/placa).   Ref. lp-00535724</t>
  </si>
  <si>
    <t>ma-lp-00535728</t>
  </si>
  <si>
    <t>Placa EPS para Sistema SATE; blanca (1000x500x80 mm/placa).   Ref. lp-00535728</t>
  </si>
  <si>
    <t>ma-lp-00345414</t>
  </si>
  <si>
    <t>Taco con plato para fijación mecánica de placa aislante por golpeo con clavo de poliamida; medidas: 10x140 mm (200 pzas/caja).   Ref. lp-00345414</t>
  </si>
  <si>
    <t>FACHYP11</t>
  </si>
  <si>
    <t>TABIQUE PLUVIAL CON PLACA DE ACERO</t>
  </si>
  <si>
    <t>PLC1</t>
  </si>
  <si>
    <t>Placa grecada de acero galvanizado, de 0,6 mm de espesor, con nervios</t>
  </si>
  <si>
    <t>REMT1</t>
  </si>
  <si>
    <t>Remate perimetral de plancha galvanizada esmaltada, de varios colores.</t>
  </si>
  <si>
    <t>FACHYP12-OK-2</t>
  </si>
  <si>
    <t>SISTEMA WEBERTHERM ETICS (ACABADO ORGANICO BASE ACRILICA / WEBERTENE CLASSIS)</t>
  </si>
  <si>
    <t>ma-om-10876985</t>
  </si>
  <si>
    <t>Mortero adhesivo y regularizador WEBERTHERM BASE (25 kg/saco).   Ref. om-10876985</t>
  </si>
  <si>
    <t>ma-prolisur-eh3-095</t>
  </si>
  <si>
    <t>Sistema de fijación plástico WEBERTHERM ESPIGA H3 - 095 para placas de aislamiento térmico en los sistemas SATE (200 pzas/caja).   Ref. prolisur-eh3-095</t>
  </si>
  <si>
    <t>ma-dp-00955597</t>
  </si>
  <si>
    <t>Malla de refuerzo 160 de WEBERTHERM para sistema SATE (50x1,1 m/rollo).   Ref. dp-00955597</t>
  </si>
  <si>
    <t>ma-dp-76948730</t>
  </si>
  <si>
    <t>Imprimante de fondeo universal WEBERTENE PRIMER para sistemas SATE (14 litros/bidón = 19 kg/bidón).   Ref. dp-76948730</t>
  </si>
  <si>
    <t>ma-dp-77387846</t>
  </si>
  <si>
    <t>Revestimiento acrílico WEBERTENE CLASSIC XL acabado fratasado, rústico y rayado para sistemas WEBERTHERM y WEBERENOVA (25 kg/bidón).   Ref. dp-77387846</t>
  </si>
  <si>
    <t>fondbric</t>
  </si>
  <si>
    <t>IMPRIMACIÓN DE FONDO APLICA REV FONDO ACRÍLICO 20 KG BLANCO   REF : 10523863   BRICOMAR</t>
  </si>
  <si>
    <t>moracribico</t>
  </si>
  <si>
    <t>MORTERO ACRÍLICO APLICA REV 25 KG ROJO TEJA   REF : 10523912  BRICOMAR</t>
  </si>
  <si>
    <t>ma-lp-00538890</t>
  </si>
  <si>
    <t>Revestimiento de fachadas 5 años BIGMAT blanco (15 litros/bidón).   Ref. lp-00538890</t>
  </si>
  <si>
    <t>ma-lp-00540007</t>
  </si>
  <si>
    <t>Malla de fibra de vidrio SATE – BIGMAT (1.10x50m/rollo).   Ref- lp-00540007</t>
  </si>
  <si>
    <t>FACHYP13-PROPAM.REVAT.CAL-OK</t>
  </si>
  <si>
    <t>XXXXXXXX  MORTERO DE CAL PROPAM REVAT CAL DE 20MM</t>
  </si>
  <si>
    <t>Capa de mortero de cal, aplicado manualmente, sobre capa base de mortero, vertical. El precio incluye la protección de los elementos del entorno que puedan verse afectados durante los trabajos y la resolución de puntos singulares.</t>
  </si>
  <si>
    <t>FACHYP13-WEBER-HYDROMUR-OK</t>
  </si>
  <si>
    <t>FACHYP15-OK</t>
  </si>
  <si>
    <t>MORTERO BASTARDO DE 15mm A 20mm= 25kg CAL: 5kg CAL AMERADA: 5kg CEMENTO BLANCO</t>
  </si>
  <si>
    <t>ma-todocal-calgrasa.pasta-CL90SP</t>
  </si>
  <si>
    <t>Cal grasa en pasta CL-90-S PL de IBERCAL (20 kg/cubo).   Ref. todocal-calgrasa.pasta-CL90SPL</t>
  </si>
  <si>
    <t>ma-lp-00179136</t>
  </si>
  <si>
    <t>Cemento PORTLAND blanco II/A-L 42,5 R de VALSEC (25 kg/saco).   Ref. lp-00179136</t>
  </si>
  <si>
    <t>FACHYP16-OK</t>
  </si>
  <si>
    <t>MORTERO DE CAL Y ARENILLA DE 1,5mm= 5kg CAL: 1kg ARENILLA</t>
  </si>
  <si>
    <t>ma-lp-00001107</t>
  </si>
  <si>
    <t>Arenilla de Mármol Blanco GRANOMAR de AYMAR (25 kg/saco).   Ref. lp-00001107</t>
  </si>
  <si>
    <t>FACHYP17-OK</t>
  </si>
  <si>
    <t>MORTERO DE CAL Y POLVO DE MARMOL DE 1,5mm= 5kg CAL: 1kg POLVO DE MARMOL</t>
  </si>
  <si>
    <t>ma-lp-00410104</t>
  </si>
  <si>
    <t>Árido de mármol para monocapa blanco (30 kg/saco).   Ref. lp-00410104</t>
  </si>
  <si>
    <t>FACHYP17-MNR-01</t>
  </si>
  <si>
    <t>MORTERO DE CAL Y POLVO DE MARMOL 1,5 mm EN PROPORCIÓN 1:1</t>
  </si>
  <si>
    <t>ma-lp-00540812</t>
  </si>
  <si>
    <t>Mortero para revoco PROPAM REVAT CAL BASE; color blanco (25 kg/saco)   Ref. lp-00540812</t>
  </si>
  <si>
    <t>FACHYP19-OK</t>
  </si>
  <si>
    <t>MORTERO 15 mm MONOCAPA CON PIEDRA PROYECTADA</t>
  </si>
  <si>
    <t>MORTERO MONOCAPA CON PIEDRA PROYECTADA</t>
  </si>
  <si>
    <t>ma-lp-00540839</t>
  </si>
  <si>
    <t>bote</t>
  </si>
  <si>
    <t>Imprimante promotor de adherencia PROPAM GRIP+ (5 kg/envase).   Ref. lp-00540839</t>
  </si>
  <si>
    <t>ma-lp-00540821</t>
  </si>
  <si>
    <t>Mortero monocapa PROPAM REVAT PIEDRA; color marrón (25 kg/saco).   Ref. lp-00540821</t>
  </si>
  <si>
    <t>ma-lp-00540823</t>
  </si>
  <si>
    <t>Árido de granito para monocapa gris (30 kg/saco).   Ref. lp-00540823</t>
  </si>
  <si>
    <t>FACHYP22-MNR</t>
  </si>
  <si>
    <t>REVOCO CON MORTERO MORSEMSEC CON CAL 5 mm</t>
  </si>
  <si>
    <t>REVOCO CON MORTERO MORCEMSEC CON CAL 5 mm</t>
  </si>
  <si>
    <t>ma-lp-00564971</t>
  </si>
  <si>
    <t>Mortero para enlucido MORCEMSEC ENLUCIDO FINO CON CAL (25 kg/saco)   Ref. lp-00564971</t>
  </si>
  <si>
    <t>FACHYP23-MNR</t>
  </si>
  <si>
    <t>ENFOSCADO CON MORTERO MORSEMSEC CON CAL 15 mm (FCH)</t>
  </si>
  <si>
    <t>ENFOSCADO DE MORTERO MORSEMSEC CON CAL 15 mm (FCH)</t>
  </si>
  <si>
    <t>ma-lp-00568965</t>
  </si>
  <si>
    <t>Mortero para enlucido fino con cal MORCEM ESTUCO (25 kg/saco)   Ref. lp-00568965</t>
  </si>
  <si>
    <t>FACHYP24-MNR</t>
  </si>
  <si>
    <t>REVOCO DE YESO 5 mm (FCH)</t>
  </si>
  <si>
    <t>ma-lp-00095260</t>
  </si>
  <si>
    <t>Yeso controlado S1 de LA PLATAFORMA para aplicación manual (17 kg/saco)   Ref. lp-00095260</t>
  </si>
  <si>
    <t>ma-lp-00018338</t>
  </si>
  <si>
    <t>Guardavivo o esquinero de PVC (2,50 m/und)   Ref.lp-00018338</t>
  </si>
  <si>
    <t>FACHYP25-OK</t>
  </si>
  <si>
    <t>MORTERO DE CAL HIDAULICA NHL 3,5 DE 20MM</t>
  </si>
  <si>
    <t>Formación de revoco a buena vista de mortero de cal hidráulica natural transpirable, color avellana claro, compuesto por cal hidráulica natural NHL 3,5, según UNE-EN 459-1, áridos seleccionados y aditivos, con acabado superficial fino, aplicado en una mano de 20 mm de espesor, sobre un paramento vertical; con colocación de malla de fibra de vidrio antiálcalis</t>
  </si>
  <si>
    <t>ma-lp-00179979</t>
  </si>
  <si>
    <t>Cal hidráulica natural CALIX NHL – 3,5 de FYM; color blanco (25 kg/saco).   Ref. lp-00179979</t>
  </si>
  <si>
    <t>FACHYP26-OK</t>
  </si>
  <si>
    <t>LIMPIEZA EN INTERIOR DE FISURA DE FACHADA</t>
  </si>
  <si>
    <t>Limpieza del interior de fisura en elemento de hormigón mediante inyección de aire a presión, quedando el interior y la superficie a ambos lados de la fisura libres de polvo, restos de pinturas, desencofrantes o cualquier material que pueda impedir la correcta adherencia del material de sellado superficial.</t>
  </si>
  <si>
    <t>FACHYP27</t>
  </si>
  <si>
    <t>INYECCION DE RESINA EN FISURA</t>
  </si>
  <si>
    <t>Inyección en fisura con lechada fluida de dos componentes a base de resina epoxi, SIKADUR 52 Injection, (rendimiento: 0,5 kg/m), aplicada mediante equipo de inyección a baja presión, para reparación en fachada.</t>
  </si>
  <si>
    <t>ma-mausa-SKDUR52INJ-sikadur52</t>
  </si>
  <si>
    <t>Resina Epoxi de Inyección Bicomponente de Baja Viscosidad SIKADUR-52 INJECTION LP de SIKA (1 kg/kit A+B en proporción 2:1).   Ref. mausa-SKDUR52INJ-sikadur52</t>
  </si>
  <si>
    <t>mq06</t>
  </si>
  <si>
    <t>Equipo de inyección manual de morteros fluidos y resinas.</t>
  </si>
  <si>
    <t>FACHYP28-OK</t>
  </si>
  <si>
    <t>MORTERO DE CAL HIDRAULICA DE 20MM</t>
  </si>
  <si>
    <t>Mortero de cal hidraulica HidroCal especial MPlus color similar al RAL FACILITADO</t>
  </si>
  <si>
    <t>ma-hidrocal</t>
  </si>
  <si>
    <t>Mortero HidroCal especial MPlus color similar al RAL FACILITADO</t>
  </si>
  <si>
    <t>ma-%</t>
  </si>
  <si>
    <t>Transporte de Materiales</t>
  </si>
  <si>
    <t>FACHYP50-MNR-01</t>
  </si>
  <si>
    <t>ENFOSCADO 20 mm DE MORTERO R3 (fFCH)</t>
  </si>
  <si>
    <t>FACHYP50-MNR-02</t>
  </si>
  <si>
    <t>REVOCO CON MORTERO REGULARIZADOR DE SUPERFICIE 8 mm (FCH)</t>
  </si>
  <si>
    <t>WBT-07</t>
  </si>
  <si>
    <t>Mortero WEBERTHERM BASE regularizador de superficies y adhesivo de placas termoaislantes en sistema SATE; color gris (25 kg/saco)</t>
  </si>
  <si>
    <t>REV-CAL.HID</t>
  </si>
  <si>
    <t>XXXXXX REVESTIMIENTO CON MORTERO TRADICIONAL DE CAL "WEBERCAL LISO"; EN PARAMENTOS VERTICALES Y MEDIANTE USO DE EN ANDAMIO TUBULAR ( FCH)</t>
  </si>
  <si>
    <t>Revestimiento con mortero tradicional de cal "WEBERCAL LISO"; en paramentos verticales y mediante uso de en andamio tubular (FCH)</t>
  </si>
  <si>
    <t>ma-prolisur-06</t>
  </si>
  <si>
    <t>Mortero para enfoscado de cal en capa gruesa WEBERCAL BASIC de WEBER; color blanco (25 kg/saco).   Ref. prolisur-06</t>
  </si>
  <si>
    <t>ma-prolisur-05</t>
  </si>
  <si>
    <t>Mortero de revoco WEBERCAL LISO de WEBER a base de cal en capa fina para sistemas bicapa (25 kg/saco).   Ref. prolisur-05</t>
  </si>
  <si>
    <t>ma-prolisur-perfil.rem.ventana</t>
  </si>
  <si>
    <t>perfil</t>
  </si>
  <si>
    <t>Perfil remate de ventanas WEBERTHERM para sistema SATE  (2,60 m/perfil).   Ref. prolisur-perfil-rem.ventana</t>
  </si>
  <si>
    <t>FACHYP50-MNR-06-H-10</t>
  </si>
  <si>
    <t>REVOCO 10 mm CON MORTERO DE REPARACIÓN ESTRUCTURAL R4 (PROPAM REPAR TECHNO) EN PARAMENTO HORIZONTAL DE FACHADAS (FCH)</t>
  </si>
  <si>
    <t>FACHYP50-MNR-06-H-20</t>
  </si>
  <si>
    <t>REVOCO 20 mm CON MORTERO DE REPARACIÓN ESTRUCTURAL R4 (PROPAM REPAR TECHNO) EN PARAMENTO HORIZONTAL DE FACHADAS (FCH)</t>
  </si>
  <si>
    <t>FACHYP50-MNR-06-V-10</t>
  </si>
  <si>
    <t>REVOCO 10 mm CON MORTERO DE REPARACIÓN ESTRUCTURAL R4 (PROPAM REPAR TECHNO) EN PARAMENTO VERTICAL DE FACHADAS (FCH)</t>
  </si>
  <si>
    <t>FACHYP50-MNR-06-V-20</t>
  </si>
  <si>
    <t>REVOCO 20 mm CON MORTERO DE REPARACIÓN ESTRUCTURAL R4 (PROPAM REPAR TECHNO) EN PARAMENTO VERTICAL DE FACHADAS (FCH)</t>
  </si>
  <si>
    <t>FACHYP50-MNR-07-H</t>
  </si>
  <si>
    <t>REVOCO 20 mm CON MORTERO DE REPARACIÓN ESTRUCTURAL R4 (PROPAM REPAR 40) EN PARAMENTO HORIZONTAL DE FACHADAS (FCH)</t>
  </si>
  <si>
    <t>FACHYP50-MNR-07-V</t>
  </si>
  <si>
    <t>REVOCO 20 mm CON MORTERO DE REPARACIÓN ESTRUCTURAL R4 (PROPAM REPAR 40) EN PARAMENTO VERTICAL DE FACHADAS (FCH)</t>
  </si>
  <si>
    <t>REVOCO CON MORTERO DE REPARACIÓN ESTRUCTURAL R4 (PROPAM REPAR 40) EN PARAMENTO VERTICAL DE FACHADAS (FCH)</t>
  </si>
  <si>
    <t>FACHYP-CANTO.FORJA-CR-AT</t>
  </si>
  <si>
    <t>RESTABLECIMIENTO DE CANTO DE FORJADO Y VIGAS DE CUELGUE, INCLUYENDO EL REFUERZO DE ARMADURA Y LA RECUPERACIÓN DE VOLÚMENES Y ARISTAS CON MORTERO DE REPARACIÓN TIXOTRÓPICO A BASE DE CEMENTO; MEDIANTE EL USO DE ANDAMIO TUBULAR</t>
  </si>
  <si>
    <t>Restablecimiento de canto de forjado y vigas de cuelgue; incluyendo el refuerzo de armadura y la recuperación de volúmenes y aristas con mortero de reparación tixotrópico a base de cemento; mediante el uso de andamio tubular</t>
  </si>
  <si>
    <t>FACHYP-FONDO.FORJA-CR-AT</t>
  </si>
  <si>
    <t>RESTABLECIMIENTO DE FONDOS DE FORJADO, INCLUYENDO EL REFUERZO DE ARMADURA Y LA RECUPERACIÓN DE VOLÚMENES Y ARISTAS CON MORTERO DE REPARACIÓN TIXOTRÓPICO A BASE DE CEMENTO; MEDIANTE EL USO DE ANDAMIO TUBULAR</t>
  </si>
  <si>
    <t>Restablecimiento de fondos de forjado, incluyendo el refuerzo de armadura y la recuperación de volúmenes y aristas con mortero de reparación tixotrópico a base de cemento; mediante el uso de andamio tubular</t>
  </si>
  <si>
    <t>FACHYP-FONDO.FORJA-SR-AT</t>
  </si>
  <si>
    <t>RESTABLECIMIENTO DE FONDOS DE FORJADO, INCLUYENDO LA RECUPERACIÓN DE VOLÚMENES Y ARISTAS CON MORTERO DE REPARACIÓN TIXOTRÓPICO A BASE DE CEMENTO, Y EXCLUYE LA RESTAURACIÓN DE ARMADURA DE REFUERZO; MEDIANTE EL USO DE ANDAMIO TUBULAR</t>
  </si>
  <si>
    <t>Restablecimiento de fondos de forjado, incluyendo la recuperación de volúmenes y aristas con mortero de reparación tixotrópico a base de cemento, y excluye la restauración de armadura de refuerzo; mediante el uso de andamio tubular</t>
  </si>
  <si>
    <t>FACHYP-WB-ANTIFISURA-CF-V-MS</t>
  </si>
  <si>
    <t>XXXXXX REVESTIMIENTO CON SISTEMA WEBERNOVA ANTIFISURAS CAPA FINA EN PARAMENTOS VERTICALES Y MEDIANTE USO DE MEDIO SUSPENDIDO/COLGADO (FCH)</t>
  </si>
  <si>
    <t>Revestimiento con sistema WEBERNOVA antifisuras capa fina en paramentos verticales y mediante uso de medio suspendido/colgado (FCH)</t>
  </si>
  <si>
    <t>ma-dp-79687708</t>
  </si>
  <si>
    <t>Mortero adhesivo regularizador de WEBERTHERM BASEGEL para sistemas SATE  (25 kg/saco).   Ref. dp-79687708</t>
  </si>
  <si>
    <t>ma-dp-79291497</t>
  </si>
  <si>
    <t>Perfil goterón WEBERTHERM CF de PVC con malla de fibra de vidrio (2,5 m/perfil).   Ref. dp-79291497</t>
  </si>
  <si>
    <t>ma-dp-02145587</t>
  </si>
  <si>
    <t>Perfil cantonera WEBERTHERM de PVC con malla de fibra de vidrio (2,5 m/perfil).   Ref. dp-02145587</t>
  </si>
  <si>
    <t>ma-prolisur-04</t>
  </si>
  <si>
    <t>Mortero WEBERCAL FLEXIBLE de WEBERTHERM estuco fino flexible de cal coloreado (12 kg/envase).   Ref. prolisur-04</t>
  </si>
  <si>
    <t>ma-prolisur-03</t>
  </si>
  <si>
    <t>Malla de refuerzo de fibra de vidrio WEBERTHERM MALLA 65 para sistema SATE (50 m/rollo).   Ref. prolisur-03</t>
  </si>
  <si>
    <t>FACHYP-WB-ANTIFISURA-ELAS-V-MS</t>
  </si>
  <si>
    <t>XXXXXX REVESTIMIENTO CON SISTEMA WEBERNOVA ANTIFISURAS ELASTIC CAPA FINA EN PARAMENTOS VERTICALES Y MEDIANTE USO DE MEDIO SUSPENDIDO/COLGADO (FCH)</t>
  </si>
  <si>
    <t>Revestimiento con sistema WEBERNOVA antifisuras elastic capa fina en paramentos verticales y mediante uso de medio suspendido/colgado (FCH)</t>
  </si>
  <si>
    <t>ma-prolisur-02</t>
  </si>
  <si>
    <t>Mortero orgánico regularizador y adhesivo de placas termoaislantes WEBERTHERM FLEX B de WEBER; color blanco (25 kg/bidón).   Ref. prolisur-02</t>
  </si>
  <si>
    <t>FACHYP-APLACADOS</t>
  </si>
  <si>
    <t>APLACADOS</t>
  </si>
  <si>
    <t>APLACADO-PICHOLIN</t>
  </si>
  <si>
    <t>APLACADOS CON PICHOLÍN OBRA VISTA</t>
  </si>
  <si>
    <t>APLACADO-PICHOLIN-AT-REFRACT-01</t>
  </si>
  <si>
    <t>APLACADO CON LADRILLO PICHOLÍN REFRACTARIO (22x5,5x3 cm/pza) MEDIANTE EL USO DE ANDAMIO TUBULAR</t>
  </si>
  <si>
    <t>APLACADOS-CERAMICOS</t>
  </si>
  <si>
    <t>APLACADOS CERÁMICOS</t>
  </si>
  <si>
    <t>REV-APLACADO-GRESITE-AT-01</t>
  </si>
  <si>
    <t>APLACADO CON BALDOSA GRESITE 50x50 mm ANTIDESLIZANTE NIEBLA BATUR DE CLOUD MATE, MEDIANTE EL USO DE ANDAMIO TUBULAR</t>
  </si>
  <si>
    <t>ma-lp-s/c-02</t>
  </si>
  <si>
    <t>Mortero hidráulico de adhesión y protección de placas aislantes PROPAM AISTERM FLEX en sistema SATE (25 kg/saco).   Ref. lp-00572023</t>
  </si>
  <si>
    <t>ma-gresite.piscinas-01</t>
  </si>
  <si>
    <t>Gresite 50x50 mm antideslizante NIEBLA BATUR de CLOUD MATE (formato de placa 310x310 mm).   Ref. gresite.piscinas-01</t>
  </si>
  <si>
    <t>ma-lp-00540944</t>
  </si>
  <si>
    <t>Mortero juntas ULTRACOLOR PLUS BIGMAT 2 a 20 mm; color blanco (5 kg/saco).   Ref. lp-00540944</t>
  </si>
  <si>
    <t>REV-APLACADO-GRESITE-AT-02</t>
  </si>
  <si>
    <t>APLACADO CON BALDOSA GRESITE 50x50 mm BLANCO ANTIDESLIZANTE DE TOGAMA, MEDIANTE EL USO DE ANDAMIO TUBULAR</t>
  </si>
  <si>
    <t>ma-sola.azulejos-02</t>
  </si>
  <si>
    <t>Gresite 50x50 mm blanco antideslizante de TOGAMA (formato: 20 mallas/caja; 2 m2/caja; 30,7x30,7 cm/malla; grosor 4,5 mm).   Ref. solá azulejos-02</t>
  </si>
  <si>
    <t>REV-APLACADO-GRESITE-MS-01</t>
  </si>
  <si>
    <t>APLACADO CON BALDOSA GRESITE 50x50 mm ANTIDESLIZANTE NIEBLA BATUR DE CLOUD MATE, MEDIANTE EL USO DE MEDIO SUSPENDIDO/COLGADO</t>
  </si>
  <si>
    <t>REV-APLACADO-GRESITE-MS-02</t>
  </si>
  <si>
    <t>APLACADO CON BALDOSA GRESITE 50x50 mm BLANCO ANTIDESLIZANTE DE TOGAMA, MEDIANTE EL USO DE MEDIO SUSPENDIDO/COLGADO</t>
  </si>
  <si>
    <t>APLACATOS-PETREOS</t>
  </si>
  <si>
    <t>APLACADOS DE BALDOSAS PÉTREAS ARTIFICIALES</t>
  </si>
  <si>
    <t>FACHYP21</t>
  </si>
  <si>
    <t>APLACADO CON LOSA DE MÁRMOL NACIONAL BLANCO MACAEL EN PARAMENTO VERTICAL (FCH)</t>
  </si>
  <si>
    <t>MARML</t>
  </si>
  <si>
    <t>Plaqueta pulida, calibrada y biselada de mármol nacional, Blanco Macael 30,5x30,5x1 cm</t>
  </si>
  <si>
    <t>ma-lp-00540875</t>
  </si>
  <si>
    <t>Mortero cola PEGOLAND GEL PORCELÁNICO C2TE para colocar cerámica (interior y exterior); color blanco (25 kg/saco).   Ref. lp-00540875</t>
  </si>
  <si>
    <t>ma-lp-00540947</t>
  </si>
  <si>
    <t>Mortero juntas ULTRACOLOR PLUS BIGMAT 2 a 20 mm; color grafito (5 kg/saco).   Ref. lp-00540947</t>
  </si>
  <si>
    <t>FACHYP-APLACADO-MARMOL-AT-01</t>
  </si>
  <si>
    <t>APLACADO CON LOSA DE MÁRMOL NACIONAL CREMA MARFIL EN PARAMENTO VERTICAL, MEDIANTE EL USO DE ANDAMIO TUBULAR</t>
  </si>
  <si>
    <t>ma-mc-s/c-01</t>
  </si>
  <si>
    <t>Losa de mármol pulido crema marfil 60x40x2 cm.   Ref. ma-mc-s/c-01</t>
  </si>
  <si>
    <t>FACHYP-APLACADO-MARMOL-MS-01</t>
  </si>
  <si>
    <t>APLACADO CON LOSA DE MÁRMOL NACIONAL CREMA MARFIL EN PARAMENTO VERTICAL, MEDIANTE EL USO DE MEDIO SUSPENDIDO/COLGADO</t>
  </si>
  <si>
    <t>FACHYP-CANTO-FORJA-CR-MS</t>
  </si>
  <si>
    <t>RESTABLECIMIENTO DE CANTO DE FORJADO Y VIGAS DE CUELGUE, INCLUYENDO EL REFUERZO DE ARMADURA Y LA RECUPERACIÓN DE VOLÚMENES Y ARISTAS CON MORTERO DE REPARACIÓN TIXOTRÓPICO A BASE DE CEMENTO; MEDIANTE EL USO DE MEDIO SUSPENDIDO/COLGADO</t>
  </si>
  <si>
    <t>FACHYP-CANTO-FORJA-SR-MS</t>
  </si>
  <si>
    <t>RESTABLECIMIENTO DE CANTO DE FORJADO Y VIGAS DE CUELGUE, INCLUYENDO LA RECUPERACIÓN DE VOLÚMENES Y ARISTAS CON MORTERO DE REPARACIÓN TIXOTRÓPICO A BASE DE CEMENTO, Y EXCLUYE LA RESTAURACIÓN DE ARMADURA DE REFUERZO; MEDIANTE EL USO DE MEDIO SUSPENDIDO/COLGADO</t>
  </si>
  <si>
    <t>FACHYP-FONDO-FORJA-CR-MS</t>
  </si>
  <si>
    <t>RESTABLECIMIENTO DE FONDOS DE FORJADO, INCLUYENDO LA RECUPERACIÓN DE VOLÚMENES Y ARISTAS CON MORTERO DE REPARACIÓN TIXOTRÓPICO A BASE DE CEMENTO, Y EXCLUYE LA RESTAURACIÓN DE ARMADURA DE REFUERZO; MEDIANTE EL USO DE MEDIO SUSPENDIDO/COLGADO</t>
  </si>
  <si>
    <t>FACHYP-FONDO-FORJA-SR-MS</t>
  </si>
  <si>
    <t>FACHYP-SATE</t>
  </si>
  <si>
    <t>REVESTIMIENTO CON SISTEMAS SATE</t>
  </si>
  <si>
    <t>ETICS-BAUMIT</t>
  </si>
  <si>
    <t>REVESTIMIENTO DE FACHADAS CON SISTEMA ETICS-BAUMIT</t>
  </si>
  <si>
    <t>SATE-BAUMIT-SIN.AISLAMIENTO</t>
  </si>
  <si>
    <t>REVESTIMIENTO DE FACHADA CON SISTEMA SATE-ETICS-BAUMIT SIN AISLANTE TERMOACÚSTICO (FCH)</t>
  </si>
  <si>
    <t>ma-indulak-009802UNIP25</t>
  </si>
  <si>
    <t>Imprimante universal con ligantes orgánicos como adherente para revocos BAUMIT UNIPRIMER (25 kg/cubo).   Ref. indulak-009802UNIP25</t>
  </si>
  <si>
    <t>ma-socel-027767</t>
  </si>
  <si>
    <t>Mortero adhesivo y de refuerzo mineral con tecnología gel STARCONTACT de BAUMIT (25 kg/saco).   Ref. socel-027767</t>
  </si>
  <si>
    <t>ma-indulak-009804STTX50</t>
  </si>
  <si>
    <t>Malla de fibra de vidrio antiálcali BAUMIT STARTEX 145 (50 m2/rollo; ancho 1 m).   Ref. indulak-009804STTX50</t>
  </si>
  <si>
    <t>ma-socel-040452</t>
  </si>
  <si>
    <t>Malla de fibra de vidrio antiálcali BAUMIT STARTEX 160 (50 m2/rollo; ancho 1 m).   Ref. socel-040452</t>
  </si>
  <si>
    <t>ma-indulak-009803SIKTOPK16789025</t>
  </si>
  <si>
    <t>Mortero para revoco con resina de silicona BAUMIT SILIKONTOP (25 kg/cubo)… Ref. indulak-009803SIKTOPK16789025</t>
  </si>
  <si>
    <t>ma-indulak-009809CINTSELL15.2-6</t>
  </si>
  <si>
    <t>Cinta selladora y autoadhesiva de poliuretano FUGENDICHTBAND de BAUMIT; ancho de junta 2 a 6 mm (5 rollos/caja; 18 m/rollo).   Ref. indulak-009809CINTSELL15.2-6</t>
  </si>
  <si>
    <t>ETICS-ECOSATE</t>
  </si>
  <si>
    <t>SISTEMA ETICS ECOSATE "ISOVER" DE AISLAMIENTO TÉRMICO POR EL EXTERIOR DE FACHADAS CON PANEL DE LANA DE VIDRIO 60 mm; MEDIANTE EL USO DE ANDAMIO TUBULAR</t>
  </si>
  <si>
    <t>Aislamiento térmico por el exterior de fachadas, con el sistema Ecosate "ISOVER", con ETA - 20/0722, compuesto por: panel rígido de lana de vidrio de alta densidad, no revestido, hidrófobo, modelo Clima 34 "ISOVER", de 60 mm de espesor, fijado al soporte con mortero polimérico Ecosate® Base "ISOVER" y fijaciones mecánicas con taco de expansión con clavo, Ecosate® H1 Eco "ISOVER"; capa de regularización de mortero polimérico Ecosate® Base "ISOVER", armado con malla de fibra de vidrio antiálcalis, Ecosate® Malla "ISOVER", de 3,5x3,8 mm de luz de malla, de 160 g/m² de masa superficial; capa de acabado de revestimiento Ecosate® Basic L "ISOVER", resistente a los rayos ultravioleta, acabado medio, color a elegir, gama Standard, sobre imprimación, Ecosate® Primer "ISOVER", color a elegir, gama Standard. Incluso perfiles de arranque de aluminio, perfiles de cierre superior de aluminio, perfiles para formación de goterones de PVC con malla, perfiles de esquina de PVC con malla.
Criterio de valoración económica: El precio incluye la ejecución de remates en los encuentros con paramentos y revestimientos u otros elementos recibidos en su superficie.
Incluye: Preparación de la superficie soporte. Colocación del perfil de arranque. Corte y preparación del aislamiento. Colocación del aislamiento sobre el paramento. Colocación del resto de perfiles. Resolución de los puntos singulares. Aplicación del mortero base y colocación de la malla de fibra de vidrio en la capa de regularización. Formación de juntas. Aplicación de la capa de acabado. Sellado de juntas.
Criterio de medición de proyecto: Superficie medida según documentación gráfica de Proyecto, deduciendo los huecos de superficie mayor de 1 m², añadiendo a cambio la superficie de la parte interior del hueco, correspondiente al desarrollo de jambas y dinteles.
Criterio de medición de obra: Se medirá la superficie realmente ejecutada según especificaciones de Proyecto, deduciendo los huecos de superficie mayor de 1 m², añadiendo a cambio la superficie de la parte interior del hueco, correspondiente al desarrollo de jambas y dinteles.</t>
  </si>
  <si>
    <t>KD10528</t>
  </si>
  <si>
    <t>Perfil de arranque Ecosate® "ISOVER" de aluminio, de 60 mm de anchura, con goterón, para nivelación y soporte de los paneles aislantes de los sistemas de aislamiento térmico por el exterior sobre la línea de zócalo.</t>
  </si>
  <si>
    <t>KD10534</t>
  </si>
  <si>
    <t>Perfil de cierre superior, Ecosate® "ISOVER", de aluminio, de 60 mm de anchura, para coronación de los paneles aislantes de los sistemas de aislamiento térmico por el exterior.</t>
  </si>
  <si>
    <t>KD10526</t>
  </si>
  <si>
    <t>Mortero polimérico Ecosate® Base "ISOVER", para adherir los paneles aislantes, previo amasado con agua.</t>
  </si>
  <si>
    <t>KD72498</t>
  </si>
  <si>
    <t>Panel rígido de lana de vidrio de alta densidad, no revestido, hidrófobo, modelo Clima 34 "ISOVER", de 60 mm de espesor, según UNE-EN 13162, resistencia térmica 1,75 m²K/W, conductividad térmica 0,034 W/(mK), Euroclase A2-s1, d0 de reacción al fuego según UNE-EN 13501-1, capacidad de absorción de agua a corto plazo &lt;=1 kg/m² y factor de resistencia a la difusión del vapor de agua 1, con código de designación MW-EN 13162-T5-WS-MU1-CS(10)15-TR7,5, de aplicación como aislante térmico y acústico en sistemas compuestos de aislamiento por el exterior de fachadas.</t>
  </si>
  <si>
    <t>KD10491</t>
  </si>
  <si>
    <t>Taco de expansión, Ecosate® H1 Eco 115 "ISOVER", de 95 mm de longitud, con aro de estanqueidad y clavo para fijación de placas aislantes.</t>
  </si>
  <si>
    <t>KD10549</t>
  </si>
  <si>
    <t>Perfil de PVC con malla de fibra de vidrio, Ecosate® "ISOVER", para formación de goterones.</t>
  </si>
  <si>
    <t>KD10546</t>
  </si>
  <si>
    <t>Perfil de esquina Ecosate® "ISOVER" de PVC con malla, para refuerzo de cantos.</t>
  </si>
  <si>
    <t>KD10540</t>
  </si>
  <si>
    <t>Perfil de cierre lateral, Ecosate® "ISOVER", de aluminio, de 60 mm de anchura.</t>
  </si>
  <si>
    <t>KD10552</t>
  </si>
  <si>
    <t>Malla de fibra de vidrio antiálcalis, Ecosate® Malla "ISOVER", de 3,5x3,8 mm de luz de malla, de 160 g/m² de masa superficial, para armar morteros.</t>
  </si>
  <si>
    <t>KD-ECOSATE.PRIMER.COLOR</t>
  </si>
  <si>
    <t>Imprimación, Ecosate® Primer "ISOVER", color a elegir, gama Standard; para aplicar con rodillo, máquina de proyectar o cepillo.</t>
  </si>
  <si>
    <t>KD-ECOSATE-BASIC.L.COLOR</t>
  </si>
  <si>
    <t>Revestimiento Ecosate® Basic L "ISOVER", resistente a los rayos ultravioleta, acabado medio, color a elegir, gama Standard, compuesto por resinas acrílicas en dispersión acuosa, pigmentos minerales, fungicidas y aditivos especiales; para aplicar con llana y fratás o con pistola de proyectar.</t>
  </si>
  <si>
    <t>lp-00540972</t>
  </si>
  <si>
    <t>Cordón de polietileno expandido de celdas cerradas, de sección circular de 15 mm de diámetro, para el relleno de fondo de junta.</t>
  </si>
  <si>
    <t>lp-00541258</t>
  </si>
  <si>
    <t>Cartucho de masilla elastómera tixotrópica, monocomponente, a base de polímeros híbridos (MS), de color gris, de 600 ml, de alta adherencia, con elevadas propiedades elásticas, resistencia al envejecimiento y a los rayos UV, dureza Shore A aproximada de 25 y alargamiento en rotura &gt; 600%, según UNE-EN ISO 11600.</t>
  </si>
  <si>
    <t>ETICS-ECOSATE-LdR.80mm</t>
  </si>
  <si>
    <t>SISTEMA ETICS ECOSATE "ISOVER" DE AISLAMIENTO TÉRMICO POR EL EXTERIOR DE FACHADAS CON PANEL DE LANA DE ROCA 80 mm; MEDIANTE EL USO DE ANDAMIO TUBULAR</t>
  </si>
  <si>
    <t>Aislamiento térmico por el exterior de fachadas, con el sistema Ecosate "ISOVER", con ETA - 20/0722, compuesto por: panel rígido de lana de roca de alta densidad, no revestido, hidrófobo, modelo TF PROFI "ISOVER", de 80 mm de espesor, fijado al soporte con mortero polimérico Ecosate® Base "ISOVER" y fijaciones mecánicas con taco de expansión con clavo, Ecosate® H1 Eco "ISOVER"; capa de regularización de mortero polimérico Ecosate® Base "ISOVER", armado con malla de fibra de vidrio antiálcalis, Ecosate® Malla "ISOVER", de 3,5x3,8 mm de luz de malla, de 160 g/m² de masa superficial; capa de acabado de revestimiento Ecosate® Basic L "ISOVER", resistente a los rayos ultravioleta, acabado medio, color a elegir, gama Standard, sobre imprimación, Ecosate® Primer "ISOVER", color a elegir, gama Standard. Incluso perfiles de arranque de aluminio, perfiles de cierre superior de aluminio, perfiles para formación de goterones de PVC con malla, perfiles de esquina de PVC con malla.
Criterio de valoración económica: El precio incluye la ejecución de remates en los encuentros con paramentos y revestimientos u otros elementos recibidos en su superficie.
Incluye: Preparación de la superficie soporte. Colocación del perfil de arranque. Corte y preparación del aislamiento. Colocación del aislamiento sobre el paramento. Colocación del resto de perfiles. Resolución de los puntos singulares. Aplicación del mortero base y colocación de la malla de fibra de vidrio en la capa de regularización. Formación de juntas. Aplicación de la capa de acabado. Sellado de juntas.
Criterio de medición de proyecto: Superficie medida según documentación gráfica de Proyecto, deduciendo los huecos de superficie mayor de 1 m², añadiendo a cambio la superficie de la parte interior del hueco, correspondiente al desarrollo de jambas y dinteles.
Criterio de medición de obra: Se medirá la superficie realmente ejecutada según especificaciones de Proyecto, deduciendo los huecos de superficie mayor de 1 m², añadiendo a cambio la superficie de la parte interior del hueco, correspondiente al desarrollo de jambas y dinteles.</t>
  </si>
  <si>
    <t>KD10082</t>
  </si>
  <si>
    <t>FACHYP-ENFOSCADO-WEBERCAL.BASIC</t>
  </si>
  <si>
    <t>XXXXXX ENFOSCADO DE CAL EN CAPA GRUESA WEBERCAL BASIC</t>
  </si>
  <si>
    <t>ENFOSCADO DE CAL EN CAPA GRUESA WEBERCAL BASIC</t>
  </si>
  <si>
    <t>ma-manau-33352001</t>
  </si>
  <si>
    <t>WEBERPRIM FX15 BIDON 20KG Imprimante promotor de adherencia para soportes no porosos</t>
  </si>
  <si>
    <t>ma-manau-32952500</t>
  </si>
  <si>
    <t>Mortero para enfoscado de cal en capa gruesa WEBERCAL BASIC de WEBER; color gris (25 kg/saco).   Ref. prolisur-07</t>
  </si>
  <si>
    <t>ma-prolisur-00955597</t>
  </si>
  <si>
    <t>Malla de refuerzo 200 de WEBERTHERM para Sistema SATE (50x1,1 m/rollo).   Ref. prolisur-00955597</t>
  </si>
  <si>
    <t>FACHYP06-OK</t>
  </si>
  <si>
    <t>AISLAMIENTO TERMICO SATE (ETICS) PROPAM</t>
  </si>
  <si>
    <t>ma-lp-00235528</t>
  </si>
  <si>
    <t>Placa EPS KNAUF TECK para Sistema SATE; blanca (1000x500x60 mm/placa).   Ref. lp-00235528</t>
  </si>
  <si>
    <t>ma-lp-00160061</t>
  </si>
  <si>
    <t>Perfil de arranque de instalación SATE en aluminio para aislamiento 80 mm (2,5 m/perfil).   Ref. lp-00160061</t>
  </si>
  <si>
    <t>ma-lp-00560609</t>
  </si>
  <si>
    <t>Mortero acrílico REVAT PLAS de PROPAMSA; color Blanco (20 kg/bidón).   Ref. lp-00560609</t>
  </si>
  <si>
    <t>ma-lp-00560610</t>
  </si>
  <si>
    <t>Mortero acrílico REVAT FILM de PROPAMSA; color blanco (20 kg/bidón).   Ref. lp-00560609</t>
  </si>
  <si>
    <t>FACHYP18-OK</t>
  </si>
  <si>
    <t>SISTEMA DE AISLAMIENTO TERMICO EXTERIOR (SATE) PARA FACHADAS StoTHERM CLASSIC</t>
  </si>
  <si>
    <t>Subministrament i col.locació de sistema d’aïllament tèrmic en la totalitat de paraments de la façana, àtics i sobreàtics. Sistema combinat d'Aïllament Tèrmic Exterior per Façanes StoTherm Classic, amb classificació de protecció contra incendis Classe B segons EN 13 501?1, constituït per panells d'escuma rígida de poliestirè Sto Panell EPS de 80mm de gruix segons EN 13 163, (tipus de qualitat WDV, tipus d'aplicació WAP s/DIN 108?10), onductivitat tèrmica 0,040 W /mK, format: 100 x 50 cm, vora de panell: rom i gruix de 4 cm (segons valor K obtingut i segons DIN 4108). Encolats amb morter de encolat St. Levell Uni cobrint almenys el 80% de el panell. Acoblats, de forma plana llisa i un costat d'un altre totalment a pressió en el procés d'encolat. En tota la zona, fixació addicional dels panells aïllants amb Sto?Schlagdübel T UEZ 8/60, 90 mm (Espiga cop), diàmetre de platet 60 mm. El cap de l'espiga ha d'estar assentada arran de la superfície de l'material aïllant. Distribució de fixació amb espigues de conformitat amb les directrius de tractament de 6,0 unitats / m² a la zona frontal. A la zona de vores (Ample zona de vores: 1/8 x ample de l'edifici, segons l'altura de l'edificació de la següent manera: De 0 ? 8 m d'alçada 8,0 unitats / m², de 8 ? 20 m d'alçada 10,0 unitats / m² i més de 20 m d'alçada 14,0 unitats / m². Reblert de les possibles juntes amb Escuma per a pistola Sto o amb material aïllant i rectificant pla amb una planxa esmeriladora. Col?locació dels perfils especials de reforç com Sto Perfil d'Arrencada. Perfil Antidegoteig. Malla Cantonera. Junta de Neoprè col?locada en les trobades amb materials de diferent coeficient de dilatació. Aplicar en tota la superfície morter armadura, LLIURE DE CIMENT StoArmat Classic de densitat 1,5 g / cm3 segons DIN 53 217. Introduir pressionant la malla d'armadura Sto Malla de fibra de vidre (Sto?Glasfasergewebe amb resistència a fissuració&gt; 1750 N / 50 mm segons DIN EN ISO 13.934?1) i allisar amb l'espàtula. Solapar les juntes de malla de 10 cm.Aplicació de capa d'acabat d'arrebossat orgànic, lliure de Ciment, Stolit K segons DIN 18.858 i mida de l'gra: 1,5 / 2,0 / 3,0 mm (El gruix de la capa ha de ser igual a el de la mida de l' gra). L'aplicació de l'Stolit K es realitza mitjançant llana metàl?lica i el remolinat amb plana llisa de PVC (sense cargols). Elecció de l'color segons Gamma de Colors: Carta StoDesign AC (Architectural Colours) 300 colors. Mesurat sense deduir forats en compensació de brancals. L'aplicació s'ha de fer per empresesque acreditin la formació realitzada per Sto.</t>
  </si>
  <si>
    <t>ma-STOTHERM-00728-002</t>
  </si>
  <si>
    <t>Mortero adhesivo mineral STO-BAUKLEBER para adherencia de paneles aislantes en sistema STOTHERM (25 kg/saco).   Ref. STOTHERM-00728-002</t>
  </si>
  <si>
    <t>ma-STOTHERM-08225-076</t>
  </si>
  <si>
    <t>Placa aislante de espuma de poliestireno STO-PANEL EPS PS15SE 038-050 8 cm para sistema STOTHERM; color blanco (120x60x8 cm/placa; 7 placas/paq.; 5,04 m2/paq.).   Ref. STOTHERM-08225-076</t>
  </si>
  <si>
    <t>ma-STOTHERM-01802-036</t>
  </si>
  <si>
    <t>Fijador de paneles aislantes STO-ESPIGA Martillada T UEZ—K-01 8/60 135 mm para sistema STOTHERM.   Ref. STOTHERM-01802-036</t>
  </si>
  <si>
    <t>ma-STOTHERM-00250-091</t>
  </si>
  <si>
    <t>Mortero de armadura base orgánico (libre de cemento) STOARMAT CLASSIC PLUS F/M/G para sistema STOTHERM (25 kg/envase).   Ref. STOTHERM-00250-091</t>
  </si>
  <si>
    <t>ma-STOTHERM-00920-003</t>
  </si>
  <si>
    <t>Malla de armadura antiálcalis STOMALLA FIBRA DE VIDRIO F para sistema STOTHERM (50x1,1 m/rollo).   Ref. STOTHERM-00920-003</t>
  </si>
  <si>
    <t>ma-STOTHERM-00131-001</t>
  </si>
  <si>
    <t>Mortero de revoco exterior STOLIT K 1.5 (blanco) de Serie STOLIT K/R/MP de STOTHERM (25 kg/cubo).   Ref. STOTHERM-00131-001</t>
  </si>
  <si>
    <t>ma-STOTHERM-07845-009</t>
  </si>
  <si>
    <t>Perfil de aluminio para arranque de zócalos STO-PERFIL DE ZÓCALO UNIVERSAL 82 mm de STOTHERM (2 m/perfil).   Ref. STOTHERM-07845-009</t>
  </si>
  <si>
    <t>ma-STOTHERM-00961-013</t>
  </si>
  <si>
    <t>Perfil cantonera de plástico con malla de fibra de vidrio integrada STO-MALLA CANTONERA 11/13 cm de STOTHERM (2,50 m/pza).   Ref. STOTHERM-00961-013</t>
  </si>
  <si>
    <t>ma-STOTHERM-01889-021</t>
  </si>
  <si>
    <t>Perfil goterón plástico con malla de fibra de vidrio integrada STO-PERFIL GOTERÓN DP 3 mm de STOTHERM (2,40 m/pza).   Ref. STOTHERM-01889-021</t>
  </si>
  <si>
    <t>ma-STOTHERM-01944-017</t>
  </si>
  <si>
    <t>Cinta para sellado de juntas a base de espuma comprimida STO-CINTA DE SELLADO LENTO de STOTHERM 15/3-9 (10 m/rollo).   Ref. STOTHERM-01944-017</t>
  </si>
  <si>
    <t>FACHYP20-OK</t>
  </si>
  <si>
    <t>SISTEMA ETICS TRADITERM "GRUPO PUMA"</t>
  </si>
  <si>
    <t>Aïllament tèrmic per l'exterior de façanes, amb el sistema Traditerm EPS "GRUPO PUMA", amb ETE 07/0054, compost per: panell rígid de poliestirè expandit, Traditerm Panel EPS "GRUPO PUMA", segons UNE-EN 13163, de superfície llisa i mecanitzat lateral recte, de color blanc, de 60 mm d'espessor, fixat al suport amb morter Traditerm "GRUPO PUMA", aplicat manualment i fixacions mecàniques amb tac d'expansió de polipropilè Traditerm "GRUPO PUMA"; capa de regularització de morter Traditerm "GRUPO PUMA", aplicat manualment, armat amb malla de fibra de vidre, antiàlcalis, Traditerm "GRUPO PUMA", de 5x4 mm de llum de malla, de 0,6 mm d'espessor i de 160 g/m² de massa superficial; capa d'acabat de morter acrílic Morcemcril "GRUPO PUMA", color Blanco 100, sobre emprimació acrílica. Fondo Morcemcril "GRUPO PUMA". Inclús perfils d'arrencada Traditerm "GRUPO PUMA", d'alumini, perfils de tancament superior Traditerm "GRUPO PUMA", d'alumini, perfils de cantó Traditerm "GRUPO PUMA", de PVC amb malla, massilla segelladora monocomponent PumaelasticMs "GRUPO PUMA" i cordó d'escuma de polietilè expandit de cel·les tancades per a segellat de junts. El preu inclou l'execució de les rematades en els trobaments amb paraments, revestiments o altres elements rebuts en la seva superfície.</t>
  </si>
  <si>
    <t>ma-puma-mortero.traditerm</t>
  </si>
  <si>
    <t>Mortero adhesivo y de revestimiento para fachadas TRADITERM GP W2 de PUMA (25 kg/saco).   Ref. puma-mortero.traditerm</t>
  </si>
  <si>
    <t>ma-puma-EPS-60mm</t>
  </si>
  <si>
    <t>Placa EPS TRADITERM 60 mm.   Ref. puma-EPS-60mm</t>
  </si>
  <si>
    <t>ma-puma-malla.std</t>
  </si>
  <si>
    <t>Malla TRADITERM de PUMA (50x1,1 m/rollo).   Ref. puma-malla.std</t>
  </si>
  <si>
    <t>ma-puma-malla.antivandalica</t>
  </si>
  <si>
    <t>Malla de refuerzo antivandalica de TRADITERM.   Ref. puma-malla.antivandalica</t>
  </si>
  <si>
    <t>ma-puma-taco.anclaje-120mm</t>
  </si>
  <si>
    <t>Taco de anclaje 120 mm TRADITERM de PUMA (100 tacos/caja).   Ref. puma-taco.anclaje-120mm</t>
  </si>
  <si>
    <t>ma-puma-perfil.arranque-60mm</t>
  </si>
  <si>
    <t>Perfil de arranque en aluminio 60 mm TRADITERM de PUMA (2,5 m/perfil).   Ref. puma-perfil.arranque-60mm</t>
  </si>
  <si>
    <t>ma-puma-perfil.angulo</t>
  </si>
  <si>
    <t>Perfil ángulo PVC con malla TRADITERM de PUMA (2,5 m/perfil).   Ref. puma-perfil.angulo</t>
  </si>
  <si>
    <t>ma-puma-perfil.goteron</t>
  </si>
  <si>
    <t>Perfil goterón PVC con malla TRADITERM de PUMA (2,5 m/perfil).   Ref. puma-perfil.goteron</t>
  </si>
  <si>
    <t>ma-puma-perfil.angulo.arco</t>
  </si>
  <si>
    <t>Perfil ángulo-arco PVC con malla TRADITERM de PUMA (2,5 m/perfil).   Ref. puma-perfil.angulo.arco</t>
  </si>
  <si>
    <t>ma-puma-perfil.junta.dilatacion</t>
  </si>
  <si>
    <t>Perfil junta de dilatación PVC con Malla TRADITERM de PUMA (2,5 m/perfil).   Ref. puma-perfil.junta.dilatacion</t>
  </si>
  <si>
    <t>ma-puma-perfil.cierre.lateral</t>
  </si>
  <si>
    <t>Perfil cierre lateral PVC con malla TRADITERM de PUMA (2,50 m/perfil).   Ref. puma-perfil.cierre.lateral</t>
  </si>
  <si>
    <t>ma-puma-perfil.coronacion</t>
  </si>
  <si>
    <t>Perfil coronación PVC con malla TRADITERM de PUMA (2,50 m/perfil).   Ref. puma-perfil.coronacion</t>
  </si>
  <si>
    <t>ma-puma-morcemcril.fondo</t>
  </si>
  <si>
    <t>Fondo acrílico de coloración MORCEMCRIL FONDO de PUMA (20 kg/bidón).   Ref. puma-morcemcril.fondo</t>
  </si>
  <si>
    <t>ma-puma-morcemcril.terminacion</t>
  </si>
  <si>
    <t>Mortero impermeabilizante de decoración para fachadas e interiores MORCEMCRIL de PUMA; color blanco (25 kg/bidón).   Ref. puma-morcemcril.terminacion</t>
  </si>
  <si>
    <t>SATE-STOTHERM-EPS.60mm-AT</t>
  </si>
  <si>
    <t>REVESTIMIENTO DE FACHADA CON SISTEMA SATE-STOTHERM EPS 60 mm (FCH)</t>
  </si>
  <si>
    <t>ma-STOTHERM-07714-002</t>
  </si>
  <si>
    <t>Impermeabilizante protector contra la humedad bajo un SATE STOGOLD COAT de STOTHERM (15 litros/bidón).   Ref. STOTHERM-07714-002</t>
  </si>
  <si>
    <t>ma-STOTHERM-08225-074</t>
  </si>
  <si>
    <t>Placa aislante de espuma de poliestireno STO-PANEL EPS PS15SE 038-040 para sistema STOTHERM; color blanco (120x60x6 cm/placa).   Ref. STOTHERM-08225-074</t>
  </si>
  <si>
    <t>ma-STOTHERM-08225-070</t>
  </si>
  <si>
    <t>Placa aislante de espuma de poliestireno STO-PANEL EPS PS15SE 038-050 2 cm para sistema STOTHERM; color blanco (120x60x4 cm/placa; 15 placas/paq.).   Ref. STOTHERM-08225-072</t>
  </si>
  <si>
    <t>ma-STOTHERM-01802-035</t>
  </si>
  <si>
    <t>Fijador de paneles aislantes STO-ESPIGA Martillada T UEZ—K-01 8/60 115 mm para sistema STOTHERM.   Ref. STOTHERM-01802-035</t>
  </si>
  <si>
    <t>ma-STOTHERM-00506-006</t>
  </si>
  <si>
    <t>Espuma de relleno de poliuretano STO-ESPUMA PISTOLA SE de STOTHERM; color gris (750 ml/cartucho).   Ref. STOTHERM-00506-006</t>
  </si>
  <si>
    <t>ma-STOTHERM-01077-017</t>
  </si>
  <si>
    <t>Perfil plástico conector de zócalo STO-PERFIL DE ZÓCALO CONEXIÓN S 30 mm de STOTHERM (100 pzas/cubo).   Ref. STOTHERM-01077-017</t>
  </si>
  <si>
    <t>ma-STOTHERM-01070-001</t>
  </si>
  <si>
    <t>Distanciador plástico 30x30x3 mm con hendidura central STO-ARANDELAS DISTANCIADORAS de STOTHERM (100 pzas/bolsa).   Ref. STOTHERM-01070-001</t>
  </si>
  <si>
    <t>ma-STOTHERM-01004-001</t>
  </si>
  <si>
    <t>Distanciador plástico 30x30x8 mm con hendidura central STO-ARANDELAS DISTANCIADORAS de STOTHERM (100 pzas.bolsa).   Ref. STOTHERM-01004-001</t>
  </si>
  <si>
    <t>ma-STOTHERM-04790-002</t>
  </si>
  <si>
    <t>Revoque de acabado STOLOTUSAN K 1,5 TINTADO C1 para sistema STOTHERM (25 kg/envase).   Ref. STOTHERM-04790-002</t>
  </si>
  <si>
    <t>SATE-STOTHERM-EPS.80mm-AT</t>
  </si>
  <si>
    <t>REVESTIMIENTO DE FACHADA CON SISTEMA SATE-STOTHERM EPS 80 mm (FCH)</t>
  </si>
  <si>
    <t>SATE-STOTHERM-LDR.80mm-AT</t>
  </si>
  <si>
    <t>REVESTIMIENTO DE FACHADA CON SISTEMA SATE-STOTHERM LANA DE ROCA 80 mm (FCH)</t>
  </si>
  <si>
    <t>ma-diaterm-sku333363</t>
  </si>
  <si>
    <t>Panel de lana de roca ROCKWOOL SONOROCK ECO de ROCKWOOL (1350x600x80 mm/panel; 8 paneles/paquete; 8,10 m2/paquete).   Ref. diaterm-sku333363</t>
  </si>
  <si>
    <t>SATE-WEBERTHERM-LDR.60mm-AT</t>
  </si>
  <si>
    <t>REVESTIMIENTO DE FACHADA CON SISTEMA SATE-WEBERTHERM LANA DE ROCA 60 mm (FCH)</t>
  </si>
  <si>
    <t>ma-prolisur-weberdryimperflexgel</t>
  </si>
  <si>
    <t>Mortero Impermeabilizante Flexible WEBERDRY IMPERFLEXGEL de WEBER (15 kg/saco).   Ref. prolisur-weberdryimperflexgel</t>
  </si>
  <si>
    <t>ma-dp-79003155</t>
  </si>
  <si>
    <t>Perfil de arranque WEBERTHERM de instalación SATE en aluminio para aislamiento 80 mm (2,5 m/perfil).   Ref. dp-79003155</t>
  </si>
  <si>
    <t>ma-prolisur-pc34-60</t>
  </si>
  <si>
    <t>Placa de aislamiento termoacústico WEBERTHERM PLACA CLIMA 34 en lana de vidrio para sistema SATE; espesor 60 mm (7,2 m2/paquete).   Ref. prolisur-pc34-40</t>
  </si>
  <si>
    <t>ma-dp-71630371</t>
  </si>
  <si>
    <t>Sistema de fijación plástico WEBERTHERM ESPIGA H3 - 115 para placas de aislamiento térmico en los sistemas SATE (200 pzas/caja).   Ref. dp-71630371</t>
  </si>
  <si>
    <t>SATE-WEBERTHERM-XPS.80mm-AT</t>
  </si>
  <si>
    <t>REVESTIMIENTO DE FACHADA CON SISTEMA SATE-WEBERTHERM XPS 80 mm (FCH)</t>
  </si>
  <si>
    <t>REVESTIMIENTO DE FACHADA CON SISTEMA SATE-WEBERTHERM XPS 80 mm(FCH)</t>
  </si>
  <si>
    <t>ma-dp-76220003</t>
  </si>
  <si>
    <t>Placa XPS WEBERTHERM de poliestireno extruido; 125x60x80 mm/lámina (3,75 m2/paquete).   Ref. ma-dp-76220003</t>
  </si>
  <si>
    <t>ma-dp-76219991</t>
  </si>
  <si>
    <t>Placa XPS WEBERTHERM de poliestireno extruido; 125x60x40 mm/lámina (7,50 m2/paquete).   Ref. dp-76219991</t>
  </si>
  <si>
    <t>FACHMUR</t>
  </si>
  <si>
    <t>MUROS</t>
  </si>
  <si>
    <t>FACHMUR01-OK</t>
  </si>
  <si>
    <t>IMPERMEABILIZACION DE MURO</t>
  </si>
  <si>
    <t>Impermeabilizacion de muro, con una capa de mortero de cemento, Webertec Hydromur "WEBER", de 20 mm de espesor medio, a buena vista, con acabado liso, aplicado manualmente. El precio no incluye la eliminación del revestimiento existente ni la realización del revestimiento posterior.</t>
  </si>
  <si>
    <t>FACHMUR02-OK</t>
  </si>
  <si>
    <t>HOJA DE PARTICION INTERIOR DE LADRILLO CERAMICO DE 7CM</t>
  </si>
  <si>
    <t>Muro de 4 o 7cm cm de espesor, de fábrica de ladrillo cerámico hueco (Supermahon), para revestir, 29x14x7 cm, con juntas horizontales y verticales de 10 mm de espesor, recibida con mortero de cemento industrial, color gris, M-5, suministrado a granel.</t>
  </si>
  <si>
    <t>ma-lp-00237643</t>
  </si>
  <si>
    <t>Ladrillo cerámico hueco supermahón (50x20x7 cm/pza)   Ref. lp-00237643</t>
  </si>
  <si>
    <t>FACHMUR03-OK</t>
  </si>
  <si>
    <t>TABIQUE DE PLACAS DE YESO LAMINADODE 15MM CON ESTRUCTURA DE 70MM DE ESPESOR</t>
  </si>
  <si>
    <t>Tabique sencillo (15+70+15)/400 (70) (2 normal), con placas de yeso laminado, de 100 mm de espesor total, formado por una estructura simple de perfiles de chapa de acero galvanizado de 70 mm de anchura, a base de montantes (elementos verticales) separados 600 mm entre sí, con disposición normal "N" y canales (elementos horizontales), a la que se atornillan dos placas en total (una placa tipo normal en cada cara, de 15 mm de espesor cada placa). Incluso banda acústica de dilatación autoadhesiva; fijaciones para el anclaje de canales y montantes metálicos; tornillería para la fijación de las placas; cinta de papel con refuerzo metálico y pasta y cinta para el tratamiento de juntas. El precio incluye la resolución de encuentros y puntos singulares, pero no incluye el aislamiento a colocar entre los montantes.</t>
  </si>
  <si>
    <t>ma-lp-00317396</t>
  </si>
  <si>
    <t>Banda acústica autoadhesiva bicapa FONODAN 70 (10000x66x3,9 mm/rollo).   Ref. lp-00317396</t>
  </si>
  <si>
    <t>ma-lp-00539624</t>
  </si>
  <si>
    <t>Perfil canal PLADUR C 70-30 galvanizado Z140 (70x30x3000 mm/perfil).   Ref. lp-00539624</t>
  </si>
  <si>
    <t>ma-lp-00539605</t>
  </si>
  <si>
    <t>Perfil montante PLADUR M 70-35 galvanizado Z140 (70x35x3000 mm/perfil).   Ref. lp-00539605</t>
  </si>
  <si>
    <t>ma-lp-00539310</t>
  </si>
  <si>
    <t>Placa PLADUR N BA aplicaciones estándar (15x1200x2600 mm/placa).   Ref. lp-00539310</t>
  </si>
  <si>
    <t>ma-lp-00533869</t>
  </si>
  <si>
    <t>Tornillo PLADUR PM 3,5x25 mm (1000 pzas/caja).   Ref. lp-00533869</t>
  </si>
  <si>
    <t>ma-lp-00262608</t>
  </si>
  <si>
    <t>Taco golpe 5x27 mm (600 tacos/bote).   Ref. lp-00262608</t>
  </si>
  <si>
    <t>ma-lp-00539675</t>
  </si>
  <si>
    <t>Pasta agarre PLADUR PA (20 kg/saco).   Ref. lp-00539675</t>
  </si>
  <si>
    <t>ma-lp-00262494</t>
  </si>
  <si>
    <t>Pasta de rejuntado PLAKIST CE 78 PERFECT JOINT de SEMIN (25 kg/bidón).   Ref. lp-00262494</t>
  </si>
  <si>
    <t>ma-lp-00539685</t>
  </si>
  <si>
    <t>Cinta de papel KRAFT microperforado para juntas de placas PLADUR (150 m/rollo).   Ref. lp-00539685</t>
  </si>
  <si>
    <t>FACHMUR04-OK</t>
  </si>
  <si>
    <t>TABIQUE DE PLACAS DE YESO LAMINADODE 13MM CON ESTRUCTURA DE 70MM DE ESPESOR</t>
  </si>
  <si>
    <t>ma-lp-00539301</t>
  </si>
  <si>
    <t>Placa PLADUR N BA aplicaciones estándar (13x1200x2600 mm/placa).   Ref. lp-00539301</t>
  </si>
  <si>
    <t>FACHMUR05-OK</t>
  </si>
  <si>
    <t>HOJA PARTICION INTERIOR DE LADRILLO CERAMICO DE 9CM</t>
  </si>
  <si>
    <t>Muro de carga de 14 cm de espesor de fábrica de ladrillo cerámico perforado (gero), para revestir, 29x14x5 cm, resistencia a compresión 10 N/mm², con juntas horizontales y verticales de 10 mm de espesor, recibida con mortero de cemento industrial, color gris, M-7,5, suministrado a granel. El precio no incluye los zunchos horizontales ni la formación de los dinteles de los huecos del paramento.</t>
  </si>
  <si>
    <t>ma-lp-00001155.</t>
  </si>
  <si>
    <t>Gero 10 acústico o ladrillo de arcilla perforado de LA COMA, no visto, con relieve a 2 caras (28x14x9 cm/pza).   Ref. lp-00001155.</t>
  </si>
  <si>
    <t>FACHTECH</t>
  </si>
  <si>
    <t>TECHOS</t>
  </si>
  <si>
    <t>FACHTEC-TRAMPILLA-120x60cm-OK</t>
  </si>
  <si>
    <t>TRAMPILLA PARA FALSO TECHO DE PLADUR DE 120X60CM</t>
  </si>
  <si>
    <t>BBBBBBBBBBBB</t>
  </si>
  <si>
    <t>ma-lp-00196285</t>
  </si>
  <si>
    <t>Trampilla BIGMAT en aluminio y placa PPM de ULTIPRO (1200x600 mm/und).   Ref. lp-00196285</t>
  </si>
  <si>
    <t>FACHTEC-TRAMPILLA-60x60cm-OK</t>
  </si>
  <si>
    <t>TRAMPILLA PARA FALSO TECHO DE PLADUR DE 60X60CM</t>
  </si>
  <si>
    <t>Trampilla de registro gama Básica, de 600x600 mm, formada por marco de aluminio y puerta de placa de yeso laminado, para falso techo continuo de placas de yeso laminado. Incluso accesorios de montaje.</t>
  </si>
  <si>
    <t>ma-lp-00002184</t>
  </si>
  <si>
    <t>Trampilla BIGMAT en aluminio y placa PPM de ULTIPRO (600x600 mm/und).   Ref. lp-00002184</t>
  </si>
  <si>
    <t>FACHTEC-TRAMPILLA-80x80cm-OK</t>
  </si>
  <si>
    <t>TRAMPILLA PARA FALSO TECHO DE PLADUR DE 80X80CM</t>
  </si>
  <si>
    <t>ma-solotrampillas-B800800W</t>
  </si>
  <si>
    <t>Trampilla metálica con cerradura SISTEMA B1 (800x800 mm/und).   Ref. solotrampillas-B800800W</t>
  </si>
  <si>
    <t>Falso techo continuo normal, liso, 12,5 situado a una altura menor de 3 m, con nivel de calidad del acabado estándar, constituido por: estructura metálica de acero galvanizado de maestros primarias fijadas al techo o elemento soporte de hormigón con anclajes directos cada 900 mm, una capa de placas de yeso laminado A. Incluso banda autoadhesiva desolidarizante, fijaciones para el anclaje de los perfiles, tornillos para la fijación de las placas, pasta de sellado, cinta microperforada de papel y accesorios de montaje.</t>
  </si>
  <si>
    <t>FACHTEC04-OK</t>
  </si>
  <si>
    <t>FALSO TECHO HIDROFUGO</t>
  </si>
  <si>
    <t>Falso techo continuo hidrofugado, liso, 12,5 situado a una altura menor de 3 m, con nivel de calidad del acabado estándar, constituido por: estructura metálica de acero galvanizado de maestros primarias fijadas al techo o elemento soporte de hormigón con anclajes directos cada 900 mm, una capa de placas de yeso laminado hidrofugado. Incluso banda autoadhesiva desolidarizante, fijaciones para el anclaje de los perfiles, tornillos para la fijación de las placas, pasta de sellado, cinta microperforada de papel y accesorios de montaje.</t>
  </si>
  <si>
    <t>tech2</t>
  </si>
  <si>
    <t>Falso techo continuo HIDROFUGADO adosado, liso, 12,5+15+15</t>
  </si>
  <si>
    <t>FACHTEC05-OK</t>
  </si>
  <si>
    <t>FALSO TECHO RESGISTRABLE</t>
  </si>
  <si>
    <t>Falso techo registrable suspendido, situado a una altura menor de 4 m, constituido por: ESTRUCTURA: perfilería vista, de acero galvanizado, comprendiendo perfiles primarios y secundarios, suspendidos del forjado o elemento soporte con varillas y cuelgues; PLACAS: placas de yeso laminado, acabado sin revestir, de 600x600, de superficie lisa. Incluso perfiles angulares, fijaciones para el anclaje de los perfiles y accesorios de montaje.</t>
  </si>
  <si>
    <t>MATTECHREGS</t>
  </si>
  <si>
    <t>MATERIAL PARA TECHO REGISTRABE</t>
  </si>
  <si>
    <t>FACHTEC06-OK</t>
  </si>
  <si>
    <t>FALSO DE TECHO IGNIFUGO EI120</t>
  </si>
  <si>
    <t>ma-diaterm-yeso.cortafuego.25mm</t>
  </si>
  <si>
    <t>Placa cortafuego DF de yeso laminado 25 mm K711F.es de KNAUF (1,2x2 m/placa).   Ref. diaterm-yeso.cortafuego-25mm</t>
  </si>
  <si>
    <t>MT1</t>
  </si>
  <si>
    <t>Estructura y materiales</t>
  </si>
  <si>
    <t>FACHTEC07-OK</t>
  </si>
  <si>
    <t>TABICA PARA FALSO TECHO CONTINUO DE PLACAS DE YESO LAMINADO</t>
  </si>
  <si>
    <t>MATTABICA</t>
  </si>
  <si>
    <t>Material para tabica de yeso laminado</t>
  </si>
  <si>
    <t>FALSO.TECHO</t>
  </si>
  <si>
    <t>FALSOS TECHOS</t>
  </si>
  <si>
    <t>FALSO.TECHO.CONTINUO</t>
  </si>
  <si>
    <t>FALSO TECHO CONTINUO CON PLACAS DE YESO LAMINADO</t>
  </si>
  <si>
    <t>FTC-HIDROFUGADO-1PLACA</t>
  </si>
  <si>
    <t>FALSO TECHO CONTINUO CON UNA (1) PLACA DE YESO LAMINADO TIPO HIDROFUGO</t>
  </si>
  <si>
    <t>ma-lp-00539656</t>
  </si>
  <si>
    <t>Perfil PLADUR CLIP canal en U galvanizado Z140 (20x30x3000 mm/perfil).   Ref. lp-00539656</t>
  </si>
  <si>
    <t>ma-lp-00411803</t>
  </si>
  <si>
    <t>Taco latón hembra M-6 (10 uds/bolsa).   Ref. lp-00411803</t>
  </si>
  <si>
    <t>ma-lp-00193859</t>
  </si>
  <si>
    <t>Varilla roscada de acero cincado M-8 de HYDRAFIX (1 m/pza).   Ref. lp-00193859</t>
  </si>
  <si>
    <t>ma-lp-00539104</t>
  </si>
  <si>
    <t>Horquilla de cuelgue perfil PLADUR TC47 M6 (100 pzas/caja).   Ref. lp-00539104</t>
  </si>
  <si>
    <t>ma-lp-00539641</t>
  </si>
  <si>
    <t>Horquilla de cuelgue PLADUR para perfil T-45 (100 pzas/caja).   Ref. lp-00539641</t>
  </si>
  <si>
    <t>ma-lp-00539636</t>
  </si>
  <si>
    <t>Perfil PLADUR en C galvanizado Z140 (45x18,3x3000 mm/perfil).   Ref. lp-00539636</t>
  </si>
  <si>
    <t>ma-lp-00539642</t>
  </si>
  <si>
    <t>Pieza de empalme perfil T-45 de PLADUR (100 pzas/caja).   Ref. lp-00539642</t>
  </si>
  <si>
    <t>ma-lp-00539322</t>
  </si>
  <si>
    <t>Placa PLADUR H1 zonas húmedas (12x1200x3000 mm/placa).   Ref. lp-00539322</t>
  </si>
  <si>
    <t>FTC-HIDROFUGADO-TABICA-30cm</t>
  </si>
  <si>
    <t>TABICA VERTICAL EN CAMBIO DE NIVEL DE FALSO TECHO CONTINUO CON PLACA DE YESO LAMINADO TIPO HIDROFUGO, PARA CERRAR ESPACIO &lt;= 30 cm DE ALTURA</t>
  </si>
  <si>
    <t>ma-lp-00539654</t>
  </si>
  <si>
    <t>Perfil PLADUR angular L galvanizado Z140 (24x3000 mm/perfil).   Ref. lp-00539654</t>
  </si>
  <si>
    <t>FTC-MIXTO-1PLACA</t>
  </si>
  <si>
    <t>FALSO TECHO CONTINUO CON UNA (1) PLACA DE YESO LAMINADO MULTIPROPÓSITO (AISLAMIENTO ACÚSTICO, CORTAFUEGO Y ZONAS HÚMEDAS)</t>
  </si>
  <si>
    <t>nnnnnnnnnnnnnn</t>
  </si>
  <si>
    <t>ma-lp-00539365.</t>
  </si>
  <si>
    <t>Placa PLADUR Omnia BA alta resistencia (15x1200x2500 mm/placa).   Ref. lp-00539365.</t>
  </si>
  <si>
    <t>FTC-MIXTO-TABICA-30cm</t>
  </si>
  <si>
    <t>TABICA VERTICAL EN CAMBIO DE NIVEL DE FALSO TECHO CONTINUO CON PLACA DE YESO LAMINADO MULTIPROPÓSITO (AISLAMIENTO ACÚSTICO, CORTAFUEGO Y ZONAS HÚMEDAS), PARA CERRAR ESPACIO &lt;= 30 cm DE ALTURA</t>
  </si>
  <si>
    <t>FTC-NORMAL-1PLACA</t>
  </si>
  <si>
    <t>FALSO TECHO CONTINUO CON UNA (1) PLACA DE YESO LAMINADO TIPO NORMAL</t>
  </si>
  <si>
    <t>ma-lp-00539311</t>
  </si>
  <si>
    <t>Placa PLADUR N BA aplicaciones estándar (15x1200x2500 mm/placa).   Ref. lp-00539311</t>
  </si>
  <si>
    <t>FTC-NORMAL-TABICA-30cm</t>
  </si>
  <si>
    <t>TABICA VERTICAL EN CAMBIO DE NIVEL DE FALSO TECHO CONTINUO CON PLACA DE YESO LAMINADO TIPO NORMAL, PARA CERRAR ESPACIO &lt;= 30 cm DE ALTURA</t>
  </si>
  <si>
    <t>FALSO.TECHO.REGISTRABLE</t>
  </si>
  <si>
    <t>FALSO TECHO REGISTRABLE</t>
  </si>
  <si>
    <t>FTR-FIBRA.MINERAL.T1-60x60cm</t>
  </si>
  <si>
    <t>FALSO TECHO REGISTRABLE EN CUADRÍCULAS 60X60 cm CON PERFILERÍA GALVANIZADA VISTA GRIS Y PLACAS DE FIBRA MINERAL TIPO 1</t>
  </si>
  <si>
    <t>nnnnnnnnnnnnnnnnnnnnn</t>
  </si>
  <si>
    <t>ma-lp-00001778</t>
  </si>
  <si>
    <t>Perfil angular para instalación de techos registrables Quick Lock 3000 gris (22x22x3000 mm/perfil).   Ref. lp-00001778</t>
  </si>
  <si>
    <t>ma-lp-00470215</t>
  </si>
  <si>
    <t>Horquilla de cuelgue niveladora TR M4 de SENOR con rotura de puente térmico para falsos techos registrables (20 pzas/bolsa).   Ref. lp-00470215</t>
  </si>
  <si>
    <t>ma-lp-00019571</t>
  </si>
  <si>
    <t>Remache aluminio-acero 4,8x8 estándar de BRALO (50 pzas/caja).   Ref. lp-00019571</t>
  </si>
  <si>
    <t>ma-lp-00001779</t>
  </si>
  <si>
    <t>Perfil primario para instalación de techos registrables Quick Lock 3600 ALA24 gris (24x38x3600 mm/perfil).   Ref. lp-00001779</t>
  </si>
  <si>
    <t>ma-lp-00001781</t>
  </si>
  <si>
    <t>Perfil secundario para instalación de techos registrables Quick Lock 1200 ALA24 gris (24x32x1200 mm/perfil).   Ref. lp-00001781</t>
  </si>
  <si>
    <t>ma-lp-00001783</t>
  </si>
  <si>
    <t>Perfil secundario para instalación de techos registrables Quick Lock 600 ALA24 gris (24x32x600 mm/perfil).   Ref. lp-00001783</t>
  </si>
  <si>
    <t>ma-lp-00515520</t>
  </si>
  <si>
    <t>Placa de fibra mineral para techo registrable Armstrong Tatra Fission Board; color blanco (600x600x15 mm/placa; 5,76 m2/caja).   Ref. lp-00515520</t>
  </si>
  <si>
    <t>FTR-FIBRA.MINERAL.T1-TABICA</t>
  </si>
  <si>
    <t>bbbbbbbbbbbbbbbbbbb</t>
  </si>
  <si>
    <t>FTR-YESO.VINYL-60x60cm</t>
  </si>
  <si>
    <t>FALSO TECHO REGISTRABLE EN CUADRÍCULAS 60X60 cm CON PERFILERÍA GALVANIZADA VISTA GRIS Y PLACAS DE YESO LAMINADO CON CAPA VINÍLICA</t>
  </si>
  <si>
    <t>ccccccccccc</t>
  </si>
  <si>
    <t>ma-bauhaus-26159528</t>
  </si>
  <si>
    <t>Placa para techo registrable de yeso laminado revestida con una lámina de policloruro de vinilo blanco (1200x600 mm/placa).   Ref. bauhaus-26159528</t>
  </si>
  <si>
    <t>FTR-YESO.VINYL-TABICA</t>
  </si>
  <si>
    <t>TABICA VERTICAL EN CAMBIO DE NIVEL DE FALSO TECHO REGISTRABLE CON PLACA DE YESO LAMINADO CON CAPA VINÍLICA, PARA CERRAR ESPACIO &lt;= 30 cm DE ALTURA</t>
  </si>
  <si>
    <t>FTR-YESO.Y.VINYL-120x60cm</t>
  </si>
  <si>
    <t>FALSO TECHO REGISTRABLE EN CUADRÍCULAS 120X60 cm CON PERFILERÍA GALVANIZADA VISTA GRIS Y PLACAS DE YESO LAMINADO CON CAPA VINÍLICA</t>
  </si>
  <si>
    <t>REP-FALSO.TECHO-PLADUR</t>
  </si>
  <si>
    <t>REPARACIONES DE FALSOS TECHOS DE PLADUR</t>
  </si>
  <si>
    <t>REP-FALSO.TECHO-PLADUR-NORMAL</t>
  </si>
  <si>
    <t>REPARACIONES MENORES EN FALSO TECHO PLADUR NORMAL</t>
  </si>
  <si>
    <t>ma-lp-00539298</t>
  </si>
  <si>
    <t>Placa PLADUR N terminación normal (12x1200x3000 mm).   Ref. lp-00539298</t>
  </si>
  <si>
    <t>ma-lp-00539587</t>
  </si>
  <si>
    <t>Perfil PLADUR en C galvanizado Z140 (48x35x3000 mm/perfil).   Ref. lp-00539587</t>
  </si>
  <si>
    <t>ma-lp-00002032</t>
  </si>
  <si>
    <t>Tornillo PLADUR PM 4,2x70 mm (250 pzas/caja).   Ref. lp-00002032</t>
  </si>
  <si>
    <t>ma-lp-00001361</t>
  </si>
  <si>
    <t>Cinta guardavivos microperforada de papel (30 m/rollo).   Ref. lp-00001361</t>
  </si>
  <si>
    <t>ma-lp-00539666</t>
  </si>
  <si>
    <t>Pasta para juntas PLADUR JF (18 kg/saco).   Ref. lp-00539666</t>
  </si>
  <si>
    <t>REP-FALSO.TECHO-PLADUR-HIDROFUGO</t>
  </si>
  <si>
    <t>REPARACIONES MENORES EN FALSO TECHO PLADUR HIDRÓFUGO</t>
  </si>
  <si>
    <t>FACHPESADA</t>
  </si>
  <si>
    <t>Fachada pesada de paneles prefabricados de hormigón armado.</t>
  </si>
  <si>
    <t>pnl12</t>
  </si>
  <si>
    <t>Panel prefabricado, nervado, de hormigón armado de 12 cm</t>
  </si>
  <si>
    <t>mas1</t>
  </si>
  <si>
    <t>Masilla caucho-asfáltica para sellado en frío de juntas de paneles prefabricados de hormigón.</t>
  </si>
  <si>
    <t>grua1</t>
  </si>
  <si>
    <t>Grúa autopropulsada de brazo telescópico con una capacidad de elevación de 60 t y 58 m de</t>
  </si>
  <si>
    <t>grc1</t>
  </si>
  <si>
    <t>Piezas especiales y elementos metalicos para GRC</t>
  </si>
  <si>
    <t>FACHDEF</t>
  </si>
  <si>
    <t>o DEFENSAS</t>
  </si>
  <si>
    <t>BAR001</t>
  </si>
  <si>
    <t>o REPARACIÓN PUNTUAL DE ANCLAJE DE BARANDILLA</t>
  </si>
  <si>
    <t>Reparación del punto de empotramiento del paral o montante de barandilla en borde de losa o forjado; incluyendo: repicado/demolición de la zona de intervención, retiro del anclaje existente y restitución del punto de apoyo con aporte de material de acero inoxidable soldado (pletina fijada con taco químico y tramo de tubo complementario (L&lt;20 cm)) y reposición canto de hormigón con resinas epoxi</t>
  </si>
  <si>
    <t>ma-bi-s/c-001</t>
  </si>
  <si>
    <t>Tubo sección circular de acero inoxidable AISI-304 BA acabado exterior pulido brillo; 43x1,5x2000 mm (2 m/pza).   Ref. bi-S/C-001</t>
  </si>
  <si>
    <t>ma-lp-00351248</t>
  </si>
  <si>
    <t>Electrodo rutilo para acero inoxidable EUTECTRODE E 316L-17 CASTOLÍN EUTECTIC; 2.5x300mm (10 varillas/caja).   Ref. lp-00351248</t>
  </si>
  <si>
    <t>ma-lp-00288080</t>
  </si>
  <si>
    <t>lata</t>
  </si>
  <si>
    <t>Disco abrasivo DEWALT FAST CUT; 115x1x22,23 mm para el corte de acero inoxidable (10 discos/lata)   Ref. lp-00288080</t>
  </si>
  <si>
    <t>ma-lp-00007314</t>
  </si>
  <si>
    <t>Imprimador antioxidante BARPIMO (4 litros/envase)   Ref. lp-00007314</t>
  </si>
  <si>
    <t>BAR001TV</t>
  </si>
  <si>
    <t>o REPARACIÓN PUNTUAL DE ANCLAJE DE BARANDILLA C/VERTICALES</t>
  </si>
  <si>
    <t>D</t>
  </si>
  <si>
    <t>BAR002</t>
  </si>
  <si>
    <t>o RESTAURACIÓN DE PUNTO DE EMPOTRAMIENTO LATERAL DE BARANDILLA A PARAMENTO DE PIEDRA</t>
  </si>
  <si>
    <t>Trabajos de pasivado de empotramiento metálico de barandilla existente en buen estado en losa de balcón, mediante el repicado del soporte en la zona de empotramiento hasta descubrir el soporte metálico llegando a base firme. Pasivado de empotramientos con protección anti corrosiva del tipo SIKA TOP ARMATEC 110 EPOCEM. Cumplimentado de los agujeros del empotramiento a base de cemento mejorado con resinas sintéticas, humo de sílice y fibras minerales tipo SIKA MONOTOP 612/618. La superficie quedará preparada para la aplicación del revestimiento de acabado</t>
  </si>
  <si>
    <t>BAR002TV</t>
  </si>
  <si>
    <t>RESTAURACIÓN DE PUNTO DE EMPOTRAMIENTO LATERAL DE BARANDILLA A PARAMENTO DE PIEDRA</t>
  </si>
  <si>
    <t>FFF</t>
  </si>
  <si>
    <t>BAR003</t>
  </si>
  <si>
    <t>BARANDILLA DE FACHADA, DE ACERO CON TUBO CUADRADO DE 30X30X1.5MM</t>
  </si>
  <si>
    <t>Barandilla de fachada en forma recta, de 100 cm de altura, formada por: bastidor compuesto de barandal superior e inferior de tubo cuadrado de perfil hueco de acero laminado en frío de 30x30x1,5 mm y montantes de tubo cuadrado de perfil hueco de acero laminado en frío de 30x30x1,5 mm con una separación de 100 cm entre sí; entrepaño para relleno de los huecos del bastidor compuesto de barrotes verticales de tubo cuadrado de perfil hueco de acero laminado en frío de 30x30x1,5 mm con una separación de 10 cm y pasamanos de tubo cuadrado de perfil hueco de acero laminado en frío de 30x30x1,5 mm, fijada mediante anclaje químico con varilla roscada.</t>
  </si>
  <si>
    <t>ma-lp-00001652</t>
  </si>
  <si>
    <t>Tubo de hierro con sección cuadrada 30x30x1,5 mm (3 m/pza).   Ref. lp-00001652</t>
  </si>
  <si>
    <t>ma-lp-00016913</t>
  </si>
  <si>
    <t>Espárrago/Varilla de inyección para anclaje químico FISCHER FIS GS; 12x120 mm (8 pzas/bolsa).   Ref. lp-00016913.</t>
  </si>
  <si>
    <t>FACHDEF-ANCLAJE.BARANDA-AI-2PX4</t>
  </si>
  <si>
    <t>XXXX REPARACIÓN PUNTUAL DE ANCLAJE DE BARANDILLA CON SUSTITUCIÓN FUNCIONAL EN ACERO INOXIDABLE (PLETINA 15x15 cm c/4 PERNOS)</t>
  </si>
  <si>
    <t>Reparación del punto de empotramiento del paral o montante de barandilla en borde de losa o forjado; incluyendo: repicado/demolición de la zona de intervención, retiro del anclaje existente y restitución del punto de apoyo con aporte de material de acero inoxidable soldado (pletina fijada con taco químico y tramo de tubo complementario (15x15 cm c/4 pernos) y reposición canto de hormigón con resinas epoxi</t>
  </si>
  <si>
    <t>moc-std1-soldador</t>
  </si>
  <si>
    <t>Cuadrilla Std1 Soldador - 1 Oficial Soldador de 1ª + 1 Ayudante de Soldador</t>
  </si>
  <si>
    <t>FACHDEF03-OK</t>
  </si>
  <si>
    <t>PASAMANOS DE ACERO INOXIDABLE DE 1.50CM</t>
  </si>
  <si>
    <t>Pasamanos recto formado por tubo hueco de acero inoxidable AISI 304, acabado pulido brillante, de 30 mm de diámetro, con soportes del mismo material fijados al paramento mediante anclaje mecánico con tacos de nylon y tornillos de acero galvanizado.</t>
  </si>
  <si>
    <t>ANLC1</t>
  </si>
  <si>
    <t>Anclaje mecánico con taco de nylon y tornillo de acero galvanizado, de cabeza avellanada.</t>
  </si>
  <si>
    <t>ma-manomano-ME2856043</t>
  </si>
  <si>
    <t>Tubo sección circular de acero inoxidable AISI-304L acabado exterior pulido brillo; 30x1,5x3000 mm (3 m/pza).   Ref. manomano-ME2856043</t>
  </si>
  <si>
    <t>FACHDEF-ANCLAJE.BARANDA-AC-1Px1</t>
  </si>
  <si>
    <t>REPARACIÓN PUNTUAL DE ANCLAJE DE BARANDILLA CON SUSTITUCIÓN FUNCIONAL EN ACERO (PLETINA 10x6 cm c/1 PERNO)</t>
  </si>
  <si>
    <t>REPARACIÓN PUNTUAL DE ANCLAJE DE BARANDILLA CON SUSTITUCIÓN FUNCIONAL EN ACERO (1 ESPÁRRAGO) (FCH)</t>
  </si>
  <si>
    <t>ma-lp-00001663</t>
  </si>
  <si>
    <t>Perfil de acero tipo pletina maciza; 60x5 mm (3 m/pza).   Ref. lp-00001663</t>
  </si>
  <si>
    <t>ma-lp-00122180</t>
  </si>
  <si>
    <t>Tubo de hierro con sección rectangular 40x30 mm (2 m/pza).   Ref. lp-00122180</t>
  </si>
  <si>
    <t>FACHDEF04-OK</t>
  </si>
  <si>
    <t>BARANDILLA DE FACHADA EN ACERO INOXIDABLE</t>
  </si>
  <si>
    <t>Barandilla de fachada en forma recta, de 100 cm de altura, de acero inoxidable AISI 316 acabado  brillante, formada por: montantes verticales, de perfil cuadrado de 40x40 mm con una separación de 120 cm entre sí; entrepaño de barrotes verticales de acero inoxidable de 16 mm de diámetro y pasamanos de perfil circular de 42 mm, fijada mediante anclaje mecánico de expansión.</t>
  </si>
  <si>
    <t>FDD040-GDP-CYPE</t>
  </si>
  <si>
    <t>Barandilla de fachada, de acero inoxidable AISI 304</t>
  </si>
  <si>
    <t>ma-cype-mt26dbe330a</t>
  </si>
  <si>
    <t>Barandilla de acero inoxidable AISI 304 acabado brillante de 100 cm de altura.   Ref. cype-mt26dbe330a</t>
  </si>
  <si>
    <t>mt26aaa023b</t>
  </si>
  <si>
    <t>Anclaje mecánico con taco de expansión de acero inoxidable AISI 316, tuerca y arandela.</t>
  </si>
  <si>
    <t>FACHDEF-REP.BARANDILLAS-20o/o-AC</t>
  </si>
  <si>
    <t>REPOSICIÓN A NUEVO DE ELEMENTOS METÁLICOS DETERIORADOS Y/O AFECTADOS POR CORROSIÓN EN BARANDILLAS STD/CONVENCIONALES (INTERVENCIÓN &lt;=20% DE MONTANTES, TRAVESAÑOS Y/O PASAMANOS)</t>
  </si>
  <si>
    <t>Reposición a nuevo de elementos metálicos deteriorados y/o afectados por corrosión en barandillas std/convencionales (intervención &lt;=20% de montantes, travesaños y/o pasamanos)</t>
  </si>
  <si>
    <t>ma-lp-00020166</t>
  </si>
  <si>
    <t>Tubo de hierro con sección cuadrada 20x20 mm (2 m/pza).   Ref. lp-00020166</t>
  </si>
  <si>
    <t>ma-hierromiguel-01</t>
  </si>
  <si>
    <t>Pletina de acero acabado laminado en caliente (ancho 80 mm; espesor 6 mm).   Ref. hierromiguel-01</t>
  </si>
  <si>
    <t>alq-soldadora.inox-mym-01</t>
  </si>
  <si>
    <t>Alquiler de Soldadora Inox. TIG 160 A / 230 V.   Ref. MÁQUINAS Y MÁQUINAS</t>
  </si>
  <si>
    <t>FACHDEF-REP.BARANDILLAS-20o/o-AI</t>
  </si>
  <si>
    <t>REPOSICIÓN A NUEVO DE ELEMENTOS DE ACERO INOXIDABLE DETERIORADOS Y/O AFECTADOS POR CORROSIÓN EN BARANDILLAS STD/CONVENCIONALES (INTERVENCIÓN &lt;=20% DE MONTANTES, TRAVESAÑOS Y/O PASAMANOS)</t>
  </si>
  <si>
    <t>ma-bi-s/c-003</t>
  </si>
  <si>
    <t>Tubo sección cuadrada de acero inoxidable AISI-304 BA acabado exterior pulido brillo; 40x1,5x2000 mm (2 m/pza).   Ref. bi-S/C-003</t>
  </si>
  <si>
    <t>ma-lp-00149678</t>
  </si>
  <si>
    <t>Tubo pasamanos en acero inoxidable acabado satinado AISI 304; 42,4x2,0 mm (3 m/pza; 6,06 kg/pza)   Ref. lp-00149678</t>
  </si>
  <si>
    <t>FACHDEF-REP.BARANDILLAS-40o/o-AC</t>
  </si>
  <si>
    <t>REPOSICIÓN A NUEVO DE ELEMENTOS METÁLICOS DETERIORADOS Y/O AFECTADOS POR CORROSIÓN EN BARANDILLAS STD/CONVENCIONALES (INTERVENCIÓN &lt;=40% DE MONTANTES, TRAVESAÑOS Y/O PASAMANOS)</t>
  </si>
  <si>
    <t>Reposición a nuevo de elementos metálicos deteriorados y/o afectados por corrosión en barandillas std/convencionales (intervención &lt;=40% de montantes, travesaños y/o pasamanos)</t>
  </si>
  <si>
    <t>CAR</t>
  </si>
  <si>
    <t>Carpintería, cerrajería, vidrios y protecciones solares</t>
  </si>
  <si>
    <t>CARP001</t>
  </si>
  <si>
    <t>PUERTA DE ENTRADA A EDIFICIO DE 1.94x3.24m</t>
  </si>
  <si>
    <t>Suministro y colocación de puerta de entrada principal en Edificio, para medidas aproximadas de hueco 3,24x1,94 metros, compuesta por una hoja practicable, un fijo lateral y un fijo superior, fabricada con marcos de tubo 60x60mm y 80x40mm, ajunquillada para soportar cristales laminados transparentes de 4+4mm, incluye cerradura de golpe con bombín de seguridad y llave por puntos, cerradura de portero eléctrico, maneta interior y tirador exterior de acero inoxidable y muelle retenedor . Lacada al horno en negro forja. Incluye retirada de puerta existente. La cerradura incluye 5 llaves originales, el resto de copias tiene un importe de 10 euros unidad. No incluye trabajos de paleta si fueran necesarios.</t>
  </si>
  <si>
    <t>FERROMAX01</t>
  </si>
  <si>
    <t>Suministro y colocación de puerta de entrada principal FERROMAX CELLER 77</t>
  </si>
  <si>
    <t>CARP002</t>
  </si>
  <si>
    <t>OPCIÓN DE COLOCAR MARCOS DECORATIVOS DE ACERO INOX EN PARTE INFERIOR DE PUERTA ENTRADA EDIFICIO</t>
  </si>
  <si>
    <t>Opción de colocar marcos decorativos de acero inoxidable pulido en parte inferior de
puerta (modelos A y B), de lo contrario se colocan marcos de hierro lacados en el mismo
color que la puerta.</t>
  </si>
  <si>
    <t>FERROMAX02</t>
  </si>
  <si>
    <t>Marcos decortivos de acero inox</t>
  </si>
  <si>
    <t>CARP003</t>
  </si>
  <si>
    <t>OPCIÓN PIE EMPUJA PUERTA ENTRADA DE EDIFICIO DE ACERO INOXIDABLE</t>
  </si>
  <si>
    <t>Opción de colocar pié de acero inoxidable para empujar puerta en la apertura.</t>
  </si>
  <si>
    <t>FERROMAX03</t>
  </si>
  <si>
    <t>Pié de acero inoxidable para empujar puerta en la apertura</t>
  </si>
  <si>
    <t>CARP004</t>
  </si>
  <si>
    <t>PERSIANAS BARCELONA</t>
  </si>
  <si>
    <t>Incluye: Carcamo y hembrilla Fijación tradicional para colgar la persiana del dintel del hueco arquitec-tónico.
PERSIANA BARCELONA COLOR ESPECIAL (a medida) + 145€/color</t>
  </si>
  <si>
    <t>ma-pers-bcn</t>
  </si>
  <si>
    <t>PERSIANA BARCELONA COLOR DE LA CARTA</t>
  </si>
  <si>
    <t>CARP005</t>
  </si>
  <si>
    <t>RETIRO DE SELLADOS DE JUNTAS ENTRE CARPINTERÍA  Y CRISTALES</t>
  </si>
  <si>
    <t>Retiro de sellados de juntas entre carpinteria y cristales, con medios manuales, sin  deteriorar los elementos constructivos a los que pueda estar sujeta, y carga manual sobre camión o contenedor.</t>
  </si>
  <si>
    <t>CARP007</t>
  </si>
  <si>
    <t>ESCUPIDORES O VIERTEAGUAS DE VENTANAS DE MADERA</t>
  </si>
  <si>
    <t>Extracción de vierteaguas/Escupidores de ventanas de madera en mal estado. Reposición de vierteaguas con madera de abeto de 1,35m de igual escuadra y geometría, con suministro y colocación.</t>
  </si>
  <si>
    <t>ma-web-002</t>
  </si>
  <si>
    <t>Moldura De Pino Landas Escupidor. Medidas: 28X25X2400MM</t>
  </si>
  <si>
    <t>CAR-BUZON.VECINAL-3.CASILLEROS-1</t>
  </si>
  <si>
    <t>SUMINISTRO Y COLOCACIÓN DE TERNA DE BUZONES VERTICALES DE COMUNIDAD</t>
  </si>
  <si>
    <t>ma-lm-18059006</t>
  </si>
  <si>
    <t>terna</t>
  </si>
  <si>
    <t>Buzón de comunidad vertical acero en plata mate de ARREGUI (40x27x30 cm/terna).   Ref. lm-18059006</t>
  </si>
  <si>
    <t>CAR-PERSIANA.MALLORQ.ALUM-1x1m</t>
  </si>
  <si>
    <t>SUMINISTRO Y COLOCACIÓN DE PERSIANA MALLORQUINA DE ALUMINIO CON 2 PAÑOS PRACTICABLES (100x100 cm/und)</t>
  </si>
  <si>
    <t>Suministro y colocación de persiana mallorquina de aluminio con 2 paños practicables (100x100 cm/und)</t>
  </si>
  <si>
    <t>ma-om-10579345</t>
  </si>
  <si>
    <t>Persiana Mallorquina de Aluminio con 2 paños practicables (100x100 cm/und).   Ref. om-10579345</t>
  </si>
  <si>
    <t>ma-lp-00538824</t>
  </si>
  <si>
    <t>Banda impermeabilización FORM 9 de caucho EPDM sin vulcanizar (23 cm x 15,25 m/rollo).   Ref. lp-00538824</t>
  </si>
  <si>
    <t>ma-lp-00541253</t>
  </si>
  <si>
    <t>Masilla de poliuretano BIGMAT (300 ml/envase); color blanco.   Ref. lp-00541253</t>
  </si>
  <si>
    <t>ma-lp-00367910</t>
  </si>
  <si>
    <t>Juego de brocas metal HSS-CO-DIN 338 (19 brocas/caja).   Ref. lp-00367910</t>
  </si>
  <si>
    <t>CAR-PERSIANAS-01</t>
  </si>
  <si>
    <t>SUMINISTRO Y COLOCACIÓN DE PERSIANAS ALICANTINAS ENROLLABLES CON LAMAS DE MADERA COLOR NOGAL OSCURO 100X260 DE CORTINADECOR</t>
  </si>
  <si>
    <t>ma-lm-88236080</t>
  </si>
  <si>
    <t>Persianas alicantinas de madera; color nogal oscuro de CORTINADECOR (100x260 cm/und) .   Ref. lm-88236080</t>
  </si>
  <si>
    <t>CAR-PUERTA.INT.BLINDADA-90cm-01</t>
  </si>
  <si>
    <t>SUMINISTRO Y COLOCACIÓN DE PUERTA BLINDADA 105-R ROBLE CLÁSICA DE BRICO-VALERA (206X87X4,5 CM/HOJA); INCLUYE HERRAJES</t>
  </si>
  <si>
    <t>Suministro y colocación de puerta blindada 105-r roble clásica de BRICO-VALERA (206x87x4,5 cm/hoja); incluye herrajes</t>
  </si>
  <si>
    <t>ma-brico.valera-497527</t>
  </si>
  <si>
    <t>Puerta Blindada 105-R Roble Clásica (206x87x4,5 cm/hoja).   Ref. brico.valera-497527</t>
  </si>
  <si>
    <t>CAR-REJILLA.RETORNO-60x20-AT</t>
  </si>
  <si>
    <t>SUMINISTRO Y COLOCACIÓN DE REJILLA DE RETORNO EN ALUMINIO 60x20 cm; MEDIANTE EL USO DE ANDAMIO TUBULAR</t>
  </si>
  <si>
    <t>Suministro y colocación de rejilla de retorno en aluminio 60x20 cm; mediante el uso de andamio tubular</t>
  </si>
  <si>
    <t>ma-lp-00014948</t>
  </si>
  <si>
    <t>Rejilla DIFAIR de retorno rectangular de lama fija para atornillar en aluminio plata mate F-10 (60x20 cm/pza).   Ref. lp-00014948</t>
  </si>
  <si>
    <t>CAR-REJILLA.RETORNO-60x20-MS</t>
  </si>
  <si>
    <t>SUMINISTRO Y COLOCACIÓN DE REJILLA DE RETORNO EN ALUMINIO 60x20 cm; MEDIANTE EL USO DE MEDIO SUSPENDIDO/COLGADO</t>
  </si>
  <si>
    <t>Suministro y colocación de rejilla de retorno en aluminio 60x20 cm; mediante el uso de medio suspendido/colgado</t>
  </si>
  <si>
    <t>CAR-SELLADO-JUNTA.CARPINT-MS-01</t>
  </si>
  <si>
    <t>XXXXXX SELLADO DE JUNTA DE CARPINTERÍA Y CAJA DE PERSIANA CON MASILLA DE POLIURETANO APLICADA A MANO CON PISTOLA, MEDIANTE EL USO DE MEDIO SUSPENDIDO/COLGADO</t>
  </si>
  <si>
    <t>Sellado exterior de la junta de carpintería y caja de persiana, con masilla de poliuretano, adhesivo y sellador monocomponente de alto rendimiento, de elasticidad permanente y curado rápido; mediante el uso de medio suspendido/colgado</t>
  </si>
  <si>
    <t>CAR-SELLADO-JUNTA.CRISTAL-AT--01</t>
  </si>
  <si>
    <t>SELLADO DE JUNTA ENTRE VIDRIO Y CARPINTERÍA CON SILICONA DE POLIURETANO APLICADA A MANO CON PISTOLA, MEDIANTE EL USO DE ANDAMIO TUBULAR</t>
  </si>
  <si>
    <t>ma-lm-88455953</t>
  </si>
  <si>
    <t>Imprimante para soportes porosos SIKA PRIMER-3 N de SIKA (1 litro/envase).   Ref. lm-88455953</t>
  </si>
  <si>
    <t>CAR-SELLADO-JUNTA.CRISTAL-MS--01</t>
  </si>
  <si>
    <t>SELLADO DE JUNTA ENTRE VIDRIO Y CARPINTERÍA CON SILICONA DE POLIURETANO APLICADA A MANO CON PISTOLA, MEDIANTE EL USO DE MEDIO SUSPENDIDO/COLGADO</t>
  </si>
  <si>
    <t>CAR02</t>
  </si>
  <si>
    <t>PUERTA INTERIOR DE ENTRADA A VIVIENDA</t>
  </si>
  <si>
    <t>Puerta interior de entrada a la vivienda de 203x82,5x4,5 cm, con tablero de madera maciza de pino melis, barnizada en taller; precerco de pino de 130x40 mm; galces macizos de pino melis de 130x20 mm; tapajuntas macizos de pino de 70x15 mm en ambas caras. Incluso, herrajes de colgar, cierre y manivela sobre escudo largo de hierro forjado, serie básica.</t>
  </si>
  <si>
    <t>PURT1</t>
  </si>
  <si>
    <t>Puerta de entrada tipo castellana, con cuarterones, con tablero de madera maciza de pino</t>
  </si>
  <si>
    <t>CAR03</t>
  </si>
  <si>
    <t>CARPINTERIA DE MADERA DE 1.40x1.40M</t>
  </si>
  <si>
    <t>Carpintería exterior de madera de pino, para ventana abisagrada, formada por una hoja oscilobatiente, de apertura hacia el interior de 1400x1400 mm, hoja de 68x78 mm de sección y marco de 68x78 mm, moldura clásica, junquillos, tapajuntas de madera maciza de 70x15 mm y vierteaguas en el perfil inferior, con soporte de aluminio anodizado y revestimiento exterior de madera; con capacidad para recibir un acristalamiento con un espesor mínimo de 21 mm y máximo de 32 mm; coeficiente de transmisión térmica del marco de la sección tipo Uh,m = 1,43 W/(m²K), con clasificación a la permeabilidad al aire clase 4, según UNE-EN 12207, clasificación a la estanqueidad al agua clase E1200, según UNE-EN 12208 y clasificación a la resistencia a la carga del viento clase 5, según UNE-EN 12210; acabado mediante sistema de barnizado translúcido, compuesto de una primera mano de impregnación para la  rotección preventiva de la madera contra hongos y ataques de insectos xilófagos, y posterior aplicación de una capa de terminación de 220 micras, acabado mate satinado, de alta resistencia frente a la acción de los rayos UV y de la intemperie; incluso aplicación de masilla selladora para juntas; herraje perimetral de cierre y seguridad con nivel de seguridad WK1, según UNE-EN 1627, apertura mediante falleba de palanca, manilla en colores estándar y apertura de microventilación; sin premarco y sin persiana. Incluso patillas de anclaje para la fijación de la carpintería. El precio no incluye el recibido en obra de la carpintería. El precio no incluye el sistema de triple barrera.</t>
  </si>
  <si>
    <t>V1</t>
  </si>
  <si>
    <t>CAR04</t>
  </si>
  <si>
    <t>VIERTEAGUAS DE MADERA</t>
  </si>
  <si>
    <t>Vierteaguas de madera maciza de ipé, de 400x52 mm, con goterón, barnizado en taller, empotrado en las jambas; colocación con adhesivo de caucho sintético; y sellado de las juntas entre piezas y de las uniones con los muros con adhesivo de polímero MS.</t>
  </si>
  <si>
    <t>ma-ma-659709</t>
  </si>
  <si>
    <t>Sikaflex- 11 FC marron cartucho 300ml</t>
  </si>
  <si>
    <t>VIERTMAD1</t>
  </si>
  <si>
    <t>Vierteaguas de madera maciza de ipé, de 400x52 mm, con goterón, barnizado en taller.</t>
  </si>
  <si>
    <t>CAR05</t>
  </si>
  <si>
    <t>JUNQUILLO PARA CRISTAL</t>
  </si>
  <si>
    <t>JUNQ1</t>
  </si>
  <si>
    <t>Junquillo acristalamiento 12</t>
  </si>
  <si>
    <t>CAR06</t>
  </si>
  <si>
    <t>PUERTA CORREDERA</t>
  </si>
  <si>
    <t>Puerta interior corredera para tabique con hueco, ciega, de una hoja, de tablero de acabado en melamina color blanco; Incluso, herrajes de colgar, de cierre y tirador con manecilla para cierre de aluminio, serie básica. Incluye: Armazón metálico de chapa grecada, preparado para alojar la hoja de una puerta corredera simple, de madera, colocación en pared de fábrica para revestir con mortero o con yeso.</t>
  </si>
  <si>
    <t>00005989</t>
  </si>
  <si>
    <t>PACK 5 MOLDURAS EXTENSIBLES BLANCO CPL 2200X70X10 MM Ref.: 00005989</t>
  </si>
  <si>
    <t>00493179</t>
  </si>
  <si>
    <t>HOJA MACIZA EPSILON LACADA 2030X725X35 MM Ref.: 00493179</t>
  </si>
  <si>
    <t>00018512</t>
  </si>
  <si>
    <t>KIT PUERTA CORREDERA 35 MM NÍQUEL SATINADO Ref.: 00018512</t>
  </si>
  <si>
    <t>00528456</t>
  </si>
  <si>
    <t>KIT CERCO CORREDERA BLANCO 2150X95X30 MM Ref.: 00528456</t>
  </si>
  <si>
    <t>00512006</t>
  </si>
  <si>
    <t>KIT JAMBA EXTENSIBLE BLANCO 70X12/10 MM Ref.: 00512006</t>
  </si>
  <si>
    <t>00140010</t>
  </si>
  <si>
    <t>ESTRUCTURA CORREDERA S TECH CARTÓN YESO 700X2020/95 CART SCRIGNO Ref.: 00140010</t>
  </si>
  <si>
    <t>CAR07</t>
  </si>
  <si>
    <t>RETIRO DE CRISTAL</t>
  </si>
  <si>
    <t>Retiro y posterior colocacion de cristal actual en el perimetro del patio, se realizara con cuidado tratando de no dañar los elementos, en dado caso de daño por el desmontaje el material dañado se tendra que presupuestar aparte. Incluye: el retiro de claraboya actual de plastico a vertedero autorizado.</t>
  </si>
  <si>
    <t>CAR08</t>
  </si>
  <si>
    <t>CLARABOYA DE CRISTAL</t>
  </si>
  <si>
    <t>Suministro y colocación de cristal armado en medidas de 3.40x2.93m, incluye todos los accesorios para su correcta instalación.</t>
  </si>
  <si>
    <t>crist2</t>
  </si>
  <si>
    <t>Cristal de baldosa grabada 18/20 en medidas de 0.85x2.93m</t>
  </si>
  <si>
    <t>matygt</t>
  </si>
  <si>
    <t>Material de sujecion auxiliar para la colocación de vidrios.</t>
  </si>
  <si>
    <t>CAR09</t>
  </si>
  <si>
    <t>LIJADO, DECAPADO Y PINTURA DE PERSIANAS TIPO MALLORQUINAS 1.20X2.10M</t>
  </si>
  <si>
    <t>Lijado y decapado de pinturas y/o barnices existentes sobre premarcos, hojas de balconeras, persianas mallorquinas y puerta principal del edificio correspondientes a la carpintería de madera de fachada principal, (balconeras sólo a cara exterior, persianas y puerta principal a dos caras), mediante aplicaciones sucesivas de producto decapante.
Limpieza, enmasillado y preparación de soporte de construcciones, hojas balconeras de madera y persianas mallorquinas a conservar, por medios manuales (balconeras sólo a cara exterior, persianas a dos caras).
Pintado de construcciones, balconeras y persianas mallorquinas de madera correspondientes a fachada principal (balconeras sólo a cara exterior, persianas a dos caras), con una capa de imprimación selladora y dos manos de acabado de aplicación manual con esmalte satinado especial para exteriores. Homogeneización cromática de carpinterías, color y criterio de acabado según Estudio Cromático, si se requiriera.</t>
  </si>
  <si>
    <t>PREP001</t>
  </si>
  <si>
    <t>o DECAPADO DE PINTURA AL BARNIZ/ESMALTE EN MADERA/METAL CON KEIM</t>
  </si>
  <si>
    <t>PREP007</t>
  </si>
  <si>
    <t>o ENMASILLADO PARA TAPADO DE GRIETAS Y AGUJEROS EN MADERA EN PUERTAS</t>
  </si>
  <si>
    <t>ma-la-00566779</t>
  </si>
  <si>
    <t>Emplaste masilla madera 200 gr haya Ref: 00566779</t>
  </si>
  <si>
    <t>REVPINT08</t>
  </si>
  <si>
    <t>PINTURA BARNIZ SINTETICO</t>
  </si>
  <si>
    <t>00239076</t>
  </si>
  <si>
    <t>ESMALTE SINTÉTICO BRILLO DSB-200 MONTO 750 ML NEGRO Ref.: 00239076</t>
  </si>
  <si>
    <t>sell1</t>
  </si>
  <si>
    <t>Sellador</t>
  </si>
  <si>
    <t>insc1</t>
  </si>
  <si>
    <t>insecticida</t>
  </si>
  <si>
    <t>CAR50-PUERTA.MET.1hb90cm</t>
  </si>
  <si>
    <t>SUMINISTRO Y COLOCACIÓN DE PUERTA METÁLICA ENTAMBORADA BATIENTE 90x210 cm; INCLUYENDO MARCO Y CERRADURA (POMO EXTERIOR Y MANIVELA INTERIOR)</t>
  </si>
  <si>
    <t>Suministro y colocación de puerta metálica entamborada batiente 90x210 cm; incluyendo marco y cerradura (pomo exterior y manivela interior)</t>
  </si>
  <si>
    <t>ma-lp-00136293</t>
  </si>
  <si>
    <t>Puerta metálica reforzada 3P lisa lacada blanca (2100x890 mm/und).   Ref. lp-00136293</t>
  </si>
  <si>
    <t>ma-lp-00539164</t>
  </si>
  <si>
    <t>Mortero seco para aplicaciones en albañilería M-7,5 SAGRASEC; color blanco (25 kg/saco)   Ref. lp-00539164</t>
  </si>
  <si>
    <t>CAR50-PUERTA.MET-1hb80cm-C/FUEGO</t>
  </si>
  <si>
    <t>SUMINISTRO Y COLOCACIÓN DE PUERTA METÁLICA ENTAMBORADA BATIENTE CORTAFUEGOS EI60 (80x204 cm); INCLUYENDO MARCO Y CERRADURA ANTIPÁNICO</t>
  </si>
  <si>
    <t>Suministro y colocación de puerta metálica entamborada batiente cortafuegos EI60 (80x204 cm); incluyendo marco y cerradura antipánico.</t>
  </si>
  <si>
    <t>ma-Lp-00005606</t>
  </si>
  <si>
    <t>Puerta cortafuegos EI60 con antipánico (800x2035 mm/pza).   Ref. lp-00005606</t>
  </si>
  <si>
    <t>CAR50-VENTILACION-01</t>
  </si>
  <si>
    <t>SUMINISTRO Y COLOCACIÓN DE TRAMO EXTERIOR DE CONDUCTO DE SALIDA DE HUMOS (diámetro 15 cm)</t>
  </si>
  <si>
    <t>Los materiales inherentes a la unidad de la partida están definidos por um Sombrerete Vitrificado y una extensión de 1 m de Tubo Redondo de Aluminio (con Rosetón).</t>
  </si>
  <si>
    <t>ma-lm-89011750</t>
  </si>
  <si>
    <t>Perfil tubo redondo de aluminio anodizado mate (16x16x1000 mm/pza).   Ref. lm-89011750</t>
  </si>
  <si>
    <t>ma-bm-10147795</t>
  </si>
  <si>
    <t>Rosetón vitrificado para la evacuación de humos 150 mm.   Ref. bm-10147795</t>
  </si>
  <si>
    <t>ma-bm-10317034</t>
  </si>
  <si>
    <t>Sombrerete vitrificado para evacuación de humos 150 mm.   Ref. bm-10317034</t>
  </si>
  <si>
    <t>CAR-REJILLA.VENT-20x20-AT</t>
  </si>
  <si>
    <t>SUMINISTRO Y COLOCACIÓN DE REJILLA DE VENTILACIÓN EN ALUMINIO 20x20 cm; MEDIANTE EL USO DE ANDAMIO TUBULAR</t>
  </si>
  <si>
    <t>Suministro y colocación de rejilla de ventilación en aluminio 20x20 cm; mediante el uso de andamio tubular</t>
  </si>
  <si>
    <t>ma-lp-00399898</t>
  </si>
  <si>
    <t>Rejilla de ventilación cuadrada para atornillar en aluminio blanco y con mosquitera (20x20 cm/pza).   Ref. lp-00399898</t>
  </si>
  <si>
    <t>CAR-REJILLA.VENT-20x20-MS</t>
  </si>
  <si>
    <t>SUMINISTRO Y COLOCACIÓN DE REJILLA DE VENTILACIÓN EN ALUMINIO 20x20 cm; MEDIANTE EL USO DE MEDIO SUSPENDIDO/COLGADO</t>
  </si>
  <si>
    <t>Suministro y colocación de rejilla de ventilación en aluminio 20x20 cm; mediante el uso de medio suspendido/colgado</t>
  </si>
  <si>
    <t>CAR-REJILLA.VENT-30x15-AT</t>
  </si>
  <si>
    <t>SUMINISTRO Y COLOCACIÓN DE REJILLA DE VENTILACIÓN EN ALUMINIO 15x30 cm; MEDIANTE EL USO DE ANDAMIO TUBULAR</t>
  </si>
  <si>
    <t>Suministro y colocación de rejilla de ventilación en aluminio 15x30 cm; mediante el uso de andamio tubular</t>
  </si>
  <si>
    <t>ma-lp-00399899</t>
  </si>
  <si>
    <t>Rejilla de ventilación rectangular para atornillar en aluminio blanco y con mosquitera (15x30 cm/pza).   Ref. lp-00399899</t>
  </si>
  <si>
    <t>CAR-REJILLA.VENT-30x15-MS</t>
  </si>
  <si>
    <t>SUMINISTRO Y COLOCACIÓN DE REJILLA DE VENTILACIÓN EN ALUMINIO 30x15 cm; MEDIANTE EL USO DE MEDIO SUSPENDIDO/COLGADO</t>
  </si>
  <si>
    <t>Suministro y colocación de rejilla de ventilación en aluminio 30x15 cm; mediante el uso de medio suspendido/colgado</t>
  </si>
  <si>
    <t>REM</t>
  </si>
  <si>
    <t>o Remates y ayudas</t>
  </si>
  <si>
    <t>BURLETES</t>
  </si>
  <si>
    <t>REM-BURLETE-AL-01</t>
  </si>
  <si>
    <t>SUMINISTRO Y COLOCACIÓN DE BURLETE (BAJO DE PUERTA) EN ALUMINIO Y CEPILLO</t>
  </si>
  <si>
    <t>ma-lm-82202932</t>
  </si>
  <si>
    <t>Burlete de puerta en aluminio atornillable/adhesivo AXTON cepillo (1 m/pza).   Ref. lm-82202932</t>
  </si>
  <si>
    <t>REM-BURLETE-PU-01</t>
  </si>
  <si>
    <t>SUMINISTRO Y COLOCACIÓN DE BURLETE (BAJO DE PUERTA) EN DOBLE ROLLO DE ESPUMA POLIURETANO</t>
  </si>
  <si>
    <t>ma-lm-82202916</t>
  </si>
  <si>
    <t>Burlete de puerta en doble rollo de espuma poliuretano AXTON cepillo (1 m/pza).   Ref. lm-82202916</t>
  </si>
  <si>
    <t>REM-BURLETE-PVC-01</t>
  </si>
  <si>
    <t>SUMINISTRO Y COLOCACIÓN DE BURLETE (BAJO DE PUERTA) EN PVC Y CEPILLO</t>
  </si>
  <si>
    <t>ma-lm-82202922</t>
  </si>
  <si>
    <t>Burlete de puerta en PVC adhesivo AXTON cepillo (1 m/pza).   Ref. lm-82202922</t>
  </si>
  <si>
    <t>CUBREMUROS.Y.PASAMANOS</t>
  </si>
  <si>
    <t>CUBREMUROS Y/O PASAMANOS</t>
  </si>
  <si>
    <t>REM-C/MURO-CELOSIA-20x20-GCA</t>
  </si>
  <si>
    <t>XXXXXX PASAMANOS/CUBREMUROS CELOSÍA EN RASILLA DOBLE GOTERÓN (20X20 cm); EN INSTALACIÓN CON GRADO DE COMPLEJIDAD ALTO (GCA)</t>
  </si>
  <si>
    <t>Cubremuros cerámico, color rojo, en piezas de 20x20cm, con doble goterón; recibido con mortero de cemento, industrial, con aditivo; y rejuntado entre piezas y de las uniones con los muros con mortero de juntas cementoso con absorción de agua reducida, para juntas entre 3 y 15 mm.</t>
  </si>
  <si>
    <t>ma-lp-00299055</t>
  </si>
  <si>
    <t>Pasamanos/Cubremuros celosía en rasilla (20x20x2 cm/pza).   Ref. lp-00299055</t>
  </si>
  <si>
    <t>ma-lp-00540849</t>
  </si>
  <si>
    <t>Mortero cola GEL PLUS S1 BIGMAT; color gris (25 kg/saco)   Ref. lp-00540849</t>
  </si>
  <si>
    <t>REM-C/MURO-CELOSIA-20x20-GCM</t>
  </si>
  <si>
    <t>XXXXXX CUBREMUROS CERAMICO DE 20x20 CON DOBLE GOTERON</t>
  </si>
  <si>
    <t>REM-C/MURO-GRES.NAT-22x32-GCA</t>
  </si>
  <si>
    <t>PASAMANOS/CUBREMUROS GRES NATURAL A DOBLE GOTERÓN (22x31,4 cm); EN INSTALACIÓN CON GRADO DE COMPLEJIDAD ALTO (GCA)</t>
  </si>
  <si>
    <t>ma-fl-93305504</t>
  </si>
  <si>
    <t>Pasamanos GRECOGRES NATURAL (22x31,4 cm/pza).   Ref. fl-93305504</t>
  </si>
  <si>
    <t>REM-C/MURO-GRES.NAT-22x32-GCM</t>
  </si>
  <si>
    <t>PASAMANOS/CUBREMUROS GRES NATURAL A DOBLE GOTERÓN (22x31,4 cm); EN INSTALACIÓN CON GRADO DE COMPLEJIDAD MEDIO (GCM)</t>
  </si>
  <si>
    <t>REM-C/MURO-GRES.CALAF-27x27-GCA</t>
  </si>
  <si>
    <t>PASAMANOS/CUBREMUROS MONTSERRAT DE CALAF DOBLE GOTERÓN (27x27); EN INSTALACIÓN CON GRADO DE COMPLEJIDAD ALTO (GCA)</t>
  </si>
  <si>
    <t>ma-toloflorit-04217</t>
  </si>
  <si>
    <t>Pasamanos/Cubremuros MONTSERRAT de CALAF; color beige (27x27x2 cm/pza).   Ref. mausa-Sku-CALAFx</t>
  </si>
  <si>
    <t>REM-C/MURO-GRES.CALAF-27x27-GCM</t>
  </si>
  <si>
    <t>PASAMANOS/CUBREMUROS MONTSERRAT DE CALAF DOBLE GOTERÓN (27x27); EN INSTALACIÓN CON GRADO DE COMPLEJIDAD MEDIO (GCM)</t>
  </si>
  <si>
    <t>REM-C/MURO-PIEDRA.01-50x27-GCA</t>
  </si>
  <si>
    <t>PASAMANOS/CUBREMUROS DE PIEDRA ARTIFICIAL DOBLE GOTERÓN; color blanco (50x27x4 cm/pza); EN INSTALACIÓN CON GRADO DE COMPLEJIDAD ALTO (GCA)</t>
  </si>
  <si>
    <t>ma-b.martinez-27.5-blanco</t>
  </si>
  <si>
    <t>Pasamano/cubremuro plano de piedra artificial doble goterón; color blanco (50x27,5x4 cm/pza).   Ref . b.martinez-27.5-blanco</t>
  </si>
  <si>
    <t>REM-C/MURO-PIEDRA.01-50x27-GCM</t>
  </si>
  <si>
    <t>PASAMANOS/CUBREMUROS DE PIEDRA ARTIFICIAL DOBLE GOTERÓN; color blanco (50x27x4 cm/pza); EN INSTALACIÓN CON GRADO DE COMPLEJIDAD MEDIO (GCM)</t>
  </si>
  <si>
    <t>REM-C/MURO-GRESANDORRA-33x16-GCA</t>
  </si>
  <si>
    <t>PASAMANOS/CUBREMUROS GRES NATURAL DE ANDORRA 32,5x15,5 cm; EN INSTALACIÓN CON GRADO DE COMPLEJIDAD ALTO (GCA)</t>
  </si>
  <si>
    <t>ma-ia-07</t>
  </si>
  <si>
    <t>Pasamanos INTERAZULEJOS natural extruido antideslizante; espesor 1,3 cm (15,5x32,5x5 cm/pza).   Ref. ia-07</t>
  </si>
  <si>
    <t>REM-C/MURO-GRESANDORRA-33x16-GCM</t>
  </si>
  <si>
    <t>PASAMANOS/CUBREMUROS GRES NATURAL DE ANDORRA 32,5x15,5 cm; EN INSTALACIÓN CON GRADO DE COMPLEJIDAD MEDIO (GCM)</t>
  </si>
  <si>
    <t>REM-C/MURO-GRESANDORRA-33x22-GCA</t>
  </si>
  <si>
    <t>PASAMANOS/CUBREMUROS GRES NATURAL DE ANDORRA 32,5x21,5 cm; EN INSTALACIÓN CON GRADO DE COMPLEJIDAD ALTO (GCA)</t>
  </si>
  <si>
    <t>ma-ia-08</t>
  </si>
  <si>
    <t>Pasamanos INTERAZULEJOS natural extruido antideslizante; espesor 1,3 cm (21,5x32,5x5 cm/pza).   Ref. ia-08</t>
  </si>
  <si>
    <t>REM-C/MURO-GRESANDORRA-33x22-GCM</t>
  </si>
  <si>
    <t>PASAMANOS/CUBREMUROS GRES NATURAL DE ANDORRA 32,5x21,5 cm; EN INSTALACIÓN CON GRADO DE COMPLEJIDAD MEDIO (GCM)</t>
  </si>
  <si>
    <t>PASAMANO/CUBREMURO GRES NATURAL DE ANDORRA 32,5x21,5 cm; EN INSTALACIÓN CON GRADO DE COMPLEJIDAD MEDIO (GCM)</t>
  </si>
  <si>
    <t>REM-C/MURO-ALUM.BLANCO-23-GCM</t>
  </si>
  <si>
    <t>PASAMANOS/CUBREMUROS DE ALUMINIO LACADO BLANCO CON GOTERÓN (ANCHO 23 CM); EN INSTALACIÓN CON GRADO DE COMPLEJIDAD MEDIO (GCM)</t>
  </si>
  <si>
    <t>ma-eurofinestra-AD509</t>
  </si>
  <si>
    <t>Cubremuros de aluminio lacado blanco con goterón (23 x 300 cm/pza).   Ref. eurofinestra-AD509</t>
  </si>
  <si>
    <t>ma-eurofinestra-AD610</t>
  </si>
  <si>
    <t>Unión para insertar en cubremuros de aluminio (ancho 23 cm/pza).   Ref. eurofinestra-AD610</t>
  </si>
  <si>
    <t>ma-eurofinestra-AD512</t>
  </si>
  <si>
    <t>Esquinera de cubremuro de aluminio RAL 7016 mate (ancho 23 cm/pza).   Ref. eurofinestra-AD512</t>
  </si>
  <si>
    <t>REM-C/MURO-ALUM.BLANCO-23-GCA</t>
  </si>
  <si>
    <t>PASAMANOS/CUBREMUROS DE ALUMINIO LACADO BLANCO CON GOTERÓN (ANCHO 23 CM); EN INSTALACIÓN CON GRADO DE COMPLEJIDAD ALTO (GCA)</t>
  </si>
  <si>
    <t>REM-C/MURO-VIDRIADO-20x20-GCA</t>
  </si>
  <si>
    <t>PASAMANOS/CUBREMUROS DE BALDOSA CERÁMICA VIDRIADA COLOR CT3 20x20 cm; EN INSTALACIÓN CON GRADO DE COMPLEJIDAD ALTO (GCA)</t>
  </si>
  <si>
    <t>ma-ferres-c/muro.VT-SW-20x20-CT3</t>
  </si>
  <si>
    <t>Pasamanos/cubremuros vidriado STONEWARE (20x20 cm/pza).   Ref. ferres-c/muro.VT-SW-20x20-CT3</t>
  </si>
  <si>
    <t>REM-C/MURO-VIDRIADO-20x20-GCM</t>
  </si>
  <si>
    <t>PASAMANOS/CUBREMUROS DE BALDOSA CERÁMICA VIDRIADA COLOR CT3 20x20 cm; EN INSTALACIÓN CON GRADO DE COMPLEJIDAD MEDIO (GCM)</t>
  </si>
  <si>
    <t>MIMBELES</t>
  </si>
  <si>
    <t>XXXXXX MIMBELES</t>
  </si>
  <si>
    <t>REM-MIMBEL-ROJO.COUGAT-h14-GCA</t>
  </si>
  <si>
    <t>XXXXXX MIMBEL CERÁMICO CON BALDOSA DE PAVIMENTO PRENSADO NATURAL COLOR ROJO CUGAT DE BENESOL (14x28 cm por pieza); EN INSTALACIÓN CON GRADO DE COMPLEJIDAD ALTA (GCA)</t>
  </si>
  <si>
    <t>MIMBEL CERÁMICO CON BALDOSA DE PAVIMENTO PRENSADO NATURAL COLOR ROJO CUGAT DE BENESOL (14x28 cm por pieza); EN INSTALACIÓN CON GRADO DE COMPLEJIDAD ALTA (GCA)</t>
  </si>
  <si>
    <t>ma-mausa-BEPRNAT1428</t>
  </si>
  <si>
    <t>Pavimento prensado natural color Rojo Cugat de BENESOL (14x28 cm/pza).   Ref. mausa-BEPRNAT1428</t>
  </si>
  <si>
    <t>REM-MIMBEL.RASILLA-h14-GCA</t>
  </si>
  <si>
    <t>XXXXXX MIMBEL CERÁMICO CON RASILLA LISA; ALTURA 14 cm EN INSTALACIÓN CON GRADO DE COMPLEJIDAD ALTA (GCA)</t>
  </si>
  <si>
    <t>MIMBEL CERÁMICO CON RASILLA LISA; ALTURA 14 cm EN INSTALACIÓN CON GRADO DE COMPLEJIDAD ALTA (GCA)</t>
  </si>
  <si>
    <t>ma-lp-00299053</t>
  </si>
  <si>
    <t>Rasilla lisa de 1ª calidad con un espesor de 1,2 mm. Medidas: 14x28 cm   Ref. lp-00299053</t>
  </si>
  <si>
    <t>REM-MIMBEL.RASILLA-h14-GCM</t>
  </si>
  <si>
    <t>XXXXXX MIMBEL CERÁMICO CON RASILLA LISA; ALTURA 14 cm EN INSTALACIÓN CON GRADO DE COMPLEJIDAD MEDIA (GCM)</t>
  </si>
  <si>
    <t>MIMBEL CERÁMICO CON RASILLA LISA; ALTURA 14 cm EN INSTALACIÓN CON GRADO DE COMPLEJIDAD MEDIA (GCM)</t>
  </si>
  <si>
    <t>REM-MIMBEL.RASILLA-h28-GCA</t>
  </si>
  <si>
    <t>XXXXXX MIMBEL CERÁMICO CON RASILLA LISA; ALTURA 28 cm EN INSTALACIÓN CON GRADO DE COMPLEJIDAD ALTA (GCA)</t>
  </si>
  <si>
    <t>MIMBEL CERÁMICO CON RASILLA LISA; ALTURA 28 cm EN INSTALACIÓN CON GRADO DE COMPLEJIDAD ALTA (GCA)</t>
  </si>
  <si>
    <t>REM-MIMBEL.RASILLA-h28-GCM</t>
  </si>
  <si>
    <t>XXXXXX MIMBEL CERÁMICO CON RASILLA LISA; ALTURA 28 cm EN INSTALACIÓN CON GRADO DE COMPLEJIDAD MEDIA (GCM)</t>
  </si>
  <si>
    <t>MIMBEL CERÁMICO CON RASILLA LISA; ALTURA 28 cm EN INSTALACIÓN CON GRADO DE COMPLEJIDAD MEDIA (GCM)</t>
  </si>
  <si>
    <t>REM-MIMBEL-ROSAGRES-h10-GCM</t>
  </si>
  <si>
    <t>XXXXXX MIMBEL CERÁMICO CON BALDOSA NATURAL HIERRO 2.0 DE ROSA GRES; ALTURA 10 cm EN INSTALACIÓN CON GRADO DE COMPLEJIDAD MEDIA (GCM)</t>
  </si>
  <si>
    <t>MIMBEL CERÁMICO CON BALDOSA NATURAL HIERRO 2.0 DE ROSA GRES; ALTURA 10 cm EN INSTALACIÓN CON GRADO DE COMPLEJIDAD MEDIA (GCM)</t>
  </si>
  <si>
    <t>ma-fl-94303701</t>
  </si>
  <si>
    <t>Baldosa Cerámica NATURAL HIERRO 2.0 de ROSA GRES (31x31x0,9 cm/pza).   Ref. fl-94303701</t>
  </si>
  <si>
    <t>ma-lp-00552545</t>
  </si>
  <si>
    <t>Disco diamante porcelánico BIG-SPRINT de BIGMAT turbo 115 mm.   Ref. lp-00552545</t>
  </si>
  <si>
    <t>VIERTEAGUAS</t>
  </si>
  <si>
    <t>REM-V.AGUA-ALUMINO-33-AT</t>
  </si>
  <si>
    <t>VIERTEAGUAS DE ALUMINIO LACADO BLANCO (ancho 330 mm) MEDIANTE EL USO DE ANDAMIO TUBULAR</t>
  </si>
  <si>
    <t>Suministro y colocación de remate superior de tabique pluvial, de chapa plegada de aluminio lacado en color, fijado mecánicamente con anclaje mecánico con taco de nylon y tornillo de acero galvanizado. Incluye el sellado de las juntas entre piezas y la colocación de doble cordón de sellado en la unión con el muro con sellador adhesivo monocomponente.</t>
  </si>
  <si>
    <t>ma-eurofinestra-AD461</t>
  </si>
  <si>
    <t>Vierteaguas de aluminio lacado blanco (33x200 cm/pza).   Ref. eurofinestra-AD461</t>
  </si>
  <si>
    <t>REM-V.AGUA-ALUMINO-33-MS</t>
  </si>
  <si>
    <t>VIERTEAGUAS DE ALUMINIO LACADO BLANCO (ancho 330 mm) MEDIANTE EL USO DE MEDIO SUSPENDIDO/COLGADO</t>
  </si>
  <si>
    <t>REM-V.AGUA-CALAF-27x27-AT</t>
  </si>
  <si>
    <t>VIERTEAGUAS MONTSERRAT DE CALAF; COLOR BEIGE (27,4x27,4x1,5 cm/pza) MEDIANTE EL USO DE ANDAMIO TUBULAR</t>
  </si>
  <si>
    <t>VIERTEAGUAS MONTSERRAT DE CALAF; COLOR BEIGE (27,4x27,4x1,5 cm/pza); mediante el uso de andamio tubular</t>
  </si>
  <si>
    <t>ma-mausa-Sku-CALAF1</t>
  </si>
  <si>
    <t>Vierteaguas MONTSERRAT de CALAF; color beige (27,4x27,4x1,5 cm/pza).   Ref. mausa-Sku-CALAF1</t>
  </si>
  <si>
    <t>REM-V.AGUA-CALAF-27x27-MS</t>
  </si>
  <si>
    <t>VIERTEAGUAS MONTSERRAT DE CALAF; COLOR BEIGE (27,4x27,4x1,5 cm/pza) MEDIANTE EL USO DE MEDIO SUSPENDIDO/COLGADO</t>
  </si>
  <si>
    <t>REM-V.AGUA-GRESTEJO-30x30-AT</t>
  </si>
  <si>
    <t>VIERTEAGUAS CERÁMICO GRESTEJO MODELO RUBÍ (30x31x4 cm/pza) MEDIANTE EL USO DE ANDAMIO TUBULAR</t>
  </si>
  <si>
    <t>VIERTEAGUAS CERÁMICO ESMALTADO ROJO CON GOTERÓN CARA CORTA (ANCHO 28 cm); mediante el uso de andamio tubular</t>
  </si>
  <si>
    <t>ma-ig-157.123302.3130</t>
  </si>
  <si>
    <t>Vierteaguas rústico GRESTEJO modelo RUBÍ (30x31x4 cm/pza).   Ref. indigar-157.123302.3130</t>
  </si>
  <si>
    <t>REM-V.AGUA-GRESTEJO-30x30-MS</t>
  </si>
  <si>
    <t>VIERTEAGUAS CERÁMICO GRESTEJO MODELO RUBÍ (30x31x4 cm/pza) MEDIANTE EL USO DE MEDIO SUSPENDIDO/COLGADO</t>
  </si>
  <si>
    <t>REM-V.AGUA-HORMIGON.BLANCO-27-AT</t>
  </si>
  <si>
    <t>VIERTEAGUAS DE HORMIGÓN (BLANCO) de IMER (ancho interno 27 cm/pza; largo 1 m/pza) MEDIANTE EL USO DE ANDAMIO TUBULAR</t>
  </si>
  <si>
    <t>ma-imer-EVOLUTION.BLANCO-27</t>
  </si>
  <si>
    <t>Vierteaguas de piedra artificial UNICO EVOLUTION BLANCO de IMER-PREFABRICADOS (ancho interno 27 cm/pza; largo 1 m/pza).   Ref. imer-EVOLUTION.BLANCO-27</t>
  </si>
  <si>
    <t>REM-V.AGUA-HORMIGON.BLANCO-27-MS</t>
  </si>
  <si>
    <t>VIERTEAGUAS DE HORMIGÓN (BLANCO) de IMER (ancho interno 27 cm/pza; largo 1 m/pza) MEDIANTE EL USO DE MEDIO SUSPENDIDO/COLGADO</t>
  </si>
  <si>
    <t>REM-V.AGUA-HORMIGON.BLANCO-30-AT</t>
  </si>
  <si>
    <t>VIERTEAGUAS DE HORMIGÓN (BLANCO) de IMER (ancho interno 30 cm/pza; largo 1 m/pza) MEDIANTE EL USO DE ANDDAMIO TUBULAR</t>
  </si>
  <si>
    <t>VIERTEAGUAS DE HORMIGÓN (BLANCO) de IMER (ancho interno 30 cm/pza; largo 1 m/pza) MEDIANTE EL USO DE ANDAMIO TUBULAR</t>
  </si>
  <si>
    <t>ma-imer-EVOLUTION.BLANCO-30</t>
  </si>
  <si>
    <t>Vierteaguas de piedra artificial UNICO EVOLUTION BLANCO de IMER-PREFABRICADOS (ancho interno 30 cm/pza; largo 1 m/pza).   Ref. imer-EVOLUTION.BLANCO-30</t>
  </si>
  <si>
    <t>REM-V.AGUA-HORMIGON.BLANCO-30-MS</t>
  </si>
  <si>
    <t>VIERTEAGUAS DE HORMIGÓN (BLANCO) de IMER (ancho interno 30 cm/pza; largo 1 m/pza) MEDIANTE EL USO DE MEDIO SUSPENDIDO/COLGADO</t>
  </si>
  <si>
    <t>REM-V.AGUA-PELDANO-33x25-AT</t>
  </si>
  <si>
    <t>VIERTEAGUAS CERÁMICO CON PELDAÑO FIORENTINO T2 DE INTERAZULEJOS CON GOTERÓN CARA LARGA (33 cm) MEDIANTE EL USO DE ANDAMIO TUBULAR</t>
  </si>
  <si>
    <t>VIERTEAGUAS CERÁMICO CON PELDAÑO FIORENTINO T2 DE INTERAZULEJOS CON GOTERÓN CARA LARGA (33 cm); mediante el uso de andamio tubular</t>
  </si>
  <si>
    <t>ma-ia-03</t>
  </si>
  <si>
    <t>Peldaño FIORENTINO T2 INTERAZULEJOS natural extruido antideslizante; espesor 1,6 cm (24,5x33x5 cm/pza).   Ref. ia-03</t>
  </si>
  <si>
    <t>REM-V.AGUA-PELDANO-33x25-MS</t>
  </si>
  <si>
    <t>VIERTEAGUAS CERÁMICO CON PELDAÑO FIORENTINO T2 DE INTERAZULEJOS CON GOTERÓN CARA LARGA (33 cm) MEDIANTE EL USO DE MEDIO SUSPENDIDO/COLGADO</t>
  </si>
  <si>
    <t>REM-V.AGUA-PELDANO-33x33-AT</t>
  </si>
  <si>
    <t>VIERTEAGUAS CERÁMICO CON PELDAÑO FIORENTINO T2 DE INTERAZULEJOS CON GOTERÓN CARA LARGA (33,3 cm) MEDIANTE EL USO DE ANDAMIO TUBULAR</t>
  </si>
  <si>
    <t>VIERTEAGUAS CERÁMICO CON PELDAÑO FIORENTINO T2 DE INTERAZULEJOS CON GOTERÓN CARA LARGA (33,3 cm); mediante el uso de andamio tubular</t>
  </si>
  <si>
    <t>ma-ia-04</t>
  </si>
  <si>
    <t>Peldaño FIORENTINO T2 INTERAZULEJOS natural extruido antideslizante; espesor 1,6 cm (32,5x33x5 cm/pza).   Ref. ia-04</t>
  </si>
  <si>
    <t>REM-V.AGUA-PELDANO-33x33-MS</t>
  </si>
  <si>
    <t>VIERTEAGUAS CERÁMICO CON PELDAÑO FIORENTINO T2 DE INTERAZULEJOS CON GOTERÓN CARA LARGA (33,3 cm) MEDIANTE EL USO DE MEDIO SUSPENDIDO/COLGADO</t>
  </si>
  <si>
    <t>REM-V.AGUA-PIEDRA.ARTIFICIAL-01</t>
  </si>
  <si>
    <t>VIERTEAGUAS DE PIEDRA ARTIFICIAL</t>
  </si>
  <si>
    <t>ma-ma-v.agua-piedra.artif-01</t>
  </si>
  <si>
    <t>Vierteagua de piedra artificial (100x30x5 cm/pza).   Ref. ma-v.agua-piedra.artif.01</t>
  </si>
  <si>
    <t>REM-V.AGUA-RASILLA-A21.1h-AT</t>
  </si>
  <si>
    <t>XXXXXX VIERTEAGUAS DE RASILLA 21,5x21 cm CON GOTERÓN MEDIANTE EL USO DE ANDAMIO TUBULAR</t>
  </si>
  <si>
    <t>Vierteaguas de rasilla en piezas de 21,5x21 cm con goterón; recibido con mortero de cemento industrial con aditivo; y rejuntado entre piezas y de las uniones con los muros con mortero de juntas cementoso con absorción de agua reducida (para juntas entre 3 y 15 mm); mediante el uso de andamio tubular</t>
  </si>
  <si>
    <t>ma-lp-00299057</t>
  </si>
  <si>
    <t>Vierteaguas de rasilla (medidas/pieza: 21,5x21 cm con un espesor de 12 mm)   Ref. lp-00299057</t>
  </si>
  <si>
    <t>REM-V.AGUA-RASILLA-A21.1h-MS</t>
  </si>
  <si>
    <t>XXXXXX VIERTEAGUAS DE RASILLA 21,5x21 cm CON GOTERÓN MEDIANTE EL USO DE MEDIO SUSPENDIDO/COLGADO</t>
  </si>
  <si>
    <t>Vierteaguas de rasilla en piezas de 21,5x21 cm con goterón; recibido con mortero de cemento industrial con aditivo; y rejuntado entre piezas y de las uniones con los muros con mortero de juntas cementoso con absorción de agua reducida (para juntas entre 3 y 15 mm); mediante el uso de medio suspendido/colgado</t>
  </si>
  <si>
    <t>REM-V.AGUA-RASILLA-GCC-A28.1h-AT</t>
  </si>
  <si>
    <t>XXXXXX VIERTEAGUAS DE RASILLA 14x28 cm CON GOTERÓN EN CARA CORTA (ANCHO 28 cm); MEDIANTE EL USO DE ANDAMIO TUBULAR</t>
  </si>
  <si>
    <t>Vierteaguas de rasilla en piezas de 14x28 cm con goterón en cara corta; recibido con mortero de cemento industrial con aditivo; y rejuntado entre piezas y de las uniones con los muros con mortero de juntas cementoso con absorción de agua reducida (para juntas entre 3 y 15 mm); mediante el uso de andammio tubular</t>
  </si>
  <si>
    <t>ma-lp-00299054</t>
  </si>
  <si>
    <t>Vierteaguas de rasilla (medidas/pieza:14x28 cm con un espesor de 12 mm)   Ref. lp-00299054</t>
  </si>
  <si>
    <t>REM-V.AGUA-RASILLA-GCC-A28.1h-MS</t>
  </si>
  <si>
    <t>XXXXXX VIERTEAGUAS DE RASILLA 14x28 cm CON GOTERÓN EN CARA CORTA (ANCHO 28 cm); MEDIANTE EL USO DE MEDIO SUSPENDIDO/COLGADO</t>
  </si>
  <si>
    <t>Vierteaguas de rasilla en piezas de 14x28 cm con goterón en cara corta; recibido con mortero de cemento industrial con aditivo; y rejuntado entre piezas y de las uniones con los muros con mortero de juntas cementoso con absorción de agua reducida (para juntas entre 3 y 15 mm); todo mediante el uso de medio suspendido/colgado</t>
  </si>
  <si>
    <t>REM-V.AGUA-RASILLA-GCC-A56.2h-AT</t>
  </si>
  <si>
    <t>XXXXXX VIERTEAGUAS DE RASILLA 14x28 cm CON GOTERÓN CARA CORTA (ANCHO TOTAL 56 cm EN 2 HILADAS) MEDIANTE EL USO DE ANDAMIO TUBULAR</t>
  </si>
  <si>
    <t>Vierteaguas de rasilla en piezas lisas (1 hilada) y de 14x28 cm con goterón en cara corta (ancho total 56 cm en 2 hiladas); recibido con mortero de cemento industrial con aditivo; y rejuntado entre piezas y de las uniones con los muros con mortero de juntas cementoso con absorción de agua reducida (para juntas entre 3 y 15 mm); mediante el uso de andamio tubular</t>
  </si>
  <si>
    <t>REM-V.AGUA-RASILLA-GCC-A56.2h-MS</t>
  </si>
  <si>
    <t>XXXXXX VIERTEAGUAS DE RASILLA 14x28 cm CON GOTERÓN CARA CORTA (ANCHO TOTAL 56 cm EN 2 HILADAS) MEDIANTE EL USO DE MEDIO SUSPENDIDO/COLGADO</t>
  </si>
  <si>
    <t>Vierteaguas de rasilla en piezas lisas (1 hilada) y de 14x28 cm con goterón en cara corta (ancho total 56 cm en 2 hiladas); recibido con mortero de cemento industrial con aditivo; y rejuntado entre piezas y de las uniones con los muros con mortero de juntas cementoso con absorción de agua reducida (para juntas entre 3 y 15 mm); mediante el uso de medio suspendido/colgado</t>
  </si>
  <si>
    <t>REM-V.AGUA-RASILLA-GCC.1h-ARC-AT</t>
  </si>
  <si>
    <t>XXXXXX VIERTEAGUAS EN ARCO DE RASILLA 14x28 cm CON GOTERÓN EN CARA CORTA (ANCHO 28 cm) MEDIANTE EL USO DE ANDAMIO TUBULAR</t>
  </si>
  <si>
    <t>Vierteaguas en arco de rasilla 14x28 cm con goterón en cara corta (ancho 28 cm)</t>
  </si>
  <si>
    <t>REM-V.AGUA-RASILLA-GCC.1h-ARC-MS</t>
  </si>
  <si>
    <t>XXXXXX VIERTEAGUAS EN ARCO DE RASILLA 14x28 cm CON GOTERÓN EN CARA CORTA (ANCHO 28 cm) MEDIANTE EL USO DE MEDIO SUSPENDIDO/COLGADO</t>
  </si>
  <si>
    <t>VIERTEAGUAS EN ARCO DE RASILLA 14x28 cm CON GOTERÓN EN CARA CORTA (ANCHO 28 cm) MEDIANTE EL USO DE MEDIO SUSPENDIDO/COLGADO</t>
  </si>
  <si>
    <t>REM-V.AGUA-RASILLA-GCL-A42.2h-AT</t>
  </si>
  <si>
    <t>XXXXXX VIERTEAGUAS DE RASILLA 28x14 cm CON GOTERÓN CARA LARGA (ANCHO TOTAL 42 cm) MEDIANTE EL USO DE ANDAMIO TUBULAR</t>
  </si>
  <si>
    <t>Vierteaguas de rasilla en piezas lisas (1 hilada)) y de 28x14 cm con goterón en cara larga(ancho total 42 cm); recibido con mortero de cemento industrial con aditivo; y rejuntado entre piezas y de las uniones con los muros con mortero de juntas cementoso con absorción de agua reducida (para juntas entre 3 y 15 mm); mediante el uso de andamio tubular</t>
  </si>
  <si>
    <t>ma-lp-00299058</t>
  </si>
  <si>
    <t>Vierteaguas de rasilla (medidas/pieza: 28x14 cm con un espesor de 12 mm)   Ref. lp-00299058</t>
  </si>
  <si>
    <t>REM-V.AGUA-RASILLA-GCL-A42.2h-MS</t>
  </si>
  <si>
    <t>XXXXXX VIERTEAGUAS DE RASILLA 28x14 cm CON GOTERÓN CARA LARGA (ANCHO TOTAL 42 cm) MEDIANTE EL USO DE MEDIO SUSPENDIDO/COLGADO</t>
  </si>
  <si>
    <t>Vierteaguas de rasilla en piezas lisas (1 hilada)) y de 28x14 cm con goterón en cara larga(ancho total 42 cm); recibido con mortero de cemento industrial con aditivo; y rejuntado entre piezas y de las uniones con los muros con mortero de juntas cementoso con absorción de agua reducida (para juntas entre 3 y 15 mm); mediante el uso de medio suspendido/colgado</t>
  </si>
  <si>
    <t>REM-V.AGUA-RASILLA-GCL-A56.4h-AT</t>
  </si>
  <si>
    <t>XXXXXX VIERTEAGUAS DE RASILLA 28x14 cm CON GOTERÓN CARA LARGA (ANCHO TOTAL 56 cm EN 4 HILADAS) MEDIANTE EL USO DE ANDAMIO TUBULAR</t>
  </si>
  <si>
    <t>Vierteaguas de rasilla en piezas lisas (3 hiladas)) y de 14x28 cm con goterón en cara larga(ancho total 56 cm en 4 hiladas); recibido con mortero de cemento industrial con aditivo; y rejuntado entre piezas y de las uniones con los muros con mortero de juntas cementoso con absorción de agua reducida (para juntas entre 3 y 15 mm); mediante el uso de andamio tubular</t>
  </si>
  <si>
    <t>REM-V.AGUA-RASILLA-GCL-A56.4h-MS</t>
  </si>
  <si>
    <t>XXXXXX VIERTEAGUAS DE RASILLA 28x14 cm CON GOTERÓN CARA LARGA (ANCHO TOTAL 56 cm EN 4 HILADAS) MEDIANTE EL USO DE MEDIO SUSPENDIDO/COLGADO</t>
  </si>
  <si>
    <t>Vierteaguas de rasilla en piezas lisas (3 hiladas)) y de 14x28 cm con goterón en cara larga(ancho total 56 cm en 4 hiladas); recibido con mortero de cemento industrial con aditivo; y rejuntado entre piezas y de las uniones con los muros con mortero de juntas cementoso con absorción de agua reducida (para juntas entre 3 y 15 mm); mediante el uso de medio suspendido/colgado</t>
  </si>
  <si>
    <t>REM001</t>
  </si>
  <si>
    <t>MIMBEL O RODAPIE RASILLA 14x28</t>
  </si>
  <si>
    <t>Suministro y colocación de mimbel de rasilla cerámica natural de 14x28 cm, colocada a punta de paleta con mortero 1:2:10 elaborado en obra. incluye borada.</t>
  </si>
  <si>
    <t>REM002</t>
  </si>
  <si>
    <t>MIMBEL O RODAPIE ROJO CUGAT DE BENESOL 14x28</t>
  </si>
  <si>
    <t>MIMBEL CERÁMICO CON BALDOSA DE PAVIMENTO PRENSADO NATURAL COLOR ROJO CUGAT DE BENESOL (14x28 cm por pieza); EN INSTALACIÓN CON GRADO DE COMPLEJIDAD MEDIA (GCM)</t>
  </si>
  <si>
    <t>REM003</t>
  </si>
  <si>
    <t>MIMBEL O RODAPIE BALDOSA NATURAL HIERRO 2.0 DE ROSA GRES</t>
  </si>
  <si>
    <t>MIMBEL CERÁMICO CON BALDOSA NATURAL HIERRO 2.0 DE ROSA GRES; ALTURA 10 cm EN INSTALACIÓN CON GRADO DE COMPLEJIDAD ALTA (GCA)</t>
  </si>
  <si>
    <t>REM004</t>
  </si>
  <si>
    <t>MIMBEL O RODAPIE PORCELANICO DE 8cm</t>
  </si>
  <si>
    <t>Rodapié porcelanico OCRE MARIOLA, de 8 cm, recibido con adhesivo cementoso, rejuntado con mortero de juntas cementoso mejorado, con absorción de agua reducida y resistencia elevada a la abrasión, color blanco, para juntas de 2 a 15 mm.</t>
  </si>
  <si>
    <t>ma-lp-00407759</t>
  </si>
  <si>
    <t>Rodapié cerámico OCRE MARIOLA de AZULIBER (8x33,3 cm/pza).   Ref. lp-00407759</t>
  </si>
  <si>
    <t>REM005</t>
  </si>
  <si>
    <t>VIERTEAGUAS DE RASILLA 28x14 cm GOTERÓN EN CARA LARGA</t>
  </si>
  <si>
    <t>Vierteaguas de rasilla en piezas de 28x14 cm con goterón en cara larga; recibido con mortero de cemento industrial con aditivo; y rejuntado entre piezas y de las uniones con los muros con mortero de juntas cementoso con absorción de agua reducida (para juntas entre 3 y 15 mm); mediante el uso de andamio tubular</t>
  </si>
  <si>
    <t>REM005TV</t>
  </si>
  <si>
    <t>VIERTEAGUAS DE RASILLA 28x14 cm GOTERÓN EN CARA LARGA C/TRABAJOS VERTICALES</t>
  </si>
  <si>
    <t>Vierteaguas de rasilla C/TRABAJOS VERTICALES en piezas de 28x14 cm con goterón en cara larga; recibido con mortero de cemento industrial con aditivo; y rejuntado entre piezas y de las uniones con los muros con mortero de juntas cementoso con absorción de agua reducida (para juntas entre 3 y 15 mm); mediante el uso de medio suspendido/colgado</t>
  </si>
  <si>
    <t>REM006</t>
  </si>
  <si>
    <t>VIERTEAGUAS DE RASILLA 28x14 cm GOTERÓN CARA LARGA EN 2 HILADAS</t>
  </si>
  <si>
    <t>Vierteaguas de rasilla en (2 hiladas) y de 14x28 cm con goterón en cara larga(ancho total 28 cm en 2 hiladas); recibido con mortero de cemento industrial con aditivo; y rejuntado entre piezas y de las uniones con los muros con mortero de juntas cementoso con absorción de agua reducida (para juntas entre 3 y 15 mm); mediante el uso de andamio tubular</t>
  </si>
  <si>
    <t>REM006TV</t>
  </si>
  <si>
    <t>VIERTEAGUAS DE RASILLA 28x14 cm GOTERÓN CARA LARGA EN 2 HILADAS C/TRABAJOS VERTICALES</t>
  </si>
  <si>
    <t>Vierteaguas de rasilla  C/TRABAJOS VERTICALES en (2 hilada)) y de 14x28 cm con goterón en cara larga(ancho total 28 cm en 2 hiladas); recibido con mortero de cemento industrial con aditivo; y rejuntado entre piezas y de las uniones con los muros con mortero de juntas cementoso con absorción de agua reducida (para juntas entre 3 y 15 mm); mediante el uso de medio suspendido/colgado</t>
  </si>
  <si>
    <t>REM007</t>
  </si>
  <si>
    <t>VIERTEAGUAS DE RASILLA 14x28 cm GOTERÓN EN CARA CORTA</t>
  </si>
  <si>
    <t>REM007TV</t>
  </si>
  <si>
    <t>VIERTEAGUAS DE RASILLA 14x28 cm GOTERÓN EN CARA CORTA C/TRABAJOS VERTICALES</t>
  </si>
  <si>
    <t>Vierteaguas de rasilla en piezas de 14x28 cm con goterón en cara corta; recibido con mortero de cemento industrial con aditivo; y rejuntado entre piezas y de las uniones con los muros con mortero de juntas cementoso con absorción de agua reducida (para juntas entre 3 y 15 mm).</t>
  </si>
  <si>
    <t>REM008</t>
  </si>
  <si>
    <t>VIERTEAGUAS CERÁMICO TEJA IRTA DE AZULIBER GOTERÓN CARA LARGA</t>
  </si>
  <si>
    <t>VIERTEAGUAS CERÁMICO TEJA IRTA de AZULIBER CON GOTERÓN CARA LARGA (33,3 cm); mediante el uso de andamio tubular</t>
  </si>
  <si>
    <t>ma-lp-00415855</t>
  </si>
  <si>
    <t>Vierteaguas serie TEJA IRTA de AZULIBER (15x33,3x4 cm/pza).   Ref. lp-00415855</t>
  </si>
  <si>
    <t>REM008TV</t>
  </si>
  <si>
    <t>VIERTEAGUAS CERÁMICO TEJA IRTA DE AZULIBER GOTERÓN CARA LARGA C/TRABAJOS VERTICALES</t>
  </si>
  <si>
    <t>VIERTEAGUAS CERÁMICO C/TRABAJOS VERTICALES TEJA IRTA DE AZULIBER CON GOTERÓN CARA LARGA (33,3 cm)</t>
  </si>
  <si>
    <t>REM009</t>
  </si>
  <si>
    <t>VIERTEAGUAS DE BALDOSA CERÁMICA VIDRIADA STONEWARE COLOR CT3 14x28 CON GOTERÓN</t>
  </si>
  <si>
    <t>VIERTEAGUAS DE BALDOSA CERÁMICA VIDRIADA STONEWARE COLOR CT3 14x28 cm CON GOTERÓN EN UN EXTREMO; MEDIANTE EL USO DE ANDAMIO TUBULAR</t>
  </si>
  <si>
    <t>ma-ferres-baldosa.VT-14x28-CT3</t>
  </si>
  <si>
    <t>Baldosa vidriada (14x28 cm/pza).   Ref. ferres-baldosa.VT-14x28-CT3</t>
  </si>
  <si>
    <t>REM009TV</t>
  </si>
  <si>
    <t>VIERTEAGUAS DE BALDOSA CERÁMICA VIDRIADA STONEWARE COLOR CT3 14x28 cm CON GOTERÓN CON GOTERÓN C/TRABAJOS VERTICALES</t>
  </si>
  <si>
    <t>VIERTEAGUAS DE BALDOSA CERÁMICA VIDRIADA STONEWARE COLOR CT3 14x28 cm CON GOTERÓN EN UN EXTREMO; MEDIANTE EL USO DE MEDIO SUSPENDIDO/COLGADO</t>
  </si>
  <si>
    <t>REM010</t>
  </si>
  <si>
    <t>VIERTEAGUAS DE BALDOSA CERÁMICA VIDRIADA STONEWARE COLOR CT3 20x20 CON GOTERÓN</t>
  </si>
  <si>
    <t>VIERTEAGUAS DE BALDOSA CERÁMICA VIDRIADA COLOR CT3 20x20 cm CON GOTERÓN EN UN EXTREMO; MEDIANTE EL USO DE ANDAMIO TUBULAR</t>
  </si>
  <si>
    <t>ma-ferres-v/agua.VT-SW-20x20-CT3</t>
  </si>
  <si>
    <t>Vierteaguas vidriado STONEWARE (20x20 cm/pza).   Ref. ferres-v/agua.VT-SW-20x20-CT3</t>
  </si>
  <si>
    <t>REM010TV</t>
  </si>
  <si>
    <t>VIERTEAGUAS DE BALDOSA CERÁMICA VIDRIADA COLOR CT3 20x20 cm CON GOTERÓN C/TRABAJOS VERTICALES</t>
  </si>
  <si>
    <t>VIERTEAGUAS DE BALDOSA CERÁMICA VIDRIADA COLOR CT3 20x20 cm CON GOTERÓN EN UN EXTREMO;</t>
  </si>
  <si>
    <t>REM011</t>
  </si>
  <si>
    <t>CUBREMUROS CERAMICO EN RASILLA TIPO CELOSÍA 20x202CM</t>
  </si>
  <si>
    <t>Vierteaguas cerámico, color rojo, en piezas de 20x20x2cm, con goterón; recibido con mortero de cemento, industrial, con aditivo; y rejuntado entre piezas y de las uniones con los muros con mortero de juntas cementoso con absorción de agua reducida, para juntas entre 3 y 15 mm.</t>
  </si>
  <si>
    <t>REM0060</t>
  </si>
  <si>
    <t>GARGOLA CERAMICA</t>
  </si>
  <si>
    <t>Gárgola de cerámica vitrificada, de 100x100x250 mm; colocación con adhesivo cementoso flexible y de gran adherencia, C2 S2; y  sellado e impermeabilización de la junta perimetral con masilla de poliuretano, previa aplicación de la imprimación.</t>
  </si>
  <si>
    <t>ma-azulejosgres-gargola</t>
  </si>
  <si>
    <t>Gargola vitrificada</t>
  </si>
  <si>
    <t>REM0070</t>
  </si>
  <si>
    <t>GARGOLA DE ACERO INOX AISI 304 - SCHLUTER</t>
  </si>
  <si>
    <t>Gárgola de acero inoxidable AISI 304, formada por placa en L de 100x100 mm, y tubo de salida de 45 mm de diámetro y 250 mm de longitud; colocación con masilla de silicona neutra; y sellado e impermeabilización de la junta perimetral con masilla de poliuretano, previa aplicación de la imprimación.</t>
  </si>
  <si>
    <t>ma-Schluter.Systems-KD.SPE.45/25</t>
  </si>
  <si>
    <t>Gárgola de acero inoxidable AISI 304 Schlüter-KERDI-DRAIN-SP-E 250 mm (diámetro: 45 mm).   Ref. Schluter.Systems-KD.SPE.45/25</t>
  </si>
  <si>
    <t>ma-lm-88455941</t>
  </si>
  <si>
    <t>Promotor de adhesión basado en solventes para substratos no porosos SIKA AKTIVATOR-205 de SIKA (250 ml/envase).   Ref. lm-88455941</t>
  </si>
  <si>
    <t>REM07-OK</t>
  </si>
  <si>
    <t>ALBARDILLA DE HORMIGON POLIMERO DE 200X20MM</t>
  </si>
  <si>
    <t>Vierteaguas de hormigón polímero de superficie pulida, con goterón, de 200x20 mm, con anclaje metálico de acero inoxidable y grava adherida a la superficie en su cara inferior y empotrado en las jambas; colocación con adhesivo cementoso flexible y de gran adherencia, C2 S2 sobre una capa de regularización de mortero de cemento, con aditivo hidrófugo, M-15, sobre el que se introducen los anclajes metálicos; y sellado de las juntas entre piezas y de las uniones con los muros con masilla de poliuretano.</t>
  </si>
  <si>
    <t>ma-dgm-MJ14</t>
  </si>
  <si>
    <t>Albardilla Serie MJ 14 de ULMA (A:B::15:20 cm); color arenisca (1 m/pza).   Ref. dgm-MJ14</t>
  </si>
  <si>
    <t>ma-lp-00540972</t>
  </si>
  <si>
    <t>Cordón de espuma polietilénica extruida MAPEFOAM de MAPEI (1 m x 15 mm/pza).   Ref. lp-00540972</t>
  </si>
  <si>
    <t>REM08-OK</t>
  </si>
  <si>
    <t>CUBREMUROS 2 AGUAS DE HORMIGÓN POLIMÉRICO 25 cm</t>
  </si>
  <si>
    <t>Suministro y colocacion de Cubremuro plano de piedra artificial con goterón a ambos lados</t>
  </si>
  <si>
    <t>ma-lp-00095113</t>
  </si>
  <si>
    <t>Cubremuros a 2 aguas de hormigón polímero liso de BEDYFA; color blanco (25x50 cm/pza).   Ref. lp-00095113</t>
  </si>
  <si>
    <t>REM06-OK</t>
  </si>
  <si>
    <t>VIERTEAGUAS DE ALUMINIO</t>
  </si>
  <si>
    <t>Vierteaguas de chapa plegada de aluminio lacado en color blanco, con 60 micras de espesor mínimo de película seca, espesor 3 mm, desarrollo 400 mm y 3 pliegues, con goterón, empotrado en las jambas; colocación con adhesivo bituminoso de aplicación en frío; y sellado de las juntas entre piezas y de las uniones con los muros con sellador adhesivo monocomponente.</t>
  </si>
  <si>
    <t>REM090</t>
  </si>
  <si>
    <t>MARCHAPIE DE MARMOL MACAEL DE 30CM DE ANCHURA Y 2CM DE ESPESOR</t>
  </si>
  <si>
    <t>Marchapie para remate de puerta de entrada o balconera de mármol Blanco Macael, en piezas de hasta 1.00m de longitud, de 30cm de anchura y 2 cm de espesor, empotrado en las jambas, cubriendo el escalón de acceso en la puerta de entrada o balcón de un edificio; recibido con mortero de cemento y rejuntado entre piezas y de las uniones con los muros con mortero de juntas.</t>
  </si>
  <si>
    <t>march1</t>
  </si>
  <si>
    <t>Marcapie de marmol Macael de 30cm de espesor y 2cm de ancho</t>
  </si>
  <si>
    <t>REM10-OK</t>
  </si>
  <si>
    <t>VIERTEAGUAS CERÁMICO ESMALTADO ROJO CON GOTERÓN CARA CORTA (ANCHO 28 cm) MEDIANTE EL USO DE ANDAMIO TUBULAR</t>
  </si>
  <si>
    <t>ma-lp-00008179</t>
  </si>
  <si>
    <t>Vierteaguas rojo esmaltado (medidas/pieza: 14x28 cm con un espesor de 12 mm)   Ref. lp-00008179</t>
  </si>
  <si>
    <t>REM10-OK-REPETIDO.REM14</t>
  </si>
  <si>
    <t>VIERTEAGUAS GRES CERAMICO DE 14X28</t>
  </si>
  <si>
    <t>ma-lp-00415856</t>
  </si>
  <si>
    <t>Vierteaguas serie OCRE MARIOLA de AZULIBER (15x33,3x4 cm/pza).   Ref. lp-00415856</t>
  </si>
  <si>
    <t>REM11-OK</t>
  </si>
  <si>
    <t>FORRADO DE BAJANTE CON PLADUR</t>
  </si>
  <si>
    <t>Forrado de conductos, en un rincón de la tabiquería, de 50 cm de anchura, realizado con placas de yeso laminado dispuestas en una cara y estructura simple autoportante, compuesto entramado autoportante de perfiles de chapa de acero galvanizado, constituido por canales, y montantes; una placas tipo normal en la cara exterior. Incluso banda acústica de dilatación autoadhesiva; tornillería para la fijación de las placas y pasta y cinta para el tratamiento de juntas.</t>
  </si>
  <si>
    <t>ma-lp-00002028</t>
  </si>
  <si>
    <t>Tornillo PLADUR PM 3,5x45 mm (500 pzas/caja).   Ref. lp-00002028</t>
  </si>
  <si>
    <t>REM12-OK</t>
  </si>
  <si>
    <t>VIERTEAGUAS CERAMICO ESMALTADO DE 14X28</t>
  </si>
  <si>
    <t>REM13-OK</t>
  </si>
  <si>
    <t>VIERTEAGUAS CERAMICO DE 20X21,5</t>
  </si>
  <si>
    <t>Vierteaguas cerámico, color rojo, en piezas de 20x21,5cm, con goterón; recibido con mortero de cemento, industrial, con aditivo; y rejuntado entre piezas y de las uniones con los muros con mortero de juntas cementoso con absorción de agua reducida, para juntas entre 3 y 15 mm.</t>
  </si>
  <si>
    <t>REM14-OK-REPETIDO.REM10</t>
  </si>
  <si>
    <t>VIERTEAGUAS OCRE MARIOLA 15X33,3X4 CM Ref.: 00415856</t>
  </si>
  <si>
    <t>Vierteaguas cerámico, Ocre Mariola 15x33,3x4 cm Ref.: 00415856; recibido con mortero de cemento, industrial, con aditivo; y rejuntado entre piezas y de las uniones con los muros con mortero de juntas cementoso con absorción de agua reducida, para juntas entre 3 y 15 mm.</t>
  </si>
  <si>
    <t>REM150</t>
  </si>
  <si>
    <t>Perfil de aluminio Schuter BARA-RW</t>
  </si>
  <si>
    <t>GGGG</t>
  </si>
  <si>
    <t>prfbara-rw</t>
  </si>
  <si>
    <t>ma-jp-bara-rw</t>
  </si>
  <si>
    <t>BARA-RW - Perfil vierteaguas o goterón con forma de L</t>
  </si>
  <si>
    <t>ma-jp-bara-rw-ang</t>
  </si>
  <si>
    <t>BARA-RW - Ángulo externo de 90°</t>
  </si>
  <si>
    <t>ma-jp-bara-rw-empal</t>
  </si>
  <si>
    <t>BARA-RW - Pieza de empalme</t>
  </si>
  <si>
    <t>ma-jp-ditra25</t>
  </si>
  <si>
    <t>DITRA-25 - Lámina de desolidarización o desacoplante</t>
  </si>
  <si>
    <t>REM-REGATAS-MAN-MM-10</t>
  </si>
  <si>
    <t>CONFECCIÓN A MANO DE REGATA EN PARAMENTO DE MAMPOSTERÍA CON MIEMBROS MACIZOS (ancho &lt;= 5 cm) A UNA ALTURA DE 20 cm SOBRE COTA DE PAVIMENTO; NO INCLUYE RELLENO CON MORTERO</t>
  </si>
  <si>
    <t>Confección a mano de regata en paramento de mampostería con miembros macizos (ancho &lt;= 5 cm) a una altura de 20 cm sobre cota de pavimento; no incluye relleno con mortero</t>
  </si>
  <si>
    <t>REM-REGATAS-MAN-MH-10</t>
  </si>
  <si>
    <t>CONFECCIÓN A MANO DE REGATA EN PARAMENTO DE MAMPOSTERÍA CON MIEMBROS HUECOS (ancho &lt;= 5 cm) A UNA ALTURA DE 20 cm SOBRE COTA DE PAVIMENTO; NO INCLUYE RELLENO CON MORTERO</t>
  </si>
  <si>
    <t>REM-REGATAS-MAQ-MH-10</t>
  </si>
  <si>
    <t>CONFECCIÓN A MÁQUINA DE REGATA EN PARAMENTO DE MAMPOSTERÍA CON MIEMBROS HUECOS (ancho &lt;= 5 cm) A UNA ALTURA DE 20 cm SOBRE COTA DE PAVIMENTO; NO INCLUYE RELLENO CON MORTERO</t>
  </si>
  <si>
    <t>Confección a máquina de regata en paramento de mampostería con miembros huecos (ancho &lt;= 5 cm) a una altura de 20 cm sobre cota de pavimento; no incluye relleno con mortero</t>
  </si>
  <si>
    <t>alq-rozadora-tq-01</t>
  </si>
  <si>
    <t>Alquiler de Rozadora de Disco 150 mm.   Ref. TOOLQUICK</t>
  </si>
  <si>
    <t>REM-REGATAS-MAQ-MM-10</t>
  </si>
  <si>
    <t>CONFECCIÓN A MÁQUINA DE REGATA EN PARAMENTO DE MAMPOSTERÍA CON MIEMBROS MACIZOS (ancho &lt;= 5 cm) A UNA ALTURA DE 20 cm SOBRE COTA DE PAVIMENTO; NO INCLUYE RELLENO CON MORTERO</t>
  </si>
  <si>
    <t>CONFECCIÓN A MÁQUINA DE REGATA EN PARAMENTO DE MAMPOSTERÍA CON MIEMBROS MACIZOS (ancho &lt;= 10 cm); NO INCLUYE RELLENO CON MORTERO</t>
  </si>
  <si>
    <t>REM.Y.AYUDA-ALB-DIA-02</t>
  </si>
  <si>
    <t>día</t>
  </si>
  <si>
    <t>REMATES Y AYUDAS DE ALBAÑILERÍA CON MATERIALES</t>
  </si>
  <si>
    <t>REM-PRUEBA-ESTANQUEIDAD-M2</t>
  </si>
  <si>
    <t>PRUEBA DE ESTANQUEIDAD (TERRAZA &lt;=50 m2)</t>
  </si>
  <si>
    <t>REM-PRUEBA-ESTANQUEIDAD-PAR</t>
  </si>
  <si>
    <t>PRUEBA DE ESTANQUEIDAD</t>
  </si>
  <si>
    <t>REM-BALAUSTRE.HORMIGON-01</t>
  </si>
  <si>
    <t>BALAUSTRE TORNEADO DE HORMIGÓN PREFABRICADO GÉNOVA 80 de VERNIPRENS (12x12x75 cm/pza)</t>
  </si>
  <si>
    <t>ma-lm-14613921</t>
  </si>
  <si>
    <t>Balaustre torneado de hormigón prefabricado GÉNOVA 80 de VERNIPRENS (12x12x75 cm/pza).   Ref. lm-14613921</t>
  </si>
  <si>
    <t>REM50-MNR-01-PU</t>
  </si>
  <si>
    <t>REMATE DE JUNTA DE CARPINTERÍAS Y CAJAS DE PERSIANA CON SELLADOR DE POLIURETANO</t>
  </si>
  <si>
    <t>Acabado manual de junta de carpinterías y cajas de persiana con sellador de poliuretano.</t>
  </si>
  <si>
    <t>ma-lp-00529764</t>
  </si>
  <si>
    <t>Sellador de poliuretano P795 SEAL’N’FLEX PREMIUM de BOSTIK; color marrón (290 ml/cartucho).   Ref. lp-00529764</t>
  </si>
  <si>
    <t>REM-FAB.OBRAVISTA-CRG-AC.CRRG-AT</t>
  </si>
  <si>
    <t>RESTAURACIÓN DE PAÑOS DE LADRILLO CERÁMICO OBRA VISTA, INCLUYE REPARACIÓN DE GRIETAS Y/O FISURAS CON GRAPAS ACERO CORRUGADO Y ANCLAJE QUÍMICO; MEDIANTE EL USO DE ANDAMIO TUBULAR</t>
  </si>
  <si>
    <t>ma-lp-00540433</t>
  </si>
  <si>
    <t>Resina texturada de BIGMAT como puente adherente sobre soportes faltos de absorción (5 kg/envase).   Ref. lp-00540433</t>
  </si>
  <si>
    <t>ma-lp-00001604</t>
  </si>
  <si>
    <t>Mortero seco M-5 de VALSEC; color gris (25 kg/saco).   Ref. lp-00001604</t>
  </si>
  <si>
    <t>ma-lp-00001568</t>
  </si>
  <si>
    <t>Ladrillo cerámico CARAVISTA NATURAL ROJO LISO de LA PALOMA CERÁMICAS (24x11x5 cm/pza).   Ref. lp-00001568</t>
  </si>
  <si>
    <t>STR.AC-FAB.GRAPAS-12mm</t>
  </si>
  <si>
    <t>FABRICACIÓN DE GRAPAS DE ACERO CORRUGADO 12 mm PARA REPARAR GRIETAS EN FACHADAS (15x40x15 cm/pza)</t>
  </si>
  <si>
    <t>REM-FAB.OBRAVISTA-CRG-AC.CRRG-MS</t>
  </si>
  <si>
    <t>RESTAURACIÓN DE PAÑOS DE LADRILLO CERÁMICO OBRA VISTA, INCLUYE REPARACIÓN DE GRIETAS Y/O FISURAS CON GRAPAS ACERO CORRUGADO Y ANCLAJE QUÍMICO; MEDIANTE EL USO DE MEDIO SUSPENDIDO/COLGADO</t>
  </si>
  <si>
    <t>REM-FAB.OBRAVISTA-CRG-AC.INOX-AT</t>
  </si>
  <si>
    <t>RESTAURACIÓN DE PAÑOS DE LADRILLO CERÁMICO OBRA VISTA, INCLUYE REPARACIÓN DE GRIETAS Y/O FISURAS CON GRAPAS A.I. Y ANCLAJE QUÍMICO; MEDIANTE EL USO DE ANDAMIO TUBULAR</t>
  </si>
  <si>
    <t>Restauración de paños de ladrillo cerámico obra vista, previo repicado y saneamiento de elementos sueltos o en mal estado; incluye la reparación de grietas y/o fisuras con grapas acero inoxidable y anclaje químico; mediante el uso de andamio tubular</t>
  </si>
  <si>
    <t>REM-FAB.OBRAVISTA-CRG-AC.INOX-MS</t>
  </si>
  <si>
    <t>RESTAURACIÓN DE PAÑOS DE LADRILLO CERÁMICO OBRA VISTA, INCLUYE REPARACIÓN DE GRIETAS Y/O FISURAS CON GRAPAS A.I. Y ANCLAJE QUÍMICO; MEDIANTE EL USO DE MEDIO SUSPENDIDO/COLGADO</t>
  </si>
  <si>
    <t>REM-FAB.OBRAVISTA-SRG-AT</t>
  </si>
  <si>
    <t>RESTAURACIÓN DE PAÑOS DE LADRILLO CERÁMICO OBRA VISTA, NO INCLUYE REPARACIÓN DE GRIETAS Y/O FISURAS; MEDIANTE EL USO DE ANDAMIO TUBULAR</t>
  </si>
  <si>
    <t>Restauración de paños de ladrillo cerámico obra vista, previo repicado y saneamiento de elementos sueltos o en mal estado; no incluye la reparación de grietas y/o fisuras; mediante el uso de andamio tubular</t>
  </si>
  <si>
    <t>REM-FAB.OBRAVISTA-SRG-MS</t>
  </si>
  <si>
    <t>RESTAURACIÓN DE PAÑOS DE LADRILLO CERÁMICO OBRA VISTA, NO INCLUYE REPARACIÓN DE GRIETAS Y/O FISURAS; MEDIANTE EL USO DE MEDIO SUSPENDIDO/COLGADO</t>
  </si>
  <si>
    <t>REM-REMATE-VANO-15cm</t>
  </si>
  <si>
    <t>REMATE DE VANO/CONTORNO DE MAMPOSTERÍA PARA RECIBIR VENTANAS Y/O PUERTAS</t>
  </si>
  <si>
    <t>Preparación de vano receptor de ventana/balconera mediante el remate en mampostería del respectivo contorno; incluye el previo repicado del revestimiento existente.</t>
  </si>
  <si>
    <t>REM-ANTIPALOMAS-PINCHOS-1VARILLA</t>
  </si>
  <si>
    <t>DISUASORES DE PALOMAS CON VARILLA SENCILLA DE PINCHOS DE ACERO INOXIDABLE</t>
  </si>
  <si>
    <t>ma-lp-00564478</t>
  </si>
  <si>
    <t>Varilla antipaloma con base y pinchos en acero inoxidable X140 (50 cm/pza con 32 púas).   Ref. lp-00564478</t>
  </si>
  <si>
    <t>REM-ANTIPALOMAS-PINCHOS-2VARILLA</t>
  </si>
  <si>
    <t>DISUASORES DE PALOMAS CON VARILLA  DOBLE DE PINCHOS DE ACERO INOXIDABLE</t>
  </si>
  <si>
    <t>REM-JAMBA-PIEDRA.ARTIFICIAL-01</t>
  </si>
  <si>
    <t>JAMBA DE PIEDRA ARTIFICIAL</t>
  </si>
  <si>
    <t>ma-ma-jamba-piedra.artif-01</t>
  </si>
  <si>
    <t>Jamba de piedra artificial (100x20x5 cm/pza).   Ref. ma-jamba-piedra.artif.01</t>
  </si>
  <si>
    <t>REM-PUNTO.ANCLAJE.TACO-AT-10mm</t>
  </si>
  <si>
    <t>punto</t>
  </si>
  <si>
    <t>PUNTO DE ANCLAJE A PARAMENTO, CONFORMADO POR ESPÁRRAGO 10 mm, TAMIZ DE NYLON Y TACO QUÍMICO; TODO ELLO, MEDIANTE EL USO DE ANDAMIO TUBULAR</t>
  </si>
  <si>
    <t>alq-martillo.perforador-mym-40mm</t>
  </si>
  <si>
    <t>Alquiler de Martillo Perforador 40 mm.   Ref. MÁQUINAS Y MÁQUINAS</t>
  </si>
  <si>
    <t>REM-RECIBIDO.REJA-AT</t>
  </si>
  <si>
    <t>RECIBIDO DE REJA METÁLICA (2 m2 &lt;= Área &lt; 4 m2) CON PATILLAS DE ANCLAJE; MEDIANTE EL USO DE ANDAMIO TUBULAR</t>
  </si>
  <si>
    <t>REM-RECIBIDO.REJA-MS</t>
  </si>
  <si>
    <t>RECIBIDO DE REJA METÁLICA (2 m2 &lt;= Área &lt; 4 m2) CON PATILLAS DE ANCLAJE; MEDIANTE EL USO DE MEDIO SUSPENDIDO/COLGADO</t>
  </si>
  <si>
    <t>REM.Y.AYUDA-ELECTRICIDAD/DIA-C/M</t>
  </si>
  <si>
    <t>REMATES Y AYUDAS DE ELECTRICIDAD CON MATERIALES</t>
  </si>
  <si>
    <t>moc-std1-electricista</t>
  </si>
  <si>
    <t>Cuadrilla Std1 Electricidad - 1 Oficial Electricista de 1ª y 1 Ayudante de Electricidad</t>
  </si>
  <si>
    <t>mo-electricista-oficial1</t>
  </si>
  <si>
    <t>Oficial Electricista de 1ª</t>
  </si>
  <si>
    <t>mo-electricista-ayudante</t>
  </si>
  <si>
    <t>Ayudante de Electricista</t>
  </si>
  <si>
    <t>REM99-TRANSITORIA-01</t>
  </si>
  <si>
    <t>MARCO PERIMETRAL DE SUJECIÓN INFERIOR DEL LUCERNARIO</t>
  </si>
  <si>
    <t>Incluye suministro y colocación de marco perimetral de sujeción inferior del lucernario, mediante perfiles de acero S275 en forma de L invertida de 5 cm de alto, con angular en forma de T, de 5 cm de alto, ubicado en la parte central del marco para reducir la luz maxima y soldado en sus extremos al marco perimetral. Se ejecutará junta de expansión elastomerica entre el lucernario y el marco, a base de resinas de poliuretano estables a los rayos UV tipo Sikaflex 11 FC o similar.</t>
  </si>
  <si>
    <t>ma-lp-00001659</t>
  </si>
  <si>
    <t>Perfil angular macizo con alas iguales de CDL en acero laminado S275 JR+M (60x60x6 mmm; 3 m/pza).   Ref. lp-00001659</t>
  </si>
  <si>
    <t>ma-lp-00383509</t>
  </si>
  <si>
    <t>Esmalte antioxidante metálico de altos sólidos OXIRÓN FORJA de TITANLUX; color negro (4 litros/envase).   Ref. lp-00383509</t>
  </si>
  <si>
    <t>REVPREP01-OK</t>
  </si>
  <si>
    <t>XXXXXX DECAPADO DE PINTURA EXISTENTE</t>
  </si>
  <si>
    <t>RYA-PALETERIA-CARPINTERIA-C/MAT</t>
  </si>
  <si>
    <t>REMATES Y AYUDAS DE PALETERÍA POR INSTALACIONES DE CARPINTERÍA CON MATERIALES</t>
  </si>
  <si>
    <t>REM.Y.AYUDA-ALB-DIA-01</t>
  </si>
  <si>
    <t>REMATES Y AYUDAS DE ALBAÑILERÍA SIN MATERIALES</t>
  </si>
  <si>
    <t>RYA-PALETERIA-ELECTRICIDAD-C/MAT</t>
  </si>
  <si>
    <t>REMATES Y AYUDAS DE PALETERÍA POR INSTALACIONES ELÉCTRICAS CON MATERIALES</t>
  </si>
  <si>
    <t>RYA-PALETERIA-FONTANERIA-C/MAT</t>
  </si>
  <si>
    <t>REMATES Y AYUDAS DE PALETERÍA POR INSTALACIONES DE FONTANERIA CON MATERIALES</t>
  </si>
  <si>
    <t>RYA-PALETERIA-SANEAMIENTO-C/MAT</t>
  </si>
  <si>
    <t>REMATES Y AYUDAS DE PALETERÍA POR INSTALACIONES DE SANEAMIENTO CON MATERIALES</t>
  </si>
  <si>
    <t>INS</t>
  </si>
  <si>
    <t>o Instalaciones</t>
  </si>
  <si>
    <t>GAS000</t>
  </si>
  <si>
    <t>INSTALACION DE GAS</t>
  </si>
  <si>
    <t>GAS001</t>
  </si>
  <si>
    <t>DESMONTAJE DE TUBERIA SUPERFICIAL DE GAS</t>
  </si>
  <si>
    <t>Desmontaje de tubos de cobre de hasta 1" de diámetro, en instalación superficial de gas, con medios manuales, sin deteriorar los elementos constructivos a los que están sujetos, y carga manual sobre camión o contenedor.</t>
  </si>
  <si>
    <t>GAS001TV</t>
  </si>
  <si>
    <t>DESMONTAJE DE TUBERIA SUPERFICIAL DE GAS C/TRABAJOS VERTICALES</t>
  </si>
  <si>
    <t>Desmontaje de tubos de cobre de hasta 1" de diámetro C/TRABAJOS VERTICALES, en instalación superficial de gas, con medios manuales, sin deteriorar los elementos constructivos a los que están sujetos, y carga manual sobre camión o contenedor.</t>
  </si>
  <si>
    <t>INS-ELECTRICAS</t>
  </si>
  <si>
    <t>INSTALACIONES ELÉCTRICAS</t>
  </si>
  <si>
    <t>INS-ELECTRICAS-CABLEADO</t>
  </si>
  <si>
    <t>INSTALACIONES ELÉCTRICAS - CABLEADO</t>
  </si>
  <si>
    <t>ADECUACION-CABLEADO-CANAL-AT-01</t>
  </si>
  <si>
    <t>ADECUACIÓN DE TENDIDO DE INSTALACIONES EN CANALETAS PORTACABLES PVC, MEDIANTE EL USO DE ANDAMIO TUBULAR</t>
  </si>
  <si>
    <t>Adecuación en canaletas PVC de cableados sueltos o con deficiente tendido y/o fijación a paramentos, mediante retirada de antiguas fijaciones en mal estado y restauración de nuevas fijaciones ancladas correctamente a paramentos, mediante el uso de andamio tubular.</t>
  </si>
  <si>
    <t>ma-bh-22845737</t>
  </si>
  <si>
    <t>Canaleta portacables PVC de 110x60 mm (2 m/pza).   Ref. bh-22845737</t>
  </si>
  <si>
    <t>ma-lp-00013571</t>
  </si>
  <si>
    <t>Caja de empalme canaleta en material temoplástico de SOLERA (82x82 mm/pza; 3 pzas/pack).   Ref. lp-00013571</t>
  </si>
  <si>
    <t>ADECUACION-CABLEADO-CANAL-MS-01</t>
  </si>
  <si>
    <t>ADECUACIÓN DE TENDIDO DE INSTALACIONES EN CANALETAS PORTACABLES PVC, MEDIANTE EL USO DE MEDIO SUSPENDIDO/COLGADO</t>
  </si>
  <si>
    <t>Adecuación en canaletas PVC de cableados sueltos o con deficiente tendido y/o fijación a paramentos, mediante retirada de antiguas fijaciones en mal estado y restauración de nuevas fijaciones ancladas correctamente a paramentos, mediante el uso de medio suspendido/colgado.</t>
  </si>
  <si>
    <t>ADECUACION-CABLEADO-GRAPAS-AT-01</t>
  </si>
  <si>
    <t>ADECUACIÓN DE TENDIDO CABLES A LA VISTA CON ABRAZADERAS/GRAPAS-CLIP Y CARRIL METÁLICO EN DOBLE MANOJO, MEDIANTE EL USO DE ANDAMIO TUBULAR</t>
  </si>
  <si>
    <t>Adecuación con abrazaderas/grapas-clip y carril metálico de cableados sueltos o con deficiente tendido y/o fijación a la vista en paramentos, mediante retirada de antiguas fijaciones en mal estado y restauración de nuevas fijaciones ancladas correctamente en doble manojo, mediante el uso de andamio tubular.</t>
  </si>
  <si>
    <t>ma-lp-00017555</t>
  </si>
  <si>
    <t>Carril de montaje FISCHER SAMONTEC FUS 41/21/2 (2 m/pza).   Ref. lp-00017555</t>
  </si>
  <si>
    <t>ma-lm-14761453</t>
  </si>
  <si>
    <t>Abrazadera o Grapas-Clip para la fijación de cables y tubos 32 mm.   Ref. lm-14761453</t>
  </si>
  <si>
    <t>ADECUACION-CABLEADO-GRAPAS-MS-01</t>
  </si>
  <si>
    <t>ADECUACIÓN DE TENDIDO CABLES A LA VISTA CON ABRAZADERAS/GRAPAS-CLIP Y CARRIL METÁLICO EN DOBLE MANOJO, MEDIANTE EL USO DE MEDIO SUSPENDIDO/COLGADO</t>
  </si>
  <si>
    <t>Adecuación con abrazaderas/grapas-clip y carril metálico de cableados sueltos o con deficiente tendido y/o fijación a la vista en paramentos, mediante retirada de antiguas fijaciones en mal estado y restauración de nuevas fijaciones ancladas correctamente en doble manojo, mediante el uso de medio suspendido/colgado.</t>
  </si>
  <si>
    <t>ELE001</t>
  </si>
  <si>
    <t>DERIVACION INDIVIDUAL</t>
  </si>
  <si>
    <t>Derivación individual empotrada para servicios generales electricos, formada por cables unipolares con conductores de cobre, H07Z1, Incluye: Tuberia protectora flexible, corrugado forrado, de PVC, de 32 mm de diámetro.</t>
  </si>
  <si>
    <t>mt35aia020d</t>
  </si>
  <si>
    <t>Tubo corrugado reforzado 40 mm/25 m Ref.: 00023443</t>
  </si>
  <si>
    <t>mt35cun020e</t>
  </si>
  <si>
    <t>Hilo h07z1-k(as) lh 2.5mm bicolor 5m CPR Ecotel Ref.: 00568019</t>
  </si>
  <si>
    <t>mt35www010</t>
  </si>
  <si>
    <t>Material auxiliar para instalaciones eléctricas.</t>
  </si>
  <si>
    <t>ELE002</t>
  </si>
  <si>
    <t>APERTURA Y TAPADO DE REGATAS</t>
  </si>
  <si>
    <t>Apertura y tapado de rozas o regatas con mortero de cemento, industrial, M-7 en fábrica de ladrillo hueco, con medios manuales sin afectar a la estabilidad del elemento constructivo.</t>
  </si>
  <si>
    <t>INSCABLEADO-01</t>
  </si>
  <si>
    <t>S/I CABLE/HILO FLEXIBLE H07V-K</t>
  </si>
  <si>
    <t>ma-lp-00261038</t>
  </si>
  <si>
    <t>Hilo flexible H07V-K de ECOTEL 2,5 mm; color negro (100 m/rollo).   Ref. lp-00261038</t>
  </si>
  <si>
    <t>ma-lp-00556831</t>
  </si>
  <si>
    <t>Cinta aislante BRICO; color negro (19 mm x 20 m/rollo).   Ref. lp-00556831</t>
  </si>
  <si>
    <t>INS-ELECTRICAS-CANALIZACION</t>
  </si>
  <si>
    <t>INSTALACIONES ELÉCTRICAS - CANALIZACIÓN</t>
  </si>
  <si>
    <t>IE-CANALIZACION-ARMARIO-01</t>
  </si>
  <si>
    <t>SUMINISTRO Y COLOCACIÓN DE ARMARIO ELÉCTRICO DE SUPERFICIE 72 MÓDULOS</t>
  </si>
  <si>
    <t>Suministro y colocación de armario eléctrico de superficie 72 módulos ip40 famatel nuova 3872</t>
  </si>
  <si>
    <t>ma-manomano-ME85643100</t>
  </si>
  <si>
    <t>Armario eléctrico de superficie 72 módulos IP40 FAMATEL NUOVA 3872 (465x880x120mm/und).   Ref. manomano-ME85643100</t>
  </si>
  <si>
    <t>INS-ELECTRICAS-VARIOS</t>
  </si>
  <si>
    <t>INSTALACIONES ELÉCTRICAS - VARIOS</t>
  </si>
  <si>
    <t>LAMPARA-01</t>
  </si>
  <si>
    <t>SUMINISTRO Y COLOCACIÓN DE LUMINARIA/FOCO LED INSPIRE SANOA (REDONDO 30 cm-BLANCO)</t>
  </si>
  <si>
    <t>Suministro y colocación de luminaria/foco led inspire sanoa (redondo 30 cm-blanco)</t>
  </si>
  <si>
    <t>ma-lm-84846973</t>
  </si>
  <si>
    <t>Luminaria/Foco LED INSPIRE SANOA (redondo 30 cm-blanco); 2500lm 4000/6000K intensidad regulable.   Ref. lm-84846973</t>
  </si>
  <si>
    <t>ELE-ESC</t>
  </si>
  <si>
    <t>INSTALACION TIPICA EN CAJA DE ESCALERA</t>
  </si>
  <si>
    <t>ELE-ESC01</t>
  </si>
  <si>
    <t>CUADRO ELECTRICO</t>
  </si>
  <si>
    <t>Suministro e instalacion de cuadro electrico de servicios comunes, IGA y C.G.P. de acuerdo a la nueva normativa, equipo de sobre tensiones incorporado y elementos de proteccion para 2 locales, 8 viviendas y servicios comunes. Caja con sus modulos correspondientes. Incluye: pias de 16 amp, pias de 10 amp, sobretenciones de 20 amp, diferencial de 40 amp y reloj minutero</t>
  </si>
  <si>
    <t>GNZ1</t>
  </si>
  <si>
    <t>ELE-ESC02</t>
  </si>
  <si>
    <t>MONTANTES</t>
  </si>
  <si>
    <t>Suministro y colocacion de montante electrico desde cuadro electrico hasta cada una de las plantas, mediante canal Unex 110x60 de PVC blanco, Cable libre de halógenos (LHA) H07Z1- K(AS), clase 5 flexible, Cable libre de halógenos (LHA) H07Z1-K(AS), 50mm, clase 5 flexible.</t>
  </si>
  <si>
    <t>GNZ2</t>
  </si>
  <si>
    <t>ELE-ESC03</t>
  </si>
  <si>
    <t>CAJAS DE DISTRIBUCION</t>
  </si>
  <si>
    <t>Suministro e instalacion de cajas generales para la alimentacion de cada vivienda, incluye: Caja de distribución de rellano con 4 fusibles neocet de 63 amp, 5 bornes sigma de 50, un borne sigma de 35.</t>
  </si>
  <si>
    <t>GNZ3</t>
  </si>
  <si>
    <t>ELE-ESC04</t>
  </si>
  <si>
    <t>DERIVACIONES INDIVIDUALES</t>
  </si>
  <si>
    <t>Suministro e instalacion de derivaciones para cada vivienda, desde la primera caja de rellano,
hasta el interior de cada vivienda, mediante tubo Tubo fergondull de 32mm, Cable de 10mm en
los tres colores ( azul, negro y amarillo verde), Cable de 1.5 en los tres colores.</t>
  </si>
  <si>
    <t>GNZ4</t>
  </si>
  <si>
    <t>ELE-ESC05</t>
  </si>
  <si>
    <t>ALUMBRADO DE ESCALERA</t>
  </si>
  <si>
    <t>Luminaria led color de luz neutra fija para escalera con detector de presencia. Incluye: detector de presencia.</t>
  </si>
  <si>
    <t>GNZ5</t>
  </si>
  <si>
    <t>ELE-ESC06</t>
  </si>
  <si>
    <t>ALUMBRADO DE EMERGENCIA</t>
  </si>
  <si>
    <t>Suministro y colocacion de luminaria de emergencia en cada planta del edificio.</t>
  </si>
  <si>
    <t>GNZ6</t>
  </si>
  <si>
    <t>ELE-ESC07</t>
  </si>
  <si>
    <t>INSTALACION DE TOMA DE TIERRA</t>
  </si>
  <si>
    <t>Instalacion de Toma a Tierraen comunidad de vecinos de cuatro plantas por tubo fergondull entre ellas y conexion con instalaciones en pisos cableados existentes, los tubos subiran en paralelo al ya existente donde va la acometida electrica; Incluye: Suministro e instalacion de jabalina de cobre en suelo bajo escalera y caja de empalmes con bornera.</t>
  </si>
  <si>
    <t>GNZ7</t>
  </si>
  <si>
    <t>ELE-ESC08</t>
  </si>
  <si>
    <t>Ayudas de cualquier trabajo de albañilería, necesarias para la correcta ejecución de la instalación eléctrica formada por: puesta a tierra, caja general de protección, línea general de alimentación, derivaciones individuales y red de distribución, con un grado de complejidad medio, en edificio plurifamiliar, incluida p/p de elementos comunes. Incluso material auxiliar para la correcta ejecución de los trabajos.</t>
  </si>
  <si>
    <t>GNZ8</t>
  </si>
  <si>
    <t>ELE-ESC09</t>
  </si>
  <si>
    <t>PROYECTO ELECTRICO</t>
  </si>
  <si>
    <t>Proyecto electrico que incluye; los planos, memoria tecnica, esquema unifiliar y todo lo necesario para obtener el certificado de la instalacion de servicios comunes. Presentacion de documentacion a entidad competente.</t>
  </si>
  <si>
    <t>GENZ9</t>
  </si>
  <si>
    <t>ELE-ESC10</t>
  </si>
  <si>
    <t>MUEBLE DE CONTADORES</t>
  </si>
  <si>
    <t>Construccion de muebles de contadores, realizado con placas de yeso laminado contra fuego, dispuestas en una cara y estructura simple autoportante, compuesto entramado autoportante de perfiles de chapa de acero galvanizado, constituido por canales, y montantes; una placas tipo normal en la cara exterior. Incluso; tornillería para la fijación de las placas y pasta y cinta para el tratamiento de juntas.</t>
  </si>
  <si>
    <t>rsll10</t>
  </si>
  <si>
    <t>MUEBLE DE CONTADORES DE PLADUR</t>
  </si>
  <si>
    <t>INSACCESORIOS-AABB</t>
  </si>
  <si>
    <t>INSTALACIÓN DE ACCESORIOS AABB</t>
  </si>
  <si>
    <t>INSACC-VALVULAS</t>
  </si>
  <si>
    <t>INSTALACIÓN DE VÁLVULAS</t>
  </si>
  <si>
    <t>INSACC-VALVULAS-PP-32</t>
  </si>
  <si>
    <t>VÁLVULA ESFERA DE POLIPROPILENO PPR DE AQUATHERM 32 MM (CON CIERRE DE LATÓN)</t>
  </si>
  <si>
    <t>ma-sc-1659801068</t>
  </si>
  <si>
    <t>Válvula esfera de polipropileno PPR de AQUATHERM 32 mm (con cierre de latón).   Ref. sc-1659801068</t>
  </si>
  <si>
    <t>moc-std1-fontanero</t>
  </si>
  <si>
    <t>Cuadrilla Std1 Oficial Fontanero/Calefactor de 1ª y Ayudante de Fontanero</t>
  </si>
  <si>
    <t>mo-fontanero-oficial1</t>
  </si>
  <si>
    <t>Oficial Fontanero</t>
  </si>
  <si>
    <t>mo-fontanero-ayudante</t>
  </si>
  <si>
    <t>Ayudante de Fontanero</t>
  </si>
  <si>
    <t>INSMON</t>
  </si>
  <si>
    <t>MONTANTES DE AGUA</t>
  </si>
  <si>
    <t>INSMON03-HG-MNR-25</t>
  </si>
  <si>
    <t>SISTEMA MONTANTE AGUA POTABLE CON TUBERÍA ROSCADA Y  A VISTA DE HIERRO GALVANIZADO 25 mm</t>
  </si>
  <si>
    <t>Sistema montante agua potable con tubería roscada y  a vista de hierro galvanizado 25 mm</t>
  </si>
  <si>
    <t>ma-sc-12000070004</t>
  </si>
  <si>
    <t>tubo</t>
  </si>
  <si>
    <t>Tubo H.G. ISO roscado 1” (6 m/tubo).   Ref. sc-12000070004</t>
  </si>
  <si>
    <t>ma-sc-1202006090</t>
  </si>
  <si>
    <t>Codo H.G. 90º H-H roscado 1”.   Ref. sc-1202006090</t>
  </si>
  <si>
    <t>ma-sc-1202004270</t>
  </si>
  <si>
    <t>Manguito H.G. H-H roscado 1”.   Ref. sc-1202004270</t>
  </si>
  <si>
    <t>alq-taladro-lp-00459501</t>
  </si>
  <si>
    <t>Alquiler de Taladro Percutor BOSCH Modelo GSB-20-2 850 W   Ref. 00469501</t>
  </si>
  <si>
    <t>mq-lp-00469501</t>
  </si>
  <si>
    <t>Taladro Percutor BOSCH Modelo GSB-20-2 850 W   Ref. 00469501</t>
  </si>
  <si>
    <t>ma-lp-00094317</t>
  </si>
  <si>
    <t>Abrazadera FISCHER CLIP FT para la fijación de cables y tubos IEC 32 mm.   Ref. lp-00094317</t>
  </si>
  <si>
    <t>INSMON03-COB-MNR-35</t>
  </si>
  <si>
    <t>SISTEMA MONTANTE AGUA POTABLE CON TUBERÍA SOLDADA Y  A VISTA DE COBRE 33/35 mm</t>
  </si>
  <si>
    <t>SISTEMA MONTANTE AGUA POTABLE CON TUBERÍA DE COBRE 33/35 mm EN INSTALACIÓN SUPERFICIAL.
Actualización de la instalación de agua, incluido nueva acometida, arquetas, llaves de paso, canalizaciones a partir de la nueva batería de agua hasta las llaves de paso llegando a los montantes de los patios. Tubería para alimentación de agua potable, colocada superficialmente y fijada al paramento, formada por tubo de cobre rígido con pared de 1 mm de espesor y 33/35 mm de diámetro. Incluido accesorios, llaves y piezas especiales.</t>
  </si>
  <si>
    <t>ma-lp-00180067</t>
  </si>
  <si>
    <t>Tubo de cobre; diámetro 35 mm y espesor 1 mm (2,5 m/und)   Ref. lp-00180067</t>
  </si>
  <si>
    <t>ma-lp-00010944</t>
  </si>
  <si>
    <t>Codo H-H de cobre para soldar; diámetro 35 mm.   Ref. lp-00010944</t>
  </si>
  <si>
    <t>ma-lp-00011570</t>
  </si>
  <si>
    <t>Manguito H-H de cobre para soldar; diámetro 35 mm.   Ref. lp-00011570</t>
  </si>
  <si>
    <t>ma-lm-86291086</t>
  </si>
  <si>
    <t>Abrazadera SANICLIP simple para la fijación de cables y tubos 35 mm.   Ref. lm-86291086</t>
  </si>
  <si>
    <t>ma-nv-3081.35</t>
  </si>
  <si>
    <t>Válvula esfera palanca PN-16 para soldar a tubería de cobre; diámetro 35 mm.   Ref. nv-3081.35</t>
  </si>
  <si>
    <t>ma-lm-86218534</t>
  </si>
  <si>
    <t>Decapante líquido con pincel para soldar UNECOL (100 ml/envase).   Ref. lm-86218534</t>
  </si>
  <si>
    <t>ma-bd-8435065001471</t>
  </si>
  <si>
    <t>carrete</t>
  </si>
  <si>
    <t>Hilo de estaño 8%plata 2 mm ROTHENBERGER (250 gr/carrete).   Ref. bd-8435065001471</t>
  </si>
  <si>
    <t>ma-lp-00018993</t>
  </si>
  <si>
    <t>Pack soplete ROFIRE PIEZO de ROTHENBERGER con 3 botellas o cartuchos Multigas 300.   Ref. lp-00018993</t>
  </si>
  <si>
    <t>INSMONPEX</t>
  </si>
  <si>
    <t>MONTANTES (PEX-AL-PE)</t>
  </si>
  <si>
    <t>INSMONPEX01</t>
  </si>
  <si>
    <t>DESMONTAJE DE TUBERIA</t>
  </si>
  <si>
    <t>Desmontaje de tubos de hierro y/o plomo de hasta 1" de diámetro, en instalación superficial de distribución de agua, con medios manuales, sin deteriorar los elementos constructivos a los que están sujetos, y carga manual sobre camión o contenedor.</t>
  </si>
  <si>
    <t>INSMONPEX02</t>
  </si>
  <si>
    <t>MONTANTE DE TUBO MULTICAPA CON AISLAMIENTO PERT-AL-PERT</t>
  </si>
  <si>
    <t>Tubería para montante de fontanería, colocada superficialmente y fijada al paramento, formada por tubo multicapa con aislamiento (PERT-AL-PERT) multicapa, de diametro adecuado. No incluye: material auxiliar para montaje y sujeción a la obra.</t>
  </si>
  <si>
    <t>ma-bm-10286310</t>
  </si>
  <si>
    <t>Tubo MULTICAPA PERT-AL-PERT 25 mm; espesor 2,5 mm (25 m/rollo).   Ref. bm-10286310</t>
  </si>
  <si>
    <t>INSMONPEX03</t>
  </si>
  <si>
    <t>CONEXIONES (PERT-AL-PERT)</t>
  </si>
  <si>
    <t>Suministro y colocacion de conexiones, inluso; llaves de paso, codos, manguitos, yee, tee y pegamento para la correcta ejecucion de los trabajos.</t>
  </si>
  <si>
    <t>00163525</t>
  </si>
  <si>
    <t>LLAVE ESFERA FITTINGS MULTICAPA 25 Ref.: 00163525</t>
  </si>
  <si>
    <t>00570210</t>
  </si>
  <si>
    <t>MANGUITO 25 MULTICAPA MULTIPEX Ref.: 00570210</t>
  </si>
  <si>
    <t>00099509</t>
  </si>
  <si>
    <t>CODO MULTICAPA Ø 25 Ref.: 00099509</t>
  </si>
  <si>
    <t>00570285</t>
  </si>
  <si>
    <t>TÉ IGUAL 25 MULTICAPA MULTIPEX Ref.: 00570285</t>
  </si>
  <si>
    <t>INSMONPEX04</t>
  </si>
  <si>
    <t>FIJACION</t>
  </si>
  <si>
    <t>suministro y colocacion de material auxiliar de soporteria para montaje y sujeción a la obra. Incluye: Carril metalico y grapas de sujecion.</t>
  </si>
  <si>
    <t>carr1</t>
  </si>
  <si>
    <t>CARRIL METÁLICO PARA GRAPA CSG 20X10 2 M FISCHER</t>
  </si>
  <si>
    <t>00094316</t>
  </si>
  <si>
    <t>ABRAZADERA PARA CABLES Y TUBOS CLIP FT 25 FISCHER Ref.: 00094316</t>
  </si>
  <si>
    <t>00215083</t>
  </si>
  <si>
    <t>TACO DUOPOWER 6X30 S 50 UD FISCHER Ref.: 00215083</t>
  </si>
  <si>
    <t>ALB03</t>
  </si>
  <si>
    <t>AYUDAS DE ALBAÑILERIA PARA FONTANERIA</t>
  </si>
  <si>
    <t>Ayudas de albañilería, necesarias para la correcta ejecución de la instalación de fontanería formada por: tubo de alimentación, montantes, instalación interior, cualquier otro elemento componente de la instalación, accesorios y piezas especiales, con un grado de complejidad medio, en edificio plurifamiliar, incluida p/p de elementos comunes. Incluso material auxiliar para la correcta ejecución de los trabajos.</t>
  </si>
  <si>
    <t>INSMONPEX05</t>
  </si>
  <si>
    <t>PRUEBA DE PRESION HIDROSTATICA (ESTANQUIDAD)</t>
  </si>
  <si>
    <t>BOMBESTANQ</t>
  </si>
  <si>
    <t>VEVOR Bomba de Prueba de Presión Hidrostática 25 bar</t>
  </si>
  <si>
    <t>RE.INS.MON-HG-25mm-AT</t>
  </si>
  <si>
    <t>REINTALACIÓN DE MONTANTES DE AGUA POTABLE CON TUBERÍA ROSCADA Y  A VISTA DE HIERRO GALVANIZADO 25 mm</t>
  </si>
  <si>
    <t>INSMONCOB</t>
  </si>
  <si>
    <t>MONTANTES (COBRE)</t>
  </si>
  <si>
    <t>INSMONCOB01</t>
  </si>
  <si>
    <t>AISLAMIENTO</t>
  </si>
  <si>
    <t>Suministro y colocacion de tubo de aislamiento compuesto de espuma de polietileno de 20mm de diametro y 6mm de espesor.</t>
  </si>
  <si>
    <t>00011090</t>
  </si>
  <si>
    <t>COQUILLA CAUCHO 6X22 MM 2 M Ref.: 00011090</t>
  </si>
  <si>
    <t>INSMONCOB02</t>
  </si>
  <si>
    <t>CONEXIONES DE COBRE</t>
  </si>
  <si>
    <t>00010942</t>
  </si>
  <si>
    <t>CODO H-H COBRE Ø 22 Ref.: 00010942</t>
  </si>
  <si>
    <t>00011568</t>
  </si>
  <si>
    <t>MANGUITO COBRE Ø 22 Ref.: 00011568</t>
  </si>
  <si>
    <t>00012129</t>
  </si>
  <si>
    <t>TE COBRE Ø 22 Ref.: 00012129</t>
  </si>
  <si>
    <t>00012439</t>
  </si>
  <si>
    <t>VÁLVULA ESFERA M-H PALANCA Ø 1" TURIA 3000 Ref.: 00012439</t>
  </si>
  <si>
    <t>INSMONCOB03</t>
  </si>
  <si>
    <t>MONTANTE DE COBRE</t>
  </si>
  <si>
    <t>Tubería para montante de fontanería, colocada superficialmente, formada por tubo de cobre rígido de 22 y 28 mm de diámetro.</t>
  </si>
  <si>
    <t>00180065</t>
  </si>
  <si>
    <t>TUBO COBRE Ø 22 2,5 M Ref.: 00180065</t>
  </si>
  <si>
    <t>cufij</t>
  </si>
  <si>
    <t>Material auxiliar para montaje y sujeción a la obra de las tuberías de</t>
  </si>
  <si>
    <t>INSAMIAN</t>
  </si>
  <si>
    <t>FIBROCEMENTO Y/O AMIANTO</t>
  </si>
  <si>
    <t>INSAMIAN00</t>
  </si>
  <si>
    <t>SUBIDA Y BAJADA DE CABINA A CUBIERTA</t>
  </si>
  <si>
    <t>DDDD</t>
  </si>
  <si>
    <t>INSAMIAN02</t>
  </si>
  <si>
    <t>CABINA DE DESCONTAMINACION</t>
  </si>
  <si>
    <t>Cabina para descontaminacion de amianto, utilizada como transición entre la zona contaminada o área de trabajo y la zona no contaminada, por la que todas las personas que hayan estado expuestas a amianto deben pasar para descontaminarse.</t>
  </si>
  <si>
    <t>CAB1</t>
  </si>
  <si>
    <t>Esclusa personal ECO-LINE modelo 900, 3 cámaras con palet de transporte vertical</t>
  </si>
  <si>
    <t>CAB2</t>
  </si>
  <si>
    <t>Tratamiento de agua termosifón C 25 L / S</t>
  </si>
  <si>
    <t>CAB3</t>
  </si>
  <si>
    <t>Filtro agua residual 10", 1?</t>
  </si>
  <si>
    <t>CAB4</t>
  </si>
  <si>
    <t>Depresor D 20, potencia 140m3/h, conexión 220 Voltios, se conecta directamente a la pared de la esclusa,</t>
  </si>
  <si>
    <t>CAB5</t>
  </si>
  <si>
    <t>12 ud de Filtro roscado PF10 P3, conexión rosca EN 148-1</t>
  </si>
  <si>
    <t>m.o.1.fib</t>
  </si>
  <si>
    <t>Mano de obra(FIBROCEMENTO) 1 : 1 Oficial + 2  Ayudante</t>
  </si>
  <si>
    <t>trns1</t>
  </si>
  <si>
    <t>Transporte ida y vuelta</t>
  </si>
  <si>
    <t>INSAMIAN05</t>
  </si>
  <si>
    <t>SEÑALIZACION</t>
  </si>
  <si>
    <t>Señalizacion de la zona de trabajo y perimetro de seguridad para el control de acceso a obra con el objetivo de evitar la exposición al amianto de terceras personas.</t>
  </si>
  <si>
    <t>SEN1</t>
  </si>
  <si>
    <t>CARTEL MULTISEÑAL AMIANTO Montadas sobre PVC Semirrígido de - 600 x 500</t>
  </si>
  <si>
    <t>SEN2</t>
  </si>
  <si>
    <t>CARTEL MULTISEÑAL AMIANTO Montadas sobre PVC Semirrígido de - 500 x 300</t>
  </si>
  <si>
    <t>SEN3</t>
  </si>
  <si>
    <t>ETIQUETAS ADHESIVAS LOGO AMIANTO Pre-cortadas 30 uds de . 10 cm x 4cm</t>
  </si>
  <si>
    <t>SEN4</t>
  </si>
  <si>
    <t>ETIQUETAS ADHESIVAS LOGO AMIANTO Pre-cortadas 15 uds de . 18 cm x 7cm</t>
  </si>
  <si>
    <t>SEN5</t>
  </si>
  <si>
    <t>ETIQUETA RESIDUOS AMIANTO ROLLOS DE VINILO ADHES Pre-cortadas 15 uds de . 10cm x 15 cm</t>
  </si>
  <si>
    <t>INSAMIAN08</t>
  </si>
  <si>
    <t>EQUIPO DE PROTECCION INDIVIDUAL</t>
  </si>
  <si>
    <t>Suministro de equipamiento para operarios especializados, vestirán buzos desechables con las costuras selladas con capucha incorporada y elásticos en las muñecas y tobillos. Incluye; Equipos de protección individual con los que debe combinarse el traje: Mascarillas respiratorias, gafas, calzado y guantes de proteccion.</t>
  </si>
  <si>
    <t>EPI01</t>
  </si>
  <si>
    <t>BUZO PROTECCIÓN CLASSIC XPERT T/L</t>
  </si>
  <si>
    <t>EPI02</t>
  </si>
  <si>
    <t>GUANTE DE NITRILO</t>
  </si>
  <si>
    <t>EPI03</t>
  </si>
  <si>
    <t>GAFA PROTECCIÓN MOD. 539</t>
  </si>
  <si>
    <t>EPI04</t>
  </si>
  <si>
    <t>CUBREBOTAS</t>
  </si>
  <si>
    <t>EPI05</t>
  </si>
  <si>
    <t>MASCARILLA AUTOFILTRANTE FFP3 NR DV, CE00086, EPI CAT. III</t>
  </si>
  <si>
    <t>INSAMIAN06</t>
  </si>
  <si>
    <t>ENCAPSULADO DE AMIANTO</t>
  </si>
  <si>
    <t>Encapsulado de bajante, cubierta y/o depositos de fibrocemento con amianto, procediendo a humedecido del material con una solucion acuosa aplicada a baja presión para evitar la dispersión de fibras de amianto al ambiente.</t>
  </si>
  <si>
    <t>PULV1</t>
  </si>
  <si>
    <t>PULVERIZADOR PRES.PREV - + EMULTON ( LISTO PARA USAR )</t>
  </si>
  <si>
    <t>INSAMIAN01</t>
  </si>
  <si>
    <t>DESMONTAJE DE BAJANTE DE FIBROCEMENTO CON AMIANTO</t>
  </si>
  <si>
    <t>Retirada de bajante de fibrocemento, realización del trabajo con personal especializado y de acuerdo con el Plan de Trabajo, elaborado por la empresa especialista y aprobado previamente por la Autoridad Laboral competente, en cumplimiento de lo que regula el RD 396/2006 de 31 de Marzo de 2006 , por el que se establecen las disposiciones mínimas de seguridad y salud aplicables a los trabajos con riesgo de exposición al amianto.</t>
  </si>
  <si>
    <t>INSAMIAN03</t>
  </si>
  <si>
    <t>ASPIRADO</t>
  </si>
  <si>
    <t>Aspiradora con filtro HEPA para la limpieza del área de trabajo, con filtros de alta eficacia HEPA para el retiro de particulas sueltas.</t>
  </si>
  <si>
    <t>FILHEPA</t>
  </si>
  <si>
    <t>ALQUILER ASPIRADORA Filtro HEPA una semana</t>
  </si>
  <si>
    <t>filtr</t>
  </si>
  <si>
    <t>FILTRO CARTUCHO HEPA Certif . H - EcosPit</t>
  </si>
  <si>
    <t>filti</t>
  </si>
  <si>
    <t>FILTRO BOLSA SEGURIDAD PACK-3 EcosPit</t>
  </si>
  <si>
    <t>INSAMIAN04</t>
  </si>
  <si>
    <t>PLASTIFICADO, ETIQUETADO Y PALETIZADO.</t>
  </si>
  <si>
    <t>Plastificado con lamina negra para amianto, el etiquetado con logotipo de amianto, el paletizado del material en forma ordenada sobre pallet para su posterior retiro a vertedero autorizado.</t>
  </si>
  <si>
    <t>CINTABAL</t>
  </si>
  <si>
    <t>CINTA BALIZAMIENTO AMIANTO LOGO AMIANTO ROLLO DE 200MTSX80MM</t>
  </si>
  <si>
    <t>CINAD</t>
  </si>
  <si>
    <t>CINTA Adhesiva c/ LOGO AMIANTO ROLLO 66MTSX50MM</t>
  </si>
  <si>
    <t>CINAD02</t>
  </si>
  <si>
    <t>CINTA Adhesiva Amarilla / Negra 25 mt x 80 mm</t>
  </si>
  <si>
    <t>roll300</t>
  </si>
  <si>
    <t>Lámina negra, 100um, 6 x 50 m (300 m2)</t>
  </si>
  <si>
    <t>INSAMIAN10</t>
  </si>
  <si>
    <t>PRUEBA DE PRESENCIA DE AMIANTO SAFETYWORKS</t>
  </si>
  <si>
    <t>Inspección de presencia de fibras de amianto en materiales de construcción para evaluar su composición y retirada de forma conveniente. Prueba ejecutada por laboratorio autorizado por el Ministerio de Trabajo para el recuento de fibras de amianto según la MTA/MA-051/A04 del INSHT según el BOE 271 de 10/11/2008 y acreditado por la Generalitat de Catalunya como laboratorio especializado en el análisis de fibras de amianto CT-ALA 1. Incluye informe final con los resultados de la prueba.</t>
  </si>
  <si>
    <t>prueba</t>
  </si>
  <si>
    <t>Prueba de presencia de Amianto SAFETWORKS, incluye informe.</t>
  </si>
  <si>
    <t>GES003</t>
  </si>
  <si>
    <t>TRANSPORTE DE RESIDUOS PELIGROSOS</t>
  </si>
  <si>
    <t>Transporte de residuos peligrosos producidos en obras de construcción y/o demolición, con contenedor, a vertedero específico, instalación de tratamiento de residuos de construcción y demolición externa a la obra o centro de valorización o eliminación de residuos. Incluso servicio de entrega, alquiler y recogida en obra del contenedor. Teniendo encuenta las medidas para la eliminacion de estos segun la legislacion vigente. El transporte es autorizado por la ARC (Agencia de Residuos de Catalunya). El precio incluye el canon de vertido por entrega de residuos, la manipulacion, protecciones.</t>
  </si>
  <si>
    <t>EMB01</t>
  </si>
  <si>
    <t>TROZOS: BIG BAG Dimens: Base 90 x 90 cm x 110 cm de alto</t>
  </si>
  <si>
    <t>EMB02</t>
  </si>
  <si>
    <t>PLANCHAS: BIG BAG -Dim: Base 3,25 m x120 cm x35 cm alto</t>
  </si>
  <si>
    <t>EMB03</t>
  </si>
  <si>
    <t>TUBOS: BIG BAG -Dim: Base 4.50 m x 60 cm x 60 cm alto</t>
  </si>
  <si>
    <t>EMB04</t>
  </si>
  <si>
    <t>DEPOSIT: BIG BAG -Dim: Base1.20m x 1.20 m x 2.00 m alto</t>
  </si>
  <si>
    <t>FS</t>
  </si>
  <si>
    <t>GESTION DE RESIDUO - HOJA FS</t>
  </si>
  <si>
    <t>TRNS3</t>
  </si>
  <si>
    <t>TRANSPORTE DE RESIDUOS VERTEDERO AUTORIZADO MALADETA, 19</t>
  </si>
  <si>
    <t>RECU</t>
  </si>
  <si>
    <t>RECUPERACION FONDO ECONOMICO</t>
  </si>
  <si>
    <t>TAS1</t>
  </si>
  <si>
    <t>TASAS ESTATALES</t>
  </si>
  <si>
    <t>RES</t>
  </si>
  <si>
    <t>(170605) RESIDUO FIBROCEMENTO DE 200 A 999 KG.</t>
  </si>
  <si>
    <t>INSAMIAN09</t>
  </si>
  <si>
    <t>DESMONTAJE DE PLACAS DE FIBROCEMENTO CON AMIANTO</t>
  </si>
  <si>
    <t>Retirada de cubierta de fibrocemento con amianto, realización del trabajo con personal especializado y de acuerdo con el Plan de Trabajo, elaborado por la empresa especialista y aprobado previamente por la Autoridad Laboral competente, en cumplimiento de lo que regula el RD 396/2006 de 31 de Marzo de 2006 , por el que se establecen las disposiciones mínimas de seguridad y salud aplicables a los trabajos con riesgo de exposición al amianto.</t>
  </si>
  <si>
    <t>INSAMIAN0901</t>
  </si>
  <si>
    <t>DESMONTAJE DE PLACAS DE FIBROCEMENTO</t>
  </si>
  <si>
    <t>INSAMIAN11</t>
  </si>
  <si>
    <t>PLAN ESPECIFICO</t>
  </si>
  <si>
    <t>Realizacion de plan especifico realizado por un tecnico de prevencion de riesgos laborales, para el cumplimiento de todos los requisitos previstos por el Real Decreto 396/2006, y el articulo 13 del RD 296-06. El plan se abonara por anticipado, a la aceptacion del presupuesto, su tramite se demora 45 dias desde la fecha de entrada a registro.</t>
  </si>
  <si>
    <t>SAFETY</t>
  </si>
  <si>
    <t>Plan Especifico por SAFETWORKS</t>
  </si>
  <si>
    <t>INSBAJ</t>
  </si>
  <si>
    <t>o BAJANTE DE PVC</t>
  </si>
  <si>
    <t>DEM026</t>
  </si>
  <si>
    <t>o DEMOLICIÓN DE FORRADO DE CONDUCTOS</t>
  </si>
  <si>
    <t>Demolición del forrado de conductos para instalaciones, constituido por fábrica de ladrillo cerámico y revestido, con medios manuales, y carga manual sobre camión o contenedor.</t>
  </si>
  <si>
    <t>BAJ001</t>
  </si>
  <si>
    <t>o BAJANTE DE AGUAS RESIDUALES Y/O PLUVIALES DE PVC DE 110MM</t>
  </si>
  <si>
    <t>Suministro y colocación de bajante de la red de evacuación de aguas residuales y/o pluviales, formada por tubo de PVC, serie B, de 110 mm de diámetro; unión pegada con adhesivo. Incluso líquido limpiador, adhesivo para tubos y accesorios de PVC, material auxiliar para montaje y sujeción a la obra y accesorios.</t>
  </si>
  <si>
    <t>ma-lp-00002046</t>
  </si>
  <si>
    <t>Tubo de evacuación barra PVC diámetro 110 mm (3 m/pza).   Ref. lp-00002046</t>
  </si>
  <si>
    <t>ma-lp-00001433</t>
  </si>
  <si>
    <t>Derivación simple para evacuación H-H PVC 45º x 110 mm; color gris.   Ref. lp-00001433</t>
  </si>
  <si>
    <t>ma-lp-00001385</t>
  </si>
  <si>
    <t>Codo evacuación M-H PVC 45º x 110 mm; color gris.   Ref. lp-00001385</t>
  </si>
  <si>
    <t>ma-lp-00010677</t>
  </si>
  <si>
    <t>Abrazadera regulable de aluminio esmaltado blanco para tubería 110 mm.   Ref. lp-00010677</t>
  </si>
  <si>
    <t>BAJ001TV</t>
  </si>
  <si>
    <t>o BAJANTE DE AGUAS RESIDUALES Y/O PLUVIALES DE PVC DE 110MM C/TRABAJOS VERTICALES</t>
  </si>
  <si>
    <t>Suministro y colocación CON TRABAJOS VERTICALES de bajante de la red de evacuación de aguas residuales y/o pluviales, formada por tubo de PVC, serie B, de 110 mm de diámetro; unión pegada con adhesivo. Incluso líquido limpiador, adhesivo para tubos y accesorios de PVC, material auxiliar para montaje y sujeción a la obra, accesorios.</t>
  </si>
  <si>
    <t>BAJ002</t>
  </si>
  <si>
    <t>o BAJANTE DE AGUAS RESIDUALES Y/O PLUVIALES DE PVC DE 125MM</t>
  </si>
  <si>
    <t>Suministro y colocación de bajante de la red de evacuación de aguas residuales y/o pluviales, formada por tubo de PVC, serie B, de 125 mm de diámetro; unión pegada con adhesivo. Incluso líquido limpiador, adhesivo para tubos y accesorios de PVC, material auxiliar para montaje y sujeción a la obra y accesorios.</t>
  </si>
  <si>
    <t>ma-lp-00002047</t>
  </si>
  <si>
    <t>Tubo de evacuación barra PVC diámetro 125 mm (3 m/pza).   Ref. lp-00002047</t>
  </si>
  <si>
    <t>ma-lp-00001388</t>
  </si>
  <si>
    <t>Codo evacuación M-H PVC 45º x 125 mm; color gris.   Ref. lp-00001388</t>
  </si>
  <si>
    <t>ma-lp-00010678</t>
  </si>
  <si>
    <t>Abrazadera regulable de aluminio esmaltado blanco para tubería 125 mm.   Ref. lp-00010678</t>
  </si>
  <si>
    <t>BAJ002TV</t>
  </si>
  <si>
    <t>o BAJANTE DE AGUAS RESIDUALES Y/O PLUVIALES DE PVC DE 125MM C/TRABAJOS VERTICALES</t>
  </si>
  <si>
    <t>Suministro y colocación CON TRABAJOS VERTICALES de bajante de la red de evacuación de aguas residuales y/o pluviales, formada por tubo de PVC, serie B, de 125 mm de diámetro; unión pegada con adhesivo. Incluso líquido limpiador, adhesivo para tubos y accesorios de PVC, material auxiliar para montaje y sujeción a la obra, accesorios.</t>
  </si>
  <si>
    <t>BAJ003</t>
  </si>
  <si>
    <t>o BAJANTE DE AGUAS RESIDUALES Y/O PLUVIALES DE PVC DE 160MM</t>
  </si>
  <si>
    <t>Suministro y colocación de bajante de la red de evacuación de aguas residuales y/o pluviales, formada por tubo de PVC, serie B, de 160 mm de diámetro; unión pegada con adhesivo. Incluso líquido limpiador, adhesivo para tubos y accesorios de PVC, material auxiliar para montaje y sujeción a la obra y accesorios.</t>
  </si>
  <si>
    <t>ma-sc-1900010316</t>
  </si>
  <si>
    <t>Tubo PVC serie B de evacuación 160x6 mm (3 m/pza).   Ref. sc-1900010316</t>
  </si>
  <si>
    <t>ma-sc-1900221636</t>
  </si>
  <si>
    <t>Derivación encolar simple PVC M-H 45° 160 mm.   Ref. sc-1900221636</t>
  </si>
  <si>
    <t>ma-sc-1900216046</t>
  </si>
  <si>
    <t>Codo encolar PVC M-H 45° 160 mm.   Ref. sc-1900216046</t>
  </si>
  <si>
    <t>ma-sc-1900165092</t>
  </si>
  <si>
    <t>Codo encolar PVC M-H 87° 160 mm. Ref. sc-1900165092</t>
  </si>
  <si>
    <t>ma-sc-1900216270</t>
  </si>
  <si>
    <t>Manguito encolar PVC H-H 160 mm.   Ref. sc-1900216270</t>
  </si>
  <si>
    <t>ma-sc-5100010160</t>
  </si>
  <si>
    <t>Abrazadera reforzada de tubo M8/M10 160 mm con 2 tornillos de BULTMEIER.   Ref. sc-5100010160</t>
  </si>
  <si>
    <t>ma-sc-5200005102</t>
  </si>
  <si>
    <t>Carril strut acero galvanizado perforado 41x21 mm de BULTMEIER (2 m/pza, espesor 2 mm).   Ref. sc-5200005102</t>
  </si>
  <si>
    <t>ma-sc-5202005101</t>
  </si>
  <si>
    <t>Tornillo carril M10X60 Strut para carril 41x21-41x41-41x62 de BULTMEIER.   Ref. sc-5202005101</t>
  </si>
  <si>
    <t>BAJ003TV</t>
  </si>
  <si>
    <t>o BAJANTE DE AGUAS RESIDUALES Y/O PLUVIALES DE PVC DE 160MM C/TRABAJOS VERTICALES</t>
  </si>
  <si>
    <t>Suministro y colocación CON TRABAJOS VERTICALES de bajante de la red de evacuación de aguas residuales y/o pluviales, formada por tubo de PVC, serie B, de 160 mm de diámetro; unión pegada con adhesivo. Incluso líquido limpiador, adhesivo para tubos y accesorios de PVC, material auxiliar para montaje y sujeción a la obra, accesorios.</t>
  </si>
  <si>
    <t>BAJ004</t>
  </si>
  <si>
    <t>o BAJANTE DE AGUAS RESIDUALES Y/O PLUVIALES DE PVC DE 250MM</t>
  </si>
  <si>
    <t>Suministro y colocación en andamio tubular de bajante de la red de evacuación de aguas residuales y/o pluviales, formada por tubo de PVC, serie B, de 250 mm de diámetro; unión pegada con adhesivo. Incluso líquido limpiador, adhesivo para tubos y accesorios de PVC, material auxiliar para montaje y sujeción a la obra, accesorios y piezas especiales.</t>
  </si>
  <si>
    <t>ma-sc-1900010325</t>
  </si>
  <si>
    <t>Tubo PVC serie B de evacuación 250x6 mm (3 m/pza).   Ref. sc-1900010325</t>
  </si>
  <si>
    <t>ma-sc-1900225136</t>
  </si>
  <si>
    <t>Derivación encolar simple PVC M-H 45° 250 mm.   Ref. sc-1900225136</t>
  </si>
  <si>
    <t>ma-sc-1900225046</t>
  </si>
  <si>
    <t>Codo encolar PVC M-H 45° 250 mm.   Ref. sc-1900225046</t>
  </si>
  <si>
    <t>ma-sc-1900225092</t>
  </si>
  <si>
    <t>Codo encolar PVC M-H 87° 250 mm. Ref. sc-1900225092</t>
  </si>
  <si>
    <t>ma-sc-1900225270</t>
  </si>
  <si>
    <t>Manguito encolar PVC H-H 250 mm.   Ref. sc-1900225270</t>
  </si>
  <si>
    <t>ma-sc-5100010250</t>
  </si>
  <si>
    <t>Abrazadera reforzada de tubo M8/M10 250mm con 2 tornillos de BULTMEIER.   Ref. sc-5100010250</t>
  </si>
  <si>
    <t>BAJ005</t>
  </si>
  <si>
    <t>o PIEZA DE PVC PARA AGUA RESIDUAL Y/O PLUVIAL ( YEE, TEE, CODO, AMPLIACION, DERIVACION, INJERTO)</t>
  </si>
  <si>
    <t>Pieza de PVC (Yee, Tee, codo, ampliacion, derivacion, injerto, etc. de la red de evacuación de aguas residuales y/o pluviales, serie B, cualquier diámetro; unión pegada con adhesivo. Incluso líquido limpiador, adhesivo para tubos y accesorios de PVC, material auxiliar para montaje y sujeción a la obra, accesorios y piezas especiales.</t>
  </si>
  <si>
    <t>00001441</t>
  </si>
  <si>
    <t>DERIVACIÓN M-H Ø 160 45º PVC GRIS  Ref.: 00001441</t>
  </si>
  <si>
    <t>BAJ005TV</t>
  </si>
  <si>
    <t>o PIEZA DE PVC  C/TRABAJOS VERTICALES PARA AGUA RESIDUAL Y/O PLUVIAL ( YEE, TEE, CODO, AMPLIACION, DERIVACION, INJERTO)</t>
  </si>
  <si>
    <t>Pieza de PVC con TRABAJOS VERTICALES(Yee, Tee, codo, ampliacion, derivacion, injerto, etc. de la red de evacuación de aguas residuales y/o pluviales, serie B, cualquier diámetro; unión pegada con adhesivo. Incluso líquido limpiador, adhesivo para tubos y accesorios de PVC, material auxiliar para montaje y sujeción a la obra, accesorios y piezas especiales.</t>
  </si>
  <si>
    <t>BAJ006</t>
  </si>
  <si>
    <t>o FORRADO DE CONDUCTOS CON LADRILLO CERAMICO</t>
  </si>
  <si>
    <t>Forrado de conductos para instalaciones, sobre medianera, de 40 cm de longitud y 40 cm de ancho, realizado con fábrica de ladrillo cerámico hueco (ladrillo), para revestir, 29x14x7 cm, con juntas de 10 mm de espesor, recibo con mortero.</t>
  </si>
  <si>
    <t>ma-lp-00001156</t>
  </si>
  <si>
    <t>Gero 6 rústico o ladrillo macizo cara vista rojo (28,5x13,7x4,6 cm/pza).   Ref. lp-00001156</t>
  </si>
  <si>
    <t>BAJ007</t>
  </si>
  <si>
    <t>o FORRADO DE CONDUCTOS CON PLACAS DE PLADUR</t>
  </si>
  <si>
    <t>Forrado de conductos para instalaciones, adosado a un tabique, de 40 cm de longitud y 40 cm de anchura, realizado con placas de yeso laminado dispuestas en una cara y estructura simple autoportante, compuesto de: entramado autoportante de perfiles de chapa de acero galvanizado de 70 mm de anchura, constituido por canales, y montantes separados 600 mm entre sí, con una disposición normal "N"; dos placas tipo hidrofugado en la cara exterior del tabique, de 12,5 mm de espesor cada placa; aislamiento acústico colocado entre los perfiles, formado por panel semirrígido de lana mineral, espesor 65 mm, según UNE-EN 13162. Incluso banda acústica de dilatación autoadhesiva; anclajes de canales y montantes metálicos; tornillería para la fijación de las placas y pasta y cinta para el tratamiento de juntas.</t>
  </si>
  <si>
    <t>mt12psg220</t>
  </si>
  <si>
    <t>Fijación compuesta por taco y tornillo 5x27.</t>
  </si>
  <si>
    <t>mt12psg041c</t>
  </si>
  <si>
    <t>Banda autoadhesiva desolidarizante de espuma de poliuretano de celdas cerradas, de 3,2 mm de espesor y 70 mm de anchura, resistencia térmica 0,10 m²K/W, conductividad térmica 0,032 W/(mK).</t>
  </si>
  <si>
    <t>mt12psg070d</t>
  </si>
  <si>
    <t>Canal de perfil de acero galvanizado de 70 mm de anchura, según UNE-EN 14195.</t>
  </si>
  <si>
    <t>mt12psg060d</t>
  </si>
  <si>
    <t>Montante de perfil de acero galvanizado de 70 mm de anchura, según UNE-EN 14195.</t>
  </si>
  <si>
    <t>mt12psg010p</t>
  </si>
  <si>
    <t>Placa de yeso laminado H1 / UNE-EN 520 - 1200 / longitud / 12,5 / con los bordes longitudinales afinados, con alma de yeso hidrofugado, para zonas húmedas.</t>
  </si>
  <si>
    <t>mt12psg081c</t>
  </si>
  <si>
    <t>Tornillo autoperforante 3,5x25 mm.</t>
  </si>
  <si>
    <t>mt12psg081e</t>
  </si>
  <si>
    <t>Tornillo autoperforante 3,5x45 mm.</t>
  </si>
  <si>
    <t>mt16lra060c</t>
  </si>
  <si>
    <t>Panel semirrígido de lana mineral, espesor 65 mm, según UNE-EN 13162, Euroclase A1 de reacción al fuego según UNE-EN 13501-1.</t>
  </si>
  <si>
    <t>mt12psg030a</t>
  </si>
  <si>
    <t>Pasta de juntas, según UNE-EN 13963.</t>
  </si>
  <si>
    <t>mt12psg040a</t>
  </si>
  <si>
    <t>Cinta microperforada de papel, según UNE-EN 13963.</t>
  </si>
  <si>
    <t>BAJ008</t>
  </si>
  <si>
    <t>o SIFON DE PVC DE 110/160MM</t>
  </si>
  <si>
    <t>Sifon de PVC, JIMTEN, color gris, de 125/160mm de diametro.</t>
  </si>
  <si>
    <t>SIF1</t>
  </si>
  <si>
    <t>Sifón en línea con registro enchufable 1900616905</t>
  </si>
  <si>
    <t>INSBAJxxxx</t>
  </si>
  <si>
    <t>XXXXXXXX BAJANTE DE AGUAS RESIDUALES Y/O PLUVIALES DE PVC DE 110MM</t>
  </si>
  <si>
    <t>Bajante de la red de evacuación de aguas residuales, formada por tubo de PVC, serie B, de 110 mm de diámetro; unión pegada con adhesivo. Incluso líquido limpiador, adhesivo para tubos y accesorios de PVC, material auxiliar para montaje y sujeción a la obra, accesorios y piezas especiales.</t>
  </si>
  <si>
    <t>00002046</t>
  </si>
  <si>
    <t>TUBO EVACUACIÓN BARRA Ø 110 PVC GRIS 3 M Ref.: 00002046</t>
  </si>
  <si>
    <t>00314739</t>
  </si>
  <si>
    <t>LIMPIADOR PVC BOTE 1 L Ref.: 00314739</t>
  </si>
  <si>
    <t>00343897</t>
  </si>
  <si>
    <t>PEGAMENTO PVC PINCEL 500 ML NOVIPRO Ref.: 00343897</t>
  </si>
  <si>
    <t>INSBAT</t>
  </si>
  <si>
    <t>BATERIA</t>
  </si>
  <si>
    <t>INSBAT-MNR-15</t>
  </si>
  <si>
    <t>S/I BATERÍA DE POLIPROPILENO PARA 15 CONTADORES DE AGUA EN 3 FILAS</t>
  </si>
  <si>
    <t>Suministro e Instalación de Batería de polipropileno copolímero random (PP-R), de 75 mm de diámetro y salidas con conexión embridada, para centralización de un máximo de 15 contadores de 1/2" DN 15 mm en tres filas, con llave de corte, llaves de entrada, grifos de comprobación, válvulas de retención, llaves de salida, latiguillos y cuadro de clasificación. Incluso soportes para el colector y material auxiliar correspondientes.</t>
  </si>
  <si>
    <t>ma-sc-2124010115</t>
  </si>
  <si>
    <t>Batería de polipropileno para 15 contadores de agua en 3 filas SALTOKI.   Ref. sc-2124010115</t>
  </si>
  <si>
    <t>ma-sc-2124080200</t>
  </si>
  <si>
    <t>Soporte DN75 28 cm para batería polipropileno de contadores de agua.   Ref. sc-2124080200</t>
  </si>
  <si>
    <t>ma-sc-2124080050</t>
  </si>
  <si>
    <t>Pletina ciega para batería de contadores de agua.   Ref. sc-2124080050</t>
  </si>
  <si>
    <t>ma-sc-2124080510</t>
  </si>
  <si>
    <t>Junta pletina para batería de contadores de agua.   Ref. sc-2124080510</t>
  </si>
  <si>
    <t>ma-pag1</t>
  </si>
  <si>
    <t>Brida u.avk pn16 dn100 109-133mm s-603</t>
  </si>
  <si>
    <t>ma-sc-2125000120</t>
  </si>
  <si>
    <t>Válvula para contador entrada COHISA Serie ST manual orientable 20 mm escuadra para batería de contadores de agua.   Ref. sc-2125000120</t>
  </si>
  <si>
    <t>ma-sc-2125000320</t>
  </si>
  <si>
    <t>Válvula para contador salida COHISA Serie ST manual 20 mm escuadra con sistema antirretorno para batería de contadores de agua.   Ref. sc-2125000320</t>
  </si>
  <si>
    <t>ma-sc-2125000281</t>
  </si>
  <si>
    <t>Válvula Te de comprobación de presión 1/2x20 mm.   Ref. sc-2125000281</t>
  </si>
  <si>
    <t>ma-sc-2054000005</t>
  </si>
  <si>
    <t>Válvula de retención muelle TULLER TEKNIK YORK rosca H y cuerpo de latón (diámetro 1 1/4" o 32 mm).   Ref. sc-2054000005</t>
  </si>
  <si>
    <t>ma-sc-2110020171</t>
  </si>
  <si>
    <t>Latiguillo flexible de acero inoxidable ACFLOW MH 50 cm 16 bar para contador de agua (diámetro 1” o 26 mm)..   Ref. sc-2110020171</t>
  </si>
  <si>
    <t>ma-nv-LSR90285</t>
  </si>
  <si>
    <t>Codo de cobre H-H soldar-roscar (28 mm-1”).   Ref. nv-LSR90285</t>
  </si>
  <si>
    <t>ma-sc-1255098054</t>
  </si>
  <si>
    <t>Doble rosca reducida de latón (32 a 25 mm).   Ref. sc-1255098054</t>
  </si>
  <si>
    <t>ma-lp-00012213</t>
  </si>
  <si>
    <t>Cinta Teflón PTFE de GYMCOL 19 mm (50 m/rollo).   Ref. lp-00012213</t>
  </si>
  <si>
    <t>INSBAT-MNR-16</t>
  </si>
  <si>
    <t>S/I BATERÍA DE POLIPROPILENO PARA 21 CONTADORES DE AGUA EN 3 FILAS</t>
  </si>
  <si>
    <t>ddddddddddd</t>
  </si>
  <si>
    <t>ma-sc-2124010121</t>
  </si>
  <si>
    <t>Batería de polipropileno para 21 contadores de agua en 3 filas SALTOKI.   Ref. sc-2124010121</t>
  </si>
  <si>
    <t>INSBAT01</t>
  </si>
  <si>
    <t>BATERIA DE 15 CONTADORES</t>
  </si>
  <si>
    <t>Suministro y montaje de Batería de 15 contadores en 3 filas (5 en cada fila) de polipropileno (PP) o acero galvanizado. Incluso: flexos, conexiones, valvulas, manguitos, soportes para el colector, material auxiliar y el retiro de bateria actual al deposito de residuos autorizado.</t>
  </si>
  <si>
    <t>batprop1</t>
  </si>
  <si>
    <t>Batería de contadores 15 contadores en 3 filas polipropileno (PP) modelo bandera</t>
  </si>
  <si>
    <t>valvE20mm</t>
  </si>
  <si>
    <t>CUERPO VALVULA ENTRADA BATERIA ST ORIENTABLE 20MM</t>
  </si>
  <si>
    <t>valvS20mm</t>
  </si>
  <si>
    <t>CUERPO VALVULA SALIDA MANUAL S/MANGUITO 20MM</t>
  </si>
  <si>
    <t>mang1</t>
  </si>
  <si>
    <t>MANGUITO CONEXION ROSCA IZDA 3/4-DCHA 3/4 VALV.ST-RT</t>
  </si>
  <si>
    <t>soprt1</t>
  </si>
  <si>
    <t>SOPORTE BATERIA PROLIPROPILENO DN75 28CM</t>
  </si>
  <si>
    <t>lag50cm</t>
  </si>
  <si>
    <t>LATIGUILLO INOX 50CM MH 3/4 Ø20 16BAR</t>
  </si>
  <si>
    <t>vlvreten</t>
  </si>
  <si>
    <t>VALVULA RETENCION YORK 2</t>
  </si>
  <si>
    <t>INSACOM</t>
  </si>
  <si>
    <t>ACOMETIDA DE AGUA ( NO USAR SI HAY MEDICIONES DE ARQUITECTOS)</t>
  </si>
  <si>
    <t>COL001</t>
  </si>
  <si>
    <t>o EXCAVACION EN INTERIOR DEL EDIFICIO</t>
  </si>
  <si>
    <t>Excavación en el interior del edificio, en suelo de arcilla semidura, con medios manuales, bajo nivel freático, y carga manual a camión o contenedor. Incluso utilización de bombas para bajar el nivel freático del terreno y poder trabajar en seco durante las labores de excavación.</t>
  </si>
  <si>
    <t>mq12bau030b</t>
  </si>
  <si>
    <t>Bomba autoaspirante eléctrica de aguas limpias alta presión, de 3 kW, para un caudal de 30 m³/h.</t>
  </si>
  <si>
    <t>INSACOM03</t>
  </si>
  <si>
    <t>ACOMETIDA DE AGUA</t>
  </si>
  <si>
    <t>Acometida enterrada para abastecimiento de agua potable de tubo de polietileno PE 100, de 63 mm de diámetro, colocada en el fondo de la zanja previamente excavada, debidamente compactada, nivelada y posterior relleno con arena hasta 10 cm. Incluso, accesorios.</t>
  </si>
  <si>
    <t>00001547</t>
  </si>
  <si>
    <t>BIG BAG ARENA FINA LA PLATAFORMA Ref.: 00001547</t>
  </si>
  <si>
    <t>ACOM</t>
  </si>
  <si>
    <t>Tubo de polietileno alta densidad PE-100 PN10 Ø75mm 2 1/2" SDR17</t>
  </si>
  <si>
    <t>INSACOM04</t>
  </si>
  <si>
    <t>RELLENO DE ZANJA</t>
  </si>
  <si>
    <t>Relleno de zanjas, extendido del material por medios manuales y compactacion manual o mecanica.</t>
  </si>
  <si>
    <t>00001548</t>
  </si>
  <si>
    <t>BIG BAG ARENA DE MIGA LA PLATAFORMA Ref.: 00001548</t>
  </si>
  <si>
    <t>INSACOM05</t>
  </si>
  <si>
    <t>TAPADO DE ZANJA CON SOLERA DE HORMIGON</t>
  </si>
  <si>
    <t>Solera de hormigón armado, realizada con hormigón fabricado en obra, y malla electrosoldada ME 20x20 Ø 5-5.</t>
  </si>
  <si>
    <t>00001159</t>
  </si>
  <si>
    <t>HORMIGÓN SECO H-25, 25 KG, PLATAFORMA Ref.: 00001159</t>
  </si>
  <si>
    <t>TERR03</t>
  </si>
  <si>
    <t>XXXXXX SOLERA DE HORMIGON</t>
  </si>
  <si>
    <t>Solera de hormigón armado de 10 cm de espesor, realizada con hormigón HA-25/F/20/XC2 fabricado en central, y vertido desde camión, y malla electrosoldada ME 20x20 Ø 5-5, colocada sobre separadores homologados, extendido y vibrado manual mediante regla vibrante, sin tratamiento de su superficie; con juntas de retracción de 5 mm de espesor, mediante corte con disco de diamante. Incluso panel de poliestireno expandido de 3 cm de espesor, para la ejecución de juntas de dilatación. El precio no incluye la base de la solera.</t>
  </si>
  <si>
    <t>sep2</t>
  </si>
  <si>
    <t>Separador para soleras</t>
  </si>
  <si>
    <t>ma-lp-00001613</t>
  </si>
  <si>
    <t>Placa poliestireno expandido de 2000x1000 mm.  Ref.: 00001613</t>
  </si>
  <si>
    <t>CUB008</t>
  </si>
  <si>
    <t>o PAVIMENTO DE BALDOSAS CERAMICAS 25x25</t>
  </si>
  <si>
    <t>Pavimento de baldosas cerámicas, de 30x30 cm, 25 €/m², capacidad de absorción de agua, resistencia al deslizamiento, recibidas con mortero de cemento M-5 de 3 cm de espesor y rejuntadas con mortero de juntas cementoso, color blanco, para juntas de hasta 3 mm.</t>
  </si>
  <si>
    <t>ma-manau-6622</t>
  </si>
  <si>
    <t>GC orgaz Base gres 24.6x24.6 - MANAU</t>
  </si>
  <si>
    <t>ma-lp-00540946</t>
  </si>
  <si>
    <t>Mortero juntas ULTRACOLOR PLUS BIGMAT 2 a 20 mm; color chocolate (5 kg/saco).   Ref. lp-00540946</t>
  </si>
  <si>
    <t>ma-lp-00532407</t>
  </si>
  <si>
    <t>Cuñas BIGMAT para la nivelación de pavimentos y revestimientos cerámicos (300 pzas/bolsa).   Ref lp-00532407</t>
  </si>
  <si>
    <t>ma-lp-00532404</t>
  </si>
  <si>
    <t>Bridas BIGMAT 1,5 mm para nivelación de pavimentos y revestimientos cerámicos (300 pzas/bolsa).   Ref. lp-00532404</t>
  </si>
  <si>
    <t>ma-lp-00008997</t>
  </si>
  <si>
    <t>CANTONERA CUADRADA QUADEC ALUMINIO MATE NATURAL DE 2.50x12,5 MM</t>
  </si>
  <si>
    <t>Transporte de residuos inertes, producidos en obras de construcción y/o demolición, con contenedor de 1 m³, a vertedero específico, instalación de tratamiento de residuos de construcción y demolición externa a la obra o centro de valorización o eliminación de residuos. Incluso servicio de entrega, alquiler y recogida en obra del contenedor.</t>
  </si>
  <si>
    <t>INSAPLUVIALES</t>
  </si>
  <si>
    <t>AGUAS PLUVIALES</t>
  </si>
  <si>
    <t>AAPP-CANALON.PVC-CURVO-250mm</t>
  </si>
  <si>
    <t>CANALÓN RECOLECTOR DE AGUAS PLUVIALES EN PVC 250 mm; INCLUYENDO FIJACIÓN DE SOPORTE CON TACO MECÁNICO</t>
  </si>
  <si>
    <t>ma-om-10510654</t>
  </si>
  <si>
    <t>Canalón PVC curvo 250 mm; color gris (3 m/pza).   Ref. om-10510654</t>
  </si>
  <si>
    <t>ma-om-10510696</t>
  </si>
  <si>
    <t>Unión de canalón PVC curvo 250 mm; color gris.   Ref. om-10510696</t>
  </si>
  <si>
    <t>ma-om-10510724</t>
  </si>
  <si>
    <t>Soporte de canalón PVC curvo 250 mm; color gris.   Ref. om-10510724</t>
  </si>
  <si>
    <t>ma-om-10510703</t>
  </si>
  <si>
    <t>Ángulo de canalón de PVC curvo 250 mm; color gris.   Ref. om-10510703</t>
  </si>
  <si>
    <t>ma-om-10510710</t>
  </si>
  <si>
    <t>Tapa de canalón de PVC curvo 250 mm; color gris.   Ref. om-10510710</t>
  </si>
  <si>
    <t>ma-om-10510843</t>
  </si>
  <si>
    <t>Bajada central para canalón PVC 250 mm; color gris.   Ref. om-10510843</t>
  </si>
  <si>
    <t>AAPP-CANALON.PVC-CURVO-125mm</t>
  </si>
  <si>
    <t>CANALÓN RECOLECTOR DE AGUAS PLUVIALES EN PVC 125 mm; INCLUYENDO FIJACIÓN DE SOPORTE CON TACO MECÁNICO</t>
  </si>
  <si>
    <t>ma-bd-8011031254906</t>
  </si>
  <si>
    <t>Canalón PVC curvo 125 mm; color blanco. (2 m/pza).   Ref. bd-8011031254906</t>
  </si>
  <si>
    <t>ma-bd-union.canalon/c.125-b</t>
  </si>
  <si>
    <t>Unión de canalón PVC curvo 125 mm; color blanco.   Ref. bd-union.canalon/c.125-b</t>
  </si>
  <si>
    <t>ma-bd-8019966005495</t>
  </si>
  <si>
    <t>Soporte de canalón PVC curvo 125 mm; color blanco.   Ref. bd-8019966005495</t>
  </si>
  <si>
    <t>ma-bd-8019966019720</t>
  </si>
  <si>
    <t>Tapa de canalón de PVC curvo 125 mm; color blanco.   Ref. bd-8019966019720</t>
  </si>
  <si>
    <t>ma-bd-8019966078604</t>
  </si>
  <si>
    <t>Bajada central para canalón PVC 125 mm; color blanco.   Ref. bd-8019966078604</t>
  </si>
  <si>
    <t>DESAGUES</t>
  </si>
  <si>
    <t>DESAGÜES DE AGUAS PLUVIALES</t>
  </si>
  <si>
    <t>SANEADO-DESAGUES</t>
  </si>
  <si>
    <t>SANEADO DE DESAGÜES DE AGUAS PLUVIALES</t>
  </si>
  <si>
    <t>SANEADO-DESAGUES-C/IMP-EPDM</t>
  </si>
  <si>
    <t>SANEADO Y REPARACIÓN DE DESAGÜE DE AGUAS PLUVIALES EXISTENTE (MÉTODO CON IMPERMEABILIZACIÓN EPDM)</t>
  </si>
  <si>
    <t>Reparación de desagüe de aguas pluviales existente con el respectivo recrecido de mortero y la adición de lámina impermeabilizante EPDM a fin de evitar estancamientos de agua. Las actividades incluyen:
• Demoler alicatado con capa base, en un área aproximada de 1 m2 alrededor del punto de desagüe.
• Desbastar el punto de desagüe para eliminar mohos y mugre, y limpiarlo con fungicida, lejía y/o detergente.
• Lijar y limpiar el bote y la cazoleta con disolvente.
• Reponer volumen removido con mortero cola.
• Impermeabilizar área de suelo al descubierto con lámina de caucho sintético EPDM vulcanizado 1 mm (incluyendo aplicación de adhesivo EPDM).
• Instalar bote y cazoleta, y sellar contornos de ambos componentes con masilla de poliuretano.
• Reponer alicatado.
• Colocar el sumidero.</t>
  </si>
  <si>
    <t>CUB06-MNR-04-02</t>
  </si>
  <si>
    <t>XXXXXX IMPERMEABILIZACIÓN CON LÁMINA  DE CAUCHO SINTÉTICO EPDM VULCANIZADO 1,2 mm; INCLUYE ADHESIVO EPDM (CUB)</t>
  </si>
  <si>
    <t>ma-lp-00201399</t>
  </si>
  <si>
    <t>Adhesivo EPDM SA-008 MAX de ROLLGUM para la unión de láminas impermeabilizantes de EPDM y bandas de butilo (5 litros/envase).   Ref. lp-00201399</t>
  </si>
  <si>
    <t>ma-lp-00285541</t>
  </si>
  <si>
    <t>Lámina impermeabilizante GISCOLENE 120 de caucho sintético EPDM vulcanizado (ancho: 3,00 m; espesor: 1,2 mm).   Ref. lp-00285541</t>
  </si>
  <si>
    <t>REVPAV-RASILLA-01</t>
  </si>
  <si>
    <t>ALICATADO DE PAVIMENTO CON CERÁMICA EN RASILLA LISA 14x28 cm</t>
  </si>
  <si>
    <t>ma-lp-00541256</t>
  </si>
  <si>
    <t>Masilla de poliuretano BIGMAT (300 ml/envase); color marrón.   Ref. lp-00541256</t>
  </si>
  <si>
    <t>SANEADO-DESAGUES-S/IMP-01</t>
  </si>
  <si>
    <t>SANEADO Y REPARACIÓN DE DESAGÜE DE AGUAS PLUVIALES EXISTENTE (MÉTODO SIN IMPERMEABILIZACIÓN)</t>
  </si>
  <si>
    <t>Reparación de desagüe de aguas pluviales existente con su respectivo recrecido de mortero a fin de evitar estancamientos de agua. Las actividades incluyen:
• Demoler alicatado con capa base, en un cuadro aproximado de 50 cm/lado alrededor del punto de desagüe.
• Desbastar el punto de desagüe para eliminar mohos y mugre, y aplicar limpiarlo con fungicida, lejía y/o detergente.
• Lijar y limpiar el bote y la cazoleta con disolvente.
• Aplicar mortero cola de reposición.
• Instalar bote y cazoleta, y sellar contornos de ambos componentes con masilla de poliuretano.
• Reponer alicatado.
• Colocar el sumidero.</t>
  </si>
  <si>
    <t>INSCOLEC</t>
  </si>
  <si>
    <t>o COLECTOR</t>
  </si>
  <si>
    <t>COL002</t>
  </si>
  <si>
    <t>o DEMOLICION DE COLECTOR</t>
  </si>
  <si>
    <t>Demolición de colector enterrado, de cualquier tipo de material, de 300 mm de diámetro máximo, con medios manuales, y carga manual sobre camión o contenedor. El precio incluye la obturación temporal de las conducciones conectadas al elemento.</t>
  </si>
  <si>
    <t>COL003</t>
  </si>
  <si>
    <t>o DEMOLICION DE ARQUETA DE OBRA</t>
  </si>
  <si>
    <t>Demolición de arqueta de obra de fábrica, enterrada, situada a 150 cm de la cota de acabado de planta baja, estimada de más de entre 200 y 500 l de capacidad, con medios manuales, sin deteriorar las conducciones que conecten con la arqueta, y carga manual sobre camión o contenedor. El precio incluye la obturación de las conducciones conectadas al elemento.</t>
  </si>
  <si>
    <t>COL004</t>
  </si>
  <si>
    <t>o DEMOLICION DE REGISTRO DE 60x60CM</t>
  </si>
  <si>
    <t>Demolición de registro existente no registrable, situado a pie de bajante, dimensiones aproximadas máximas 60x60x60 cm, con medios manuales, sin deteriorar las conducciones que conecten con el arqueta, y carga manual sobre camión o contenedor.</t>
  </si>
  <si>
    <t>COL005</t>
  </si>
  <si>
    <t>o TUBERIA DE SANEAMIENTO PVC SN4 TEJA DE DN 160MM</t>
  </si>
  <si>
    <t>Alcantarillado con tubo de PVC-U de pared maciza para saneamiento sin presión, de DN 160 mm y de SN 4 (4 kN/m2) de rigidez anular, según norma UNE-EN 1401-1, sobre solera de hormigón de 15 cm de grosor, cama de arena de 15 cm de grosor y relleno con arena hasta 30 cm por encima del tubo.</t>
  </si>
  <si>
    <t>ma-lp-00001547</t>
  </si>
  <si>
    <t>BIG BAG ARENA FINA LA PLATAFORMA  Ref.: 00001547</t>
  </si>
  <si>
    <t>ma-saltoki-1900040516</t>
  </si>
  <si>
    <t>Tubo de saneamiento PVC PVC COMPACT UNE EN-ISO 1452 P Ø160mm SN4 teja DE 6M</t>
  </si>
  <si>
    <t>ALB001</t>
  </si>
  <si>
    <t>o BASE PARA PAVIMENTO DE 4CM</t>
  </si>
  <si>
    <t>ma-lp-00134360</t>
  </si>
  <si>
    <t>Polietireno expandido EPS, de Knauff, para aislamiento térmico. Tira 1000x100 mm. Espesor: 10 mm</t>
  </si>
  <si>
    <t>COL006</t>
  </si>
  <si>
    <t>o TUBERIA DE SANEAMIENTO PVC SN4 TEJA DE DN 250MM</t>
  </si>
  <si>
    <t>Alcantarillado con tubo de PVC-U de pared maciza para saneamiento sin presión, de DN 300 mm y de SN 4 (4 kN/m2) de rigidez anular, según norma UNE-EN 1401-1, sobre solera de hormigón de 15 cm de grosor, cama de arena de 15 cm de grosor y relleno con arena hasta 30 cm por encima del tubo.</t>
  </si>
  <si>
    <t>ma-saltoki-1900040525</t>
  </si>
  <si>
    <t>Tubo de saneamiento PVC PVC COMPACT UNE EN-ISO 1452 P Ø250mm SN4 teja</t>
  </si>
  <si>
    <t>COL007</t>
  </si>
  <si>
    <t>o TUBERIA DE SANEAMIENTO PVC SN4 TEJA DE DN 300MM</t>
  </si>
  <si>
    <t>ma-saltoki-1900040531</t>
  </si>
  <si>
    <t>Tubo de saneamiento PVC PVC COMPACT UNE EN-ISO 1452 P Ø315mm SN4 teja barra de 6m</t>
  </si>
  <si>
    <t>COL008</t>
  </si>
  <si>
    <t>o ARQUETA DE OBRA, NO REGISTRABLE DE PASO. 100x100x150CM</t>
  </si>
  <si>
    <t>Arqueta de paso, no registrable, soterrada, construido con fábrica de ladrillo cerámico macizo, de 1/2 pie de espesor, recibo con mortero de cemento, industrial, m-5, de dimensiones interiores 100x100x150 cm, sobre solera de hormigón en masa hm-30/b/20/x0+xa2 de 15 cm de espesor, formación de pendiente mínima del 2% , con el mismo tipo de hormigón, enlucido y bruñido interiormente con mortero de cimente, industrial, con aditivo hidrófugo, m-15 formando aristas y esquinas a media caña, cerrada su- periormente con tablero cerámico hueco machihembrado y losa de hormigón ha 30/b/20/xc4+xa2, armada con  malla electrosoldada y sellada herméticamente con mortero de cemento; previa excavación con medios manuales y posterior rellenado del trasdós con material granular. Incluso mortero para sellado de juntas y piezas de pvc cortadas longitudinalmente para formación del canal en el fondo del arqueta.</t>
  </si>
  <si>
    <t>mt11var110</t>
  </si>
  <si>
    <t>Conjunto de piezas de PVC para realizar en el fondo de la arqueta de paso los cauces correspondientes.</t>
  </si>
  <si>
    <t>ma-lp-00001228</t>
  </si>
  <si>
    <t>Ladrillo cerámico hueco supermahón de medidas 50x20x4 cm. Color rojo Ref.: 00001228</t>
  </si>
  <si>
    <t>COL009</t>
  </si>
  <si>
    <t>o ARQUETA DE OBRA, REGISTRABLE EN EXTREMO. 50x50x50CM</t>
  </si>
  <si>
    <t>Arqueta de paso, registrable, soterrada, construido con fábrica de ladrillo cerámico macizo, de 1/2 pie de espesor, recibo con mortero de cemento, industrial, m-5, de dimensiones interiores 50x50x50 cm, sobre solera de hormigón en masa hm-30/b/20/x0+xa2 de 15 cm de espesor, formación de pendiente mínima del  2% , con el mismo tipo de hormigón, enlucido y bruñido interiormente con mortero de cemento, in- dustrial, con aditivo hidrófugo, m-15 formando aristas y esquinas a media caña, cerrado  superiormente con marco y tapa de hierro fundido clase b-125 según une-en 124; previa excavación con medios manuales y posterior rellenado del trasdós con material granular. Incluso mortero para sellado de juntas y colector de conexión de pvc, de tres entradas y una salida, con tapa de registro, para encuentros.</t>
  </si>
  <si>
    <t>mt11var130</t>
  </si>
  <si>
    <t>Colector de conexión de PVC, con tres entradas y una salida, con tapa de registro.</t>
  </si>
  <si>
    <t>mt11var100</t>
  </si>
  <si>
    <t>Conjunto de elementos necesarios para garantizar el cierre hermético al paso de olores mefíticos en arquetas de saneamiento, compuesto por: angulares y chapas metálicas con sus elementos de fijación y anclaje, junta de neopreno, aceite y demás accesorios.</t>
  </si>
  <si>
    <t>mt11arf010e</t>
  </si>
  <si>
    <t>Tapa de hormigón armado prefabricada, 50x50x5 cm.</t>
  </si>
  <si>
    <t>COL010</t>
  </si>
  <si>
    <t>o ARQUETA DE OBRA, NO REGISTRABLE A PIE DE BAJANTE. 50x50x50CM</t>
  </si>
  <si>
    <t>Arqueta a pie de bajante, no registrable, enterrada, construido con fábrica de ladrillo cerámico macizo, de 1/2 pie de espesor, recibo con mortero de cemento, industrial, m-5, de dimensiones interiores 50x50x50 cm, sobre solera de hormigón en masa hm-30/b/20/x0+xa2 de 15 cm de espesor, formación de pendiente mínimo del 2%, con el mismo tipo de hormigón, enlucido y bruñido interiormente con mortero de cemento, industrial, con aditivo hidrófugo, m-15 formando aristas y esquinas a media caña, con codo de pvc de 45° colocado en dado de hormigón, para evitar el golpe de bajada en la pendiente de la suela, cerrada superiormente con tablero cerámico hueco machihembrado y losa de hormigón ha 30/b/20/xc4+xa2, armada con malla electrosoldada y sellada herméticamente con mortero de cemento; previa excavación con medios manuales y posterior rellenado del trasdós con material granular. Incluso mortero para sellado de juntas.</t>
  </si>
  <si>
    <t>COL011</t>
  </si>
  <si>
    <t>o RELLENO DE ZANJAS PARA INSTALACIONES</t>
  </si>
  <si>
    <t>Relleno de zanjas para instalaciones, con arena de 0 a 5 mm de diámetro y compactación en tongadas sucesivas de 20 cm de espesor máximo con pisón vibrante de guiado manual, hasta alcanzar una densidad seca no inferior. Incluso cinta o distintivo indicador de la instalación.</t>
  </si>
  <si>
    <t>mt01var010</t>
  </si>
  <si>
    <t>Cinta plastificada.</t>
  </si>
  <si>
    <t>BANVIB</t>
  </si>
  <si>
    <t>Alquiler de bandeja vibrante de guiado manual</t>
  </si>
  <si>
    <t>COL012</t>
  </si>
  <si>
    <t>o RELLENO DE ZANJA CON MATERIAL DE PROPIA EXCAVACION</t>
  </si>
  <si>
    <t>Relleno envolvente y principal de zanjas para instalaciones, con tierra seleccionada procedente de la propia excavación y compactación en tongadas sucesivas de 20 cm de espesor máximo con bandeja vibrante de guiado manual, hasta alcanzar una densidad seca no inferior al 95% de la máxima obtenida en el ensayo Proctor Modificado, realizado según UNE 103501. Incluso cinta o distintivo indicador de la instalación. El precio no incluye la realización del ensayo Proctor Modificado.</t>
  </si>
  <si>
    <t>COL013</t>
  </si>
  <si>
    <t>o RELLENO DE ZANJA PARA INSTALACIONES CON SAULO</t>
  </si>
  <si>
    <t>Relleno envolvente y principal de zanjas para instalaciones, con material Saulo y compactación en tongadas sucesivas de 20 cm de espesor máximo con bandeja vibrante de guiado manual, hasta alcanzar una densidad seca no inferior al 95% de la máxima obtenida en el ensayo Proctor Modificado, realizado según UNE 103501. Incluso cinta o distintivo indicador de la instalación. El precio no incluye la realización del ensayo Proctor Modificado.</t>
  </si>
  <si>
    <t>SAULO</t>
  </si>
  <si>
    <t>Saulo</t>
  </si>
  <si>
    <t>COL014</t>
  </si>
  <si>
    <t>o BASE DE SOLERA CON GRAVA</t>
  </si>
  <si>
    <t>Base de solera realizada mediante relleno en interior de edificación existente, con grava de 40 a 70 mm de diámetro, y compactación en tongadas sucesivas de 30 cm de espesor máximo con pisón vibrante de guiado manual, hasta alcanzar una densidad seca no inferior al 95% de la máxima obtenida en el ensayo proctor modificado, realizado según une 103501.</t>
  </si>
  <si>
    <t>ma-lp-00000338</t>
  </si>
  <si>
    <t>Saca big-bag con 1 tonelada de gravilla redonda 20-40 Ref.: 00000338</t>
  </si>
  <si>
    <t>COL015</t>
  </si>
  <si>
    <t>o LAMINA SEPARADORA DE POLIETILENO</t>
  </si>
  <si>
    <t>Suministro y colocación de lámina separadora de polietileno, con una masa superficial de 46g/m2, no adherida, sobre el terreno o sobre un enmacado. Incluso p/p de cortes, fijaciones, resolución de solapes y uniones.</t>
  </si>
  <si>
    <t>ma-lp-00563534</t>
  </si>
  <si>
    <t>Plastico negro 2 mt x 25 g.400 Ref.: 00563534</t>
  </si>
  <si>
    <t>COL016</t>
  </si>
  <si>
    <t>o SOLERA DE HORMIGON ARMADO 15CM</t>
  </si>
  <si>
    <t>Formación de solera de hormigón armado de 15 cm de espesor realizada con hormigón ha 25/b/20/ia fabricado en central con aditivo hidrófugo, y vertido con bomba, y malla electrosoldada me 15x15 ø6-6 b 500 t 6x2,20 une-en 10080 como armadura de reparto, colocada sobre separadores homologados, extendido y vibrado manual mediante regla vibrante, sin tratamiento de su superficie; con juntas de retracción de 9 mm de espesor, realizadas con sierra de disco, formando cuadrícula; recolzada sobre capa base existente. Incluso panel de poliestireno expandido de 2 cm de espesor en todo el perímetro y alrededor de cualquier elemento que interrumpa la suela, para la ejecución de juntas de retracción; embroquetado o conexión de los elementos exteriores (aros de arquetas, sumideros, cajas sifónicas, etc.) de las redes de instalaciones ejecutadas bajo la solera; y curación del hormigón. El precio no incluye la capa base.</t>
  </si>
  <si>
    <t>ma-lp-00000320</t>
  </si>
  <si>
    <t>Arcilla expandida súper ligera de Weber para recrecidos ligeros de altas prestaciones. Granulometría: 10-20 mm. 1,5 m3.</t>
  </si>
  <si>
    <t>COL017</t>
  </si>
  <si>
    <t>o BARRERA DE POTECCIÓN FRENTE AL RADÓN SOBRE SOLERA</t>
  </si>
  <si>
    <t>Barrera de protección frente al radón sobre solera en contacto con el terreno con nivel de referencia de exposición al radón 300 Bq/m3, con lámina de polietileno de baja densidad (LDPE), malla de refuerzo de fibra de poliéster y armadura de polietileno de alta densidad (PEAD/HDPE), de 0,4 mm de peso coeficiente de difusión frente al gas radón 10x10-12 m2/s, no adherida. Colocación en obra: con solapes en la cara superior de la solera, con pistola de aire caliente. Exhalación de radón prevista a través de la barrera de protección: 26,9 Bq/m2·h.</t>
  </si>
  <si>
    <t>mt15pdr400a</t>
  </si>
  <si>
    <t>Lámina de polietileno de baja densidad (LDPE), malla de refuerzo de fibra de poliéster y armadura de polietileno de alta densidad (PEAD/HDPE), de 0,4 mm de espesor, 0,35 kg/m² de masa superficial, y coeficiente de difusión frente al gas radón 10x10-12 m²/s.</t>
  </si>
  <si>
    <t>COL018</t>
  </si>
  <si>
    <t>o DESMONTAJE Y MONTAJE DE APARATOS SANITARIOS DE BAÑO</t>
  </si>
  <si>
    <t>Desmontaje y montaje de conjunto de aparatos sanitarios en baño (1 aseo con pedestal, 1 inodoro y 1 bañera de hasta 100x90 cm), con medios manuales, y recuperación, acopio y montaje del material en el mismo emplazamiento, siendo el orden de ejecución del proceso inverso al de su instalación, sin afectar a la estabilidad de los elementos constructivos a los que pueda estar sujeto, y carga manual sobre camión o contenedor de escombros generados. El precio incluye el desmontaje del grifería y accesorios.
Nota: desmontaje de aparatos sanitarios en interior de baño de local por cambio de la pequeña red evacuación privativa de la entidad.</t>
  </si>
  <si>
    <t>LLV1</t>
  </si>
  <si>
    <t>Llave de regulacion de 1/2"</t>
  </si>
  <si>
    <t>CODEV</t>
  </si>
  <si>
    <t>Codo para evacuacion vertical</t>
  </si>
  <si>
    <t>ma-lp-00407540</t>
  </si>
  <si>
    <t>Tubo Flexi-gas extensible para el calentador de 30 cm de longitud y tipo de racorería M-H 1/2" Ref.: 00407540</t>
  </si>
  <si>
    <t>COL019</t>
  </si>
  <si>
    <t>o BASE DE MORTERO LIGERO AUTONIVELANTE DE CEMENTO DE 4CM</t>
  </si>
  <si>
    <t>Base para pavimento interior, de 40 mm de espesor, de mortero ligero autonivelante, CT - C16 - F3 según UNE-EN 13813, vertido con mezcladora-bombeadora, sobre lámina de aislamiento para formación de suelo flotante. Incluso banda de panel rígido de poliestireno expandido para la preparación de las juntas perimetrales de dilatación. El precio no incluye la lámina de aislamiento.</t>
  </si>
  <si>
    <t>mt16pea020a</t>
  </si>
  <si>
    <t>Panel rígido de poliestireno expandido, según UNE-EN 13163, mecanizado lateral recto, de 10 mm de espesor, resistencia térmica 0,25 m²K/W, conductividad térmica 0,036 W/(mK), para junta de dilatación.</t>
  </si>
  <si>
    <t>ma-lp-00176176</t>
  </si>
  <si>
    <t>Mortero autonivelante 5 de Valsec de 25kg</t>
  </si>
  <si>
    <t>mt09bnc020a</t>
  </si>
  <si>
    <t>Líquido de curado incoloro, formado por una disolución de resinas sintéticas en base solvente, para el curado de hormigones y morteros.</t>
  </si>
  <si>
    <t>mq06pym020</t>
  </si>
  <si>
    <t>Mezcladora-bombeadora para morteros autonivelantes.</t>
  </si>
  <si>
    <t>COL020</t>
  </si>
  <si>
    <t>o BASE DE MORTERO LIGERO AUTONIVELANTE DE CEMENTO DE 7CM</t>
  </si>
  <si>
    <t>COL021</t>
  </si>
  <si>
    <t>o PAVIMENTO DE GRES PORCELÁNICO ESMALTADO</t>
  </si>
  <si>
    <t>Pavimento interior de piezas de gres porcelánico esmaltado, de 400x600x10 mm, gama media, con resistencia al deslizamiento 35&lt;rd&lt;=45 según une-en 16165 y deslizamiento clase 2 según cta. Apoyo: de mortero de cemento. Colocación: en capa fina y mediante encolado simple con adhesivo cementoso mejorado de ligantes mixtos, tixótropo, c2 tiene s1, según une-en 12004, deformable, con deslizamiento reducido y mortero flexible, color gris. Rejuntado: con mortero de juntas cementosa mejorada, tipo cg2 w a, según une-en 13888, con absorción de agua reducida y resistencia elevada a la abrasión, en juntas de 2 mm de espesor.</t>
  </si>
  <si>
    <t>ma-sola.azulejos-01</t>
  </si>
  <si>
    <t>Baldosa porcelánica GELA de AZULIBER 40x60 mm; color beige.   Ref. solá azulejos-01</t>
  </si>
  <si>
    <t>ma-lp-00539956</t>
  </si>
  <si>
    <t>Cruceta plástica BIGMAT de 1,5 mm para instalación de baldosas de cerámica. (500 pzas/bolsa)   Ref.: 00539956</t>
  </si>
  <si>
    <t>ma-lp-00540845</t>
  </si>
  <si>
    <t>Mortero cola PORCELÁNICO FLEX de BIGMAT; color gris (25 kg/saco).   Ref. lp-00540845</t>
  </si>
  <si>
    <t>COL022</t>
  </si>
  <si>
    <t>o RODAPIE O ZOCALO DE GRES PORCELÁNICO ESMALTADO</t>
  </si>
  <si>
    <t>COL023</t>
  </si>
  <si>
    <t>o EQUIPO DE INSPECCION - EQUIPO DE LIMPIEZA</t>
  </si>
  <si>
    <t>Servicio minimo de 1 hora, Incluye: Equipo de inspeccion visual para la valoracion optica del problema. Equipo de limpieza compuesto por camion cuba, dotado de bomba de alta presion para tareas de limpieza y bomba de absorcion para la retirada de residuos y aguas.</t>
  </si>
  <si>
    <t>PILO</t>
  </si>
  <si>
    <t>DESATASCOS PILO (EQUIPOS DE INPECCION Y LIMPIEZA )</t>
  </si>
  <si>
    <t>COL024</t>
  </si>
  <si>
    <t>o CAPA DE MORTERO e= 4 cm; INCLUYE MALLA ZO DE REFUERZO (CUB)</t>
  </si>
  <si>
    <t>Capa de mortero de 4 cm de espesor, de mortero de cemento. Incluso banda de panel rígido de poliestireno expandido para la preparación de las juntas perimetrales de dilatación.</t>
  </si>
  <si>
    <t>pnl</t>
  </si>
  <si>
    <t>Panel rígido de poliestireno expandido de 30mm de espesor</t>
  </si>
  <si>
    <t>INSHUMO</t>
  </si>
  <si>
    <t>INSTALACIONES PARA SALIDAS DE HUMOS</t>
  </si>
  <si>
    <t>HUM001</t>
  </si>
  <si>
    <t>o DEFLECTOR DE ALUMINIO BLANCO DE 125MM</t>
  </si>
  <si>
    <t>Suministro e instalación de deflectores de aluminio blanco para extracción de humos de las campanas de las cocinas, con la finalidad de unificar todos los conductos de extracción, se retiraran los existentes y se suministraran los nuevos.</t>
  </si>
  <si>
    <t>ma-lp-00117145</t>
  </si>
  <si>
    <t>Deflector de Aluminio Blanco 125mm</t>
  </si>
  <si>
    <t>ma-lp-00012294</t>
  </si>
  <si>
    <t>Tubo redondo de aluminio esmaltado blanco 125 mm de DISMOL (50 cm/pza).   Ref. lp-00012294</t>
  </si>
  <si>
    <t>ma-lp-00012313</t>
  </si>
  <si>
    <t>Tubo flexible evacuacion aluminio 125mm</t>
  </si>
  <si>
    <t>HUM002</t>
  </si>
  <si>
    <t>o DEFLECTOR DE ACERO INOXIDABLE DE 125MM</t>
  </si>
  <si>
    <t>JJJJ</t>
  </si>
  <si>
    <t>INSHUMO-01-AI-SP-200-AT</t>
  </si>
  <si>
    <t>SUMINISTRO Y COLOCACIÓN EN ANDAMIO TUBULAR DE CONDUCTO PARA SALIDA DE HUMOS CON TUBO PARED SIMPLE DE ACERO INOXIDABLE DIÁMETRO 200 mm</t>
  </si>
  <si>
    <t>ma-lm-18738636</t>
  </si>
  <si>
    <t>Tubo de simple pared en acero inoxidable 200 mm de DINAK (930 mm/pza).   Ref. lm-18738636</t>
  </si>
  <si>
    <t>ma-lm-19347965</t>
  </si>
  <si>
    <t>Te/Derivación 90º para tubo de simple pared en acero inoxidable 200 mm de DINAK.   Ref. lm-19347965</t>
  </si>
  <si>
    <t>ma-lm-19133793</t>
  </si>
  <si>
    <t>Codo 90º para tubo de simple pared en acero inoxidable 200 mm de DINAK.   Ref. lm-19133793</t>
  </si>
  <si>
    <t>ma-lm-18738762</t>
  </si>
  <si>
    <t>Codo 45º para tubo de simple pared en acero inoxidable 200 mm de DINAK (930 mm/pza).   Ref. lm-18738762</t>
  </si>
  <si>
    <t>ma-lm-19094110</t>
  </si>
  <si>
    <t>Manguito M-H para tubo de simple pared en acero inoxidable 200 mm de DINAK (430 mm/pza).   Ref. lm-19094110</t>
  </si>
  <si>
    <t>ma-lm-19348343</t>
  </si>
  <si>
    <t>Colector de hollín para tubo de simple pared en acero inoxidable 200 mm de DINAK.   Ref. lm-19348343</t>
  </si>
  <si>
    <t>ma-lm-18739084</t>
  </si>
  <si>
    <t>Abrazadera de unión para tubo de simple pared en acero inoxidable 200 mm de DINAK.   Ref. lm-18739084</t>
  </si>
  <si>
    <t>ma-lm-14668906</t>
  </si>
  <si>
    <t>Abrazadera para tubo de simple pared en acero inoxidable con bisagra 200 mm de DINAK   Ref. lm-14668906</t>
  </si>
  <si>
    <t>ma-lm-19363946</t>
  </si>
  <si>
    <t>Sombrerete/deflector para simple pared en acero inoxidable 200 mm de DINAK.   Ref. lm-19363946</t>
  </si>
  <si>
    <t>ma-lm-18739014</t>
  </si>
  <si>
    <t>Embellecedor o rosetón de simple pared en acero inoxidable 200 mm de DINAK.   Ref. lm-18739014</t>
  </si>
  <si>
    <t>INSHUMO-01-AI-SP-200-MS</t>
  </si>
  <si>
    <t>SUMINISTRO Y COLOCACIÓN EN MEDIO SUSPENDIDO/COLGADO DE CONDUCTO PARA SALIDA DE HUMOS CON TUBO PARED SIMPLE DE ACERO INOXIDABLE DIÁMETRO 200 mm</t>
  </si>
  <si>
    <t>INSHUMO-01-AIx2-AT</t>
  </si>
  <si>
    <t>SUMINISTRO Y COLOCACIÓN DE CONDUCTO PARA SALIDA DE HUMOS CON TUBO PARED DOBLE DE ACERO INOXIDABLE EN CHAPAS AISI 304/304 INTERIOR Y EXTERIOR, DIÁMETRO EXTERIOR 300 mm</t>
  </si>
  <si>
    <t>ma-centralbiomasa-2700275</t>
  </si>
  <si>
    <t>Tubo doble pared AISI 304/304 acero inoxidable 200 mm de SCHÜTZ o ROS TUBOS (1000 mm/pza).   Ref. centralbiomasa-2700275</t>
  </si>
  <si>
    <t>ma-centralbiomasa-2700274</t>
  </si>
  <si>
    <t>Tubo doble pared AISI 304/304 acero inoxidable 200 mm de SCHÜTZ o ROS TUBOS (500 mm/pza).   Ref. centralbiomasa-2700274</t>
  </si>
  <si>
    <t>ma-centralbiomasa-2700265</t>
  </si>
  <si>
    <t>Codo 45º para tubo doble pared AISI 304/304 acero inoxidable 200 mm de SCHÜTZ o ROS TUBOS.   Ref. centralbiomasa-2700265</t>
  </si>
  <si>
    <t>ma-centralbiomasa-4021805</t>
  </si>
  <si>
    <t>Te 90º para tubo doble pared AISI 304/304 acero inoxidable 200 mm de SCHÜTZ o ROS TUBOS.   Ref. centralbiomasa-4021805</t>
  </si>
  <si>
    <t>ma-centralbiomasa-4015940</t>
  </si>
  <si>
    <t>Tapa purga para tubo doble pared AISI 316/304 acero inoxidable 200 mm de SCHÜTZ o ROS TUBOS.   Ref. centralbiomasa-4015940</t>
  </si>
  <si>
    <t>ma-lp-00539975</t>
  </si>
  <si>
    <t>manta</t>
  </si>
  <si>
    <t>Manta de lana mineral aislante termo-acústica no hidrófila MRK 40 de URSA (11000x600x80 mm/manta; 2 mantas/paquete = 13,20 m2).   Ref. lp-00539975</t>
  </si>
  <si>
    <t>ma-centralbiomasa-4600709</t>
  </si>
  <si>
    <t>Abrazadera pared regulable doble pared acero inoxidable 250 mm para conductos AISI 304 de SCHÜTZ o ROS TUBOS.   Ref. centralbiomasa-4600709</t>
  </si>
  <si>
    <t>ma-centralbiomasa-2500336</t>
  </si>
  <si>
    <t>Sombrerete antilluvia para tubo modular doble pared acero inoxidable 250 mm AISI 304/304 de SCHÜTZ o ROS TUBOS.   Ref. centralbiomasa-2500336</t>
  </si>
  <si>
    <t>INSHUMO-01-AL-125-AT</t>
  </si>
  <si>
    <t>SUMINISTRO Y COLOCACIÓN EN ANDAMIO TUBULAR DE CONDUCTO PARA SALIDA DE HUMOS CON TUBO REDONDO PARED SENCILLA DE ALUMINIO 125 mm</t>
  </si>
  <si>
    <t>Suministro y colocación en andamio tubular de conducto para salida de humos con tubo redondo pared sencilla de aluminio 125 mm</t>
  </si>
  <si>
    <t>ma-lp-00012295</t>
  </si>
  <si>
    <t>Tubo redondo de aluminio esmaltado blanco 130 mm de DISMOL (1 m/pza).   Ref. lp-00012295</t>
  </si>
  <si>
    <t>ma-tecsyair-TEC482</t>
  </si>
  <si>
    <t>Derivación “T” para tubo redondo 125 mm de TECSY-AIR para extracción de humos y sistemas de ventilación.   Ref. tecsyair-TEC482</t>
  </si>
  <si>
    <t>ma-lp-00010913</t>
  </si>
  <si>
    <t>Codo 87º de aluminio esmaltado blanco 125 mm para tubo redondo de DISMOL.   Ref. lp-00010913</t>
  </si>
  <si>
    <t>ma-lp-00010901</t>
  </si>
  <si>
    <t>Codo 45º de aluminio esmaltado blanco 125 mm de DISMOL.   Ref. lp-00010901</t>
  </si>
  <si>
    <t>ma-lp-00011622</t>
  </si>
  <si>
    <t>Manguito de aluminio esmaltado blanco 125 mm para tubo redondo de DISMOL.   Ref. lp-00011622</t>
  </si>
  <si>
    <t>INSHUMO-01-AL-125-MS</t>
  </si>
  <si>
    <t>SUMINISTRO Y COLOCACIÓN EN MEDIO SUSPENDIDO/COLGADO DE CONDUCTO PARA SALIDA DE HUMOS CON TUBO REDONDO PARED SENCILLA DE ALUMINIO 125 mm</t>
  </si>
  <si>
    <t>Suministro y colocación en medio suspendido/colgado de conducto para salida de humos con tubo redondo pared sencilla de aluminio 125 mm</t>
  </si>
  <si>
    <t>INSHUMO-01-PVC-125-AT</t>
  </si>
  <si>
    <t>SUMINISTRO Y COLOCACIÓN EN ANDAMIO TUBULAR DE CONDUCTO PARA SALIDA DE HUMOS CON TUBO REDONDO PVC 125 mm</t>
  </si>
  <si>
    <t>Suministro y colocación en andamio tubular de conducto para salida de humos con tubo redondo pvc 125 mm</t>
  </si>
  <si>
    <t>ma-tecsyair-TEC401-1</t>
  </si>
  <si>
    <t>Tubo redondo 125 mm de TECSY-AIR para extracción de humos y sistemas de ventilación (1 m/pza).   Ref. tecsyair-TEC401-1</t>
  </si>
  <si>
    <t>ma-tecsyair-TEC402</t>
  </si>
  <si>
    <t>Unión para tubo redondo 125 mm de TECSY-AIR para extracción de humos y sistemas de ventilación.   Ref. tecsyair-TEC402</t>
  </si>
  <si>
    <t>ma-tecsyair-TEC406</t>
  </si>
  <si>
    <t>Codo 90º para tubo redondo 125 mm de TECSY-AIR para extracción de humos y sistemas de ventilación.   Ref. tecsyair-TEC406</t>
  </si>
  <si>
    <t>ma-tecsyair-TEC446-45</t>
  </si>
  <si>
    <t>Codo 45º para tubo redondo 125 mm de TECSY-AIR para extracción de humos y sistemas de ventilación.   Ref. tecsyair-TEC446-45</t>
  </si>
  <si>
    <t>INSHUMO-01-PVC-125-MS</t>
  </si>
  <si>
    <t>SUMINISTRO Y COLOCACIÓN EN MEDIO SUSPENDIDO/COLGADO DE CONDUCTO PARA SALIDA DE HUMOS CON TUBO REDONDO PVC 125 mm</t>
  </si>
  <si>
    <t>INSHUMO-GALV-125-MS</t>
  </si>
  <si>
    <t>SUMINISTRO Y COLOCACIÓN EN MEDIO SUSPENDIDO/COLGADO DE CONDUCTO PARA SALIDA DE HUMOS CON TUBO REDONDO DE ACERO GALVANIZADO 125 mm</t>
  </si>
  <si>
    <t>ma-hostelbar-Z025CA01003</t>
  </si>
  <si>
    <t>Tubo helicoidal galvanizado 125 mm x e = 0,5 mm para salida de humos de MUNDOFAN (1 m/pza).   Ref. hostelbar-Z025CA01003</t>
  </si>
  <si>
    <t>ma-hostelbar-Z025CA01072</t>
  </si>
  <si>
    <t>Manguito de unión M-M acero galvanizado 125 mm para salida de humos de MUNDOFAN.   Ref. hostelbar-Z025CA01072</t>
  </si>
  <si>
    <t>ma-hostelbar-Z025CA01563</t>
  </si>
  <si>
    <t>Te Simple 45º en acero galvanizado 125 mm para salida de humos de MUNDOFAN.   Ref. hostelbar-Z025CA01563</t>
  </si>
  <si>
    <t>ma-hostelbar-Z025CA01523</t>
  </si>
  <si>
    <t>Codo 90º en acero galvanizado 125 mm para salida de humos de MUNDOFAN.   Ref. hostelbar-Z025CA01523</t>
  </si>
  <si>
    <t>ma-hostelbar-Z025CA01453</t>
  </si>
  <si>
    <t>Codo 45º en acero galvanizado 125 mm para salida de humos de MUNDOFAN.   Ref. hostelbar-Z025CA014532</t>
  </si>
  <si>
    <t>ma-hostelbar-Z025CA01337</t>
  </si>
  <si>
    <t>Sombrerete chino en acero galvanizado 125 mm para salida de humos de MUNDOFAN.   Ref. hostelbar-Z025CA01337</t>
  </si>
  <si>
    <t>INSHUMO-GALV-250-AT</t>
  </si>
  <si>
    <t>SUMINISTRO Y COLOCACIÓN EN ANDAMIO TUBULAR DE CONDUCTO PARA SALIDA DE HUMOS CON TUBO REDONDO DE ACERO GALVANIZADO 250 mm</t>
  </si>
  <si>
    <t>ma-hostelbar-Z025CA01008</t>
  </si>
  <si>
    <t>Tubo helicoidal galvanizado 250 mm x e = 0,5 mm para salida de humos de MUNDOFAN (1 m/pza).   Ref. hostelbar-Z025CA01008</t>
  </si>
  <si>
    <t>ma-hostelbar-Z025CA01075</t>
  </si>
  <si>
    <t>Manguito de unión M-M acero galvanizado 250 mm para salida de humos de MUNDOFAN.   Ref. hostelbar-Z025CA01075</t>
  </si>
  <si>
    <t>ma-hostelbar-Z025CA01569</t>
  </si>
  <si>
    <t>Te Simple 45º en acero galvanizado 250 mm para salida de humos de MUNDOFAN.   Ref. hostelbar-Z025CA01569</t>
  </si>
  <si>
    <t>ma-hostelbar-Z025CA01458</t>
  </si>
  <si>
    <t>Codo 45º en acero galvanizado 250 mm para salida de humos de MUNDOFAN.   Ref. hostelbar-Z025CA01458</t>
  </si>
  <si>
    <t>ma-hostelbar-Z025CA01528</t>
  </si>
  <si>
    <t>Codo 90º en acero galvanizado 250 mm para salida de humos de MUNDOFAN.   Ref. hostelbar-Z025CA01528</t>
  </si>
  <si>
    <t>INSHUMO-GALV-250-MS</t>
  </si>
  <si>
    <t>SUMINISTRO Y COLOCACIÓN EN MEDIO SUSPENDIDO/COLGADO DE CONDUCTO PARA SALIDA DE HUMOS CON TUBO REDONDO DE ACERO GALVANIZADO 250 mm</t>
  </si>
  <si>
    <t>INSHUMO-GALV.125-AT</t>
  </si>
  <si>
    <t>SUMINISTRO Y COLOCACIÓN EN ANDAMIO TUBULAR DE CONDUCTO PARA SALIDA DE HUMOS CON TUBO REDONDO DE ACERO GALVANIZADO 125 mm</t>
  </si>
  <si>
    <t>INSMECANICAS</t>
  </si>
  <si>
    <t>INSTALACIONES MECÁNICAS</t>
  </si>
  <si>
    <t>INSMECANICAS-AA</t>
  </si>
  <si>
    <t>AIRE ACONDICIONADO</t>
  </si>
  <si>
    <t>OTRAS.INSTALACIONES</t>
  </si>
  <si>
    <t>OTRAS INSTALACIONES</t>
  </si>
  <si>
    <t>INS-ANTI.INCENDIO</t>
  </si>
  <si>
    <t>INSTALACIONES ANTI-INCENDIO</t>
  </si>
  <si>
    <t>INS-DRENAJES</t>
  </si>
  <si>
    <t>INSTALACIONES RELACIONADAS CON DRENAJES DE FLUIDOS</t>
  </si>
  <si>
    <t>INS-DRENAJES-AGUA</t>
  </si>
  <si>
    <t>INSTALACIONES RELACIONADAS CON DRENAJES DE AGUA</t>
  </si>
  <si>
    <t>INS-DREN-AGUAxCONDENSACION-01-10</t>
  </si>
  <si>
    <t>INSTALACIONES RELACIONADAS CON DRENAJES DE AGUA POR CONDENSACIÓN CON MANGUERA TÉCNICA INDUSTRIAL A LA VISTA 10 mm</t>
  </si>
  <si>
    <t>ma-lp-00533781</t>
  </si>
  <si>
    <t>Manguera técnica industrial CRISTALLO EXTRA 10 mm (50 m/rollo).   Ref. lp-00533781</t>
  </si>
  <si>
    <t>ma-bd-grapas-11</t>
  </si>
  <si>
    <t>Grapa de poliamida y acero para cable redondo 11 mm DIALL (100 pzas/bolsa).   Ref. bd-grapas-11</t>
  </si>
  <si>
    <t>INS-TRANSMISION</t>
  </si>
  <si>
    <t>INSTALACIONES RELACIONADAS CON SEÑALES Y TRANSMISION</t>
  </si>
  <si>
    <t>INSTRM-ACCESORIOS-01</t>
  </si>
  <si>
    <t>AMPLIFICADOR MÁSTIL DE 3 ENTRADAS Y 35 dB; INCLUYENDO ACCESORIOS CONEXOS</t>
  </si>
  <si>
    <t>ma-lp-00013185</t>
  </si>
  <si>
    <t>Amplificador mástil LTE de TELEVES, 12-24V B3 (3 entradas: U-FMMX-FIMX).   Ref. lp-00013185</t>
  </si>
  <si>
    <t>ma-lp-00095512</t>
  </si>
  <si>
    <t>Fuente de alimentación 24VDC 130 mA 2 salidas F5795 de TELEVES.   Ref. lp-00095512</t>
  </si>
  <si>
    <t>ma-lp-00121298</t>
  </si>
  <si>
    <t>Cable coaxial digital FL-75 de LAZSA; color blanco (50 m/rollo).   Ref. lp-00121298</t>
  </si>
  <si>
    <t>ma-lp-00013728</t>
  </si>
  <si>
    <t>Conectores F roscado con junta para cable coaxial TI01 de TELEVES.   Ref. lp-00013728</t>
  </si>
  <si>
    <t>INSTRM-ANTENAS-01</t>
  </si>
  <si>
    <t>ANTENA PARABÓLICA DE ACERO GALVANIZADO TIPO OFFSET 60 CM + LNB UNIVERSAL TELEVES</t>
  </si>
  <si>
    <t>Antena parabólica de acero galvanizado tipo OFFSET 60 cm + LNB universal TELEVES.</t>
  </si>
  <si>
    <t>ma-bd-3327967021600</t>
  </si>
  <si>
    <t>Antena parabólica de acero galvanizado tipo OFFSET 60 cm + LNB universal TELEVES.   Ref. bd-3327967021600</t>
  </si>
  <si>
    <t>AIS</t>
  </si>
  <si>
    <t>Aislamientos e impermeabilizaciones</t>
  </si>
  <si>
    <t>AISMED</t>
  </si>
  <si>
    <t>MEDIANERA</t>
  </si>
  <si>
    <t>AISMEDN01</t>
  </si>
  <si>
    <t>IMPERMEABILIZACION DE MEDIANERA CON TABIQUE PLUVIAL DE PLACAS GRECADA</t>
  </si>
  <si>
    <t>Impermeabilización de pared medianera de 12 a 18 m de altura con tabique pluvial de placas grecadas de acero galvanizado, de 0,6
mm de espesor, con nervios cada 14 a 17 cm, inercia entre 11 y 13,5 cm4 y masa superficial entre 6,5 y 7,2 kg/m², acabado prelacado
en color estándar, disposición de las placas en hiladas solapadas, fijadas a la pared medianera sobre rastreles metálicos con tornillos
rosca-chapa; y remate perimetral de plancha galvanizada esmaltada, de varios colores.</t>
  </si>
  <si>
    <t>GRC1063</t>
  </si>
  <si>
    <t>Rastrel de chapa galvanizada, para fijación de placas en tabiques pliviales</t>
  </si>
  <si>
    <t>GRC1064</t>
  </si>
  <si>
    <t>Tornillo TI (SPTE SFS) 4,3x30 mm.</t>
  </si>
  <si>
    <t>GRC106</t>
  </si>
  <si>
    <t>Placa grecada de acero galvanizado, de 0,6 mm de espesor, con nervios cada 14 a 17 cm</t>
  </si>
  <si>
    <t>GRC1061</t>
  </si>
  <si>
    <t>Tornillo rosca-chapa, para fijación de placas sobre rastreles metálicos.</t>
  </si>
  <si>
    <t>GRC1062</t>
  </si>
  <si>
    <t>Remate perimetral de plancha galvanizada esmaltada, de varios colores</t>
  </si>
  <si>
    <t>AIS001</t>
  </si>
  <si>
    <t>MORTERO IMPERMEABILIZACIÓN IMPE FLEX DE 3MM</t>
  </si>
  <si>
    <t>ma-lp-00540829</t>
  </si>
  <si>
    <t>Mortero impermeabilización IMPE FLEX BIGMAT; color gris (15 kg/saco).   Ref. lp-00540829</t>
  </si>
  <si>
    <t>AIS002</t>
  </si>
  <si>
    <t>MORTERO IMPERMEABILIZACIÓN IMPE FLEX DE 20MM</t>
  </si>
  <si>
    <t>MORTERO IMPERMEABILIZACIÓN IMPE FLEX de 20mm es un mortero monocomponente que actúa de recubrimiento flexible impermeabilizante, está formulado a base de cemento, áridos seleccionados, y resinas impermeabilizantes especiales.</t>
  </si>
  <si>
    <t>AIS02</t>
  </si>
  <si>
    <t>MORTERO IMPERMEABILIZANTE IMPER G</t>
  </si>
  <si>
    <t>Mortero impermeabilizante, con una capa de mortero de cemento, tipo Mortero impermeabilizante Imper G, de 20 mm de espesor medio, a buena vista, con acabado liso, aplicado manualmente. El precio no incluye la eliminación del revestimiento existente ni la realización del revestimiento posterior.</t>
  </si>
  <si>
    <t>MorImpG</t>
  </si>
  <si>
    <t>Mortero impermeabilizante Imper G de 25kg</t>
  </si>
  <si>
    <t>AIS03</t>
  </si>
  <si>
    <t>MORTERO IMPERMEABILIZANTE WEBERTEC HYDROMUR</t>
  </si>
  <si>
    <t>Impermeabilizacion de muro, con dos capas de mortero monocomponente formulado a base de cemento, aridos seleccionados y resinas impermeabilizantes, Webertec Hydromur, a buena vista, con acabado liso, aplicado manualmente. El precio no incluye la eliminación del revestimiento existente ni la realización del revestimiento posterior.</t>
  </si>
  <si>
    <t>moreHy</t>
  </si>
  <si>
    <t>Mortero Webertec Hydromur "WEBER saco de 25kg</t>
  </si>
  <si>
    <t>AIS04</t>
  </si>
  <si>
    <t>MORTERO IMPERMEABILIZANTE PROPAM IMPE EN MUROS CAPA GRUESA DE 10MM</t>
  </si>
  <si>
    <t>Impermeabilizacion de muro, con dos capas de mortero monocomponente formulado a base de cemento, aridos seleccionados y resinas impermeabilizantes, PROPAM IMPE, a buena vista, con acabado liso, aplicado manualmente. El precio no incluye la eliminación del revestimiento existente ni la realización del revestimiento posterior.</t>
  </si>
  <si>
    <t>00540832</t>
  </si>
  <si>
    <t>MORTERO IMPERMEABILIZACIÓN PROPAM CAL SEC BLANCO 25 KG Ref.: 00540832</t>
  </si>
  <si>
    <t>AIS05</t>
  </si>
  <si>
    <t>MORTERO IMPERMEABILIZANTE PROPAM IMPE EN PAVIMENTOS CAPA DE 3MM</t>
  </si>
  <si>
    <t>00540828</t>
  </si>
  <si>
    <t>MORTERO IMPERMEABILIZACIÓN PROPAM IMPE GRIS 25 KG Ref.: 00540828</t>
  </si>
  <si>
    <t>AIS07</t>
  </si>
  <si>
    <t>MORTERO IMPERMEABILIZANTE DANOCRET PROTECT FLEX 2C</t>
  </si>
  <si>
    <t>Impermeabilización con DANOCRET Protect Flex 2C con malla de fibra de vidrio antiálcalis, formado por dos capas de membrana cementosa PCC flexible e impermeable bicomponente para la protección superficial e impermeabilización del hormigón y el mortero. Formulado a base de conglomerantes hidráulicos, áridos seleccionados y polímeros que le proporcionan una excelente elasticidad, adherencia y capacidad impermeabilizante. El precio no incluye el revestimiento.</t>
  </si>
  <si>
    <t>danocret</t>
  </si>
  <si>
    <t>Danocret Protect Flex 500 Gris 15 kg</t>
  </si>
  <si>
    <t>00001705</t>
  </si>
  <si>
    <t>MALLA AZUL ESPECIAL MORTERO 50 M Ref.: 00001705</t>
  </si>
  <si>
    <t>PINT032</t>
  </si>
  <si>
    <t>o HIDROFUGANTE Y ANTI-GRAFITI SIKAGARD 790</t>
  </si>
  <si>
    <t>Impregnación diseñada para la protección de todo tipo de soportes porosos minerales contra la penetración de líquidos en base agua y aceites, y para prevenir o reducir significativamente la tendencia a la aparición de manchas</t>
  </si>
  <si>
    <t>ma-obramat-25028586</t>
  </si>
  <si>
    <t>IMPREGNACION SIKAGARD 790 de 5L</t>
  </si>
  <si>
    <t>AIS11</t>
  </si>
  <si>
    <t>MORTERO IMPERMEABILIZACIÓN IMPE FLEX DE 2MM</t>
  </si>
  <si>
    <t>Impermeabilización bajo revestimiento cerámico o petreo, en paramentos verticales y horizontales de locales húmedos, con MORTERO IMPERMEABILIZACIÓN IMPE FLEX es un mortero monocomponente que actúa de recubrimiento flexible impermeabilizante, está formulado a base de cemento, áridos seleccionados, y resinas impermeabilizantes especiales. Aplicacion de 2 manos correspondientes a 4kg/m2.</t>
  </si>
  <si>
    <t>00540829</t>
  </si>
  <si>
    <t>MORTERO IMPERMEABILIZACIÓN BIGMAT IMPE FLEX GRIS 15 KG Ref.: 00540829</t>
  </si>
  <si>
    <t>AIS12</t>
  </si>
  <si>
    <t>MORTERO IMPERMEABILIZANTE SIKA TOP SEAL 107</t>
  </si>
  <si>
    <t>Reparación de impermeabilización, SikaTop® Seal-107 es un mortero impermeabilizante de dos componentes, a base de una mezcla de cemento que incorpora aditivos especiales y polímeros modifi cados, aplicado con brocha en dos o más capas sobre el soporte humedecido, hasta conseguir un espesor mínimo total de 2 mm.</t>
  </si>
  <si>
    <t>SIKASEAL107</t>
  </si>
  <si>
    <t>Mortero impermeabilizante SikaTop Seal 107 Lote 25 Kg</t>
  </si>
  <si>
    <t>AIS13-oki</t>
  </si>
  <si>
    <t>TRATAMIENTO DE HUMEDADES POR CAPILARIDAD EN MUROS MEDIANTE INYECCIONES</t>
  </si>
  <si>
    <t>Tratamiento con barrera antihumedad basada en silosanos para tratamiento de humedades por capilaridad en muros de mampostería o de fábrica a una cara, con producto SikaMur® InjectoCream-100 o similar, sustancia repelente al agua, con perforaciones mediante taladros, y con una separación indicada en ficha tecnica del producto aplicado. El precio no incluye la eliminación del revestimiento existente ni la realización del revestimiento posterior.</t>
  </si>
  <si>
    <t>WHYDROMUR</t>
  </si>
  <si>
    <t>REVAT CAL PROPAMSA</t>
  </si>
  <si>
    <t>sikamur600</t>
  </si>
  <si>
    <t>BARRERA ANTIHUMEDAD SIKAMUR INJECTOCREAM-100 600 CM</t>
  </si>
  <si>
    <t>pistsika</t>
  </si>
  <si>
    <t>PISTOLA TUBULAR PARA MASILLAS 600ML</t>
  </si>
  <si>
    <t>AIS14.1</t>
  </si>
  <si>
    <t>HIDROFUGADO TRANSPARENTE PARA FACHADAS</t>
  </si>
  <si>
    <t>Tratamiento superficial de protección hidrófuga para fachadas de piedra natural, mediante impregnación hidrófuga incolora, Antipluviol
W "MAPEI SPAIN", aplicada en manos sucesivas hasta la saturación del elemento (rendimiento: 0,75 kg/m²).</t>
  </si>
  <si>
    <t>00540897</t>
  </si>
  <si>
    <t>ANTIPLUVIOL W GARRAFA 10 KG. HIDRORREPELENTE SILICÓNICO Ref.: 00540897</t>
  </si>
  <si>
    <t>AIS17-MNR-01</t>
  </si>
  <si>
    <t>XXXXXX REVESTIMIENTO CON IMPERMEABILIZANTE FIBRA LIQUIDO DE POLIURETANO</t>
  </si>
  <si>
    <t>REVESTIMIENTO CON IMPERMEABILIZANTE FIBRA LIQUIDO DE POLIURETANO</t>
  </si>
  <si>
    <t>ma-lp-00571314</t>
  </si>
  <si>
    <t>Impermeabilizante fibrado con poliuretano de BIGMAT; color teja (15 litros/bidón).   Ref. lp-00571314</t>
  </si>
  <si>
    <t>AIS14.2</t>
  </si>
  <si>
    <t>IMPREGNACION HIDROFUGA</t>
  </si>
  <si>
    <t>Aplicación manual de una mano de impregnación hidrófuga incolora, para la protección del hormigón o mortero frente a la humedad, la intemperie y las heladas.</t>
  </si>
  <si>
    <t>ma-lp-00394158</t>
  </si>
  <si>
    <t>Protector hidrofugado antisalitre HYDROREP ECO de FILA (5 litros/envase).   Ref. lp-00394158</t>
  </si>
  <si>
    <t>AIS20-MNR-01-V-AT</t>
  </si>
  <si>
    <t>MORTERO IMPERMEABILIZANTE FLEXIBLE BICOMPONENTE SIKATOP-209 ES; MEDIANTE USO DE ANDAMIO TUBULAR</t>
  </si>
  <si>
    <t>ma-manau-49189-sikatop209es</t>
  </si>
  <si>
    <t>lote</t>
  </si>
  <si>
    <t>Mortero bicomponente de impermeabilización flexible SIKATOP-209 ES de SIKA (32 kg/lote A+B).   Ref. manau-49189</t>
  </si>
  <si>
    <t>AIS20-MNR-01-V-MS</t>
  </si>
  <si>
    <t>MORTERO IMPERMEABILIZANTE FLEXIBLE BICOMPONENTE SIKATOP-209 ES; MEDIANTE USO DE MEDIO SUSPENDIDO/COLGADO</t>
  </si>
  <si>
    <t>AIS21</t>
  </si>
  <si>
    <t>IMPERMEABILIZACION DE BALCON CON MORTERO INFINITY</t>
  </si>
  <si>
    <t>Impermeabilització de terres de balcons amb morter Infinity en pols a base de resines i additius especials per a capes de regularització de paviments, impermeable i d'alta resistència. Marcat CE conforme a la norma europea UNI EN 998G1. Acabat rugós per complir amb el C3 de la DB-SUA.</t>
  </si>
  <si>
    <t>ma-pp-infin-fix</t>
  </si>
  <si>
    <t>INFINITY FIX 5KG</t>
  </si>
  <si>
    <t>ma-pp-micro-blnc</t>
  </si>
  <si>
    <t>INFINITY MICROCEMENTO MD.1C. BLANCO 20KG</t>
  </si>
  <si>
    <t>ma-pp-infin-fiber</t>
  </si>
  <si>
    <t>INFINITY FIBER (Fibras P/20KG) 120GR</t>
  </si>
  <si>
    <t>ma-pp-infin-micro-blnc</t>
  </si>
  <si>
    <t>ma-pp-incin-sealer</t>
  </si>
  <si>
    <t>INFINITY SEALER 0.75L</t>
  </si>
  <si>
    <t>ma-pp-infin-finish</t>
  </si>
  <si>
    <t>INFINITY FINISH 2C. MATE 3,25L</t>
  </si>
  <si>
    <t>PINT029</t>
  </si>
  <si>
    <t>o HIDROFUGANTE SIKAGARD 703W</t>
  </si>
  <si>
    <t>Hidrofugante Sikagard 703 W es una emulsión, lista para su uso, a base de silanos y siloxanos, que actúa como hidrofugante. Usos Se utiliza como impregnación para hidrofugar fachadas y proteger la edificiación frente a la penetración de agua. Se puede aplicar sobre hormigón, mortero, mampostería, ladrillo, piedra natural, fi brocemento, etc.</t>
  </si>
  <si>
    <t>ma-s.lucia-sikagard703w</t>
  </si>
  <si>
    <t>Hidrofugo SIKAGARD 703W 5L</t>
  </si>
  <si>
    <t>CUB21-OK</t>
  </si>
  <si>
    <t>MORTERO IMPERMEABILIZANTE</t>
  </si>
  <si>
    <t>Impermeabilización de menaje horizontal con mortero impermeabilizante, monocomponente, de base cemento y resinas sintéticas, tipo Sika Monotop 107 Seal, de 2 mm de espesor aplicado en dos o tres capas (4kg/m2), previo repicado, limpieza y cepillado del antiguo revestimiento y con acabado fratasado.</t>
  </si>
  <si>
    <t>ma-bauhaus-sikatopseal107</t>
  </si>
  <si>
    <t>Mortero de impermeabilización SIKATOP SEAL-107 de SIKA (25 kg/saco).   Ref. bauhaus-sikatopseal107</t>
  </si>
  <si>
    <t>CUBIMP02-MNR-02</t>
  </si>
  <si>
    <t>IMPERMEABILIZACIÓN CON MORTERO HIDRÁULICO FLEXIBLE "IMPE FLEX" DE PROPAMSA</t>
  </si>
  <si>
    <t>Impermeabilización con mortero hidráulico flexible "IMPE FLEX" de PROPAMSA</t>
  </si>
  <si>
    <t>ma-lp-00388436</t>
  </si>
  <si>
    <t>Malla impermeabilizante GEOTEXTIL A-154 de JIMTEN (5x1,5 m/rollo).   Ref. lp-00388436</t>
  </si>
  <si>
    <t>CUBIMP02-MNR-03</t>
  </si>
  <si>
    <t>IMPERMEABILIZACIÓN CON PRODUCTO MINERAL EN CAPA FINA "WEBERDRY IMPER F" de WEBER</t>
  </si>
  <si>
    <t>Impermeabilización con producto mineral en capa fina "WEBERDRY IMPER F" de WEBER</t>
  </si>
  <si>
    <t>ma-prolisur-08</t>
  </si>
  <si>
    <t>Impermeabilizante mineral en capa fina WEBERDRY IMPER F de WEBER (25 kg/saco).   Ref. prolisur-08</t>
  </si>
  <si>
    <t>CUB</t>
  </si>
  <si>
    <t>o CUBIERTAS</t>
  </si>
  <si>
    <t>CUB001</t>
  </si>
  <si>
    <t>o EXTRACCION DE PAVIMENTO E IMPERMEABILIZACION EXISTENTE</t>
  </si>
  <si>
    <t>Extracción de sistema de impermeabilización existente consistente en la retirada del pavimento de rasilla colocada con mortero de cemento, retirada de lámina impermeabilizante existente hasta alcanzar la base consolidada o pendientes sin dañar la estructura soporte, todo ello realizado con medios manuales.</t>
  </si>
  <si>
    <t>CUB002</t>
  </si>
  <si>
    <t>o REGATA EN EL PERIMETRO BAJO DEL MURO</t>
  </si>
  <si>
    <t>Apertura de regatas perimetrales en paramento vertical a una altura aproximada de 15cm para poder empotrar la lámina impermeabilizante.</t>
  </si>
  <si>
    <t>CUB003</t>
  </si>
  <si>
    <t>o FORMACION DE MEDIAS CAÑAS</t>
  </si>
  <si>
    <t>Formación de medias cañas con mortero en zonas perimetrales del muro de terraza para asentamiento del la lamina impermeabilizante.</t>
  </si>
  <si>
    <t>CUB004</t>
  </si>
  <si>
    <t>o RESTITUCION DE PENDIENTES</t>
  </si>
  <si>
    <t>Capa de regularización de mortero de cemento de 4 cm de espesor medio para formación de pendientes, para su posterior uso como soporte de la impermeabilización. Incluso replanteo y marcado de los niveles de acabado, colocación de banda de panel rígido de poliestireno expandido de espesor en el perímetro, formación de las juntas de retracción y curado de la superficie.</t>
  </si>
  <si>
    <t>CUB005</t>
  </si>
  <si>
    <t>o IMPERMEABILIZACIÓN CON LÁMINA  ASFALTICA APP BIGMAT PLUS FV 40</t>
  </si>
  <si>
    <t>Impermeabilización con Lámina para impermeablización cubierta Lámina APP BigMat Plus FV 40 es lámina impermeabilización de betún aditivado de 4 Kg/m2 Armada velo de vidrio. Film fusible en cara inferior y superior, totalmente adherida al soporte con soplete.</t>
  </si>
  <si>
    <t>ma-lp-00274122</t>
  </si>
  <si>
    <t>Primer de impermeabilización, emulsión asfáltica AQUASEAL BIGMAT de SOPREMA; color negro (25 kg/envase).   Ref. lp-00274122</t>
  </si>
  <si>
    <t>ma-lp-00269977</t>
  </si>
  <si>
    <t>Lámina Impermeabilizante de betún aditivado APP BIGMAT PLUS FV 40 (MOPLY N PLUS FV 4 KG de SOPREMA) con fieltro FV; espesor 3 mm (10x1 m/rollo). Ref. lp-00269977</t>
  </si>
  <si>
    <t>CUB006</t>
  </si>
  <si>
    <t>o GEOTEXTIL</t>
  </si>
  <si>
    <t>Geotextil no tejido Geotextil no tejido formado por fibras de poliéster y una masa superficial de 200 g/m². Colocación en obra: con solapes, directamente bajo el aislamiento térmico.</t>
  </si>
  <si>
    <t>ma-lp-00179615</t>
  </si>
  <si>
    <t>Lámina geotextil de poliéster ROOFTEX V de SOPREMA; 150 gr/m2 (50x1,1 m/rollo).   Ref. lp-00179615</t>
  </si>
  <si>
    <t>CUB007</t>
  </si>
  <si>
    <t>o PAVIMENTO DE RASILLA 14x28</t>
  </si>
  <si>
    <t>Suministro y colocación de pavimento de rasilla cerámica natural de 14x28 cm, colocada a punta de paleta con mortero 1:2:10 elaborado en obra, formación de juntas de dilatación cada 5m incluso rejuntado remates y limpieza, sellado de junta de dilatación con resinas de poliuretano. incluye borada.</t>
  </si>
  <si>
    <t>CUB009</t>
  </si>
  <si>
    <t>o FORMACION DE MIMBEL RASILLA 14x28</t>
  </si>
  <si>
    <t>CUB010</t>
  </si>
  <si>
    <t>o FORMACION DE MIMBEL BALDOSA CERAMICA 25x25</t>
  </si>
  <si>
    <t>ZOCALO CERAMICO</t>
  </si>
  <si>
    <t>CUB011</t>
  </si>
  <si>
    <t>o SUMIDERO</t>
  </si>
  <si>
    <t>Suministro y colocacion de un nuevo sumidero de PVC de medidas con cierre sifonico para tubo pvc D-110. Incluye: Cazoleta.</t>
  </si>
  <si>
    <t>ma-lp-00001955</t>
  </si>
  <si>
    <t>Sumidero sifónico CEM de aluminio 20x20 cm con vaso-salida vertical 75 mm.   Ref. lp-00001955</t>
  </si>
  <si>
    <t>ma-lp-00257943</t>
  </si>
  <si>
    <t>Cazoleta de caucho EPDM desagüe para cubiertas con paragravillas; faldilla: 320 mm, bajante: 235 mm., diámetro: 110 mm.   Ref. lp-00257943</t>
  </si>
  <si>
    <t>CUB012</t>
  </si>
  <si>
    <t>o RETIRO DE JUNTAS Y REJUNTADO DE PAVIMENTO CERAMICO</t>
  </si>
  <si>
    <t>Retiro de juntas y rejuntado de pavimento de baldosas cerámicas, mediante mortero de juntas cementoso mejorado, con absorción de agua reducida, color blanco, para juntas de 2 a 15 mm, previa eliminación del material de juntas existente con medios manuales.</t>
  </si>
  <si>
    <t>ma-lp-00394135</t>
  </si>
  <si>
    <t>Detergente quitacemento DETERDEK de FILA (5 litros/envase).   Ref. lp-00394135</t>
  </si>
  <si>
    <t>CUB013</t>
  </si>
  <si>
    <t>o SELLADO DE JUNTA DE DILATACION</t>
  </si>
  <si>
    <t>Sellado de junta de dilatación horizontal en forjado, con una anchura media de junta de 10 mm, con panel rígido de lana mineral de 40 mm de espesor como material de relleno, recubierto por la cara superior con una capa de 6 mm de espesor de sellador elástico de silicona con propiedades ignífugas, color gris.</t>
  </si>
  <si>
    <t>panelrig</t>
  </si>
  <si>
    <t>Panel rígido de lana mineral, según UNE-EN 13162, no revestido, de 40mm</t>
  </si>
  <si>
    <t>CUB014</t>
  </si>
  <si>
    <t>o SELLADO DE JUNTA CON CORDON DE POLIETILENO</t>
  </si>
  <si>
    <t>Sellado de junta de dilatación de 15 mm de anchura, en paramento horizontal exterior, con masilla elastómera monocomponente a base de poliuretano, de color blanco, sobre cordón de polietileno expandido de celdas cerradas, de sección circular de 20 mm de diámetro; acabado mediante alisado del material con espátula.</t>
  </si>
  <si>
    <t>ma-lp-00540928</t>
  </si>
  <si>
    <t>Cordón de espuma polietilénica extruida MAPEFOAM de MAPEI (1 m x 25 mm/pza).   Ref. lp-00540928</t>
  </si>
  <si>
    <t>CUB014TV</t>
  </si>
  <si>
    <t>o SELLADO DE JUNTA CON CORDON DE POLIETILENO C/TRABAJOS VERTICALES ( PT / CB )</t>
  </si>
  <si>
    <t>Sellado de junta de dilatación de 15 mm de anchura CON TRABAJOS VERTICALES, en paramento horizontal exterior, con masilla elastómera monocomponente a base de poliuretano, de color blanco, sobre cordón de polietileno expandido de celdas cerradas, de sección circular de 20 mm de diámetro; acabado mediante alisado del material con espátula.</t>
  </si>
  <si>
    <t>CUB015</t>
  </si>
  <si>
    <t>o REJUNTADO CON SIKACERAM-670 ELITE</t>
  </si>
  <si>
    <t>Rejuntado de pavimento de baldosas cerámicas con SIKACERAM-670 ELITE, mediante mortero de juntas cementoso mejorado, con absorción de agua reducida, color blanco, para juntas de 2 a 15 mm, previa eliminación del material de juntas existente con medios manuales.</t>
  </si>
  <si>
    <t>ma-web-Sikaceram670</t>
  </si>
  <si>
    <t>Sikaceram 670 Elite (Bolsa 5 Kg)</t>
  </si>
  <si>
    <t>CUB016</t>
  </si>
  <si>
    <t>o IMPERMEABILIZACION CON POLIURETANO PU BIGMAT TEJA</t>
  </si>
  <si>
    <t>Impermeabilizacion con membrana de poliuretano monocomponente en color blanco, gris o terracota, de aplicación en frío, con tecnología activada por la humedad. Cura formando una membrana impermeabilizante continua y duradera para cubiertas expuestas así como para patios, terrazas y cubiertas.</t>
  </si>
  <si>
    <t>CUB017</t>
  </si>
  <si>
    <t>o IMPERMEABILIZACIÓN CON POLIURETANO SIKAFILL-420 DE SIKA</t>
  </si>
  <si>
    <t>Impermeabilización con membrana acrílica líquida de poliuretano SIKAFILL-420 de SIKA; incluye primer del mismo producto diluido con agua 10%</t>
  </si>
  <si>
    <t>ma-lm-90779424</t>
  </si>
  <si>
    <t>Membrana acrílica líquida impermeabilizante SIKAFILL-420 EXTREME de SIKA (20 kg/bidón).   Ref. lm-90779424</t>
  </si>
  <si>
    <t>ma-vtc-97480</t>
  </si>
  <si>
    <t>Malla TNT de Poliéster SIKALASTIC FLEECE 120 de SIKA (50 mx100 cm/rollo).   Ref. vtc-97480</t>
  </si>
  <si>
    <t>CUB018</t>
  </si>
  <si>
    <t>o IMPERMEABILIZACION CON POLIURETANO MARISEAL 250</t>
  </si>
  <si>
    <t>Impermeabilización líquida de cubiertas, galerias y balcones. Sistema MARISEAL 250 formado por mMembrana de poliuretano monocomponente impermeable de aplicación líquida, altamente elástica, de aplicación y secado en frío, MARISEAL 250, previa aplicación de imprimación de poliuretano base agua, transparente, semi-rígida, de alta penetración, monocomponente y de secado rápido mariseal 710, colocación de malla en toda la superficie y en puntos singulares, acabado con una mano de Barniz de poliuretano alifático monocomponente, de aplicación líquida y secado en frío, para tránsito ligero de personas MARISEAL 400.</t>
  </si>
  <si>
    <t>mrsl250</t>
  </si>
  <si>
    <t>Membrana de poliuretano Mariseal 250</t>
  </si>
  <si>
    <t>mar710</t>
  </si>
  <si>
    <t>Imprimacion MARISEAL 710</t>
  </si>
  <si>
    <t>mar400</t>
  </si>
  <si>
    <t>Barniz MARISEAL 400</t>
  </si>
  <si>
    <t>CUB019</t>
  </si>
  <si>
    <t>o IMPERMEABILIZACION CON POLIURETANO SIKALASTIC 612</t>
  </si>
  <si>
    <t>Impermeabilizacion con Sikalastic 612 con membrana de poliuretano monocomponente en color blanco, gris o terracota, de aplicación en frío, con tecnología activada por la humedad. Cura formando una membrana impermeabilizante continua y duradera para cubiertas expuestas así como para terrazas y cubiertas.</t>
  </si>
  <si>
    <t>ma-s.lucia-02</t>
  </si>
  <si>
    <t>Imprimante de poliuretano para impermeabilización de cubiertas con membrana líquida SIKA CONCRETE PRIMER de SIKA (12 kg/bidón).   Ref. s.lucia-02</t>
  </si>
  <si>
    <t>ma-obramat-10363115</t>
  </si>
  <si>
    <t>SIKALASTIC 612 de SIKA; color terracota (15 litros/envase).</t>
  </si>
  <si>
    <t>CUB020</t>
  </si>
  <si>
    <t>o IMPERMEABILIZACION CON POLIURETANO MASTERSEAL M 640 BASF</t>
  </si>
  <si>
    <t>Impermeabilización de cubiertas, realizada mediante el sistema para revestir MasterSeal 640 "BASF Construction Chemical", con DITE - 05/0197, formada por: membrana elástica impermeabilizante a base de poliuretano, MasterSeal M 640 "BASF Construction Chemical", aplicada mediante brocha, rodillo o pistola; previa imprimación con MasterSeal P 640 "BASF Construction Chemical", aplicada con brocha, rodillo o pistola, sobre superficie soporte cementosa (no incluida en este precio).</t>
  </si>
  <si>
    <t>MSTSP640</t>
  </si>
  <si>
    <t>Imprimacion a base de poliuretano MasterSeal P 640</t>
  </si>
  <si>
    <t>MSTSML640</t>
  </si>
  <si>
    <t>MasterSeal M 640</t>
  </si>
  <si>
    <t>CUB021</t>
  </si>
  <si>
    <t>o IMPERMEABILIZACIÓN CON MEMBRANA IMPERMEABILIZANTE REVESTIBLE BICOMPONENTE ARDEX 8+9</t>
  </si>
  <si>
    <t>IMPERMEABILIZACIÓN CON MEMBRANA IMPERMEABILIZANTE REVESTIBLE BICOMPONENTE ARDEX 8+9</t>
  </si>
  <si>
    <t>ma-ardex.tarifario.2024-61111</t>
  </si>
  <si>
    <t>Banda geotextil de refuerzo para impermeabilización ARDEX SK12 (50 m/rollo).   Ref. ardex.tarifario.2024-61111</t>
  </si>
  <si>
    <t>ma-pinturas.mata-433739000</t>
  </si>
  <si>
    <t>Membrana impermeabilizante revestible bicomponente ARDEX 8 + 9 (20 kg/pack).   Ref. pinturas.mata-433739000</t>
  </si>
  <si>
    <t>CUB022</t>
  </si>
  <si>
    <t>o IMPERMEABILIZACIÓN CON MEMBRANA LÍQUIDA FLEXIBLE MAPELASTIC AQUADEFENSE DE MAPEI</t>
  </si>
  <si>
    <t>Membrana líquida flexible a base de resinas sintéticas; de secado ultra rápido y consistencia pastosa para impermeabilización de superficies internas y externas. Aplicación (lista para usar): rodillo, brocha o espátula.</t>
  </si>
  <si>
    <t>ma-lp-00567972</t>
  </si>
  <si>
    <t>Membrana líquida flexible impermeabilizante MAPELASTIC AQUADEFENSE de MAPEI (7,5kg/bote). Ref.: 00567972</t>
  </si>
  <si>
    <t>ma-interazulejo-mapetex</t>
  </si>
  <si>
    <t>Malla de Refuerzo TNT Macroperforado de Polipropileno MAPETEX SEL de MAPEI (25 m/rollo; ancho 1 m).   Ref. lechada.es-41625</t>
  </si>
  <si>
    <t>CUB023</t>
  </si>
  <si>
    <t>o IMPERMEABILIZACION CON PINTURA DE CAUCHO AGUASTOP DE CEYS</t>
  </si>
  <si>
    <t>Suministro y colocacion de impermeabilizacion sobre superficie actual de pavimento y mimbel con pintura de caucho acrílico con fibras, es una dispersión acuosa de copolímeros acrílicos auto-reticulables con cargas y fibras de refuerzo que le confieren al producto, una vez seco, elasticidad y una gran resistencia mecánica. La película, una vez seca, es impermeable, elástica, transpirable y duradera a la intemperie de aplicacion en frio, aplicando. Incluye: Malla de refuerzo de geotextil.</t>
  </si>
  <si>
    <t>ma-lp-00158349</t>
  </si>
  <si>
    <t>CAUCHO ACRÍLICO CON FIBRAS AGUASTOP CAUCHO FIBRAS CEYS ROJO 20 KG Ref.: 00158349</t>
  </si>
  <si>
    <t>CUB024</t>
  </si>
  <si>
    <t>o IMPERMEABILIZACION CON PINTURA SIKAFILL-200 FIBRAS</t>
  </si>
  <si>
    <t>Aplicacion de SIKAFILL-200, revestimiento elástico de consistencia cremosa, a base de copolímeros estireno- acrílicos en emulsión acuosa, con fibras de vidrio, que una vez seco forma una película flexible, impermeable y duradera.</t>
  </si>
  <si>
    <t>ma-leroy-13976711</t>
  </si>
  <si>
    <t>Pintura impermeabilizante SIKAFILL 200 fibras 20KG rojo</t>
  </si>
  <si>
    <t>CUB025</t>
  </si>
  <si>
    <t>o IMPERMEABILIZACION CON PINTURA HIBRIDA ACRILICA-POLIURETANO CAMPOLIN NEO</t>
  </si>
  <si>
    <t>Suministro y colocacion de impermeabilizacion sobre superficie actual de pavimento y mimbel con resina hibrida Acrilica-Poliuretano de alta densidad, sin disolventes, que forma un revestimiento elastico impermeable al agua, transpirable al vapor de agua que permite que el soporte pueda respirar, gran elongacion y capacidad de absorver los movimientos propios de la cubierta por cambios de temperatura o asentamientos, elevada resistencia a los agentes atmosfericos, ideal para renovacion de cubiertas impermeabilizadas anteriormente con caucho. Incluye: Malla de fibra de vidrio indicada para el refuerzo en impermeabilización de cubiertas y terrazas, evitando la aparición de fisuras y grietas.</t>
  </si>
  <si>
    <t>ma-lp-00569901</t>
  </si>
  <si>
    <t>CAMPOLIN NEO, ROJO 20 KG - Ref.: 00569901</t>
  </si>
  <si>
    <t>CUB026</t>
  </si>
  <si>
    <t>o IMPERMEABILIZACIÓN CON PINTURA ASFÁLTICA "TEXPUR-SOPREM" CAPA 1,6mm</t>
  </si>
  <si>
    <t>Impermeabilización con pintura asfáltica "texpur-soprem"; grosor/capa 1,6 mm (CUB).
Mínima Cantidad Consumida: 2,4 kg/m2.</t>
  </si>
  <si>
    <t>ma-lp-00305007</t>
  </si>
  <si>
    <t>Primer de impermeabilización, emulsión asfáltica EMUFAL PRIMER de SOPREMA para preparar soporte a impermeabilizar (24 litros/bidón).   Ref. lp-00305007</t>
  </si>
  <si>
    <t>ma-lp-00291743</t>
  </si>
  <si>
    <t>Pintura impermeabilizante TEXPUR de SOPREMA; color rojo (25 kg/bidón).   Ref. lp-00291743</t>
  </si>
  <si>
    <t>CUB027</t>
  </si>
  <si>
    <t>o IMPERMEABILIZACIÓN CON PINTURA ASFÁLTICA "TEXPUR-SOPREM" CAPA 2,9mm</t>
  </si>
  <si>
    <t>Impermeabilización con pintura asfáltica "TEXPUR-SOPREM"; grosor/capa 2,9 mm (CUB).
Mínima Cantidad Consumida: 4,1 kg/m2.</t>
  </si>
  <si>
    <t>CUB028</t>
  </si>
  <si>
    <t>o IMPRIMACION EMULSIÓN ASFALTICA BITUMINOSA</t>
  </si>
  <si>
    <t>Suministro y colocacion de imprimacion con emulsion asfaltica para lámina de impermeablización en cubierta adherida al soporte con soplete.</t>
  </si>
  <si>
    <t>CUB029</t>
  </si>
  <si>
    <t>o IMPERMEABILIZACIÓN CON LÁMINA  ASFALTICA DOBLE APP BIGMAT PLUS FV 40</t>
  </si>
  <si>
    <t>IMPERMEABILIZACIÓN CON DOBLE LÁMINA  ASFÁLTICA DE BETÚN CON FIELTRO DE FIBRA DE VIDRIO; INCLUYE ADHESIVO CON EMULSIÓN ASFÁLTICA EN PASTA (CUB)</t>
  </si>
  <si>
    <t>CUB030</t>
  </si>
  <si>
    <t>o IMPERMEABILIZACIÓN CON LÁMINA  ASFÁLTICA SBS FP CON ACABADO PIZARRA COLOR GRIS</t>
  </si>
  <si>
    <t>Impermeabilización con lámina impermeable autoprotegida Morterplas SBS FP 4kg formada por base de betún elastomérico SBS con armadura de poliéster y autoproteccion mineral color gris, entregada en la barandilla de obra, por medio de una zanja.</t>
  </si>
  <si>
    <t>ma-lp-00563154</t>
  </si>
  <si>
    <t>Lámina impermeabilizante de betún elastómero SBS con armadura de poliéster MORTERPLAS SBS FP 4KG de SOPREMA (10x1 m/rollo gris).   Ref. lp-00563154</t>
  </si>
  <si>
    <t>CUB031</t>
  </si>
  <si>
    <t>o IMPERMEABILIZACION CON LAMINA  ASFALTICA ELAST FV CON ACABADO PIZARRA COLOR ROJO</t>
  </si>
  <si>
    <t>Impermeabilización con lamina SBS BigMat ELAST FV 40 a base de betún modificado con plastómeros, tipo APP, con autoprotección mineral y armadura de fieltro de fibra de vidrio. Acabado una cara con laminillas de pizarra, excepto una banda de 8 cm para el solape y la otra con antiadherente de plástico. Se utiliza en sistemas de impermeabilización tipo bicapa con protección ligera (autoprotección), de acuerdo con las membranas GA-2, GA-5 y GA-6 de la norma UNE 104-402, adecuadas para la impermeabilización de cubiertas de edificios. Color pizagrra rojo. Rollo de 10x1 m. Espesor: 3 mm. Peso: 40 kg. Masa: 4,0 kg /m².</t>
  </si>
  <si>
    <t>ma-lp-00278899</t>
  </si>
  <si>
    <t>Lámina impermeabilizante de betún elastómero SBS con fieltro FV SBS BIGMAT ELAST FV 40 1X10 ROJA (MORTERPLAS SBS FV 4 KG de SOPREMA); espesor 3 mm (10x1 m/rollo).   Ref. lp-00278899</t>
  </si>
  <si>
    <t>CUB032</t>
  </si>
  <si>
    <t>o IMPERMEABILIZACION CON LAMINA SCHLUTER DITRA 25</t>
  </si>
  <si>
    <t>Impermeabilización balcones con suministro y colocación de una lámina Schlüter DITRA 25 , lámina de polietileno con estructura cuadriculada , conformada en forma de cola de golondrina , con una tela sin tejer en su reverso, que actúa como impermeabilización , como equilibra instalada con cemento adhesivo flexible colocada con lana dentada según prescripciones fabricante. Se realizará refuerzo sobre encuentros con paramentos verticales (minveles empotrados en paredes).</t>
  </si>
  <si>
    <t>ma-lp-00009520</t>
  </si>
  <si>
    <t>Lámina impermeabilización Schlüter-Ditra rollo de 5 m2</t>
  </si>
  <si>
    <t>CUB033</t>
  </si>
  <si>
    <t>o IMPERMEABILIZACION CON LAMINA EPDM DE 1.2MM</t>
  </si>
  <si>
    <t>Impermeabilizacion con lamina EPDM de 1.2mm, adhesivo de reticulación y contacto, a base de con cauchos sintéticos y base disolvente. Se usa para la unión por solape entre láminas impermeables de EPDM y entre láminas de butilo, así como para la adhesión de estas láminas sobre diversos sustratos y superficies como hormigón, cemento, madera y metal. Muy buena adherencia, resistencia al envejecimiento, frío o calor. Color negro.</t>
  </si>
  <si>
    <t>CUB034</t>
  </si>
  <si>
    <t>o IMPERMEABILIZACIÓN DE CUBIERTA PLANA CON SISTEMA CHOVATERM BICAPA ADHESIVO NATURE (CHOVATERM XPS-50 POL PY 30)</t>
  </si>
  <si>
    <t>Suministro y aplicación de sistema de impermeabilización y de aislamiento térmico para cubiertas en rehabilitación, en cubierta plana, con pendiente inferior al 15%, no transitable, no ventilada, mediante solución CHOVATERM BICAPA de CHOVA, fijado mecánicamente sobre soporte resistente de pavimento cerámico y mortero existente, etc. El sistema se compone de aislamiento térmico y capa inferior de la impermeabilización con: sistema CHOVATERM XPS-40 POL PY 30 de CHOVA fijado mecánicamente al soporte, formado por lamas de aislamiento térmico de poliestireno extruido XPS CHOVAFOAM de 50 mm de grosor, unidas térmicamente a una lámina POLITABER POL PY 30 de CHOVA, lámina de betún modificado con elastómeros SBS, LBM-30-FP, que actúa como capa base de la impermeabilización; fijaciones: fijaciones mecánicas al soporte con 4 fijaciones cada m2; capa superior de la impermeabilización: lámina de betún modificado con elastómeros SBS, POLITABER NATURE COMBI 50/G color a escoger, con granulometría mineral de color según lámina CHOVA. Incluye parte proporcional de refuerzos necesarios en puntos singulares como: Encuentro con paramento vertical mediante la colocación de perfil de chapa de acero galvanizado con cordón de sellado, para remate y protección de la impermeabilización formada por: banda de refuerzo de 30 cm de ancho, realizado a partir de lámina LBM(SBS)-30-FP, POLITABER POL PY 30 «CHOVA», con armadura de fieltro de poliéster no tejido, acabado inferior y exterior de plástico, y remate con pieza de finalización de 50 cm de desarrollo con lámina LBM(SBS)-50/G-FP, POLITABER NATURE COMBI 50/G CHOVA; TRABAMIENTO CON BONERAS: realización de rebaje alrededor de las sumideros (6 unidades) de unos 7-10 mm y 92×100 cm de ancho máximo, con una pieza de 92 x 100 cm de CHOVATERM XPS 50 POL PY 30 fijado al soporte; colocación de sumideros compatibles con láminas asfálticas y paragravillas, surtida vertical, de 100 mm de diámetro, sobre el ChovATERM XPS 50 POL PY 30; colocado de pieza de refuerzo inferior (sobresaliendo 15 cm del ala de la cazoleta) de lámina LBM(SBS)-30-FP, POLITABER POL PY 30 «CHOVA»; colocación de piezas de refuerzo superior con la lámina LBM(SBS)-30-FP, POLITABER POL PY 30 CHOVA, de dimensiones máximas 92×100 cm. Toda la partida ejecutada según manual del fabricante.</t>
  </si>
  <si>
    <t>ma-manau-CHOVATERM.XPS-50POLPY30</t>
  </si>
  <si>
    <t>Lámina impermeabilizante con aislante térmico XPS-50 mm CHOVATERM XPS POL PY 30 de CHOVA (5x1 m/rollo).   Ref. Ref. manau-CHOVATERM.XPS-50POLPY30</t>
  </si>
  <si>
    <t>ma-pierre.sol-SOU.124159</t>
  </si>
  <si>
    <t>bombona</t>
  </si>
  <si>
    <t>Espuma PU adhesiva SOUDATHERM ROOF 330 de SOUDAL (10,4 kg/bombona).   Ref. pierre.sol-SOU.124159</t>
  </si>
  <si>
    <t>ma-manau-POLITABER.POL.PY.30</t>
  </si>
  <si>
    <t>Lámina de betún modificado con elastómero POLITABER POL PY 30 de CHOVA (12x1 m/rollo).…Ref. manau-POLITABER.POL.PY.30</t>
  </si>
  <si>
    <t>ma-manau-POLITABER.BANDA.33</t>
  </si>
  <si>
    <t>Lámina de betún modificado con elastómero POLITABER BANDA 33 de CHOVA (12x1 m/rollo).   Ref. manau-POLITABER.BANDA.33</t>
  </si>
  <si>
    <t>ma-manau-POLITABER.POL.PY.40</t>
  </si>
  <si>
    <t>Lámina de betún modificado con elastómero POLITABER POL PY 40 de CHOVA (10x1 m/rollo).   Ref. manau-POLITABER.POL.PY.40</t>
  </si>
  <si>
    <t>ma-om-10387356</t>
  </si>
  <si>
    <t>Cordón Sellador/Relleno bituminoso de juntas MASTIC P20 de CHOVA.   Ref. om-10387356</t>
  </si>
  <si>
    <t>ma-manau-POLITABER.NATURE.C.50Gc</t>
  </si>
  <si>
    <t>Lámina impermeabilizante de betún modificado con elastómeros SBS POLITABER NATURE COMBI 50/G de CHOVA; color (8x1 m/rollo).   Ref. manau-POLITABER.NATUREC.50Gc</t>
  </si>
  <si>
    <t>ma-om-10356864</t>
  </si>
  <si>
    <t>Perfil metálico galvanizado para remate perimetral de impermeabilización 7 cm de CHOVA.   Ref. om-10356864</t>
  </si>
  <si>
    <t>GAS-PROPANO.BUTANO</t>
  </si>
  <si>
    <t>carga</t>
  </si>
  <si>
    <t>CARGA DE GAS PROPANO/BUTANO EN BOMBONA</t>
  </si>
  <si>
    <t>CUB035</t>
  </si>
  <si>
    <t>o SOPORTE ANCLADO A MURO PARA CLARABOYA</t>
  </si>
  <si>
    <t>Suministro y colocación de soportes formados por perfiles metalicos cuadrados huecos de 60#5 mm a traves de 3 tornillos por unidad, anclados con taco quimico a muro de patio</t>
  </si>
  <si>
    <t>vilas-1233</t>
  </si>
  <si>
    <t>TUB QUADRAT 60X60X5 (2A4000+RESTES)  CASTELL VILASECA</t>
  </si>
  <si>
    <t>ma-lp-00351244</t>
  </si>
  <si>
    <t>Electrodo básico EUTECTRODE ECB 3218 CASTOLIN EUTECTIC; 3,2x350 mm (5 kg o 150 varillas/caja).   Ref. lp-00351244</t>
  </si>
  <si>
    <t>CUB036</t>
  </si>
  <si>
    <t>o VIGAS DE ACERO DE PERFIL HUECO RECTANGULAR DE 120x60#6MM</t>
  </si>
  <si>
    <t>Suministro y colocación de vigas formadas por perfiles metalicos huecos rectangulares 120 x 60
# 6 mm, mediante soldadura a pilaretes.</t>
  </si>
  <si>
    <t>ma-vilas-1946</t>
  </si>
  <si>
    <t>TUB RECTANGULAR 120x60x6MM</t>
  </si>
  <si>
    <t>CUB037</t>
  </si>
  <si>
    <t>o SANEADO Y PINTADO DE ESTRUCTURA EXISTENTE DE CLARABOYA</t>
  </si>
  <si>
    <t>Preparacion de superficie metalica y posterior pintado de la misma, incluye: lijado para proceder posteriormente a su pintado mediante aplicación manual de dos manos de esmalte sintético; previa aplicación de una mano de imprimación antioxidante, color gris.</t>
  </si>
  <si>
    <t>ma-lp-00007331</t>
  </si>
  <si>
    <t>Imprimante TODO TERRENO de BEISSIER como puente de adherencia multisuperficie; color gris (2,5 litros/envase).   Ref. lp-00007331</t>
  </si>
  <si>
    <t>ma-lp-00523842</t>
  </si>
  <si>
    <t>Esmalte ecológico al agua de Titanlux con acabado mate Color blanco. Envase de 2,5 l.Ref.: 00523842</t>
  </si>
  <si>
    <t>CUB038</t>
  </si>
  <si>
    <t>o CUBIERTA CLARABOYA DE POLICARBONATO CELULAR 6MM</t>
  </si>
  <si>
    <t>CUBIERTA DE PLACAS DE POLICARBONATO CELULAR 6 mm</t>
  </si>
  <si>
    <t>ma-lp-00563465</t>
  </si>
  <si>
    <t>Placa de policarbonato celular de ONDUCLAIR (2000x980x6 mm/placa).   Ref. lp-00563465</t>
  </si>
  <si>
    <t>ma-lp-00413509</t>
  </si>
  <si>
    <t>Perfil H de policarbonato para cubiertas ligeras translúcidas (3000x4a6 mm/pza).   Ref. lp-00413509</t>
  </si>
  <si>
    <t>ma-lp-00537566</t>
  </si>
  <si>
    <t>Perfil U de policarbonato para cubiertas ligeras translúcidas (2100x6 mm/pza).   Ref. lp-00537566</t>
  </si>
  <si>
    <t>ma-lp-00537570</t>
  </si>
  <si>
    <t>Cinta microperforada 38 mm para placas de policarbonato ONDULINE (33 m/rollo).   Ref. lp-00537570</t>
  </si>
  <si>
    <t>ma-lp-00537572</t>
  </si>
  <si>
    <t>Cinta ciega 25 mm para placas de policarbonato ONDULINE (50 m/rollo).   Ref. lp-00537572</t>
  </si>
  <si>
    <t>ma-lp-00114066</t>
  </si>
  <si>
    <t>Silicona SELLACEYS EXPRESS translúcida (280 ml/cartucho).   Ref. lp-00114066</t>
  </si>
  <si>
    <t>ma-lp-00412482</t>
  </si>
  <si>
    <t>Tornillo autoroscante cabeza hexagonal con arandela de 16 mm de HIDRAFIX (6,3x25 mm/pza; 500 pzas/bolsa).   Ref. lp-00412482</t>
  </si>
  <si>
    <t>CUB039</t>
  </si>
  <si>
    <t>o CUBIERTA CLARABOYA DE POLICARBONATO CELULAR 10MM</t>
  </si>
  <si>
    <t>Suministro y colocacion de claraboya con placas traslucida de policarbonato celular incoloro de 10mm de espesor; incluye: Perfiles en H para uniones de las placas, perfil perimetral en "U", fijaciones a estructura.</t>
  </si>
  <si>
    <t>ma-lp-00563467</t>
  </si>
  <si>
    <t>Placa de policarbonato celular de ONDUCLAIR (3000x980x10 mm/placa).   Ref. lp-00563467</t>
  </si>
  <si>
    <t>ma-lp-00413511</t>
  </si>
  <si>
    <t>Perfil H de policarbonato para cubiertas ligeras translúcidas (3000x10 mm/pza).   Ref. lp-00413511</t>
  </si>
  <si>
    <t>ma-lp-00537567</t>
  </si>
  <si>
    <t>Perfil U de policarbonato para cubiertas ligeras translúcidas (2100x10 mm/pza).   Ref. lp-00537567</t>
  </si>
  <si>
    <t>CUB040</t>
  </si>
  <si>
    <t>o CUBIERTA CLARABOYA DE POLICARBONATO CELULAR 16MM</t>
  </si>
  <si>
    <t>Suministro y colocacion de claraboya con placas traslucida de policarbonato celular incoloro de 16mm de espesor (5,59 kg/placa); incluye: Perfiles en H para uniones de las placas, perfil perimetral en "U", fijaciones a estructura.</t>
  </si>
  <si>
    <t>ma-lp-00563469</t>
  </si>
  <si>
    <t>Placa de policarbonato celular de ONDUCLAIR 5.59 kg/placa (3000x980x16 mm/placa).   Ref. lp-00563469</t>
  </si>
  <si>
    <t>ma-lp-00413513</t>
  </si>
  <si>
    <t>Perfil H de policarbonato para cubiertas ligeras translúcidas (3000x16 mm/pza).   Ref. lp-00413513</t>
  </si>
  <si>
    <t>ma-lp-00537568</t>
  </si>
  <si>
    <t>Perfil U de policarbonato para cubiertas ligeras translúcidas (2100x16 mm/pza).   Ref. lp-00537568</t>
  </si>
  <si>
    <t>CUB041</t>
  </si>
  <si>
    <t>o CUBIERTA CLARABOYA DE PLACA ONDULADA TRANNSLUCIDA</t>
  </si>
  <si>
    <t>Suministro y colocacion de claraboya con placas onduladas de poliester. Incluye: Perfiles para uniones de las placas y fijaciones a estructura.</t>
  </si>
  <si>
    <t>ma-lp-00563461</t>
  </si>
  <si>
    <t>Placa poliester Onduclair PLR gran onda 2x1,10Onduline</t>
  </si>
  <si>
    <t>ma-leroy-10610726</t>
  </si>
  <si>
    <t>Kit fijación placas gran onda pack de 10</t>
  </si>
  <si>
    <t>00411800</t>
  </si>
  <si>
    <t>GANCHO URALITA M-7 280-115-20 MM Ref.: 00411800</t>
  </si>
  <si>
    <t>CUB042</t>
  </si>
  <si>
    <t>o CUBIERTA CLARABOYA DE PLACA ONDULADA DE FIBROCEMENTO SIN AMIANTO FIJADA A EXTRUCTURA EXISTENTE</t>
  </si>
  <si>
    <t>Suministro y colocación de placas onduladas de fibrocemento sin amianto de 3000 mm de longitud, 1100 mm de ancho y 6 mm de espesor; Euroclase A1 de reacción al fuego, para cubierta inclinada, con una pendiente inferior del 10%, colocadas con un solape de la placa superior de 150 mm y fijadas mecánicamente a cualquier tipo de correa estructural. Incluso accesorios de fijación de las placas y ribete de sellado autoadhesivo para la estanqueidad del solapamiento de placas.</t>
  </si>
  <si>
    <t>ma-obramat-10425716</t>
  </si>
  <si>
    <t>Placa fibrocemento EURONIT granonda rojo rustico arcilla 2.00x1.10m</t>
  </si>
  <si>
    <t>ma-lp-00006902</t>
  </si>
  <si>
    <t>Burlete autoadhesivo de caucho para aislamiento de puertas y ventanas. Color blanco Tamaño: 6 mm x 9 m Ref.: 00006902</t>
  </si>
  <si>
    <t>ma-lp-00001069</t>
  </si>
  <si>
    <t>Accesorio gafa para cubierta ondulada Ref.: 00001069</t>
  </si>
  <si>
    <t>CUB043</t>
  </si>
  <si>
    <t>o CUBIERTA CLARABOYA DE CRISTAL DE BALDOSA GRABADA DE 18/20 DE 3.00x0.60M</t>
  </si>
  <si>
    <t>SUMINISTRO Y COLOCACION DE CRISTAL DE BALDOSA GRABADA DE 18/20</t>
  </si>
  <si>
    <t>ma-jc-crstal</t>
  </si>
  <si>
    <t>Cristal armado de 3.00 x 0.60ml baldosa grabada 18/20</t>
  </si>
  <si>
    <t>CUB044</t>
  </si>
  <si>
    <t>o CUBIERTA DE TEJAS CURVAS ROJO T2</t>
  </si>
  <si>
    <t>Cobertura de tejas cerámicas curvas, acabado con teja color rojo T2 (20x10x7,5 cm), recibidas con mortero de cemento industrial M5 o M7,5 directamente sobre la lámina asfáltica, en cubierta inclinada con pendiente &lt;=25%. El precio no incluye la lámina asfáltica, la resolución de puntos singulares ni las piezas especiales de la cobertura.</t>
  </si>
  <si>
    <t>ma-lp-00110914</t>
  </si>
  <si>
    <t>Teja cerámica curva T2 Roja de LA ESCANDELLA (20x10x7,5 cm/pza).   Ref. lp-00110914</t>
  </si>
  <si>
    <t>CUB045</t>
  </si>
  <si>
    <t>o CUBIERTA DE TEJAS CURVAS ROJO T4</t>
  </si>
  <si>
    <t>Cobertura de tejas cerámicas curvas, acabado con teja color rojo T4 (40x18,3x13 cm), recibidas con mortero de cemento industrial M5 o M7,5 directamente sobre la lámina asfáltica, en cubierta inclinada con pendiente &lt;=25%. El precio no incluye la lámina asfáltica, la resolución de puntos singulares ni las piezas especiales de la cobertura.</t>
  </si>
  <si>
    <t>ma-lp-00110913</t>
  </si>
  <si>
    <t>Teja cerámica curva T4 Roja de LA ESCANDELLA (40x18,3x13 cm/pza).   Ref. lp-00110913</t>
  </si>
  <si>
    <t>CUB046</t>
  </si>
  <si>
    <t>o CUBIERTA DE TEJAS CURVAS ROJO T5</t>
  </si>
  <si>
    <t>Cobertura de tejas cerámicas curvas, acabado con teja color rojo T5 (50x21x16 cm), recibidas con mortero de cemento industrial M5 o M7,5 directamente sobre la lámina asfáltica, en cubierta inclinada con pendiente &lt;=25%. El precio no incluye la lámina asfáltica, la resolución de puntos singulares ni las piezas especiales de la cobertura.</t>
  </si>
  <si>
    <t>ma-lp-00110915</t>
  </si>
  <si>
    <t>Teja cerámica curva T5 Roja de LA ESCANDELLA (50x21x16cm/pza).   Ref. lp-00110915</t>
  </si>
  <si>
    <t>CUB047</t>
  </si>
  <si>
    <t>o CUBIERTA DE PANEL SANDWICH, IMITACIÓN TEJA ÁRABE</t>
  </si>
  <si>
    <t>Suministro y colocacion de Panel de cubierta con una chapa exterior en imitación teja y núcleo aislante de espuma PUR o PIR de alta densidad, unos 36-40 kg/m3. Se trata de un panel sandwich con un acabado estético sobresaliente, además de gran resistencia mecánica y elevado aislamiento térmico; por todo ello, está especialmente recomendado para uso residencial.</t>
  </si>
  <si>
    <t>036teja-r-b-50</t>
  </si>
  <si>
    <t>PANEL TEJA EXTRA AISLAMIENTO ROJO MARRON TERRACOTA EXT/BLANCO INTERIOR 1,00x1,05M</t>
  </si>
  <si>
    <t>09cum2arojo5t</t>
  </si>
  <si>
    <t>REMATE 5 TEJAS DE CUMBRERA A 2 AGUAS TEJA EN ROJO MARRON TERRACOTA</t>
  </si>
  <si>
    <t>09frontrojo5t</t>
  </si>
  <si>
    <t>REMATE 5 TEJAS DE FRONTAL PARA PANEL TEJA ROJO MARRON TERRACOTA</t>
  </si>
  <si>
    <t>09latrojo</t>
  </si>
  <si>
    <t>REMATE LATERAL FORMA DE U PARA PANEL TEJA ROJO MARRON TERRACOTA</t>
  </si>
  <si>
    <t>09canal416</t>
  </si>
  <si>
    <t>CANAL DE CHAPA COLOR ROJO MARRON TERRACOTA, DESARROLLO DE 416MM</t>
  </si>
  <si>
    <t>09tapa416</t>
  </si>
  <si>
    <t>TAPA PARA CANAL DE CHAPA COLOR ROJO MARRON TERRACOTA, DESARROLLO DE 416MM</t>
  </si>
  <si>
    <t>11canalembo</t>
  </si>
  <si>
    <t>EMBOCADURA PARA CANAL PARA CONEXIÓN CON BAJANTE</t>
  </si>
  <si>
    <t>fijac1kit</t>
  </si>
  <si>
    <t>Kit de accesorios de fijación, para paneles sándwich aislantes, en cubiertas inclinadas.</t>
  </si>
  <si>
    <t>00225201</t>
  </si>
  <si>
    <t>CINTA ADHESIVA DOBLE CARA TYVEK BUTILO 50 MM 30 M Ref.: 00225201</t>
  </si>
  <si>
    <t>trnsparabe</t>
  </si>
  <si>
    <t>Transporte Panel Sandwich Teja Arabe</t>
  </si>
  <si>
    <t>CUB048</t>
  </si>
  <si>
    <t>o CUBIERTA DE PANEL SANDWICH ACERO-PU-ACERO 3 cm</t>
  </si>
  <si>
    <t>CUBIERTA DE PLACAS DE PANEL SANDWICH ACERO-PU-ACERO 3 cm</t>
  </si>
  <si>
    <t>ma-lp-00134445</t>
  </si>
  <si>
    <t>panel</t>
  </si>
  <si>
    <t>Panel sandwich aislante autoportante acabado GRECADO; color blanco/blanco (3000x1000x30 mm/panel).   Ref. lp-00134445</t>
  </si>
  <si>
    <t>ma-lp-00249793</t>
  </si>
  <si>
    <t>Remate lateral para panel sándwich acabado GRECADO de 3 cm (3 m/pza).   Ref. lp-00249793</t>
  </si>
  <si>
    <t>ma-lp-00269940</t>
  </si>
  <si>
    <t>Remate frontal para panel sándwich acabado GRECADO de 3 cm (1 m/pza).   Ref. lp-00269940</t>
  </si>
  <si>
    <t>ma-lp-00281618</t>
  </si>
  <si>
    <t>Remate de cumbrera para panel sándwich acabado GRECADO de 3 cm (3 m/pza).   Ref. lp-00281618</t>
  </si>
  <si>
    <t>ma-lp-00411804</t>
  </si>
  <si>
    <t>Tornillo punta broca de acero cincado para panel sándwich con arandela diámetro 16 mm (5,5/6,3x115 mm/pza).   Ref. lp-00411804</t>
  </si>
  <si>
    <t>alq-sierra.circular-tq-01</t>
  </si>
  <si>
    <t>Alquiler de Sierra Circular Eléctrica Portátil.   Ref. TOOLQUICK</t>
  </si>
  <si>
    <t>CUB049</t>
  </si>
  <si>
    <t>o AISLAMIENTO TÉRMICO CON POLIESTIRENO ESTRUIDO (XPS) 40MM</t>
  </si>
  <si>
    <t>Aislamiento térmico de cubierta plana transitable, pendiente del 1% al 5%, para tráfico peatonal privado; formado por panel rígido de poliestireno extruido, de 40 mm de espesor.</t>
  </si>
  <si>
    <t>ma-lp-00275678</t>
  </si>
  <si>
    <t>Placa XPS SL para Sistema SATE; 1250x600x40 mm/panel (7,5 m2/paquete).   Ref. lp-00275678</t>
  </si>
  <si>
    <t>ma-lp-00572023</t>
  </si>
  <si>
    <t>CUB050</t>
  </si>
  <si>
    <t>o AISLAMIENTO TÉRMICO CON POLIESTIRENO ESTRUIDO (XPS) 60MM</t>
  </si>
  <si>
    <t>Aislamiento térmico de cubierta plana transitable, pendiente del 1% al 5%, para tráfico peatonal privado; formado por panel rígido de poliestireno extruido, de 60 mm de espesor.</t>
  </si>
  <si>
    <t>ma-lp-00275683</t>
  </si>
  <si>
    <t>Placa XPS SL para Sistema SATE; 1250x600x60 mm/panel (5,25 m2/paquete).   Ref. lp-00275683</t>
  </si>
  <si>
    <t>CUB051</t>
  </si>
  <si>
    <t>o AISLAMIENTO TÉRMICO CON POLIESTIRENO ESTRUIDO (XPS) 80MM</t>
  </si>
  <si>
    <t>Aislamiento térmico de cubierta plana transitable, pendiente del 1% al 5%, para tráfico peatonal privado; formado por panel rígido de poliestireno extruido, de 80 mm de espesor.</t>
  </si>
  <si>
    <t>ma-lp-00275685</t>
  </si>
  <si>
    <t>Placa XPS SL para Sistema SATE; 1250x600x80 mm/panel (3,75 m2/paquete).   Ref. lp-00275685</t>
  </si>
  <si>
    <t>CUB052</t>
  </si>
  <si>
    <t>o AISLAMIENTO TÉRMICO CON POLIESTIRENO EXPANDIDO (EPS) 40MM</t>
  </si>
  <si>
    <t>EEEE</t>
  </si>
  <si>
    <t>ma-lp-00235527</t>
  </si>
  <si>
    <t>Placa EPS KNAUF TECK para Sistema SATE; blanca (1000x500x40 mm/placa).   Ref. lp-00235527</t>
  </si>
  <si>
    <t>CUB053</t>
  </si>
  <si>
    <t>o AISLAMIENTO TÉRMICO CON POLIESTIRENO EXPANDIDO (EPS) 60MM</t>
  </si>
  <si>
    <t>CAPA DE AISLAMIENTO TÉRMICO CON LÁMINA POLIESTIRENO EXPANDIDO (EPS) 60 mm COLOCADA CON MORTERO ADHESIVO</t>
  </si>
  <si>
    <t>CUB054</t>
  </si>
  <si>
    <t>o AISLAMIENTO TÉRMICO CON POLIESTIRENO EXPANDIDO (EPS) 80MM</t>
  </si>
  <si>
    <t>CAPA DE AISLAMIENTO TÉRMICO CON LÁMINA POLIESTIRENO EXPANDIDO (EPS) 80 mm COLOCADA CON MORTERO ADHESIVO</t>
  </si>
  <si>
    <t>CUB055</t>
  </si>
  <si>
    <t>o TRAMPILLA DE ACCESO A CUBIERTA 70x120CM MAYDISA</t>
  </si>
  <si>
    <t>Suministro y colocación de nuevo acceso a cubierta. Consiste en apertura de hueco en techo escalera. Posterior suministro y colocación de trampilla MAYDISA ISO de 120x70cm de accionamiento manual de apertura telescòpica. Incluye escalera integrada para acceso a cubierta EM-3 ISO metálica lacada 3 tramos MAYDISA Tapa Ignífuga EI2 de 120x70cm.</t>
  </si>
  <si>
    <t>esc1</t>
  </si>
  <si>
    <t>EM-3 ISO metálica lacada 3 tramos Tapa Ignífuga EI2 de 120x70cm</t>
  </si>
  <si>
    <t>trap1</t>
  </si>
  <si>
    <t>Trampilla ISO de 120x70cm</t>
  </si>
  <si>
    <t>CUB056</t>
  </si>
  <si>
    <t>o TRAMPILLA DE ACCESO A CUBIERTA CON CUPULA DE 70x70cm</t>
  </si>
  <si>
    <t>- Derribo, desmontaje de zócalo y cubierta de hierro. 
- Saneado y preparación del soporte. 
- Suministro y colocación de zócalo de PVC o equivalente con mecanismo de apertura manual.
- Sellado, adecuación e impermeabilización del encuentro entre la base soporte de la cubierta y el zócalo de la claraboya mediante láminas bituminosa o equivalentes. 
- Suministro y colocación de una nueva cúpula de metacrilato de 70x70 telescopica con zocalo. 
- Se incluye la parte proporcional de desplazar, acopiar y adecuar los áridos de cubierta.
- Enyesado y pintura de la zona afectada y reparada.
- Carga, transporte y gestión de los residuos.</t>
  </si>
  <si>
    <t>ENF001</t>
  </si>
  <si>
    <t>o ENFOSCADODE MORTERO M-7,5 DE 15mm</t>
  </si>
  <si>
    <t>CUB060</t>
  </si>
  <si>
    <t>o BANDA DE REFUERZO E30 P ELAST DE LA CASA DANOSA</t>
  </si>
  <si>
    <t>ma-lucia-bandaE30P</t>
  </si>
  <si>
    <t>Banda de refuerzo E 30 P ELAST de 0,32x12m</t>
  </si>
  <si>
    <t>FEF010</t>
  </si>
  <si>
    <t>Muro de carga de fábrica de ladrillo cerámico.</t>
  </si>
  <si>
    <t>mt04lpc010e</t>
  </si>
  <si>
    <t>Ladrillo cerámico perforado (gero), para revestir, 29x14x5 cm, para uso en fábrica protegida (pieza P), categoría I, resistencia a compresión 10 N/mm², densidad 860 kg/m³, según UNE-EN 771-1.</t>
  </si>
  <si>
    <t>mt08aaa010a</t>
  </si>
  <si>
    <t>m³</t>
  </si>
  <si>
    <t>Agua.</t>
  </si>
  <si>
    <t>mt09mif010db</t>
  </si>
  <si>
    <t>t</t>
  </si>
  <si>
    <t>Mortero industrial para albañilería, de cemento, color gris, categoría M-7,5 (resistencia a compresión 7,5 N/mm²), suministrado a granel, según UNE-EN 998-2.</t>
  </si>
  <si>
    <t>mq06mms010</t>
  </si>
  <si>
    <t>Mezclador continuo con silo, para mortero industrial en seco, suministrado a granel.</t>
  </si>
  <si>
    <t>clara1</t>
  </si>
  <si>
    <t>CLARABOYA 70x70cm. TELESCOPICA ZOCALO RECTO FULL</t>
  </si>
  <si>
    <t>CUB057</t>
  </si>
  <si>
    <t>o CAPA DE MORTERO DE 2CM</t>
  </si>
  <si>
    <t>Capa de mortero de 2 cm de espesor, de mortero de cemento. Incluso banda de panel rígido de poliestireno expandido para la preparación de las juntas perimetrales de dilatación.</t>
  </si>
  <si>
    <t>CUB058</t>
  </si>
  <si>
    <t>o FORMACIÓN DE PENDIENTE CON MORTERO ALIGERADO 4 cm; INCLUYE IMPRIMACIÓN CON EMULSIÓN ASFÁLTICA (CUB)</t>
  </si>
  <si>
    <t>FORMACIÓN DE PENDIENTE CON MORTERO ALIGERADO 4 cm; INCLUYE IMPRIMACIÓN CON EMULSIÓN ASFÁLTICA (CUB)</t>
  </si>
  <si>
    <t>ma-lp-00001596</t>
  </si>
  <si>
    <t>Ladrillo cerámico MACIZO TOSCO de LA PALOMA CERÁMICAS (24x11x7 cm/pza).   Ref. lp-00001596</t>
  </si>
  <si>
    <t>ma-lp-00001542</t>
  </si>
  <si>
    <t>Arcilla expandida ARLITA LECA LIGHT PLUS de WEBER; granulometría 10-20 mm (50 litro/saco o 13,75 kg/saco).   Ref. lp-00001542</t>
  </si>
  <si>
    <t>CUB059</t>
  </si>
  <si>
    <t>o MORRION O PARAHOJAS DE ALUMINIO</t>
  </si>
  <si>
    <t>Suministro y colocacion de morrion o parahojas de aluminio, son una solución eficaz para la protección de sumideros, desagües y otros sistemas de drenaje, diseñados para prevenir la obstrucción causada por hojas y residuos. Su diseño adaptable los hace compatibles con tubos de diámetros que van desde los 80 mm hasta los 125 mm, asegurando una amplia aplicación en diferentes instalaciones.</t>
  </si>
  <si>
    <t>ma-lp-00301759</t>
  </si>
  <si>
    <t>MORRIÓN 360º ACERO GALVANIZADO Ref.: 00301759</t>
  </si>
  <si>
    <t>HHHH</t>
  </si>
  <si>
    <t>CUB061</t>
  </si>
  <si>
    <t>o GARGOLA DE ACERO INOX AISI 304 - SCHLUTER</t>
  </si>
  <si>
    <t>CUB062</t>
  </si>
  <si>
    <t>o PINCHOS ANTI-PALOMAS</t>
  </si>
  <si>
    <t>Sistema de pletina de púas, para la protección frente a las aves, varillla para evitar que se posen palomas con base y pinchos de acero inoxidable. Protege hasta 19 cm, en elemento de fachada, colocada sobre cornisa, con adhesivo.</t>
  </si>
  <si>
    <t>CUB062TV</t>
  </si>
  <si>
    <t>o PINCHOS ANTI-PALOMAS C/TRABAJOS VERTICALES</t>
  </si>
  <si>
    <t>Sistema de pletina de púas CON TRABAJOS VERTICALES, para la protección frente a las aves, varillla para evitar que se posen palomas con base y pinchos de acero inoxidable. Protege hasta 19 cm, en elemento de fachada, colocada sobre cornisa, con adhesivo.</t>
  </si>
  <si>
    <t>CUB063</t>
  </si>
  <si>
    <t>o RED ANTI-PALOMAS</t>
  </si>
  <si>
    <t>Red antipájaros formada por malla de polietileno de 50x50 mm, sujeta al soporte, para proteger los huecos, evitando el acceso de palomas al edificio.</t>
  </si>
  <si>
    <t>ma-lp-00488370</t>
  </si>
  <si>
    <t>Red de polietileno para evitar la entrada de palomas de medidas 5x5 m.</t>
  </si>
  <si>
    <t>CUB063TV</t>
  </si>
  <si>
    <t>o RED ANTI-PALOMAS C/TRABAJOS VERTICALES</t>
  </si>
  <si>
    <t>Red antipájaros  CON TRABAJOS VERTICALES, formada por malla de polietileno de 50x50 mm, sujeta al soporte, para proteger los huecos, evitando el acceso de palomas al edificio.</t>
  </si>
  <si>
    <t>CUB064</t>
  </si>
  <si>
    <t>o CAMBIO DE SUMIDERO, IMPERMEABILIZACION Y PAVIMENTO (1M2)</t>
  </si>
  <si>
    <t>Cambio de sumidero, impermeabilizacion y pavimento de 1m2, mediante los siguientes trabajos:
1) Retirada de pavimento y lámina impermeabilizante existente por medios manuales en el contorno del sumidero 1m2.
2) Rebaje alrededor del sumidero de salida vertical existente en terraza, para posterior colocación de una nueva impermeabilización formada por una lámina de betún modificada SBS, traslapandola con lamina existente, reforzada con poliéster totalmente adherida al soporte mediante soplador, previa imprimación con emulsión asfáltica.
3) Conexión de la parte proporcional del nuevo sumidero con derivacion o tubería de evacuación existente.
4) Posterior suministro y colocacion de pavimento cerámico (14x28) contiguo al sumidero y mimbel aproximadamente 1m2.
NOTA: Se incluye repicado, con medios mecánicos y manuales, del espacio del sumidero de la cubierta de la finca hasta conseguir apertura necesaria para poder inspeccionar ocularmente y reparar el origen de las filtraciones produciendo síntomas evidentes en la vivienda. El cambio de 1m2 de pavimento nuevo se notara la diferencia con el antiguo.</t>
  </si>
  <si>
    <t>ma-lp-00001085</t>
  </si>
  <si>
    <t>Emulsión asfáltica BigMat en base agua para preparación del soporte. Consistencia pastosa. 5 kg. Color negro.</t>
  </si>
  <si>
    <t>ma-lp-00167324</t>
  </si>
  <si>
    <t>Lámina para impermeablización cubiertas BigMat Plax FV 40 tipo LBM (APP) 40 FV</t>
  </si>
  <si>
    <t>ma-lp-00538933</t>
  </si>
  <si>
    <t>Palentina mango de haya natural, válida para todo tipo de pinturas. 50 mm</t>
  </si>
  <si>
    <t>ma-lp-00139016</t>
  </si>
  <si>
    <t>Rollo cartón ondulado marrón para proteger objetos delicados, como muebles o suelos. Tamaño: 25 m x 90 cm</t>
  </si>
  <si>
    <t>ma-lp-00539257</t>
  </si>
  <si>
    <t>Esponja mixta bimaterial para limpieza de medida 20x13x7 cm.</t>
  </si>
  <si>
    <t>ma-lp-00001954</t>
  </si>
  <si>
    <t>Sumidero sifónico CEM de aluminio 15x15 cm con vaso-salida vertical 50 mm.   Ref. lp-00001954</t>
  </si>
  <si>
    <t>ma-lp-00001374</t>
  </si>
  <si>
    <t>Codo de evacuación 87º H-H diámetro 110 mm en PVC color gris</t>
  </si>
  <si>
    <t>CUBIMP-MEMBRANA.PU-SIKA-02</t>
  </si>
  <si>
    <t>XXXXXX IMPERMEABILIZACIÓN CON MEMBRANA LÍQUIDA DE POLIURETANO SIKALASTIC 612 DE SIKA</t>
  </si>
  <si>
    <t>IMPERMEABILIZACIÓN CON MEMBRANA LÍQUIDA DE POLIURETANO SIKALASTIC 612 DE SIKA</t>
  </si>
  <si>
    <t>ma-s.lucia-01</t>
  </si>
  <si>
    <t>Membrana líquida impermeabilizante monocomponente a base de Poliuretano SIKALASTIC 612 de SIKA; color terracota (5 litros/envase).   Ref. s.lucia-01</t>
  </si>
  <si>
    <t>CUB-REJUNTADO.CERAMICO-14x28-GCA</t>
  </si>
  <si>
    <t>XXXXXX REJUNTADO DE PAVIMENTO CERÁMICO 14x28 cm (GRADO DE COMPLEJIDAD ALTO)</t>
  </si>
  <si>
    <t>REJUNTADO DE PAVIMENTO CERÁMICO 14x28 cm (GRADO DE COMPLEJIDAD ALTO)</t>
  </si>
  <si>
    <t>CUB-REJUNTADO.CERAMICO-25x25-GCA</t>
  </si>
  <si>
    <t>XXXXXX REJUNTADO DE PAVIMENTO CERÁMICO 25x25 cm (GRADO DE COMPLEJIDAD ALTO)</t>
  </si>
  <si>
    <t>REJUNTADO DE PAVIMENTO CERÁMICO 25x25 cm (GRADO DE COMPLEJIDAD ALTO)</t>
  </si>
  <si>
    <t>CUB-REJUNTADO.CERAMICO-14x28-GCM</t>
  </si>
  <si>
    <t>XXXXXX REJUNTADO DE PAVIMENTO CERÁMICO 14x28 cm (GRADO DE COMPLEJIDAD MEDIO)</t>
  </si>
  <si>
    <t>REJUNTADO DE PAVIMENTO CERÁMICO 14x28 cm (GRADO DE COMPLEJIDAD MEDIO)</t>
  </si>
  <si>
    <t>CUB-REJUNTADO.CERAMICO-25x25-GCM</t>
  </si>
  <si>
    <t>XXXXXX REJUNTADO DE PAVIMENTO CERÁMICO 25x25 cm (GRADO DE COMPLEJIDAD MEDIO)</t>
  </si>
  <si>
    <t>REJUNTADO DE PAVIMENTO CERÁMICO 25x25 cm (GRADO DE COMPLEJIDAD MEDIO)</t>
  </si>
  <si>
    <t>CUBIMP</t>
  </si>
  <si>
    <t>XXXXXX IMPERMEABILIZACION CON PINTURA</t>
  </si>
  <si>
    <t>IMPERMEABILIZACION CON PINTURA</t>
  </si>
  <si>
    <t>CUBIMP01</t>
  </si>
  <si>
    <t>LIMPIEZA DE PAVIMENTO ACTUAL</t>
  </si>
  <si>
    <t>acid1</t>
  </si>
  <si>
    <t>Acido acetico</t>
  </si>
  <si>
    <t>CUBIMP02</t>
  </si>
  <si>
    <t>IMPERMEABILIZACION LIQUIDA DE CUBIERTA</t>
  </si>
  <si>
    <t>Antigo</t>
  </si>
  <si>
    <t>Pintura antigotas</t>
  </si>
  <si>
    <t>CUB01xxx</t>
  </si>
  <si>
    <t>XXXXXX MOVIMIENTO DE MOBILIARIO</t>
  </si>
  <si>
    <t>Movimiento de plantas y mobiliario dentro del area de trabajo, para la correcta ejecucion de los mismos.</t>
  </si>
  <si>
    <t>CUB05-MNR-MC-6cm</t>
  </si>
  <si>
    <t>XXXXXX FORMACIÓN DE PENDIENTE CON MORTERO CONVENCIONAL 6 cm; INCLUYE IMPRIMACIÓN CON EMULSIÓN ASFÁLTICA (CUB)</t>
  </si>
  <si>
    <t>Formación de capa de 6 cm como rectificación de pendiente con mortero convencional; incluyendo imprimación con emulsión asfàltica (CUB)</t>
  </si>
  <si>
    <t>CUB05-MNR-MA-6cm</t>
  </si>
  <si>
    <t>XXXXXX FORMACIÓN DE PENDIENTE CON MORTERO ALIGERADO 6 cm; INCLUYE IMPRIMACIÓN CON EMULSIÓN ASFÁLTICA (CUB)</t>
  </si>
  <si>
    <t>Formación de capa de 6 cm como rectificación de pendiente con mortero aligerado (ARLITA de LECA o similar); incluyendo imprimación con emulsión asfàltica (CUB)</t>
  </si>
  <si>
    <t>CUB06-MNR-01-01</t>
  </si>
  <si>
    <t>XXXXXX IMPERMEABILIZACIÓN CON LÁMINA ASFÁLTICA DE BETÚN ELASTÓMERO 3 mm CON FIELTRO DE FIBRA DE VIDRIO; INCLUYE ADHESIVO CON EMULSIÓN ASFÁLTICA EN PASTA (CUB)</t>
  </si>
  <si>
    <t>IMPERMEABILIZACIÓN CON LÁMINA ASFÁLTICA DE BETÚN ELASTÓMERO 3 mm CON FIELTRO DE FIBRA DE VIDRIO; INCLUYE ADHESIVO CON EMULSIÓN ASFÁLTICA EN PASTA (CUB)</t>
  </si>
  <si>
    <t>CUB06-MNR-01-02</t>
  </si>
  <si>
    <t>XXXXXX IMPERMEABILIZACIÓN CON LÁMINA ASFÁLTICA DE BETÚN ELASTÓMERO 3 mm CON FIELTRO DE FIBRA DE VIDRIO; INCLUYE ADHESIVO CON EMULSIÓN ASFÁLTICA EN BASE ACUOSA (CUB)</t>
  </si>
  <si>
    <t>IMPERMEABILIZACIÓN CON LÁMINA ASFÁLTICA DE BETÚN ELASTÓMERO 3 mm CON FIELTRO DE FIBRA DE VIDRIO; INCLUYE ADHESIVO CON EMULSIÓN ASFÁLTICA EN BASE ACUOSA (CUB)</t>
  </si>
  <si>
    <t>CUB06-MNR-02-01</t>
  </si>
  <si>
    <t>XXXXXX IMPERMEABILIZACIÓN CON LÁMINA ASFÁLTICA DE BETÚN ELASTÓMERO CON FIELTRO DE FIBRA DE POLYESTER; INCLUYE ADHESIVO CON EMULSIÓN ASFÁLTICA EN PASTA (CUB)</t>
  </si>
  <si>
    <t>IMPERMEABILIZACIÓN CON LÁMINA ASFÁLTICA DE BETÚN ELASTÓMERO CON FIELTRO DE FIBRA DE POLYESTER; INCLUYE ADHESIVO CON EMULSIÓN ASFÁLTICA EN PASTA (CUB)</t>
  </si>
  <si>
    <t>CUB06-MNR-02-02</t>
  </si>
  <si>
    <t>XXXXXX IMPERMEABILIZACIÓN CON LÁMINA ASFÁLTICA DE BETÚN ELASTÓMERO CON FIELTRO DE FIBRA DE POLYESTER; INCLUYE ADHESIVO CON EMULSIÓN ASFÁLTICA EN BASE ACUOSA (CUB)</t>
  </si>
  <si>
    <t>IMPERMEABILIZACIÓN CON LÁMINA ASFÁLTICA DE BETÚN ELASTÓMERO CON FIELTRO DE FIBRA DE POLYESTER; INCLUYE ADHESIVO CON EMULSIÓN ASFÁLTICA EN BASE ACUOSA (CUB)</t>
  </si>
  <si>
    <t>CUB06-MNR-03-02</t>
  </si>
  <si>
    <t>XXXXXX IMPERMEABILIZACIÓN CON LÁMINA ASFÁLTICA DE BETÚN ADITIVADO 3 mm CON FIELTRO DE FIBRA DE VIDRIO; INCLUYE ADHESIVO CON EMULSIÓN ASFÁLTICA EN BASE ACUOSA (CUB)</t>
  </si>
  <si>
    <t>IMPERMEABILIZACIÓN CON LÁMINA ASFÁLTICA DE BETÚN ADITIVADO 3 mm CON FIELTRO DE FIBRA DE VIDRIO; INCLUYE ADHESIVO CON EMULSIÓN ASFÁLTICA EN BASE ACUOSA (CUB)</t>
  </si>
  <si>
    <t>CUB06-MNR-04-01</t>
  </si>
  <si>
    <t>XXXXXX IMPERMEABILIZACIÓN CON LÁMINA  DE CAUCHO SINTÉTICO EPDM VULCANIZADO 1 mm; INCLUYE ADHESIVO EPDM (CUB)</t>
  </si>
  <si>
    <t>IMPERMEABILIZACIÓN CON LÁMINA  DE CAUCHO SINTÉTICO EPDM VULCANIZADO 1 mm; INCLUYE ADHESIVO EPDM (CUB)</t>
  </si>
  <si>
    <t>ma-lp-00181594</t>
  </si>
  <si>
    <t>Lámina impermeabilizante GISCOLENE 100 de caucho sintético EPDM vulcanizado (ancho: 3,00 m; espesor: 1 mm).   Ref. lp-00181594</t>
  </si>
  <si>
    <t>IMPERMEABILIZACIÓN CON LÁMINA  DE CAUCHO SINTÉTICO EPDM VULCANIZADO 1,2 mm; INCLUYE ADHESIVO EPDM (CUB)</t>
  </si>
  <si>
    <t>CUB05-MNR-MC-04</t>
  </si>
  <si>
    <t>XXXXXX FORMACIÓN DE PENDIENTE CON MORTERO CONVENCIONAL 4 cm; INCLUYE IMPRIMACIÓN CON EMULSIÓN ASFÁLTICA (CUB)</t>
  </si>
  <si>
    <t>FORMACIÓN DE PENDIENTE CON MORTERO CONVENCIONAL 4 cm; INCLUYE IMPRIMACIÓN CON EMULSIÓN ASFÁLTICA (CUB)</t>
  </si>
  <si>
    <t>CUB-SUMIDEROS.Y.CONEXOS</t>
  </si>
  <si>
    <t>XXXXXX SUMIDEROS Y CONEXOS</t>
  </si>
  <si>
    <t>CUB09-MNR-01-01</t>
  </si>
  <si>
    <t>XXXXXX SUMINISTRO Y COLOCACIÓN DE SUMIDERO SIFÓNICO PVC 10X10 CM CON SALIDA VERTICAL DIÁMETRO 32-40 mm; INCLUYE CAZOLETA DE CAUCHO EPDM CON PARAGRAVILLA (CUB)</t>
  </si>
  <si>
    <t>Suministro y colocación de sumidero sifónico ADEQUA PVC 10x10 cm con salida vertical diámetro 32-40 mm; incluye cazoleta de caucho EPDM con paragravilla (CUB)</t>
  </si>
  <si>
    <t>ma-lp-00001951</t>
  </si>
  <si>
    <t>Sumidero sifónico ADEQUA PVC 10x10 cm con salida vertical diámetro 32-40 mm; color gris.   Ref. lp-00001951</t>
  </si>
  <si>
    <t>CUB09-MNR-01-02</t>
  </si>
  <si>
    <t>XXXXXX SUMINISTRO Y COLOCACIÓN DE SUMIDERO SIFÓNICO PVC 15X15 CM CON SALIDA VERTICAL DIÁMETRO 40-50 mm; INCLUYE CAZOLETA DE CAUCHO EPDM CON PARAGRAVILLA (CUB)</t>
  </si>
  <si>
    <t>Suministro y colocación de sumidero sifónico ADEQUA PVC 15x15 cm con salida vertical diámetro 40-50 mm; incluye cazoleta de caucho EPDM con paragravilla (CUB).</t>
  </si>
  <si>
    <t>ma-lp-00179404</t>
  </si>
  <si>
    <t>Sumidero sifónico ADEQUA PVC 15x15 cm con salida vertical diámetro 40-50 mm; color gris.   Ref. lp-00179404</t>
  </si>
  <si>
    <t>CUB09-MNR-01-03</t>
  </si>
  <si>
    <t>XXXXXX SUMINISTRO Y COLOCACIÓN DE SUMIDERO SIFÓNICO PVC 20X20 CM CON SALIDA VERTICAL DIÁMETRO 80-90 mm; INCLUYE CAZOLETA DE CAUCHO EPDM CON PARAGRAVILLA (CUB)</t>
  </si>
  <si>
    <t>Suministro y colocación de sumidero sifónico ADEQUA PVC 20x20 cm con salida vertical diámetro 80-90 mm; incluye cazoleta de caucho EPDM con paragravilla (CUB).</t>
  </si>
  <si>
    <t>ma-lp-00001956</t>
  </si>
  <si>
    <t>Sumidero sifónico ADEQUA PVC 20x20 cm con salida vertical diámetro 80-90 mm; color gris.   Ref. lp-00001956</t>
  </si>
  <si>
    <t>CUB09-MNR-02-01</t>
  </si>
  <si>
    <t>XXXXXX SUMINISTRO Y COLOCACIÓN DE SUMIDERO SIFÓNICO CEM DE ALUMINIO 10X10 CM CON SALIDA VERTICAL DIÁMETRO 40 mm; INCLUYE CAZOLETA DE CAUCHO EPDM CON PARAGRAVILLA (CUB)</t>
  </si>
  <si>
    <t>Suministro y colocación de sumidero sifónico CEM de aluminio 10x10 cm con salida vertical diámetro 40 mm; incluye cazoleta de caucho EPDM con paragravilla (CUB).</t>
  </si>
  <si>
    <t>ma-lp-00211669</t>
  </si>
  <si>
    <t>Sumidero sifónico CEM de aluminio 10x10 cm con vaso-salida vertical 40 mm.   Ref. lp-00211669</t>
  </si>
  <si>
    <t>CUB09-MNR-02-02</t>
  </si>
  <si>
    <t>XXXXXX SUMINISTRO Y COLOCACIÓN DE SUMIDERO SIFÓNICO CEM DE ALUMINIO 15X15 CM CON SALIDA VERTICAL DIÁMETRO 50 mm; INCLUYE CAZOLETA DE CAUCHO EPDM CON PARAGRAVILLA (CUB)</t>
  </si>
  <si>
    <t>Suministro y colocación de sumidero sifónico CEM de aluminio 15x15 cm con salida vertical diámetro 50 mm; incluye cazoleta de caucho EPDM con paragravilla (CUB).</t>
  </si>
  <si>
    <t>CUB09-MNR-02-03</t>
  </si>
  <si>
    <t>XXXXXX SUMINISTRO Y COLOCACIÓN DE SUMIDERO SIFÓNICO CEM DE ALUMINIO 20X20 CM CON SALIDA VERTICAL DIÁMETRO 75 mm; INCLUYE CAZOLETA DE CAUCHO EPDM CON PARAGRAVILLA (CUB)</t>
  </si>
  <si>
    <t>Suministro y colocación de sumidero sifónico CEM de aluminio 20x20 cm con salida vertical diámetro 75 mm; incluye cazoleta de caucho EPDM con paragravilla (CUB).</t>
  </si>
  <si>
    <t>CUB09-PARAHOJAS-AG</t>
  </si>
  <si>
    <t>XXXXXX S/C PARAHOJAS UNIVERSAL DE ACERO GALVANIZADO 80/125 MM</t>
  </si>
  <si>
    <t>S/C PARAHOJAS UNIVERSAL GALVANIZADO 80/125 mm</t>
  </si>
  <si>
    <t>ma-ferrolan-23450101</t>
  </si>
  <si>
    <t>Parahojas universal galvanizado 80/125 mm.   Ref. ferrolan-23450101</t>
  </si>
  <si>
    <t>CUB09-PARAHOJAS-AI</t>
  </si>
  <si>
    <t>XXXXXX S/C PARAHOJAS UNIVERSAL DE ACERO INOXIDABLE 60/120 mm</t>
  </si>
  <si>
    <t>ssssssss</t>
  </si>
  <si>
    <t>ma-zonabrico-1901001</t>
  </si>
  <si>
    <t>Parahojas universal de acero inoxidable 60-120 mm.   Ref. zonabrico-1901001</t>
  </si>
  <si>
    <t>CUB11-MNR-01</t>
  </si>
  <si>
    <t>XXXXXX SUMINISTRO Y COLOCACIÓN DE MEMBRANA GEOTEXTIL DE POLIÉSTER ROOFTEX V DE SOPREMA 150 gr/m2</t>
  </si>
  <si>
    <t>SUMINISTRO Y COLOCACIÓN DE MEMBRANA GEOTEXTIL DE POLIÉSTER ROOFTEX V DE SOPREMA 150 gr/m2</t>
  </si>
  <si>
    <t>CUB-SELLADO.JUNTA-EPS-10-01</t>
  </si>
  <si>
    <t>XXXXXX SELLADO DE JUNTAS DE DILATACIÓN 10 mm EN SUPERFICIE Y/O PERIMETRALES, A BASE DE TIRA DE POLIESTIRENO (EPS) Y MASILLA DE POLIURETANO</t>
  </si>
  <si>
    <t>Sellado de juntas de dilatación 10 mm en superficie y/o perimetrales, a base de tira de poliestireno (eps) y masilla de poliuretano</t>
  </si>
  <si>
    <t>ma-lp-00222892</t>
  </si>
  <si>
    <t>tira</t>
  </si>
  <si>
    <t>Tira de poliestireno expandido EPS densidad 10 kg/m3 (1000x100x10 mm/tira).   Ref. lp-00222892</t>
  </si>
  <si>
    <t>ma-ep-s/c</t>
  </si>
  <si>
    <t>Imprimante EUROTEX activador-promotor de adherencia de PU (1 litro/envase).   Ref. ep-s/c</t>
  </si>
  <si>
    <t>ma-lp-00541259</t>
  </si>
  <si>
    <t>Masilla de poliuretano BIGMAT (600 ml/envase); color marrón.   Ref. lp-00541259</t>
  </si>
  <si>
    <t>CUB-SELLADO.JUNTA-EPS-20-01</t>
  </si>
  <si>
    <t>XXXXXX SELLADO DE JUNTAS DE DILATACIÓN 20 mm EN SUPERFICIE Y/O PERIMETRALES, A BASE DE TIRA DE POLIESTIRENO (EPS) Y MASILLA DE POLIURETANO</t>
  </si>
  <si>
    <t>Sellado de juntas de dilatación 20 mm en superficie y/o perimetrales, a base de tira de poliestireno (eps) y masilla de poliuretano</t>
  </si>
  <si>
    <t>CUB-SELLADO.JUNTA-EPS-15-01</t>
  </si>
  <si>
    <t>XXXXXX SELLADO DE JUNTAS DE DILATACIÓN 15 mm EN SUPERFICIE Y/O PERIMETRALES, A BASE DE CORDÓN DE POLIESTIRENO Y MASILLA DE POLIURETANO</t>
  </si>
  <si>
    <t>Sellado de juntas de dilatación 15 mm en superficie y/o perimetrales, a base de cordón de poliestireno y masilla de poliuretano</t>
  </si>
  <si>
    <t>CUB-SELLADO.JUNTA-EPS-25-01</t>
  </si>
  <si>
    <t>XXXXXX SELLADO DE JUNTAS DE DILATACIÓN 25 mm EN SUPERFICIE Y/O PERIMETRALES, A BASE DE CORDÓN DE POLIESTIRENO Y MASILLA DE POLIURETANO</t>
  </si>
  <si>
    <t>Sellado de juntas de dilatación 25 mm en superficie y/o perimetrales, a base de cordón de poliestireno y masilla de poliuretano</t>
  </si>
  <si>
    <t>CUB-CAPA.REGULARIZADORA-GTX-2cm</t>
  </si>
  <si>
    <t>XXXXXX CAPA DE MORTERO e= 2 cm; INCLUYE MALLA DE REFUERZO EN LÁMINA GEOTEXTIL DE POLIÉSTER (CUB)</t>
  </si>
  <si>
    <t>CAPA DE MORTERO e= 2 cm; INCLUYE MALLA DE REFUERZO EN LÁMINA GEOTEXTIL DE POLIÉSTER (CUB)</t>
  </si>
  <si>
    <t>CUB-CAPA.REGULARIZADORA-GTX-3cm</t>
  </si>
  <si>
    <t>XXXXXX CAPA DE MORTERO e= 3 cm; INCLUYE MALLA DE REFUERZO EN LÁMINA GEOTEXTIL DE POLIÉSTER (CUB)</t>
  </si>
  <si>
    <t>CAPA DE MORTERO e= 3 cm; INCLUYE MALLA DE REFUERZO EN LÁMINA GEOTEXTIL DE POLIÉSTER (CUB)</t>
  </si>
  <si>
    <t>CUB-CAPA.REGULARIZADORA-GTX-4cm</t>
  </si>
  <si>
    <t>XXXXXX CAPA DE MORTERO e= 4 cm; INCLUYE MALLA DE REFUERZO EN LÁMINA GEOTEXTIL DE POLIÉSTER (CUB)</t>
  </si>
  <si>
    <t>CAPA DE MORTERO e= 4 cm; INCLUYE MALLA DE REFUERZO EN LÁMINA GEOTEXTIL DE POLIÉSTER (CUB)</t>
  </si>
  <si>
    <t>CUB-CAPA.REGULARIZADORA-MFV-2cm</t>
  </si>
  <si>
    <t>XXXXXX CAPA DE MORTERO e= 2 cm; INCLUYE MALLA DE REFUERZO EN FIBRA DE VIDRIO (CUB)</t>
  </si>
  <si>
    <t>Capa de mortero e=3 cm entre la lámina impermeabilizante y pavimento acabado; incluye refuerzo con malla de fibra de vidrio (CUB)</t>
  </si>
  <si>
    <t>CUB-CAPA.REGULARIZADORA-MFV-3cm</t>
  </si>
  <si>
    <t>XXXXXX CAPA DE MORTERO e= 3 cm; INCLUYE MALLA DE REFUERZO EN FIBRA DE VIDRIO (CUB)</t>
  </si>
  <si>
    <t>CUB-CAPA.REGULARIZADORA-MFV-4cm</t>
  </si>
  <si>
    <t>XXXXXX CAPA DE MORTERO e= 4 cm; INCLUYE MALLA DE REFUERZO EN FIBRA DE VIDRIO (CUB)</t>
  </si>
  <si>
    <t>Capa de mortero e=4 cm entre la lámina impermeabilizante y pavimento acabado; incluye refuerzo con malla de fibra de vidrio (CUB)</t>
  </si>
  <si>
    <t>CUB-SELLADO.JUNTA-PU-15-AT-01</t>
  </si>
  <si>
    <t>XXXXXX SELLADO DE JUNTAS DE DILATACIÓN 15 MM EN SUPERFICIE Y/O PERIMETRALES, A BASE DE MASILLA SELLANTE DE POLIURETANO; MEDIANTE EL USO DE ANDAMIO TUBULAR</t>
  </si>
  <si>
    <t>SELLADO DE JUNTAS DE DILATACIÓN 15 MM EN SUPERFICIE Y/O PERIMETRALES, A BASE DE MASILLA SELLANTE DE POLIURETANO; MEDIANTE EL USO DE ANDAMIO TUBULAR</t>
  </si>
  <si>
    <t>ma-dispival-barniz.PU-4kg</t>
  </si>
  <si>
    <t>Barniz de poliuretano alifático bicomponente de REVETÓN (4 kg/kit).   Ref. dispival-barniz.PU-4kg</t>
  </si>
  <si>
    <t>ma-dispival-masilla.PU</t>
  </si>
  <si>
    <t>Masilla sellante de juntas al poliuretano MASITEX P de REVETÓN; color gris (300 ml/cartucho).   Ref. dispival-masilla.PU</t>
  </si>
  <si>
    <t>CUB-SELLADO.JUNTA-PU-15-MS-01</t>
  </si>
  <si>
    <t>XXXXXX SELLADO DE JUNTAS DE DILATACIÓN 15 MM EN SUPERFICIE Y/O PERIMETRALES, A BASE DE MASILLA SELLANTE DE POLIURETANO; MEDIANTE EL USO DE MEDIO SUSPENDIDO/COLGADO</t>
  </si>
  <si>
    <t>SELLADO DE JUNTAS DE DILATACIÓN 15 MM EN SUPERFICIE Y/O PERIMETRALES, A BASE DE MASILLA SELLANTE DE POLIURETANO; MEDIANTE EL USO DE MEDIO SUSPENDIDO/COLGADO</t>
  </si>
  <si>
    <t>CUB-SELLADO.JUNTA-PU-20-AT-01</t>
  </si>
  <si>
    <t>XXXXXX SELLADO DE JUNTAS DE DILATACIÓN 20 mm EN SUPERFICIE Y/O PERIMETRALES, A BASE DE MASILLA SELLANTE DE POLIURETANO; MEDIANTE EL USO DE ANDAMIO TUBULAR</t>
  </si>
  <si>
    <t>SELLADO DE JUNTAS DE DILATACIÓN 20 mm EN SUPERFICIE Y/O PERIMETRALES, A BASE DE MASILLA SELLANTE DE POLIURETANO; MEDIANTE EL USO DE ANDAMIO TUBULAR</t>
  </si>
  <si>
    <t>CUB-SELLADO.JUNTA-PU-20-MS-01</t>
  </si>
  <si>
    <t>XXXXXX SELLADO DE JUNTAS DE DILATACIÓN 20 mm EN SUPERFICIE Y/O PERIMETRALES, A BASE DE MASILLA SELLANTE DE POLIURETANO; MEDIANTE EL USO DE MEDIO SUSPENDIDO/COLGADO</t>
  </si>
  <si>
    <t>SELLADO DE JUNTAS DE DILATACIÓN 20 mm EN SUPERFICIE Y/O PERIMETRALES, A BASE DE MASILLA SELLANTE DE POLIURETANO; MEDIANTE EL USO DE MEDIO SUSPENDIDO/COLGADO</t>
  </si>
  <si>
    <t>CUB-SELLADO.JUNTA-PU-25-AT-01</t>
  </si>
  <si>
    <t>XXXXXX SELLADO DE JUNTAS DE DILATACIÓN 25 mm EN SUPERFICIE Y/O PERIMETRALES, A BASE DE MASILLA SELLANTE DE POLIURETANO; MEDIANTE EL USO DE MEDIO SUSPENDIDO/COLGADO</t>
  </si>
  <si>
    <t>SELLADO DE JUNTAS DE DILATACIÓN 25 mm EN SUPERFICIE Y/O PERIMETRALES, A BASE DE MASILLA SELLANTE DE POLIURETANO; MEDIANTE EL USO DE MEDIO SUSPENDIDO/COLGADO</t>
  </si>
  <si>
    <t>CUB-SELLADO.JUNTA-PU-25-MS-01</t>
  </si>
  <si>
    <t>CUB50-MNR-POLICARBONATO-16-PSD</t>
  </si>
  <si>
    <t>XXXXXX CUBIERTA CLARABOYA DE POLICARBONATO CELULAR 16 mm (6,76 KG/PLACA)</t>
  </si>
  <si>
    <t>Suministro y colocacion de claraboya con placas traslucida de policarbonato celular incoloro de 16mm de espesor (6,76 kg/placa); incluye: Perfiles en H para uniones de las placas, perfil perimetral en "U", fijaciones a estructura.</t>
  </si>
  <si>
    <t>ma-lp-00413504</t>
  </si>
  <si>
    <t>Placa de policarbonato celular de ONDUCLAIR 6.76 kg/placa (3000x980x16 mm/placa).   Ref. lp-00413504</t>
  </si>
  <si>
    <t>CUB25</t>
  </si>
  <si>
    <t>XXXXXX CUBIERTA CLARABOYA DE POLICARBONATO CELULAR 16MM</t>
  </si>
  <si>
    <t>Suministro y colocacion de claraboya con placas traslucida de policarbonato celular incoloro de 16mm de espesor. Incluye: Perfiles en H para uniones de las placas, perfil perimetral en "U", fijaciones a estructura.</t>
  </si>
  <si>
    <t>00413504</t>
  </si>
  <si>
    <t>POLICARBONATO CELULAR EN PLACA 3000X980X16 MM INCOLORO Ref.: 00413504</t>
  </si>
  <si>
    <t>00413524</t>
  </si>
  <si>
    <t>PERFIL U POLICARBONATO PARA 16 MM 2100 MM Ref.: 00413524</t>
  </si>
  <si>
    <t>00537563</t>
  </si>
  <si>
    <t>PERFIL H POLICARBONATO PARA 16 MM 3000 MM Ref.: 00537563</t>
  </si>
  <si>
    <t>00468120</t>
  </si>
  <si>
    <t>TORNILLO AUTOTALADRANTE CABEZA HEXAGONAL CON ARANDELA VULCANIZADA ACERO-EPDM 5,5X50 MM P16 500 UDS Ref.: 00468120</t>
  </si>
  <si>
    <t>CUBIMP02-MNR-SIKAFLOOR-01</t>
  </si>
  <si>
    <t>XXXXXX IMPERMEABILIZACIÓN ASFÁLTICA CON PRODUCTOS SIKAFLOOR DE SIKA</t>
  </si>
  <si>
    <t>IMPERMEABILIZACIÓN ASFÁLTICA CON PRODUCTOS SIKAFLOOR DE SIKA
Imprimante SIKAFLOOR 156; Mortero Autonivelante SIKAFLOOR 200 LEVEL (e=10 mm); Revestimiento SIKAFLOOR 420.</t>
  </si>
  <si>
    <t>ma-s.lucia-sikafloor156-10kg</t>
  </si>
  <si>
    <t>Imprimante, mortero de nivelación y capa base epoxi bicomponente SIKAFLOOR-156 de SIKA (pack 10 kg de Componentes A (7,5 kg) y B (2,5 kg)).   Ref. s.lucia-sikafloor156-10kg</t>
  </si>
  <si>
    <t>ma-bauhaus-sikafloor200level</t>
  </si>
  <si>
    <t>Mortero autonivelante cementoso modificado con polímeros para recrecidos de 3 a 50 mm SIKAFLOOR-200 LEVEL (25 kg/saco).   Ref. bauhaus-sikafloor200level</t>
  </si>
  <si>
    <t>ma-s.lucia-sikafloor420-15lt</t>
  </si>
  <si>
    <t>Revestimiento monocomponente de alta elasticidad de poliuretano SIKAFLOOR 420 de SIKA (15 litros o 19,35 kg/envase).   Ref. s.lucia-sikafloor420-15lt</t>
  </si>
  <si>
    <t>REV</t>
  </si>
  <si>
    <t>o Revestimientos y trasdosados</t>
  </si>
  <si>
    <t>PAV000</t>
  </si>
  <si>
    <t>PAVIMENTOS</t>
  </si>
  <si>
    <t>PAV001</t>
  </si>
  <si>
    <t>PAVIMENTO CERAMICO GC ORGAZ BASE GRECOGRES 24.6x24.6CM</t>
  </si>
  <si>
    <t>Pavimento de baldosas cerámicas de gres rústico GRECOGRES, de 25x25cm, 22€/m², capacidad de absorción de agua E&lt;3%, grupo AI, resistencia al deslizamiento Rd&lt;=15, clase 0, recibidas con mortero de cemento M-10 de 3 cm de espesor y rejuntadas con mortero de juntas cementoso mejorado, con absorción de agua reducida y resistencia elevada a la abrasión tipo CG 2 W A, color blanco, para juntas de 2 a 15 mm.</t>
  </si>
  <si>
    <t>PAV002</t>
  </si>
  <si>
    <t>PAVIMENTO CERAMICO GC ORGAZ BASE GRECOGRES 31.4x31.4CM</t>
  </si>
  <si>
    <t>Pavimento de baldosas cerámicas de gres rústico GRECOGRES, de 31x31cm, 26€/m², capacidad de absorción de agua E&lt;3%, grupo AI, resistencia al deslizamiento Rd&lt;=15, clase 0, recibidas con mortero de cemento M-10 de 3 cm de espesor y rejuntadas con mortero de juntas cementoso mejorado, con absorción de agua reducida y resistencia elevada a la abrasión tipo CG 2 W A, color blanco, para juntas de 2 a 15 mm.</t>
  </si>
  <si>
    <t>ma-manau-6623</t>
  </si>
  <si>
    <t>GC orgaz Base gres 31.4x31.4 - MANAU</t>
  </si>
  <si>
    <t>PAV003</t>
  </si>
  <si>
    <t>RODAPIE CERAMICO GC ORGAZ ROD GRECOGRES 7.5x31.4CM</t>
  </si>
  <si>
    <t>Rodapié cerámico de gres rústico, de 8 cm, 3 €/m, recibido con adhesivo cementoso de uso exclusivo para interiores, Ci sin ninguna característica adicional y rejuntado con mortero de juntas cementoso mejorado, con absorción de agua reducida y resistencia elevada a la abrasión tipo CG 2 W A, color blanco, para juntas de 2 a 15 mm.</t>
  </si>
  <si>
    <t>ma-manau-50449</t>
  </si>
  <si>
    <t>GC ORGAZ ROD 7.5X31.4 - MANAU</t>
  </si>
  <si>
    <t>PAV004</t>
  </si>
  <si>
    <t>VIERTEAGUAS CERAMICO EN BALCON GC ORGAZ 31.4x29.3CM</t>
  </si>
  <si>
    <t>ma-manau-6665</t>
  </si>
  <si>
    <t>Vierteaguas ceramico en balcon GC ORGAZ VIERTEAGUAS 31.4X29.3</t>
  </si>
  <si>
    <t>REV-MORTERO.BASTARDO-15mm-AT</t>
  </si>
  <si>
    <t>MORTERO BASTARDO 15 mm DE CAL Y CEMENTO BLANCO</t>
  </si>
  <si>
    <t>S/C MORTERO BASTARDO 15 mm DE CAL Y CEMENTO BLANCO</t>
  </si>
  <si>
    <t>REV-REVOCO-DEC.PETREO.C1-H-AT-1</t>
  </si>
  <si>
    <t>REVOCO PÉTREO DECORATIVO AL SILOXANO APLICADO SOBRE ENFOSCADO DE PARAMENTO HORIZONTAL, MEDIANTE EL USO DE ANDAMIO TUBULAR</t>
  </si>
  <si>
    <t>ma-stockpinturas-70248-001</t>
  </si>
  <si>
    <t>Imprimante acrílico pigmentado al agua GRANOCRYL de BEISSIER (25 kg/bidón).   Ref. stockpinturas-70248-001</t>
  </si>
  <si>
    <t>ma-pp-GRANOCRYL.BRS.SL03-C1</t>
  </si>
  <si>
    <t>Mortero al siloxano para revoco decorativo GRANOCRYL BRS SL03 de BEISSIER; color C1 (20 kg/bidón).   Ref. pp-GRANOCRYL.BRS.SL03-C1</t>
  </si>
  <si>
    <t>REV-REVOCO-DEC.PETREO.C1-H-MS-1</t>
  </si>
  <si>
    <t>REVOCO PÉTREO DECORATIVO AL SILOXANO APLICADO SOBRE ENFOSCADO DE PARAMENTO HORIZONTAL, MEDIANTE EL USO DE MEDIO SUSPENDIDO/COLGADO</t>
  </si>
  <si>
    <t>REV-REVOCO-DEC.PETREO.C1-V-AT-1</t>
  </si>
  <si>
    <t>REVOCO PÉTREO DECORATIVO AL SILOXANO APLICADO SOBRE ENFOSCADO DE PARAMENTO VERTICAL, MEDIANTE EL USO DE ANDAMIO TUBULAR</t>
  </si>
  <si>
    <t>REV-REVOCO-DEC.PETREO.C1-V-MS-1</t>
  </si>
  <si>
    <t>REVOCO PÉTREO DECORATIVO AL SILOXANO APLICADO SOBRE ENFOSCADO DE PARAMENTO VERTICAL, MEDIANTE EL USO DE MEDIO SUSPENDIDO/COLGADO</t>
  </si>
  <si>
    <t>REV00100</t>
  </si>
  <si>
    <t>ABRILLANTAMIENTO MECÁNICO DE MÁRMOL EN PARAMENTOS HORIZONTALES, MEDIANTE EL USO DE ANDAMIO TUBULAR</t>
  </si>
  <si>
    <t>REV00100TV</t>
  </si>
  <si>
    <t>ABRILLANTAMIENTO MECÁNICO DE MÁRMOL EN PARAMENTOS HORIZONTALES, MEDIANTE EL USO DE MEDIO SUSPENDIDO/COLGADO</t>
  </si>
  <si>
    <t>REV002</t>
  </si>
  <si>
    <t>RODAPIE O ZOCALO CERAMICO PORCELANICO</t>
  </si>
  <si>
    <t>Rodapié cerámico de gres esmaltado, de 8 cm, recibido con adhesivo cementoso de uso exclusivo para interiores, rejuntado con mortero de juntas cementoso mejorado, con absorción de agua reducida y resistencia elevada a la abrasión, color blanco, para juntas de 2 a 15 mm.</t>
  </si>
  <si>
    <t>REV003</t>
  </si>
  <si>
    <t>REVESTIMIENTO GRES PORCELÁNICO ESMALTADO</t>
  </si>
  <si>
    <t>REV004</t>
  </si>
  <si>
    <t>XXXXXX RODAPIE O ZOCALO DE GRES PORCELÁNICO ESMALTADO DE 8CM</t>
  </si>
  <si>
    <t>Pavimento interior de piezas de gres porcelánico esmaltado, de 8cm, gama media, con resistencia al deslizamiento 35&lt;rd&lt;=45 según une-en 16165 y deslizamiento clase 2 según cta. Apoyo: de mortero de cemento. Colocación: en capa fina y mediante encolado simple con adhesivo cementoso mejorado de ligantes mixtos, tixótropo, c2 tiene s1, según une-en 12004, deformable, con deslizamiento reducido y mortero flexible, color gris. Rejuntado: con mortero de juntas cementosa mejorada, tipo cg2 w a, según une-en 13888, con absorción de agua reducida y resistencia elevada a la abrasión, en juntas de 2 mm de espesor.</t>
  </si>
  <si>
    <t>REV0044</t>
  </si>
  <si>
    <t>ALISADO DE MURO CON GOTELE</t>
  </si>
  <si>
    <t>Alisado y nivelado de paramentos interiores revestidos con pintura con textura picada o gotelé, mediante plaste en polvo, color blanco, aplicado con llana o espátula en sucesivas capas, hasta alcanzar un espesor total de 5 mm.</t>
  </si>
  <si>
    <t>ma-lp-00006794</t>
  </si>
  <si>
    <t>Emplaste Aguaplast Profesional, pasta de 15kg</t>
  </si>
  <si>
    <t>REV005</t>
  </si>
  <si>
    <t>REVESTIMIENTO DE BALDOSA DE VALENCIA DE 20x20CM</t>
  </si>
  <si>
    <t>Revestimiento interior con piezas de baldosa de valencia, de 200x200 mm, color blanco, acabado brillo, gama media, capacidad de absorción de agua e&gt;10%, grupo biii, según une-en 14411. Soporte: menaje de fábrica, vertical, de hasta 3 m de altura. Colocación: en capa grande con mortero de cemento m-5. mortero flexible, color gris. Rejuntado: con mortero de juntas cementosa mejorada, tipo cg2 w a, según une-en 13888, con absorción de agua reducida y resistencia elevada a la abrasión, en juntas de 2 mm de espesor.</t>
  </si>
  <si>
    <t>mt19aba100ap</t>
  </si>
  <si>
    <t>Piezas de azulejo, de 200x200 mm, color blanco, acabado mate, gama superior, capacidad de absorción de agua E&gt;10%, grupo BIII, según UNE-EN 14411.</t>
  </si>
  <si>
    <t>REV0055</t>
  </si>
  <si>
    <t>APLICACION DE RESINA PUENTE DE UNION SIKA TOP 50</t>
  </si>
  <si>
    <t>Suministro y aplicación de puente de adherencia sikatop 50. El precio incluye la protección de los elementos del entorno que puedan verse afectados durante los trabajos.</t>
  </si>
  <si>
    <t>sika</t>
  </si>
  <si>
    <t>Sika Top 50 Resina union bote 5 kg</t>
  </si>
  <si>
    <t>REV012</t>
  </si>
  <si>
    <t>TRABAJOS REPARACION EN INTERIOR DE VIVIENDA</t>
  </si>
  <si>
    <t>-Movimiento de mobibliario para la correcta ejecucion de los trabajos.
-Retiro de material en mal estado en paramento horizontal (techo), con medios manuales, sin deteriorar la superficie soporte. 
-Revestimiento de techo con yeso y/o mecafino a buena vista, sobre paramento horizontal, de hasta 3 m de altura, previa colocación de malla antiálcalis en grietas, esquinas y encuentros.
-Aplicación manual de dos manos de pintura plastica en interior, color similar el existente, a dos manos previa aplicación de una mano de imprimación. El precio incluye la protección de los elementos del entorno que puedan verse afectados durante los trabajos.</t>
  </si>
  <si>
    <t>PINT003</t>
  </si>
  <si>
    <t>o PINTURA ACRILICA EN  INTERIOR PALAS P-500</t>
  </si>
  <si>
    <t>ma-palacios-8436563360107</t>
  </si>
  <si>
    <t>PALAS P-500 CUBREX INT-EXT.BLCO. 14L</t>
  </si>
  <si>
    <t>Revestimiento de yeso de construcción B1 a buena vista, sobre paramento vertical, de hasta 3 m de altura, previa colocación de malla antiálcalis en esquinas y encuentros.</t>
  </si>
  <si>
    <t>REV07</t>
  </si>
  <si>
    <t>ALISADO DE PAREDES</t>
  </si>
  <si>
    <t>Alisado de paredes con yeso y/o mecafino a buena vista, sobre paramento vertical, de hasta 3 m de altura, previa colocación de malla antiálcalis en esquinas y encuentros.</t>
  </si>
  <si>
    <t>REV08</t>
  </si>
  <si>
    <t>REVOCO DECORATIVO SOBRE PARAMENTO INTERIOR</t>
  </si>
  <si>
    <t>PST1</t>
  </si>
  <si>
    <t>Pasta de mortero de cal para revocos, incluso china.</t>
  </si>
  <si>
    <t>PIGM</t>
  </si>
  <si>
    <t>Pigmento para morteros y revocos.</t>
  </si>
  <si>
    <t>REV10</t>
  </si>
  <si>
    <t>FILTRACION EN TECHO O MURO</t>
  </si>
  <si>
    <t>Retiro de material en mal estado, en paramento vertical (Muro), con medios manuales, sin deteriorar la superficie soporte, suministro y colocacion de revestimiento tratando de igualar el acabado existente. Aplicación manual de dos manos de pintura color similar al existente en paramento vertical.</t>
  </si>
  <si>
    <t>MORHID001</t>
  </si>
  <si>
    <t>o MORTERO HIDROFUGO PROPAM REVOC 15mm</t>
  </si>
  <si>
    <t>REV11</t>
  </si>
  <si>
    <t>REVESTIMIENTO PETREO REVETÓN CUBIC BLANCO</t>
  </si>
  <si>
    <t>Aplicación manual de dos manos de revestimiento pétreo, liso, texturado, fino para fachadas de Revetón Cubic. Color blanco, la primera mano diluida con un 10 a 15% de agua y la siguiente sin diluir; previa aplicación de una mano de imprimación a base de copolímeros acrílicos en suspensión acuosa, sobre paramento exterior de hormigón. El precio incluye la protección de los elementos del entorno que puedan verse afectados durante los trabajos y la resolución de puntos singulares.</t>
  </si>
  <si>
    <t>ma-amodeco-reveton.imprim.acril</t>
  </si>
  <si>
    <t>Imprimación acuosa fijadora acrílica COTEFILM de REVETÓN (15 litros/bidón).   Ref. amodeco-reveton.imprim.acril</t>
  </si>
  <si>
    <t>ma-lp-00539797</t>
  </si>
  <si>
    <t>Revestimiento pétreo liso texturado fino para fachadas de REVETÓN CUBIC; color blanco (15 litros/bidón).   Ref. lp-00539797</t>
  </si>
  <si>
    <t>REVPINT22</t>
  </si>
  <si>
    <t>REVESTIMIENTO PROTECTOR EPOXI SIKAGARD 62</t>
  </si>
  <si>
    <t>Revestimiento protector a base de resinas Epoxi Bicomponente, es una pintura para revestimientos protectores a base de resinas epoxi, bicomponente, 100% sólidos, rígido con colores de alta resistencia. Capa de protección resistente a productos químicos en hormigón, piedra, morteros, cemento epoxi, productos a base de resinas epoxi y acero. ? Forro en tanques de almacenamiento y silos. Revestimiento anti-corrosión en el acero en las plantas de procesamiento de alimentos, plantas de aguas residuales, granjas, empresas agrícolas, químicas y farmacéuticas y las instalaciones de la industria de bebidas.</t>
  </si>
  <si>
    <t>ma-web-lucia-sikagard62</t>
  </si>
  <si>
    <t>Sikagard 62. Parte A Bidón de 3.75kg. Parte B Bidón de 1.25kg</t>
  </si>
  <si>
    <t>REVPINT32-MNR-01-H</t>
  </si>
  <si>
    <t>XXXXXX REVESTIMIENTO PÉTREO LISO TEXTURADO FINO EN PARAMENTOS HORIZONTALES DE FACHADAS "REVETÓN CUBIC"</t>
  </si>
  <si>
    <t>PINTURA CON REVESTIMIENTO PÉTREO LISO TEXTURADO FINO EN PARAMENTOS HORIZONTALES DE FACHADAS "REVETÓN CUBIC"</t>
  </si>
  <si>
    <t>ma-da-01031-G</t>
  </si>
  <si>
    <t>Fijador/sellador acrílico penetrante y resistente al roce FIXOART de D’ARTIC (5 litros/envase).   Ref. da-01031-G</t>
  </si>
  <si>
    <t>REVPINT32-MNR-01-V</t>
  </si>
  <si>
    <t>XXXXXX REVESTIMIENTO PÉTREO LISO TEXTURADO FINO EN PARAMENTOS VERTICALES DE FACHADAS "REVETÓN CUBIC"</t>
  </si>
  <si>
    <t>PINTURA CON REVESTIMIENTO PÉTREO LISO TEXTURADO FINO EN PARAMENTOS VERTICALES DE FACHADAS "REVETÓN CUBIC"</t>
  </si>
  <si>
    <t>REVPAV</t>
  </si>
  <si>
    <t>REVPAV-BALDOSA.EXTRUSIONADA-01</t>
  </si>
  <si>
    <t>REVESTIMIENTO DE SUELO CON BALDOSA NATURAL EXTRUSIONADA ANTIDESLIZANTE 1ª O GRES DE ANDORRA DE GRESAN (24,5X24,5 CM/PZA)</t>
  </si>
  <si>
    <t>ma-ia-11</t>
  </si>
  <si>
    <t>Baldosa natural extrusionada antideslizante 1ª o gres de ANDORRA de GRESAN (24,5x24,5 cm/pza).   Ref. ia-11</t>
  </si>
  <si>
    <t>REVPAV-CERAMICA.ESMALTADA-01</t>
  </si>
  <si>
    <t>ALICATADO DE PAVIMENTO CON CERÁMICA ESMALTADA TIPO GRES EN FORMATO 31,5x31,5 cm</t>
  </si>
  <si>
    <t>ma-ma-s/c</t>
  </si>
  <si>
    <t>Cerámica esmaltada tipo gres en formato 31,5x31,5 cm</t>
  </si>
  <si>
    <t>REVPAV-CERAMICA.NATURAL-01</t>
  </si>
  <si>
    <t>ALICATADO DE PAVIMENTO CON CERÁMICA NATURAL HIERRO 2.0 DE ROSA GRES EN FORMATO 31x31 cm</t>
  </si>
  <si>
    <t>REVPAV-GRES.PORCELANICO-01</t>
  </si>
  <si>
    <t>XXXXXX REVESTIMIENTO DE SUELO CON BALDOSA DE GRES PORCELÁNICO BEIGE 60x40 mm</t>
  </si>
  <si>
    <t>REVESTIMIENTO DE SUELO CON BALDOSA DE GRES PORCELÁNICO BEIGE 60x40 mm</t>
  </si>
  <si>
    <t>REVPAV-BALDOSA.HIDRAULICA-01</t>
  </si>
  <si>
    <t>REVESTIMIENTO DE SUELO CON BALDOSA HIDRÁULICA TERRAZO PIZARRA RUGOSO COLOR CREMA 400x400x38 mm</t>
  </si>
  <si>
    <t>ma-lp-00407834</t>
  </si>
  <si>
    <t>Baldosa terrazo pizarra rugoso de BEDIFA con espesor 38 mm; color crema (40x40 cm/pza).   Ref. lp-00407834</t>
  </si>
  <si>
    <t>REVPAV-BALDOSA.PAV.PRENSADO-01</t>
  </si>
  <si>
    <t>REVESTIMIENTO DE SUELO CON BALDOSA DE PAVIMENTO PRENSADO NATURAL COLOR ROJO CUGAT DE BENESOL (14x28 cm por pieza)</t>
  </si>
  <si>
    <t>REVPAV-BALDOSA.CALAF-01</t>
  </si>
  <si>
    <t>REVESTIMIENTO DE SUELO CON BALDOSA BASE MONTSERRAT ROJO DE CALAF (27x27x1,6 cm/pza)</t>
  </si>
  <si>
    <t>ma-mausa-Sku-CALAF11</t>
  </si>
  <si>
    <t>Baldosa Base Montserrat Rojo Biselado de CALAF (27x27x16 cm/pza).   Ref. mausa-Sku-CALAF11</t>
  </si>
  <si>
    <t>REVPAV-BALDOSA.VITRIA-14x28-CT1</t>
  </si>
  <si>
    <t>REVESTIMIENTO DE SUELO CON BALDOSA VIDRIADA COLOR CT1 (14x28 cm/pza)</t>
  </si>
  <si>
    <t>REVESTIMIENTO DE SUELO CON BALDOSA VIDRIADA COLOR CT1 (14x28 cm/pza)
CT1 = Colores Tipo 1: Paja 10 – Amarillo 50 – Amarillo 52 – Beige 85 – Tabaco 16 – Marrón 95 - Rojo 24 – Verde 28 – Verde 31.</t>
  </si>
  <si>
    <t>ma-ferres-baldosa.VT-14x28-CT1</t>
  </si>
  <si>
    <t>Baldosa vidriada (14x28 cm/pza).   Ref. ferres-baldosa.VT-14x28-CT1</t>
  </si>
  <si>
    <t>REVPAV-CATALANA.20x20-01</t>
  </si>
  <si>
    <t>REVESTIMIENTO DE SUELO CON BALDOSA CATALANA TERRACOTA-ROJO 15 (20x20 cm/pza).   Ref. terraceramica.20x20</t>
  </si>
  <si>
    <t>Revestimiento de suelo con baldosa catalana TERRACOTA-ROJO 15 (20x20 cm/pza).   Ref. terraceramica.20x20.</t>
  </si>
  <si>
    <t>ma-terraceramica-catalana.20x20</t>
  </si>
  <si>
    <t>Baldosa catalana TERRACOTA-ROJO 15 (20x20 cm/pza).   Ref. terraceramica-catalana.20x20</t>
  </si>
  <si>
    <t>REVPAV-EPOXI.ACUOSO-01</t>
  </si>
  <si>
    <t>REVESTIMIENTO DE SUELO CON RESINA EPOXI BICOMPONENTE EN BASE ACUOSA</t>
  </si>
  <si>
    <t>ma-bauhaus-30656835</t>
  </si>
  <si>
    <t>Resina epoxi bicomponente en base acuosa para suelos MAKE INDUSTRIALE (4 litros/envase). Ref. bauhaus-30656835</t>
  </si>
  <si>
    <t>REVPAV-RASILLA-02</t>
  </si>
  <si>
    <t>ma-manau-308943</t>
  </si>
  <si>
    <t>Baldosa gres natural rojo de BENESOL (14x28 cm/pza).   Ref. manau-308943</t>
  </si>
  <si>
    <t>REVPAV-BALDOSA.HIDRAULICA-02</t>
  </si>
  <si>
    <t>REVESTIMIENTO DE SUELO CON BALDOSA HIDRÁULICA CONTEMPORÁNEA DE CEMENTO PIGMENTADO 133-B DE ADRIHOSAN (20x20x1,5 cm/pza)</t>
  </si>
  <si>
    <t>ma-adrihosan-133-B</t>
  </si>
  <si>
    <t>Baldosa hidráulica contemporánea de cemento pigmentado 133-B de ADRIHOSAN (20x20x1,5 cm/pza).   Ref. adrihosan-133-B</t>
  </si>
  <si>
    <t>REVPAV-BALDOSA.HIDRAULICA-03</t>
  </si>
  <si>
    <t>REVESTIMIENTO DE SUELO CON BALDOSA HIDRÁULICA GEOMÉTRICA DE CEMENTO PIGMENTADO 221-A DE ADRIHOSAN (20x20x1,5 cm/pza)</t>
  </si>
  <si>
    <t>ma-adrihosan-221-A</t>
  </si>
  <si>
    <t>Baldosa hidráulica contemporánea de cemento pigmentado 221-A de ADRIHOSAN (20x20x1,5 cm/pza).   Ref. adrihosan-221-A</t>
  </si>
  <si>
    <t>REVPAV02</t>
  </si>
  <si>
    <t>PAVIMENTO LAMINADO AC5 de 12mm</t>
  </si>
  <si>
    <t>Pavimento laminado, de lamas de 1380x190x12mm , Clase 33 de uso residencial, resistencia a la abrasión AC5, laminado decorativo en roble, ensamblado con adhesivo con clase de durabilidad en las juntas, colocadas sobre lámina de espuma de polietileno de alta densidad de 2 mm de espesor.</t>
  </si>
  <si>
    <t>quick</t>
  </si>
  <si>
    <t>QUICK STEP IMPRESSIVE ULTRA 12mm ROBLE</t>
  </si>
  <si>
    <t>lami1</t>
  </si>
  <si>
    <t>LAMINA ESPUMA POLIETILENO (FOAM) 2mm 30m2</t>
  </si>
  <si>
    <t>cint1</t>
  </si>
  <si>
    <t>Cinta autoadhesiva para sellado de juntas.</t>
  </si>
  <si>
    <t>adh1</t>
  </si>
  <si>
    <t>Adhesivo, con clase de durabilidad D3 según UNE-EN 204.</t>
  </si>
  <si>
    <t>REVPAV03</t>
  </si>
  <si>
    <t>PAVIMENTO LAMINADO AC5 de 8mm</t>
  </si>
  <si>
    <t>Pavimento laminado Finfloor Original roble titanio, de lamas de 1200x189x8mm, Clase 33 de uso residencial, resistencia a la abrasión AC5, laminado decorativo en roble, ensamblado con adhesivo con clase de durabilidad en las juntas, colocadas sobre lámina de espuma de polietileno de alta densidad de 2 mm de espesor.</t>
  </si>
  <si>
    <t>lami8mm</t>
  </si>
  <si>
    <t>FINFLOOR ORIGINAL ROBLE GLAMOUR</t>
  </si>
  <si>
    <t>ZOC002</t>
  </si>
  <si>
    <t>ZOCALO DM LACADO BLANCO 7CM</t>
  </si>
  <si>
    <t>Zocalo de DM lacado blanco, de 7cm, fijado al paramento mediante clavos.</t>
  </si>
  <si>
    <t>CLV1</t>
  </si>
  <si>
    <t>Clavo de acero galvanizado con cabeza perdida, de 1,4 mm de diámetro</t>
  </si>
  <si>
    <t>00401517</t>
  </si>
  <si>
    <t>RODAPIE P2 ROBLE HELSINKI 2200X80X15 MM Ref.: 00401517</t>
  </si>
  <si>
    <t>ma-lp-00119379</t>
  </si>
  <si>
    <t>RODAPIÉ MDF RECTO MELAMINA BLANCO 120X15X2240 MM</t>
  </si>
  <si>
    <t>REVPAV06</t>
  </si>
  <si>
    <t>MORTERO AUTONIVELANTE DE 7CM</t>
  </si>
  <si>
    <t>Base para pavimento interior, de 70 mm de espesor, de mortero ligero autonivelante capa gruesa, sobre lámina de aislamiento para formación de suelo flotante. Incluso banda de panel rígido de poliestireno expandido para la preparación de las juntas perimetrales de dilatación.</t>
  </si>
  <si>
    <t>00176176</t>
  </si>
  <si>
    <t>MORTERO AUTONIVELANTE AUTONIVEL 5 25 KG</t>
  </si>
  <si>
    <t>REVPAV07</t>
  </si>
  <si>
    <t>PAVIMENTO DE GRANITO GRIS DE 60X40X2CM</t>
  </si>
  <si>
    <t>PAVGRANITO</t>
  </si>
  <si>
    <t>Granito gris de 60x40x2cm</t>
  </si>
  <si>
    <t>00540875</t>
  </si>
  <si>
    <t>MORTERO COLA PEGOLAND GEL PORCELÁNICO BLANCO 25 KG Ref.: 00540875</t>
  </si>
  <si>
    <t>00540944</t>
  </si>
  <si>
    <t>MORTERO JUNTAS 2-20 MM BIGMAT ULTRACOLOR BLANCO 5 KG Ref.: 00540944</t>
  </si>
  <si>
    <t>REVPAV08</t>
  </si>
  <si>
    <t>PAVIMENTO HIDRAULICO</t>
  </si>
  <si>
    <t>Solado de baldosas hidráulicas cuadradas, de 20x20 cm, lisas, color a elegir, colocadas con adhesivo cementoso de fraguado normal, C1, color gris, con doble encolado, rejuntadas con mortero de juntas cementoso tipo L, color blanco, para juntas de hasta 3 mm y tratamiento superficial mediante aplicación con rodillo de producto impermeabilizante para el sellado de poros.</t>
  </si>
  <si>
    <t>bald1</t>
  </si>
  <si>
    <t>Baldosa hidraulica</t>
  </si>
  <si>
    <t>cruc1</t>
  </si>
  <si>
    <t>Crucetas</t>
  </si>
  <si>
    <t>REVPAV09</t>
  </si>
  <si>
    <t>FELPUDO VINILICO DE RIZOS ENTRELAZADOS</t>
  </si>
  <si>
    <t>Felpudo de rizos de vinilo entrelazados, color negro, espesor total 14 mm, uso interior y exterior, enrollable.</t>
  </si>
  <si>
    <t>FELP1</t>
  </si>
  <si>
    <t>Felpudo de rizos de vinilo entrelazados, color negro, espesor total 14 mm</t>
  </si>
  <si>
    <t>ZOCALOS.Y.RODAPIES</t>
  </si>
  <si>
    <t>ZÓCALOS Y RODAPIÉS</t>
  </si>
  <si>
    <t>ZOCALOS-CERAMICOS</t>
  </si>
  <si>
    <t>ZÓCALOS Y RODAPIÉS CERÁMICOS</t>
  </si>
  <si>
    <t>RODAPIE-CERAM.VITRIO-14x28-CT1</t>
  </si>
  <si>
    <t>ZÓCALO CERÁMICO h = 14 cm CON BALDOSA VIDRIADA COLOR CT1 (14x28 cm/pza)</t>
  </si>
  <si>
    <t>ZÓCALO CERÁMICO h = 14 cm CON BALDOSA VIDRIADA COLOR CT1 (14x28 cm/pza)
CT1 = Colores Tipo 1: Paja 10 – Amarillo 50 – Amarillo 52 – Beige 85 – Tabaco 16 – Marrón 95 - Rojo 24 – Verde 28 – Verde 31.</t>
  </si>
  <si>
    <t>RODAPIE-CERAMICO-05</t>
  </si>
  <si>
    <t>ZÓCALO CERÁMICO h = 60 cm CON BALDOSA GRES ARAGÓN DUERO ROA</t>
  </si>
  <si>
    <t>ma-ig-339.904071</t>
  </si>
  <si>
    <t>Baldosa GRES ARAGÓN DUERO ROA de INDIGAR; 30x30 cm espesor 10 mm (0,99 m2/caja; 11 pzas/caja).   Ref. indigar-339.904071</t>
  </si>
  <si>
    <t>RODAPIE-CERAMICO-01</t>
  </si>
  <si>
    <t>RODAPIÉ CERÁMICO OCRE MARIOLA de AZULIBER (h = 8 cm)</t>
  </si>
  <si>
    <t>RODAPIE-CERAMICO-02</t>
  </si>
  <si>
    <t>RODAPIÉ CERÁMICO SERIE STOCKHOLM BEIGE (h = 8 cm)</t>
  </si>
  <si>
    <t>RODAPIÉ CERÁMICO SERIE STOCKHOLM BEIGE (H = 8 CM)</t>
  </si>
  <si>
    <t>ma-lp-00533120</t>
  </si>
  <si>
    <t>Rodapié cerámico serie STOCKHOLM beige (8x45 cm/pza).   Ref. lp-00533120</t>
  </si>
  <si>
    <t>RODAPIE-CERAMICO-03</t>
  </si>
  <si>
    <t>RODAPIÉ CERÁMICO SERIE STOCKHOLM GRIS (h = 8 cm)</t>
  </si>
  <si>
    <t>ma-lp-00533118</t>
  </si>
  <si>
    <t>Rodapié cerámico serie STOCKHOLM gris (8x45 cm/pza).   Ref. lp-00533118</t>
  </si>
  <si>
    <t>RODAPIE-CERAMICO-04</t>
  </si>
  <si>
    <t>RODAPIÉ CERÁMICO RÚSTICO ANDUJAR TERRA (h = 8 cm)</t>
  </si>
  <si>
    <t>ma-lp-00534345</t>
  </si>
  <si>
    <t>Rodapié cerámico rústico ANDUJAR TERRA (8x33 cm/pza).   Ref. lp-00534345</t>
  </si>
  <si>
    <t>REVPINT</t>
  </si>
  <si>
    <t>o PINTURAS</t>
  </si>
  <si>
    <t>Preparación de superficie de carpintería metálica o de madera, con capas de pintura en mal estado, mediante la aplicación con brocha de decapante KEIM, impregnando la pintura existente, eliminándola con espátula una vez reblandecida y lavado posterior con agua o disolvente hasta eliminar los restos del decapante, para proceder posteriormente a su repintado.</t>
  </si>
  <si>
    <t>PREP002</t>
  </si>
  <si>
    <t>o DECAPADO DE PINTURA AL BARNIZ/ESMALTE EN MADERA/METAL CON ISAVAL</t>
  </si>
  <si>
    <t>Preparación de superficie de carpintería metálica o de madera, con capas de pintura en mal estado, mediante la aplicación con brocha de decapante ISAVAL, impregnando la pintura existente, eliminándola con espátula una vez reblandecida y lavado posterior con agua o disolvente hasta eliminar los restos del decapante, para proceder posteriormente a su repintado.</t>
  </si>
  <si>
    <t>PREP003</t>
  </si>
  <si>
    <t>o DECAPADO DE PINTURA EN BARANDILLAS Y VERJAS</t>
  </si>
  <si>
    <t>DECAPADO A MANO DE PINTURA EXISTENTE EN BARANDILLAS Y VERJAS ABIERTAS CON PRODUCTO CONVENCIONAL</t>
  </si>
  <si>
    <t>PREP004</t>
  </si>
  <si>
    <t>o DECAPADO DE GRANULITE</t>
  </si>
  <si>
    <t>Preparación de superficie de fachada, con capas de pintura en mal estado, mediante la aplicación con brocha de decapante, impregnando la pintura existente, eliminándola con espátula una vez reblandecida y lavado posterior con agua o disolvente hasta eliminar los restos del decapante.</t>
  </si>
  <si>
    <t>ma-pint.valderas-SKU.084900033</t>
  </si>
  <si>
    <t>Decapante de pinturas en base acuosa gel tixotrópico QUITAPLAST de JAFEP (4 litros/envase).   Ref. pintu.valderas-SKU.084900033</t>
  </si>
  <si>
    <t>PREP005</t>
  </si>
  <si>
    <t>o DECAPADO DE PINTURA EN TUBERÍA</t>
  </si>
  <si>
    <t>Preparación de tuberias, con capas de pintura en mal estado, mediante la aplicación con brocha de decapante BARPIMO, impregnando la pintura existente, eliminándola con espátula una vez reblandecida y lavado posterior con agua o disolvente hasta eliminar los restos del decapante, para proceder posteriormente a su repintado.</t>
  </si>
  <si>
    <t>PREP006</t>
  </si>
  <si>
    <t>o PREPARACION DE BARANDILLA CON CEPILLO METALICO</t>
  </si>
  <si>
    <t>Preparación de superficie de barandilla metálica, con capas de pintura en estado regular, mediante raspado y lijado de la pintura existente con medios manuales o mecanicos, para proceder posteriormente a su repintado.</t>
  </si>
  <si>
    <t>00017615</t>
  </si>
  <si>
    <t>CEPILLO MANUAL ACERO LATONADO ESTRECHO 50806-A BELLOTA Ref.: 00017615</t>
  </si>
  <si>
    <t>ENMASILLADO PARA TAPADO DE GRIETAS Y AGUJEROS EN MADERA EN PUERTAS</t>
  </si>
  <si>
    <t>PREP008</t>
  </si>
  <si>
    <t>o IMPRIMACION PROPAM GRIP+</t>
  </si>
  <si>
    <t>PROPAM GRIP+ es un Imprimante promotor de adherencia universal listo al uso, a base de resinas acrílicas en dispersión y áridos silíceos de cuarzo, para aplicación de pavimentos y revestimientos cementosos y adhesivos de cerámica sobre todo tipo de soportes absorbentes y no absorbentes. Adecuado para la colocación de morteros de cemento sobre soportes de yeso o anhidrita. Utilización en pavimentos y revestimientos tanto en interior como en exterior. Colocación de morteros autonivelantes y recrecidos sobre soportes porosos y no porosos. Aplicación de morteros de regularización sobre superficies sin absorción superficial (hormigón liso, cemento, yeso, cal, bloque de hormigón, etc.) Colocación de morteros autonivelantes y recrecidos sobre soportes de anhidrita.</t>
  </si>
  <si>
    <t>PINT001</t>
  </si>
  <si>
    <t>o RASCADO DE CAPA DE PINTURA O BARNIZ</t>
  </si>
  <si>
    <t>Rascado de capa de pintura o barniz, acabado liso, aplicada sobre paramento vertical, con medios manuales, mediante rasqueta y espátula.</t>
  </si>
  <si>
    <t>Aplicación manual de dos manos de pintura transpirable en fachada, color a elegir, acabado mate, textura lisa, a dos manos previa aplicación de una mano de imprimación. El precio incluye la protección de los elementos del entorno que puedan verse afectados durante los trabajos.</t>
  </si>
  <si>
    <t>PINT002TV</t>
  </si>
  <si>
    <t>o PINTURA TRANSPIRABLE PALAS-INTERFACHADAS C/TRABAJOS VERTICALES</t>
  </si>
  <si>
    <t>Aplicación manual de dos manos de pintura transpirable en fachada CON TRABAJOS VERTICALES, color a elegir, acabado mate, textura lisa, a dos manos previa aplicación de una mano de imprimación. El precio incluye la protección de los elementos del entorno que puedan verse afectados durante los trabajos.</t>
  </si>
  <si>
    <t>Aplicación manual de dos manos de pintura plastica en interior, color a elegir, acabado mate, textura lisa, a dos manos previa aplicación de una mano de imprimación. El precio incluye la protección de los elementos del entorno que puedan verse afectados durante los trabajos.</t>
  </si>
  <si>
    <t>PINT004</t>
  </si>
  <si>
    <t>o PINTURA DE SILICATO POTÁSICO SILVEL VELADURA SILICATO DE ISAVAL</t>
  </si>
  <si>
    <t>Aplicación manual de dos manos de pintura al silicato efecto veladura Silvel "PINTURAS ISAVAL",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</si>
  <si>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ma-pp-8426106221507</t>
  </si>
  <si>
    <t>Imprimante concentrado fijador diluyente a base de silicato SILTOP de ISAVAL (15 litros/bidón).   Ref. pp-8426106221507</t>
  </si>
  <si>
    <t>ma-pp-E8.15.55</t>
  </si>
  <si>
    <t>Pintura a base de silicato potásico para obtener efectos “veladura” en exteriores e interiores SILVEL VELADURA SILICATO de ISAVAL; color A (15 litros/bidón).   Ref. pp-E8.15.55</t>
  </si>
  <si>
    <t>PINT004TV</t>
  </si>
  <si>
    <t>o PINTURA DE SILICATO POTÁSICO SILVEL VELADURA SILICATO DE ISAVAL C/TRABAJOS VERTICALES</t>
  </si>
  <si>
    <t>Aplicación manual CON TRABAJOS VERTICALES de dos manos de pintura al silicato efecto veladura Silvel "PINTURAS ISAVAL",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</si>
  <si>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PINT005</t>
  </si>
  <si>
    <t>o PINTURA DE SILICATO POTÁSICO KEIM RESTAURO-LASUR DE KEIM</t>
  </si>
  <si>
    <t>Aplicación manual de dos manos de pintura al sol-silicato "KEIM RESTAURO-LASUR DE KEIM",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</si>
  <si>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ma-colorsan-02-B</t>
  </si>
  <si>
    <t>Imprimante y diluyente KEIM RESTAURO-FIXATIV – ALTERMAT (20 litros/envase).   Ref. colorsan-02-B</t>
  </si>
  <si>
    <t>ma-colorsan-01-B</t>
  </si>
  <si>
    <t>Pintura de capa fina a base de sol-silicato KEIM RESTAURO-LASUR (15 litros/bidón).   Ref. colorsan-01-B</t>
  </si>
  <si>
    <t>PINT005TV</t>
  </si>
  <si>
    <t>o PINTURA DE SILICATO POTÁSICO KEIM RESTAURO-LASUR DE KEIM C/TRABAJOS VERTICALES</t>
  </si>
  <si>
    <t>Aplicación manual CON TRABAJOS VERTICALES de dos manos de pintura al sol-silicato "KEIM RESTAURO-LASUR DE KEIM",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</si>
  <si>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PINT006</t>
  </si>
  <si>
    <t>o PINTURA DE SOL-SILICATO KEIM SOLTALIT</t>
  </si>
  <si>
    <t>Aplicación manual de dos manos de pintura al "SOL-SILICATO KEIM SOLTALIT DE KEIM",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</si>
  <si>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ma-colorsan-04-B</t>
  </si>
  <si>
    <t>Imprimante y diluyente al sol-silicato SOLDALIT-FIXATIV de KEIM (20 litros/bidón).   Ref. colorsan-04-B</t>
  </si>
  <si>
    <t>ma-colorsan-03-GC1aGC3-G</t>
  </si>
  <si>
    <t>Pintura de fachadas universal de sol-silicato SOLDALIT de KEIM; colores Grupos 1 a 3 (5 kg/envase).   Ref. colorsan-03-GC1aGC3-G</t>
  </si>
  <si>
    <t>PINT006TV</t>
  </si>
  <si>
    <t>o PINTURA DE SOL-SILICATO KEIM SOLTALIT C/TRABAJOS VERTICALES</t>
  </si>
  <si>
    <t>Aplicación manual CON TRABAJOS VERTICALES de dos manos de pintura al "SOL-SILICATO KEIM SOLTALIT DE KEIM", acabado mate, textura lisa, diluidas; previa aplicación de una mano de imprimación reguladora de la absorción, sobre paramento exterior de mortero de cemento. El precio incluye la protección de los elementos del entorno que puedan verse afectados durante los trabajos y la resolución de puntos singulares.</t>
  </si>
  <si>
    <t>PINT007</t>
  </si>
  <si>
    <t>o PINTURA MINERAL AL MICROSILICATO GEOLITE</t>
  </si>
  <si>
    <t>Aplicación manual de GEOLITE microsilicato es una geopintura transpirable cubriente con efecto mate y con grano fino, para la protección monolítica de hormigones, nuevos o reparados, contra la carbonatación, resistente a los agentes atmosféricos, a algas y mohos. Aplicable pasadas 4 horas sobre las reparaciones realizadas con los geomorteros GEOLITE 10 o GEOLITE 40. Rendimiento sobre soporte acabado fratasado grano fino 0,35 litros/m2 en 2 manos.   Ref. banoidea-K05816.</t>
  </si>
  <si>
    <t>ma-banoidea-K05816</t>
  </si>
  <si>
    <t>Geopintura mineral para la protección decorativa del hormigón GEOLITE MICROSILICATO de KERAKOLL (14 litros/bidón).   Ref. banoidea-K05816</t>
  </si>
  <si>
    <t>PINT008</t>
  </si>
  <si>
    <t>o PINTURA ACRÍLICA SILICONADA PROCOLOR PROEXIL</t>
  </si>
  <si>
    <t>PINTURA ACRÍLICA SILICONADA "PROCOLOR" EN PARAMENTOS HORIZONTALES (FCH)</t>
  </si>
  <si>
    <t>ma-pinturasmata-008696015</t>
  </si>
  <si>
    <t>Imprimante incoloro al disolvente PROCOLITE FONDO PENETRANTE de PROCOLOR (10 litros/envase).   Ref. pinturasmata-008696015</t>
  </si>
  <si>
    <t>ma-imcasa-01-B</t>
  </si>
  <si>
    <t>Pintura acrílica siliconada PROEXIL LISO MATE de PROCOLOR (15 litros/bidón).   Ref. imcasa-01-B</t>
  </si>
  <si>
    <t>PINT008TV</t>
  </si>
  <si>
    <t>o PINTURA ACRÍLICA SILICONADA PROCOLOR PROEXIL C/TRABAJOS VERTICALES</t>
  </si>
  <si>
    <t>PINTURA ACRÍLICA SILICONADA PROCOLOR PROEXIL C/TRABAJOS VERTICALES</t>
  </si>
  <si>
    <t>PINT009</t>
  </si>
  <si>
    <t>o PINTURA PLÁSTICA SILICONADA BLANCO Y X-BLANCO SILART-D'ARTIC</t>
  </si>
  <si>
    <t>PINTURA PLÁSTICA SILICONADA BLANCO Y X-BLANCO SILART-D'ARTIC</t>
  </si>
  <si>
    <t>ma-da-04041B-B</t>
  </si>
  <si>
    <t>Pintura plástica siliconada mate multiuso SILART de D’ARTIC; blanco (15 litros/bidón).   Ref. da-04041B-B</t>
  </si>
  <si>
    <t>PINT010</t>
  </si>
  <si>
    <t>o PINTURA DE MICRO-SILICONA LOTUSAN</t>
  </si>
  <si>
    <t>Aplicación manual de dos manos de pintura de micro-silicona, efecto flor de loto mca. LOTUSAN, previa aplicación de imprimacion de microemulsion siloxanica para consolidar y regularizar el fondo, mejorando la adherencia de la pintura. El precio incluye la protección de los elementos del entorno que puedan verse afectados durante los trabajos.</t>
  </si>
  <si>
    <t>ma-stockpinturas-lotu</t>
  </si>
  <si>
    <t>Beissier Lotusan Autolimpiable 15L</t>
  </si>
  <si>
    <t>PINT011</t>
  </si>
  <si>
    <t>o PINTURA AL PLIOLITE PLIOVAL DE ISAVAL</t>
  </si>
  <si>
    <t>Pintado de paramentos con dos manos, a rodillo, incluye fijador de preparación y dos manos de pintura monocomponente al Pliolite PLIOVAL DE ISAVAL color igual al existente o a determinar según indicaciones de la DF, permeable al vapor del agua y resistente a los rayos U.V. y a los factores atmosféricos.</t>
  </si>
  <si>
    <t>ma-servicolor-700108-G</t>
  </si>
  <si>
    <t>Imprimante acrílico en solución fijador al disolvente FIXACRIL de ISAVAL (4 litros/envase).   Ref. servicolor-700108-G</t>
  </si>
  <si>
    <t>ma-pp-s/c-04-G</t>
  </si>
  <si>
    <t>Revestimiento acrílico a base de resinas Pliolite al disolvente PLIOVAL de ISAVAL; color blanco (4 litros/envase).   Ref.. pp-s/c-04-G</t>
  </si>
  <si>
    <t>PINT011TV</t>
  </si>
  <si>
    <t>o PINTURA AL PLIOLITE PLIOVAL DE ISAVAL C/TRABAJOS VERTICALES</t>
  </si>
  <si>
    <t>Pintado de paramentos con dos manos CON TRABAJOS VERTICALES, a rodillo, incluye fijador de preparación y dos manos de pintura monocomponente al Pliolite PLIOVAL DE ISAVAL color igual al existente o a determinar según indicaciones de la DF, permeable al vapor del agua y resistente a los rayos U.V. y a los factores atmosféricos.</t>
  </si>
  <si>
    <t>PINT012</t>
  </si>
  <si>
    <t>o PINTURA AL SILOXANO BEISSIER</t>
  </si>
  <si>
    <t>Revestimiento elástico liso al siloxano para protección, impermeabilización y decoración de fachadas y muros exteriores. Clasificado según UNE-EN 1062: Materiales de recubrimiento y sistemas de recubrimiento para albañilería exterior y hormigón.</t>
  </si>
  <si>
    <t>ma-pp-0135002200SJ-B</t>
  </si>
  <si>
    <t>Imprimante sellador para fondos pulverulentos DELTAFIX de BEISSIER (25 litros/bidón).   Ref. pp-0135002200SJ-B</t>
  </si>
  <si>
    <t>ma-pp-0137006000SL</t>
  </si>
  <si>
    <t>Pintura elástica al siloxano BETAELASTIC de BEISSIER (15 litros/envase).   Ref. pp-0137006000SL</t>
  </si>
  <si>
    <t>PINT012TV</t>
  </si>
  <si>
    <t>o PINTURA AL SILOXANO BEISSIER C/TRABAJOS VERTICALES</t>
  </si>
  <si>
    <t>PINT013</t>
  </si>
  <si>
    <t>o PINTURA ACRILSILOXÁNICA REVETON ABSYDE</t>
  </si>
  <si>
    <t>Pintura acrilsiloxánica en paramentos verticales de fachadas con producto "REVETÓN ABSYDE"; mediante uso de andamio tubular.</t>
  </si>
  <si>
    <t>PINT014</t>
  </si>
  <si>
    <t>o PINTURA ACRÍLICA POLISILOXÁNICA RALPE</t>
  </si>
  <si>
    <t>PINTURA ACRÍLICA POLISILOXÁNICA EN PARAMENTOS VERTICALES DE FACHADAS CON PRODUCTO "RALPE"; MEDIANTE USO DE ANDAMIO TUBULAR</t>
  </si>
  <si>
    <t>ma-ralpe-SKU1065</t>
  </si>
  <si>
    <t>Imprimante incoloro a base de copolímeros acrílicos (4 litros/envase).   Ref. ralpe-SKU1065</t>
  </si>
  <si>
    <t>ma-ralpe-SKU1005</t>
  </si>
  <si>
    <t>Pintura acrílica exterior con polímeros de polisiloxano modificados HIDROCALPE de RALPE (4 litros/envase).   Ref. ralpe-SKU1005</t>
  </si>
  <si>
    <t>PINT015</t>
  </si>
  <si>
    <t>o PINTURA ACRÍLICA ANTIFISURAS MONTO</t>
  </si>
  <si>
    <t>PINTURA ACRÍLICA ANTIFISURAS EN PARAMENTO VERTICAL CON PRODUCTO "MONTÓ"; MEDIANTE EL USO DE ANDAMIO TUBULAR</t>
  </si>
  <si>
    <t>ma-malagasol-5023609004</t>
  </si>
  <si>
    <t>Imprimante fijador multiuso FIJAMONT de MONTÓ (4 litros/envase).   Ref. malagasol-5023609004</t>
  </si>
  <si>
    <t>ma-cuidadodelhogar-502983.103.12</t>
  </si>
  <si>
    <t>Pintura acrílica OVALDINE FACHADAS ANTIFISURAS de MONTÓ; color blanco (12 litros/bidón).   Ref. cuidadodelhogar-502983.103.12</t>
  </si>
  <si>
    <t>PINT015TV</t>
  </si>
  <si>
    <t>o PINTURA ACRÍLICA ANTIFISURAS MONTO C/TRABAJOS VERTICALES</t>
  </si>
  <si>
    <t>RRRR</t>
  </si>
  <si>
    <t>PINT016</t>
  </si>
  <si>
    <t>o PINTURA PLÁSTICA ACRÍLICA MATE REVETON NOVEX</t>
  </si>
  <si>
    <t>PINTURA PLÁSTICA ACRÍLICA MATE "REVETÓN NOVEX" EN PARAMENTOS VERTICALES, MEDIANTE EL USO DE ANDAMIO TUBULAR</t>
  </si>
  <si>
    <t>ma-multipinturas-1358</t>
  </si>
  <si>
    <t>Imprimante COTEFILM IMPRIMACIÓN ACUOSA de REVETÓN (15 litros/bidón).   Ref. multipinturas-1358</t>
  </si>
  <si>
    <t>ma-lp-00538880</t>
  </si>
  <si>
    <t>Pintura plástica acrílica mate interior/exterior de REVETÓN NOVEX; color blanco (15 litros/bidón).   Ref. lp-00538880</t>
  </si>
  <si>
    <t>PINT017</t>
  </si>
  <si>
    <t>o PINTURA CLORO-CAUCHO BARPIMO</t>
  </si>
  <si>
    <t>PINTURA CLORO-CAUCHO EN PARAMENTOS HORIZONTALES MEDIANTE EL USO DE ANDAMIO TUBULAR (FCH)</t>
  </si>
  <si>
    <t>ma-lp-00007525</t>
  </si>
  <si>
    <t>Pintura CLOROCAUCHO SUELOS de BARPIMO, color rojo inglés (15 litros/bidón).   Ref. lp-00007525</t>
  </si>
  <si>
    <t>PINT018</t>
  </si>
  <si>
    <t>o PINTURA ANTI-CARBONATACIÓN DE REVETON</t>
  </si>
  <si>
    <t>Pintura anticarbonatación de REVENTON, con una mano de fondo y dos de acabado a base de partículas goactivas de silicato para regenerar y proteger superficies de hormigón por cristalización, color según estudio cromático.</t>
  </si>
  <si>
    <t>ma-dispival-rev.anticarbonato-15</t>
  </si>
  <si>
    <t>Revestimiento acrílico anticarbonatación liso de REVETON; color blanco (15 lts/bidón).   Ref. dispival-rev.anticarbonato-15</t>
  </si>
  <si>
    <t>PINT018TV</t>
  </si>
  <si>
    <t>o PINTURA ANTI-CARBONATACIÓN DE REVETON C/VERTICALES</t>
  </si>
  <si>
    <t>Pintura anticarbonatación C/VERTICALES de REVENTON, con una mano de fondo y dos de acabado a base de partículas goactivas de silicato para regenerar y proteger superficies de hormigón por cristalización, color según estudio cromático.</t>
  </si>
  <si>
    <t>PINT019</t>
  </si>
  <si>
    <t>o PINTURA ANTI-CARBONATACIÓN DE SIKAGARD 670 W</t>
  </si>
  <si>
    <t>Pintura anticarbonatación tipo SIKAGARD 670 W de la marca SIKA, con una mano de fondo y dos de acabado a base de partículas goactivas de silicato para regenerar y proteger superficies de hormigón por cristalización, color según estudio cromático.</t>
  </si>
  <si>
    <t>ma-s.lucia-sikagard.670.w.elast</t>
  </si>
  <si>
    <t>Revestimiento de protección para hormigón frente a agentes agresivos (carbonatación, humedad o cloruros) SIKAGARD-670 W ELASTOCOLOR (20 litros/bidón).   Ref. s.lucia-sikagard.670.w.elast</t>
  </si>
  <si>
    <t>PINT020</t>
  </si>
  <si>
    <t>o PINTURA ANTI-CARBONATACION DE KERAKOLL 05816</t>
  </si>
  <si>
    <t>Pintura anticarbonatación tipo Geolite Microsilicato de la marca Kerakoll, con una mano de fondo y dos de acabado a base de partículas goactivas de silicato para regenerar y proteger superficies de hormigón por cristalización, color según estudio cromático.</t>
  </si>
  <si>
    <t>ma-internet-kerakoll-05816</t>
  </si>
  <si>
    <t>Kerakoll 05816 Geolite Microsilicato blco. 14L</t>
  </si>
  <si>
    <t>PINT020TV</t>
  </si>
  <si>
    <t>o PINTURA ANTI-CARBONATACION DE KERAKOLL 05816 C/VERTICALES</t>
  </si>
  <si>
    <t>Pintura anticarbonatación C/VERTICALES tipo Geolite Microsilicato de la marca Kerakoll, con una mano de fondo y dos de acabado a base de partículas goactivas de silicato para regenerar y proteger superficies de hormigón por cristalización, color según estudio cromático.</t>
  </si>
  <si>
    <t>PINT021</t>
  </si>
  <si>
    <t>o PINTURA  A LA CAL</t>
  </si>
  <si>
    <t>Aplicación manual de dos manos de pintura a la cal, color blanco, previa aplicación de una mano de imprimación, sobre paramento exterior de mortero. El precio incluye la protección de los elementos del entorno que puedan verse afectados durante los trabajos y la resolución de puntos singulares.</t>
  </si>
  <si>
    <t>IMPRE1</t>
  </si>
  <si>
    <t>Imprimacion granulosa</t>
  </si>
  <si>
    <t>pintcal</t>
  </si>
  <si>
    <t>Pintura a la cal</t>
  </si>
  <si>
    <t>PINT021TV</t>
  </si>
  <si>
    <t>o PINTURA  A LA CAL C/VERTICALES</t>
  </si>
  <si>
    <t>Aplicación manual de dos manos de pintura a la cal C/VERTICALES, color blanco, previa aplicación de una mano de imprimación, sobre paramento exterior de mortero. El precio incluye la protección de los elementos del entorno que puedan verse afectados durante los trabajos y la resolución de puntos singulares.</t>
  </si>
  <si>
    <t>PINT022</t>
  </si>
  <si>
    <t>o PINTURA MINERAL DE LIME PAINT de FLEUR</t>
  </si>
  <si>
    <t>Pintura mineral "LIME PAINT DE FLEUR" en paramentos horizontales, mediante el uso de andamio tubular (FCH)</t>
  </si>
  <si>
    <t>ma-bh-30285813</t>
  </si>
  <si>
    <t>Imprimante FONDO LIME PAINT de FLEUR para pintura mineral (2,5 litros/envase).   Ref. bh-30285813</t>
  </si>
  <si>
    <t>ma-bh-30227277</t>
  </si>
  <si>
    <t>Pintura mineral LIME PAINT de FLEUR para efectos decorativos; color Cream Love (2,5 litros/envase).   Ref. bh-30227277</t>
  </si>
  <si>
    <t>PINT023</t>
  </si>
  <si>
    <t>o PINTURA  ANTIHUMEDAD TIXOVAL CON RESINA PILOWAY DE ISAVAL</t>
  </si>
  <si>
    <t>Pintura tixotrópica TIXOVAL ANTIHUMEDAD RESINA PLIOWAY de ISAVAL con bajo olor especialmente desarrollada para el pintado de paredes con humedades que suben por capilaridad a través de la estructura de la construcción. Directamente aplicable sobre soportes húmedos y en estancias donde exite tendencia a la condensación de humedad.</t>
  </si>
  <si>
    <t>ma-pp-8426106541056-G</t>
  </si>
  <si>
    <t>Pintura tixotrópica TIXOVAL ANTIHUMEDAD RESINA PLIOWAY de ISAVAL (4 litros/envase).   Ref. pp-8426106541056</t>
  </si>
  <si>
    <t>ma-pp-8426102250062</t>
  </si>
  <si>
    <t>Disolvente TIXOVAL D-50 de ISAVAL (1 litro/envase).   Ref. pp-8426106650062</t>
  </si>
  <si>
    <t>PINT024</t>
  </si>
  <si>
    <t>o PINTURA  ANTIHUMEDAD DIANA  CON RESINA PILOWAY DE REVENTON</t>
  </si>
  <si>
    <t>Pintura acrilica transpirable DIANA ANTIHUMEDAD RESINA PLIOWAY de REVENTON. Proteccion y reparacion de paredes y techos especialmente sometidos a elevado grado de humedad como zocalos, cimientos, bodegas, sotanos, parkings subterraneos, baños, piscinas interiores, estaciones de depuracion. Repintable con pintura plastica. Acabado mate. Color blanco.</t>
  </si>
  <si>
    <t>ma-lp-00540273</t>
  </si>
  <si>
    <t>Pintura transpirable antihumedad blanca de 4L</t>
  </si>
  <si>
    <t>ma-lp-00007104</t>
  </si>
  <si>
    <t>Isolfix disolvente sin olor 1L</t>
  </si>
  <si>
    <t>PINT025</t>
  </si>
  <si>
    <t>o PINTURA  ANTI-MANCHAS ISOLFIX</t>
  </si>
  <si>
    <t>Pintura ISOLFIX al agua es una pintura de fondo y acabado para paredes y techos, para aislar y cubrir manchas, de humo, nicotina, hollín, café, taninos, aceite, grasas, manchas de agua secas, rotuladores, etc. en yeso, madera, fondos minerales o pintados. Lavable y reforzada contra la aparición de mohos. Especialmente indicada para cubrir manchas en cocinas y baños. Excelente cubrición, sin olor, no gotea ni amarillea. Resiste al frote y a la humedad ambiente. Interior y exterior. Envase 10 l. Color: blanco. Acabado mate, coloreable.</t>
  </si>
  <si>
    <t>ma-lp-00007342</t>
  </si>
  <si>
    <t>Isolfix al agua cubre manchas 10L</t>
  </si>
  <si>
    <t>PINT026</t>
  </si>
  <si>
    <t>o PINTURA DE ORNAMENTACION Y MOLDURAS VESTIBULO</t>
  </si>
  <si>
    <t>Aplicación manual de dos manos de pintura en ornamentacion y moldura, color de acuerdo al estudio cromatico del gabinete del color, plastica en interior, color a elegir, acabado mate, textura lisa, a dos manos previa aplicación de una mano de imprimación. El precio incluye la protección de los elementos del entorno que puedan verse afectados durante los trabajos, precintado de las zonas a pintar.</t>
  </si>
  <si>
    <t>PINT027</t>
  </si>
  <si>
    <t>o FONDO SELLADOR/FIJADOR ACRÍLICO FIXOART DE D'ARTIC</t>
  </si>
  <si>
    <t>Fijador acrílico de gran penetración. Duro y resistente. Sella pinturas plásticas antiguas, de cal, temple y monocapas degradados con microfisuras. Ligero aumento del tono del soporte. Incrementa el rendimiento de los acabados con pinturas plásticas.</t>
  </si>
  <si>
    <t>PINT028</t>
  </si>
  <si>
    <t>o FONDO SELLADOR/FIJADOR ACRÍLICO REVENTON</t>
  </si>
  <si>
    <t>Imprimación incolora al agua para consolidar y sellar superficies de obra nueva o deterioradas y repintable con pintura y esmalte al agua. Para el tratamiento de superficies porosas como yeso, mortero, hormigón, ladrillo. Interior/ Exterior.</t>
  </si>
  <si>
    <t>ma-dispival-imprimante.acrilico4</t>
  </si>
  <si>
    <t>Imprimación fijadora acrílica al agua para consolidar y sellar superficies de REVETÓN (4 litros/envase).   Ref. dispival-imprimante.acrilico4</t>
  </si>
  <si>
    <t>PINT029.1</t>
  </si>
  <si>
    <t>o HIDROFUGANTE SIKAGARD 790 ALL IN ONE PROTECT</t>
  </si>
  <si>
    <t>EEE</t>
  </si>
  <si>
    <t>ma-manau-528508</t>
  </si>
  <si>
    <t>Sikagard 790 All in one Protect 5 L</t>
  </si>
  <si>
    <t>PINT030</t>
  </si>
  <si>
    <t>o HIDROFUGANTE  ANTIPLUVIOL W DE MAPEI</t>
  </si>
  <si>
    <t>Hidrofugante ANTIPLUVIOL W DE MAPEI para Protección incolora de revoques cementosos, hormigón celular, ladrillos cara vista, piedras naturales y artificiales contra la acción de la lluvia intensa. Es una dispersión lechosa a base de silanos y siloxanos en emulsión acuosa, caracterizada por una elevada capacidad para impregnar todos los materiales minerales absorbentes utilizados en la construcción volviéndolos hidrorrepelentes.</t>
  </si>
  <si>
    <t>ma-lp-00540897</t>
  </si>
  <si>
    <t>Hidro-repelente silicónico ANTIPLUVIOL W de MAPEI; transparente (10 kg/envase).   Ref. lp-00540897</t>
  </si>
  <si>
    <t>PINT030TV</t>
  </si>
  <si>
    <t>o HIDROFUGANTE  ANTIPLUVIOL W DE MAPEI C/TRABAJOS VERTICALES</t>
  </si>
  <si>
    <t>Hidrofugante ANTIPLUVIOL W DE MAPEI para Protección incolora de revoques cementosos CON TRABAJOS VERTICALES, hormigón celular, ladrillos cara vista, piedras naturales y artificiales contra la acción de la lluvia intensa. Es una dispersión lechosa a base de silanos y siloxanos en emulsión acuosa, caracterizada por una elevada capacidad para impregnar todos los materiales minerales absorbentes utilizados en la construcción volviéndolos hidrorrepelentes.</t>
  </si>
  <si>
    <t>PINT031</t>
  </si>
  <si>
    <t>o HIDROFUGANTE DITOSA</t>
  </si>
  <si>
    <t>ma-acnorte-SKU.ACNHX05</t>
  </si>
  <si>
    <t>Hidrofugante PREMIUM a base de Polialquilsiloxano HX-05 de DITOSA (5 litros/envase).   Ref. acnorte-SKU.ACNHX05</t>
  </si>
  <si>
    <t>PINT033</t>
  </si>
  <si>
    <t>o PROTECCION ANTIGRAFITI PLX-WAX</t>
  </si>
  <si>
    <t>TRATAMIENTO ANTIGRAFITI</t>
  </si>
  <si>
    <t>ma-atebion-plx-wax</t>
  </si>
  <si>
    <t>PROTECCIÓN PLX WAX</t>
  </si>
  <si>
    <t>PINT034</t>
  </si>
  <si>
    <t>o IMPRIMACION TODO TERRENO GRIS</t>
  </si>
  <si>
    <t>Imprimación al agua con TODO TERRENO de BEISSIER para pintar superficies difíciles.
Pintura polivalente para imprimar, proteger y pintar superficies difíciles, aplicable como puente de adherencia multisuperficie sobre metales, plásticos, maderas y cerámicas. Rendimiento Teórico aproximado de 10 a 12,5 m2/litro y por mano.
Imprimación TODO TERRENO de BEISSIER actúa como:
• Puente de adherencia que permite el posterior esmaltado o barnizado de metales tales como hierro, zinc, aluminio, cobre, chapa galvanizada, etc.
• Pintura de fondo sobre PVC, poliéster, metacrilato, melamina, poliuretano.
• Sellador y tapaporos sobre madera interior, de sellado rápido.
• Fondo de tuberías de calefacción, ya que resiste el calor (hasta 100ºC).
• Fondo para esmaltar o pintar sobre azulejo, cerámica y vidrio.
Extraordinaria adherencia sobre cualquier superficie. Autonivelante. Secado rápido sin marcas de brocha..</t>
  </si>
  <si>
    <t>PINT034TV</t>
  </si>
  <si>
    <t>o IMPRIMACION TODO TERRENO GRIS C/TRABAJOS VERTICALES</t>
  </si>
  <si>
    <t>Imprimación al agua con TODO TERRENO de BEISSIER para pintar superficies difíciles CON TRABAJOS VERTICALES.
Pintura polivalente para imprimar, proteger y pintar superficies difíciles, aplicable como puente de adherencia multisuperficie sobre metales, plásticos, maderas y cerámicas. Rendimiento Teórico aproximado de 10 a 12,5 m2/litro y por mano.
Imprimación TODO TERRENO de BEISSIER actúa como:
• Puente de adherencia que permite el posterior esmaltado o barnizado de metales tales como hierro, zinc, aluminio, cobre, chapa galvanizada, etc.
• Pintura de fondo sobre PVC, poliéster, metacrilato, melamina, poliuretano.
• Sellador y tapaporos sobre madera interior, de sellado rápido.
• Fondo de tuberías de calefacción, ya que resiste el calor (hasta 100ºC).
• Fondo para esmaltar o pintar sobre azulejo, cerámica y vidrio.
Extraordinaria adherencia sobre cualquier superficie. Autonivelante. Secado rápido sin marcas de brocha..</t>
  </si>
  <si>
    <t>PINT035</t>
  </si>
  <si>
    <t>o IMPRIMACION TODO TERRENO AL AGUA BLANCO</t>
  </si>
  <si>
    <t>Imprimación todo terreno al agua de Beissier para pintar superficies difíciles actúa como: - Puente de adherencia que permite el posterior esmaltado o barnizado de metales tales como hierro, zinc, aluminio, cobre, chapa galvanizada, etc. - Pintura de fondo sobre PVC, poliéster, metacrilato, melamina, poliuretano. - Sellador y tapaporos sobre madera interior, de sellado rápido. - Fondo de tuberías de calefacción, ya que resiste el calor (hasta 100ºC) - Fondo para esmaltar o pintar sobre azulejo, cerámica y vidrioExtraordinaria adherencia sobre cualquier superficie.</t>
  </si>
  <si>
    <t>ma-lp-00007337</t>
  </si>
  <si>
    <t>Imprimacion todo terreno al agua de 2L</t>
  </si>
  <si>
    <t>PINT036</t>
  </si>
  <si>
    <t>o IMPRIMACIÓN ANTIOXIDANTE BARPIMO</t>
  </si>
  <si>
    <t>Imprimación sintética antioxidante de Barpimo está indicada para protección y preparación anticorrosiva de superficies y estructuras de hierro y acero. Fácil de aplicar y gran poder de cubrición.</t>
  </si>
  <si>
    <t>PINT037</t>
  </si>
  <si>
    <t>o PINTURA EN BARANDILLA TITÁN OXICRON FORJA</t>
  </si>
  <si>
    <t>Aplicación manual en barandilla de dos manos de esmalte TITÁN OXICRON FORJA, a base de resinas alquídicas, color negro; previa aplicación de una mano de imprimación sintética antioxidante de secado rápido, a base de resinas alquídicas, color gris, acabado mate, sobre barandilla con entrepaño de barrotes, de acero.</t>
  </si>
  <si>
    <t>PINT037TV</t>
  </si>
  <si>
    <t>o PINTURA EN BARANDILLA TITÁN OXICRON FORJA C/TRABAJOS VERTICALES</t>
  </si>
  <si>
    <t>Aplicación manual en barandilla de dos manos de esmalte TITÁN OXICRON FORJA, CON TRABAJOS VERTICALES, a base de resinas alquídicas, color negro; previa aplicación de una mano de imprimación sintética antioxidante de secado rápido, a base de resinas alquídicas, color gris, acabado mate, sobre barandilla con entrepaño de barrotes, de acero.</t>
  </si>
  <si>
    <t>PINT038</t>
  </si>
  <si>
    <t>o PINTURA EN BARANDILLA PROCOFER PROCOLOR FORJA</t>
  </si>
  <si>
    <t>Aplicación manual en barandilla de dos manos de esmalte PROCOFER FORJA DE PROCOLOR, a base de resinas alquídicas, color negro; previa aplicación de una mano de imprimación sintética antioxidante de secado rápido, a base de resinas alquídicas, color gris, acabado mate, sobre barandilla con entrepaño de barrotes, de acero.</t>
  </si>
  <si>
    <t>ma-pinturasalejo-procofer.forja</t>
  </si>
  <si>
    <t>Esmalte antioxidante y decorativo PROCOFER EXPERT FORJA de PROCOLOR (2,5 litros/envase; gris y negro).   Ref. pinturasalejo-procofer.forja</t>
  </si>
  <si>
    <t>PINT039</t>
  </si>
  <si>
    <t>o PINTURA EN BARANDILLA KILATE PROCOLOR SATINADO</t>
  </si>
  <si>
    <t>Esmalte en barandilla LISO KILATE PROCOLOR SATINADO, sintético alquídico liso y acabado satinado de gran protección anticorrosiva. No hace falta realizar una imprimación antes de aplicar este esmalte y esta se realiza muy fácilmente. Sobre el hierro limpio u oxidado. Se puede utilizar tanto para superficies interiores y exteriores, de gran adherencia y dureza. Aplicable con rodillo, brocha y pistola.</t>
  </si>
  <si>
    <t>ma-colorsan-minio.titan-g</t>
  </si>
  <si>
    <t>Imprimante sintético graso para hierro y madera TITÁN de TITANLUX (4 litros/envase).   Ref. colorsan-minio.titan-g</t>
  </si>
  <si>
    <t>ma-pinturasalejo-kilate.satin.g</t>
  </si>
  <si>
    <t>Esmalte sintético de altos sólidos con acabado satinado KILATE de PROCOLOR (4 litros/envase).   Ref. pinturasalejo-kilate.satin.g</t>
  </si>
  <si>
    <t>PINT040</t>
  </si>
  <si>
    <t>o PINTURA EN BARANDILLA LISO SATINADO VALENTINE</t>
  </si>
  <si>
    <t>Esmalte en barandilla LISO SATINADO VALENTINE, sintético alquídico liso y acabado satinado de gran protección anticorrosiva. No hace falta realizar una imprimación antes de aplicar este esmalte y esta se realiza muy fácilmente. Sobre el hierro limpio u oxidado. Se puede utilizar tanto para superficies interiores y exteriores, de gran adherencia y dureza. Aplicable con rodillo, brocha y pistola.</t>
  </si>
  <si>
    <t>ma-reyplast-D0601-0047.007</t>
  </si>
  <si>
    <t>Esmalte sintético alquídico DIRECTO AL METAL LISO SATINADO de VALENTINE D0601 (4 litros/envase).   Ref. reyplast-D0601-0047.007</t>
  </si>
  <si>
    <t>PINT041</t>
  </si>
  <si>
    <t>o PINTURA EN PASAMANOS TITÁN OXICRON FORJA</t>
  </si>
  <si>
    <t>Aplicación manual en pasamanos de dos manos de esmalte TITÁN OXICRON FORJA, a base de resinas alquídicas, color negro; previa aplicación de una mano de imprimación sintética antioxidante de secado rápido, a base de resinas alquídicas, color gris, acabado mate, sobre barandilla con entrepaño de barrotes, de acero.</t>
  </si>
  <si>
    <t>PINT042</t>
  </si>
  <si>
    <t>o PINTURA ESMALTE AL AGUA CON POLIURETANO RUBBOL BL DE SIKKENS</t>
  </si>
  <si>
    <t>Pintura esmalte al agua RUBBOL BL SATURA (acabado satinado) es un esmalte en base agua con resina de poliuretano. Su formulación innovadora le confiere una dureza extrema y una excelente resistencia a los roces y la abrasión. De secado rápido, está especialmente formulado para facilitar su aplicación, dejando un tiempo suficientemente largo como para trabajar sin que se noten los retoques. USOS: Como capa de acabado, en combinación con RUBBOL BL PRIMER, sobre superficies de madera y hierro galvanizado para exterior. PVC, cemento y yeso para interiores. También se puede aplicar sobre antiguas capas de esmaltes sintéticos, limpias y lijadas.</t>
  </si>
  <si>
    <t>ma-pinturasalejo-rubbol.blprimer</t>
  </si>
  <si>
    <t>Imprimante multisuperficie al agua RUBBOL BL PRIMER de SIKKENS (2,5 litros/envase).   Ref. pinturasalejo-rubbol.blprimer</t>
  </si>
  <si>
    <t>ma-imcasa-rubbol.bl-satura</t>
  </si>
  <si>
    <t>Esmalte en base agua con resina de poliuretano RUBBOL BL SATURA de SIKKENS (2,5 litros/envase).   Ref. imcasa-rubbol.bl-satura</t>
  </si>
  <si>
    <t>PINT043</t>
  </si>
  <si>
    <t>o PINTURA ESMALTE POLIURETANO ALIFÁTICO "2KR/ISAVAL" CON EQUIPO AIRLESS</t>
  </si>
  <si>
    <t>Esmalte poliuretano alifático bicomponentes no amarilleante de ISAVAL. Con gran resistencia a la abrasión, está pensado especialmente para el pintado de gran variedad de sustratos tanto metálicos (hierro, acero, galvanizado, latón, aluminio, etc…) como no metálicos (madera, hormigón, yeso, etc…), cuando se requiera un acabado de gran calidad y resistencia.</t>
  </si>
  <si>
    <t>ma-servicolor-801318</t>
  </si>
  <si>
    <t>Esmalte alifático 2kR + catalizador de ISAVAL; color blanco con acabado satinado (4 litros/envase).   Ref. servicolor-801318</t>
  </si>
  <si>
    <t>alquiler-airless-tq-01</t>
  </si>
  <si>
    <t>Alquiler de Equipo Airless para Pintura.   Ref. TOOLQUICK</t>
  </si>
  <si>
    <t>PINT044</t>
  </si>
  <si>
    <t>o PINTURA ESMALTE POLIURETANO TITANLAK DE TITAN</t>
  </si>
  <si>
    <t>El esmalte de poliuretano TITANLAK de TITAN es sintético, satinado y está basado en tecnología de altos sólidos. Es especial para lacar y esmaltar. Es de fácil aplicación obteniendo acabados satinados de gran finura, suavidad al tacto e inmejorable aspecto lacado. Características: Se puede aplicar en exteriores e interiores. Alta resistencia y durabilidad. Muy lavable. Resistente a roces, rayados, jabones, manchas de licor, zumos, aceites, etc. Protege y embellece toda clase de superficies de madera y metálicas (muebles, estanterías, puertas, ventanas, radiadores, etc.). Hay que tener en cuenta que las superficies a pintar deben estar limpias, secas e imprimadas adecuadamente. Disponible en varios colores.</t>
  </si>
  <si>
    <t>ma-bh-24148548-G</t>
  </si>
  <si>
    <t>Esmalte de poliuretano TITANLAK de TITAN; acabado satinado (4 litros/envase).   Ref. bh-24148548-G</t>
  </si>
  <si>
    <t>PINT045</t>
  </si>
  <si>
    <t>o PINTURA ESMALTE POLIURETANO NOVOLACK DE EUROTEX</t>
  </si>
  <si>
    <t>NOVOLACK es un esmalte sintético de primera calidad sin pigmentos tóxicos, diseñado para la protección y decoración tanto de elementos exteriores como interiores. Posee una excelente cubrición y brochabilidad.
APLICACIONES:
* Por ser un esmalte sintético con acción antioxidante, y la protección y el aspecto de acabado, son factores que permiten el pintado directo sobre superficies de acero y en condiciones muy específicas.
* Es adecuado para proteger y decorar todo tipo de superficies metálicas, minerales o de madera como puertas, ventanas, paredes, muebles, mobiliario de jardín, etc.., tanto en interiores como en exteriores.
* Apto para la protección y mantenimiento de maquinaria e instalaciones, tanto industriales como domésticas.
* Por su rápido secado y escasez de olor se puede emplear en lugares cuya ocupación haya de ser inmediata como centros hospitalarios, públicos, hosteleros.
* Producto listo al uso. No es necesario diluir, excepto cuando sea necesario por las condiciones de aplicación.</t>
  </si>
  <si>
    <t>ma-epinturas-01</t>
  </si>
  <si>
    <t>Esmalte sintético con poliuretano NOVOLACK de EUROTEX (4 litros/envase).   Ref. epinturas-01</t>
  </si>
  <si>
    <t>PINT046</t>
  </si>
  <si>
    <t>o PINTURA ESMALTE POLIURETANO ALPLAC DE TOLLENS</t>
  </si>
  <si>
    <t>Esmalte-laca satinado a base de resinas de poliuretano con propiedades anticorrosivas, de altas prestaciones y secado rápido para interior y exterior. Al contener poliuretanos y ceras permite obtener acabados de tacto sedoso y excepcional resistencia a golpes y rayadas. APLICACIONES: En interior y exterior sobre todo tipo de superficies metálicas, madera, yeso, cemento. Yeso: Paredes techos de cocinas, baños, escaleras, etc. Madera: Carpintería de obra, muebles, bancos de jardín, embarcaciones, etc. Hierro: Muebles, puertas, rejas, estructuras, maquinaria agrícola, etc.</t>
  </si>
  <si>
    <t>ma-lp-00564203</t>
  </si>
  <si>
    <t>Esmalte laca ALPLAC de TOLLENS con resinas de poliuretano (4 litros/envase).   Ref. lp-00564203</t>
  </si>
  <si>
    <t>PINT047</t>
  </si>
  <si>
    <t>o PUENTE DE UNION DE EPOXI Y ESMALTE POLIURETANO EN CHAPAS DE ALUMINIO</t>
  </si>
  <si>
    <t>Puente de unión de dos componentes a base de resina epoxi en paneles y chapas de aluminio fachada  y aplicación manual de dos manos de esmalte sintético en base de poliuretano de secado rápido, color RAL 7033.
FICHAS EN OBRA MONTURIOL</t>
  </si>
  <si>
    <t>EPOX2C</t>
  </si>
  <si>
    <t>IMPR.IMPREX EPOXI-POLIAM. GRIS 2C. 4L IS</t>
  </si>
  <si>
    <t>POL4L</t>
  </si>
  <si>
    <t>IS.ESM.PU.ALIF. *2KR DS* MATE -TR- 16LCOLOR 7033  +  CATALIZADOR ESM.2KR 3,2L ( p / 16L )</t>
  </si>
  <si>
    <t>PINT048</t>
  </si>
  <si>
    <t>o PINTURA ESMALTE ALIFÁTICO DE ISAVAL</t>
  </si>
  <si>
    <t>Esmalte poliuretano acrílico curado con isocianato alifático de elevada dureza y muy buena adherencia sobre gran variedad de superficies metálicas o no metálicas.
PROPIEDADES
• No amarillea.
• Excelente retención de color y brillo.
• Resistente a los nocivos efectos de la intemperie.
• Indicado para ambientes agresivos como son las zonas industriales y marinas.
• Alta opacidad y nivelación.
• Buena adherencia sobre soportes difíciles.
• Después de seco al tacto, horneando 20-30 minutos a 70-80º C se consigue un curado instantáneo.
• Aplicación en interior y exterior.
USOS: Pensado especialmente para el pintado de gran variedad de sustratos tanto metálicos (hierro, acero, galvanizado, latón, aluminio, etc.) como no metálicos (madera, hormigón, yeso, etc.) cuando se requiera un acabado de calidad y resistencia.</t>
  </si>
  <si>
    <t>ma-pp-s/c-01</t>
  </si>
  <si>
    <t>Imprimante epoxídico poliamida bicomponente IMPREX de ISAVAL (4 litros/envase + endurecedor 0,66 litros).   Ref.   pp-s/c-01</t>
  </si>
  <si>
    <t>ma-pp-s/c-08</t>
  </si>
  <si>
    <t>Esmalte alifático 2kR + catalizador de ISAVAL (4 litros/envase + catalizador 0,80 litros).   Ref. pp-s/c-08</t>
  </si>
  <si>
    <t>PINT049</t>
  </si>
  <si>
    <t>o PINTURA MULTISUPERFICIE EN MADERA, METAL Y PVC</t>
  </si>
  <si>
    <t>Pintura multisuperficie en madera, metal y pvc; mediante uso de andamio tubular</t>
  </si>
  <si>
    <t>ma-lm-82422643</t>
  </si>
  <si>
    <t>Pintura multisuperficie al agua de LUXENS para madera, metal y PVC; color blanco (White), acabado satinado (2 litros/envase).   Ref. lm-82422643</t>
  </si>
  <si>
    <t>PINT050</t>
  </si>
  <si>
    <t>o PINTURA MULTISUPERFICIE EN MADERA, METAL Y PVC DE h=30cm</t>
  </si>
  <si>
    <t>Pintura multisuperficie en madera, metal y pvc de 30cm de altura; mediante uso de andamio tubular</t>
  </si>
  <si>
    <t>PINT051</t>
  </si>
  <si>
    <t>o PINTURA AL ESMALTE EN TUBERÍA METÁLICA Diámetro &lt;= 25 mm</t>
  </si>
  <si>
    <t>Aplicación manual de pintura para imprimar, proteger y pintar tuberia hasta 25mm de diametro, aplicable como puente de adherencia multisuperficie sobre metales y posterior mano de pintura esmalte.</t>
  </si>
  <si>
    <t>PINT051TV</t>
  </si>
  <si>
    <t>o PINTURA AL ESMALTE EN TUBERÍA METÁLICA Diámetro &lt;= 25 mm C/TRABAJOS VERTICALES</t>
  </si>
  <si>
    <t>Aplicación manual CON TRABAJOS VERTICALES, de pintura para imprimar, proteger y pintar tuberia hasta 25mm de diametro, aplicable como puente de adherencia multisuperficie sobre metales y posterior mano de pintura esmalte.</t>
  </si>
  <si>
    <t>PINT052</t>
  </si>
  <si>
    <t>o PINTURA AL ESMALTE EN PERFIL METÁLICO IPN10</t>
  </si>
  <si>
    <t>Pintura al esmalte en perfil metálico IPN10; mediante uso de andamio tubular</t>
  </si>
  <si>
    <t>PINT052TV</t>
  </si>
  <si>
    <t>o PINTURA AL ESMALTE EN PERFIL METÁLICO IPN10 C/TRABAJOS VERTICALES</t>
  </si>
  <si>
    <t>Pintura al esmalte en perfil metálico IPN10; mediante Trabajos verticales</t>
  </si>
  <si>
    <t>PINT053</t>
  </si>
  <si>
    <t>o PINTURA AL ESMALTE EN PERFIL METÁLICO IPN14</t>
  </si>
  <si>
    <t>Pintura al esmalte en perfil metálico IPN14; mediante uso de andamio tubular</t>
  </si>
  <si>
    <t>PINT053TV</t>
  </si>
  <si>
    <t>o PINTURA AL ESMALTE EN PERFIL METÁLICO IPN14 C/TRABAJOS VERTICALES</t>
  </si>
  <si>
    <t>Pintura al esmalte en perfil metálico IPN14; mediante Trabajos verticales</t>
  </si>
  <si>
    <t>PINT054</t>
  </si>
  <si>
    <t>o PINTURA INTUMESCENTE EN ESTRUCTURA METALICA 90 minutos</t>
  </si>
  <si>
    <t>Protección pasiva contra incendios de estructura metálica, mediante la aplicación de tres manos de pintura intumescente para interior o exterior, Promapaint-SC4 "PROMAT", a base de copolímeros acrílicos en emulsión acuosa, color blanco, hasta formar un espesor  mínimo de película seca de 1620 micras y conseguir una resistencia al fuego de 90 minutos, según UNE-EN 13381-8. El precio no incluye la imprimación ni el revestimiento posterior.</t>
  </si>
  <si>
    <t>ma-pinturaslagun-X13</t>
  </si>
  <si>
    <t>Imprimante alquídico SX-130 de TITANTECH; color gris 7042 (4 litros/envase).   Ref. pinturaslagun-X13</t>
  </si>
  <si>
    <t>ma-leroym-89565281</t>
  </si>
  <si>
    <t>Pintura intumescente al agua PROMAPAINT SC4 de PROMAT / 90 min metal y 120 hormigón (25 kg/bidón).   Ref. lm-89565281</t>
  </si>
  <si>
    <t>PINT054TV</t>
  </si>
  <si>
    <t>o PINTURA INTUMESCENTE EN ESTRUCTURA METALICA 90 minutos C/TRABAJOS VERTICALES</t>
  </si>
  <si>
    <t>Protección pasiva contra incendios de estructura metálica CON TRABAJOS VERTICALES, mediante la aplicación de tres manos de pintura intumescente para interior o exterior, Promapaint-SC4 "PROMAT", a base de copolímeros acrílicos en emulsión acuosa, color blanco, hasta formar un espesor  mínimo de película seca de 1620 micras y conseguir una resistencia al fuego de 90 minutos, según UNE-EN 13381-8. El precio no incluye la imprimación ni el revestimiento posterior.</t>
  </si>
  <si>
    <t>PINT055</t>
  </si>
  <si>
    <t>o PINTURA INTUMESCENTE EN ESTRUCTURA HORMIGON 60 minutos</t>
  </si>
  <si>
    <t>Sistema de protección pasiva contra incendios de viga de hormigón, de 80 mm de dimensión mínima y 20 mm de distancia mínima  equivalente al eje, mediante la aplicación de dos manos de pintura intumescente para interior o exterior, Promapaint-SC4 "PROMAT", a  base de copolímeros acrílicos en emulsión acuosa, color blanco, hasta formar un espesor mínimo de película seca de 1100 micras y  conseguir una resistencia al fuego de 60 minutos, según UNE-EN 13381-3.</t>
  </si>
  <si>
    <t>PINT055TV</t>
  </si>
  <si>
    <t>o PINTURA INTUMESCENTE EN ESTRUCTURA HORMIGON 60 minutos C/TRABAJOS VERTICALES</t>
  </si>
  <si>
    <t>Sistema de protección pasiva contra incendios de viga de hormigón CON TRABAJOS VERTICALES, de 80 mm de dimensión mínima y 20 mm de distancia mínima  equivalente al eje, mediante la aplicación de dos manos de pintura intumescente para interior o exterior, Promapaint-SC4 "PROMAT", a  base de copolímeros acrílicos en emulsión acuosa, color blanco, hasta formar un espesor mínimo de película seca de 1100 micras y  conseguir una resistencia al fuego de 60 minutos, según UNE-EN 13381-3.</t>
  </si>
  <si>
    <t>REVPINT05</t>
  </si>
  <si>
    <t>XXXXXX PINTURA INTUMESCENTE 15MIN</t>
  </si>
  <si>
    <t>Protección pasiva contra incendios de estructura metálica, mediante la aplicación de pintura intumescente, en emulsión acuosa monocomponente, color blanco, acabado mate liso, hasta formar un espesor mínimo de película seca de 299 micras y conseguir una resistencia al fuego de 15 minutos.</t>
  </si>
  <si>
    <t>INTUMS1</t>
  </si>
  <si>
    <t>PROMAPAINT SC4 25KG</t>
  </si>
  <si>
    <t>REVPINT04</t>
  </si>
  <si>
    <t>XXXXXX PINTURA INTUMESCENTE 30MIN</t>
  </si>
  <si>
    <t>Protección pasiva contra incendios de estructura metálica, mediante la aplicación de pintura intumescente, en emulsión acuosa monocomponente, color blanco, acabado mate liso, hasta formar un espesor mínimo de película seca de 637 micras y conseguir una resistencia al fuego de 30 minutos.</t>
  </si>
  <si>
    <t>REVPINT-SILICATO.POTASIO-H-MS-1</t>
  </si>
  <si>
    <t>XXXXXX PINTURA A BASE DE SILICATO POTÁSICO "SILVEL VELADURA SILICATO de ISAVAL" EN PARAMENTOS HORIZONTALES EXTERIORES Y MEDIANTE EL USO DE MEDIO SUSPENDIDO/COLGADO (FCH)</t>
  </si>
  <si>
    <t>PINTURA A BASE DE SILICATO POTÁSICO "SILVEL VELADURA SILICATO de ISAVAL" EN PARAMENTOS HORIZONTALES EXTERIORES Y MEDIANTE EL USO DE MEDIO SUSPENDIDO/COLGADO (FCH)</t>
  </si>
  <si>
    <t>REVPINT-SILICATO.POTASIO-V-AT-1</t>
  </si>
  <si>
    <t>XXXXXX PINTURA A BASE DE SILICATO POTÁSICO "SILVEL VELADURA SILICATO de ISAVAL" EN PARAMENTOS VERTICALES EXTERIORES Y MEDIANTE EL USO DE ANDAMIO TUBULAR (FCH)</t>
  </si>
  <si>
    <t>PINTURA A BASE DE SILICATO POTÁSICO "SILVEL VELADURA SILICATO de ISAVAL" EN PARAMENTOS VERTICALES EXTERIORES Y MEDIANTE EL USO DE ANDAMIO TUBULAR (FCH)</t>
  </si>
  <si>
    <t>REVPINT-SILICATO.POTASIO-V-AT-2</t>
  </si>
  <si>
    <t>XXXXXX PINTURA A BASE DE SILICATO POTÁSICO "KEIM RESTAURO-LASUR DE KEIM" EN PARAMENTOS VERTICALES EXTERIORES Y MEDIANTE EL USO DE ANDAMIO TUBULAR (FCH)</t>
  </si>
  <si>
    <t>PINTURA A BASE DE SILICATO POTÁSICO "KEIM RESTAURO-LASUR DE KEIM" EN PARAMENTOS VERTICALES EXTERIORES Y MEDIANTE EL USO DE ANDAMIO TUBULAR (FCH)</t>
  </si>
  <si>
    <t>REVPINT-SILICATO.POTASIO-V-MS-2</t>
  </si>
  <si>
    <t>XXXXXX PINTURA A BASE DE SILICATO POTÁSICO "KEIM RESTAURO-LASUR DE KEIM" EN PARAMENTOS VERTICALES EXTERIORES Y MEDIANTE EL USO DE MEDIO SUSPENDIDO/COLGADO (FCH)</t>
  </si>
  <si>
    <t>PINTURA A BASE DE SILICATO POTÁSICO "KEIM RESTAURO-LASUR DE KEIM" EN PARAMENTOS VERTICALES EXTERIORES Y MEDIANTE EL USO DE MEDIO SUSPENDIDO/COLGADO (FCH)</t>
  </si>
  <si>
    <t>REVPINT-SOL.SILICATO-V-AT-01</t>
  </si>
  <si>
    <t>XXXXXX PINTURA A BASE DE SOL-SILICATO "KEIM SOLTALIT" EN PARAMENTOS VERTICALES EXTERIORES MEDIANTE EL USO DE ANDAMIO TUBULAR (FCH)</t>
  </si>
  <si>
    <t>PINTURA A BASE DE SOL-SILICATO "KEIM SOLTALIT" EN PARAMENTOS VERTICALES EXTERIORES MEDIANTE EL USO DE ANDAMIO TUBULAR (FCH)</t>
  </si>
  <si>
    <t>REVPINT-SOL.SILICATO-V-MS-01</t>
  </si>
  <si>
    <t>XXXXXX PINTURA A BASE DE SOL-SILICATO "KEIM SOLTALIT (COLOR)" EN PARAMENTOS VERTICALES EXTERIORES MEDIANTE EL USO DE MEDIO SUSPENDIDO/COLGADO (FCH)</t>
  </si>
  <si>
    <t>PINTURA A BASE DE SOL-SILICATO "KEIM SOLTALIT (COLOR)" EN PARAMENTOS VERTICALES EXTERIORES MEDIANTE EL USO DE MEDIO SUSPENDIDO/COLGADO (FCH)</t>
  </si>
  <si>
    <t>REVPINT-SOL.SILICATO-H-MS-01</t>
  </si>
  <si>
    <t>XXXXXX PINTURA A BASE DE SOL-SILICATO "KEIM SOLTALIT (COLOR)" EN PARAMENTOS HORIZONTALES EXTERIORES MEDIANTE EL USO DE MEDIO SUSPENDIDO/COLGADO (FCH)</t>
  </si>
  <si>
    <t>PINTURA A BASE DE SOL-SILICATO "KEIM SOLTALIT (COLOR)" EN PARAMENTOS HORIZONTALES EXTERIORES MEDIANTE EL USO DE MEDIO SUSPENDIDO/COLGADO (FCH)</t>
  </si>
  <si>
    <t>REVPINT-TUB20a25-AT-02</t>
  </si>
  <si>
    <t>XXXXXX PINTURA AL ESMALTE EN TUBERÍA METÁLICA (20 mm &lt; Diámetro &lt;= 25 mm) CON ESMALTE SINTÉTICO DE ALTOS SÓLIDOS KILATE DE PROCOLOR ACABADO SATINADO; MEDIANTE USO DE ANDAMIO TUBULAR</t>
  </si>
  <si>
    <t>PINTURA AL ESMALTE EN TUBERÍA METÁLICA (20 mm &lt; Diámetro &lt;= 25 mm) CON ESMALTE SINTÉTICO DE ALTOS SÓLIDOS KILATE DE PROCOLOR ACABADO SATINADO; MEDIANTE USO DE ANDAMIO TUBULAR</t>
  </si>
  <si>
    <t>REVPINT-TUB20a25-MS-02</t>
  </si>
  <si>
    <t>XXXXXX PINTURA AL ESMALTE EN TUBERÍA METÁLICA (20 mm &lt; Diámetro &lt;= 25 mm) CON ESMALTE SINTÉTICO DE ALTOS SÓLIDOS KILATE DE PROCOLOR ACABADO SATINADO; MEDIANTE USO DE MEDIO SUSPENDIDO/COLGADO</t>
  </si>
  <si>
    <t>PINTURA AL ESMALTE EN TUBERÍA METÁLICA (20 mm &lt; Diámetro &lt;= 25 mm) CON ESMALTE SINTÉTICO DE ALTOS SÓLIDOS KILATE DE PROCOLOR ACABADO SATINADO; MEDIANTE USO DE MEDIO SUSPENDIDO/COLGADO</t>
  </si>
  <si>
    <t>REVPINT-MINERAL-HORMIGON-H-MS</t>
  </si>
  <si>
    <t>XXXXXX PINTURA MINERAL AL MICROSILICATO PARA PROTECCIÓN DE PARAMENTOS HORIZONTALES DE HORMIGÓN; MEDIANTE EL USO DE MEDIO SUSPENDIDO/COLGADO</t>
  </si>
  <si>
    <t>PINTURA MINERAL AL MICROSILICATO PARA PROTECCIÓN DE PARAMENTOS HORIZONTALES DE HORMIGÓN; MEDIANTE EL USO DE MEDIO SUSPENDIDO/COLGADO</t>
  </si>
  <si>
    <t>REVPINT-MINERAL-HORMIGON-V-MS</t>
  </si>
  <si>
    <t>XXXXXX PINTURA MINERAL AL MICROSILICATO PARA PROTECCIÓN DE PARAMENTOS VERTICALES DE HORMIGÓN; MEDIANTE EL USO DE MEDIO SUSPENDIDO/COLGADO</t>
  </si>
  <si>
    <t>PINTURA MINERAL AL MICROSILICATO PARA PROTECCIÓN DE PARAMENTOS VERTICALES DE HORMIGÓN; MEDIANTE EL USO DE MEDIO SUSPENDIDO/COLGADO</t>
  </si>
  <si>
    <t>PINT-SILICONADA.PROEXIL-H-AT</t>
  </si>
  <si>
    <t>XXXXXX PINTURA ACRÍLICA SILICONADA "PROCOLOR/PROEXIL" EN PARAMENTOS HORIZONTALES (FCH)</t>
  </si>
  <si>
    <t>PINTURA ACRÍLICA SILICONADA "PROCOLOR/PROEXIL" EN PARAMENTOS HORIZONTALES (FCH)</t>
  </si>
  <si>
    <t>REVPINT-ACRIL.SILICONADA-V-AT</t>
  </si>
  <si>
    <t>XXXXXX PINTURA ACRÍLICA SILICONADA "PROCOLOR" EN PARAMENTOS VERTICALES (FCH)</t>
  </si>
  <si>
    <t>PINTURA ACRÍLICA SILICONADA "PROCOLOR" EN PARAMENTOS VERTICALES (FCH)</t>
  </si>
  <si>
    <t>REVPINT02</t>
  </si>
  <si>
    <t>XXXXXX PINTURA AL PLIOLITE</t>
  </si>
  <si>
    <t>Pintado de paramentos con dos manos, a rodillo, incluye fijador de preparación y dos manos de pintura monocomponente al Pliolite color igual al existente o a determinar según indicaciones de la DF, permeable al vapor del agua y resistente a los rayos U.V. y a los factores atmosféricos.</t>
  </si>
  <si>
    <t>pntexte</t>
  </si>
  <si>
    <t>pintura exterior pliolite</t>
  </si>
  <si>
    <t>ijpre</t>
  </si>
  <si>
    <t>Imprimacion acrilica</t>
  </si>
  <si>
    <t>REVPINT-PLIOLITE-V-MS-01</t>
  </si>
  <si>
    <t>XXXXXX PINTURA ACRÍLICA A BASE DE RESINAS PLIOLITE EN PARAMENTOS HORIZONTALES EXTERIORES Y MEDIANTE EL USO DE MEDIO SUSPENDIDO/COLGADO (FCH)</t>
  </si>
  <si>
    <t>vvvvvvvvvvv</t>
  </si>
  <si>
    <t>REVPINT-PLIOLITE-H--AT-01</t>
  </si>
  <si>
    <t>XXXXXX PINTURA ACRÍLICA A BASE DE RESINAS PLIOLITE EN PARAMENTOS HORIZONTALES EXTERIORES Y MEDIANTE EL USO DE ADAMIO TUBULAR (FCH)</t>
  </si>
  <si>
    <t>PINTURA ACRÍLICA A BASE DE RESINAS PLIOLITE EN PARAMENTOS HORIZONTALES EXTERIORES Y MEDIANTE EL USO DE ADAMIO TUBULAR (FCH)</t>
  </si>
  <si>
    <t>REVPINT-PLIOLITE-H-MS-01</t>
  </si>
  <si>
    <t>PINTURA ACRÍLICA A BASE DE RESINAS PLIOLITE EN PARAMENTOS HORIZONTALES EXTERIORES Y MEDIANTE EL USO DE MEDIO SUSPENDIDO/COLGADO (FCH)</t>
  </si>
  <si>
    <t>REVPINT-01-MNR</t>
  </si>
  <si>
    <t>XXXXXX PINTURA PLÁSTICA EN PARAMENTO DE FACHADA (FCH)</t>
  </si>
  <si>
    <t>PINTURA PLÁSTICA EN PARAMENTO DE FACHADA (FCH)</t>
  </si>
  <si>
    <t>ma-pp-0135001400SJ-G</t>
  </si>
  <si>
    <t>Imprimante Isacrílico emulsión selladora penetrante de ISAVAL (4 litros/envase).   Ref. pp-0135001400SJ-G</t>
  </si>
  <si>
    <t>ma-pp-0120100600ML-G</t>
  </si>
  <si>
    <t>Pintura plástica PALAS INTER FACHADAS; color blanco mate (5 litros/envase).   Ref. pp-s/c-01</t>
  </si>
  <si>
    <t>REVPINT03</t>
  </si>
  <si>
    <t>XXXXXX PINTURA SILOXANICA</t>
  </si>
  <si>
    <t>Aplicación manual de dos manos de pintura de resina de silicona, color blanco, acabado mate, textura lisa; previa aplicación de una mano de imprimación reguladora de la absorción a base de copolímeros acrílicos y siloxanos en emulsión acuosa, sobre paramento exterior de mortero. El precio incluye la protección de los elementos del entorno que puedan verse afectados durante los trabajos y la resolución de puntos singulares.</t>
  </si>
  <si>
    <t>pntsilox</t>
  </si>
  <si>
    <t>Pintura para exterior, a base de resinas de silicona y disolventes orgánicos</t>
  </si>
  <si>
    <t>impr2</t>
  </si>
  <si>
    <t>Imprimación reguladora de la absorción a base de copolímeros acrílicos y</t>
  </si>
  <si>
    <t>REVPINT-ACRIL.POLISILOX-H-AT</t>
  </si>
  <si>
    <t>XXXXXX PINTURA ACRÍLICA POLISILOXÁNICA EN PARAMENTOS HORIZONTALES DE FACHADAS CON PRODUCTO "RALPE"; MEDIANTE USO DE ANDAMIO TUBULAR</t>
  </si>
  <si>
    <t>PINTURA ACRÍLICA POLISILOXÁNICA EN PARAMENTOS HORIZONTALES DE FACHADAS CON PRODUCTO "RALPE"; MEDIANTE USO DE ANDAMIO TUBULAR</t>
  </si>
  <si>
    <t>REVPINT-ACRIL.POLISILOX-H-MS</t>
  </si>
  <si>
    <t>XXXXXX PINTURA ACRÍLICA POLISILOXÁNICA EN PARAMENTOS HORIZONTALES DE FACHADAS CON PRODUCTO "RALPE"; MEDIANTE USO DE MEDIO SUSPENDIDO/COLGADO</t>
  </si>
  <si>
    <t>PINTURA ACRÍLICA POLISILOXÁNICA EN PARAMENTOS HORIZONTALES DE FACHADAS CON PRODUCTO "RALPE"; MEDIANTE USO DE MEDIO SUSPENDIDO/COLGADO</t>
  </si>
  <si>
    <t>REVPINT-ACRIL.POLISILOX-V-MS</t>
  </si>
  <si>
    <t>XXXXXX PINTURA ACRÍLICA POLISILOXÁNICA EN PARAMENTOS VERTICALES DE FACHADAS CON PRODUCTO "RALPE"; MEDIANTE USO DE MEDIO SUSPENDIDO/COLGADO</t>
  </si>
  <si>
    <t>PINTURA ACRÍLICA POLISILOXÁNICA EN PARAMENTOS VERTICALES DE FACHADAS CON PRODUCTO "RALPE"; MEDIANTE USO DE MEDIO SUSPENDIDO/COLGADO</t>
  </si>
  <si>
    <t>PINT018XXX</t>
  </si>
  <si>
    <t>XXXXXX PINTURA RUGOSA IMPERMEABLE 100% ACRILICA REVETON</t>
  </si>
  <si>
    <t>PINTURA RUGOSA IMPERMEABLE 100% ACRÍLICA EN PARAMENTO VERTICAL CON PRODUCTO "REVETÓN", MEDIANTE EL USO DE ANDAMIO TUBULAR</t>
  </si>
  <si>
    <t>ma-amodeco-reveton.acrilico</t>
  </si>
  <si>
    <t>Revestimiento rugoso impermeable 100% acrílico para fachadas exteriores de REVETÓN (15 litros/bidón).   Ref. amodeco-reveton.acrilico</t>
  </si>
  <si>
    <t>REVPINT-ACRIL.RUGOSO-H-MS-01</t>
  </si>
  <si>
    <t>XXXXXX PINTURA RUGOSA IMPERMEABLE 100% ACRÍLICA REVETON</t>
  </si>
  <si>
    <t>PINTURA RUGOSA IMPERMEABLE 100% ACRÍLICA EN PARAMENTO HORIZONTAL CON PRODUCTO "REVETÓN", MEDIANTE EL USO DE MEDIO SUSPENDIDO/COLGADO</t>
  </si>
  <si>
    <t>REVPINT-ACRIL.RUGOSO-H-AT-01</t>
  </si>
  <si>
    <t>PINTURA RUGOSA IMPERMEABLE 100% ACRÍLICA EN PARAMENTO HORIZONTAL CON PRODUCTO "REVETÓN", MEDIANTE EL USO DE ANDAMIO TUBULAR</t>
  </si>
  <si>
    <t>REVPINT07</t>
  </si>
  <si>
    <t>XXXXXX PINTURA ANTICARBONATACION SIKAGARD 670 W</t>
  </si>
  <si>
    <t>PINTURA ANTICARBONATACION SIKAGARD 670 W</t>
  </si>
  <si>
    <t>SIKAGARD670</t>
  </si>
  <si>
    <t>Sikagard-670 W Elastocolor</t>
  </si>
  <si>
    <t>REV00101</t>
  </si>
  <si>
    <t>XXXXXX HIDROFUGANTE SILOXÁNICO, MEDIANTE EL USO DE ANDAMIO TUBULAR</t>
  </si>
  <si>
    <t>TRATAMIENTO A MANO DE PARAMENTOS VERTICALES CON HIDROFUGANTE SILOXÁNICO, MEDIANTE EL USO DE ANDAMIO TUBULAR</t>
  </si>
  <si>
    <t>PINT037777</t>
  </si>
  <si>
    <t>XXXXXX PINTURA AL ESMALTE EN BARANDILLA STD (TITÁN OXICRON FORJA); INCLUYE IMPRIMACIÓN (FCH)</t>
  </si>
  <si>
    <t>PINTURA AL ESMALTE EN BARANDILLA STANDARD (TITÁN OXICRON FORJA); INCLUYE IMPRIMACIÓN (FCH)</t>
  </si>
  <si>
    <t>REVPINT-ACRIL.ANTIFISURAS-H-AT</t>
  </si>
  <si>
    <t>XXXXXX PINTURA ACRÍLICA ANTIFISURAS EN PARAMENTO HORIZONTAL CON PRODUCTO "MONTÓ"; MEDIANTE EL USO DE ANDAMIO TUBULAR</t>
  </si>
  <si>
    <t>PINTURA ACRÍLICA ANTIFISURAS EN PARAMENTO HORIZONTAL CON PRODUCTO "MONTÓ"; MEDIANTE EL USO DE ANDAMIO TUBULAR</t>
  </si>
  <si>
    <t>REVPINT-ACRIL.ANTIFISURAS-H-MS</t>
  </si>
  <si>
    <t>XXXXXX PINTURA ACRÍLICA ANTIFISURAS EN PARAMENTO HORIZONTAL CON PRODUCTO "MONTÓ"; MEDIANTE EL USO DE MEDIO SUSPENDIDO/COLGADO</t>
  </si>
  <si>
    <t>PINTURA ACRÍLICA ANTIFISURAS EN PARAMENTO HORIZONTAL CON PRODUCTO "MONTÓ"; MEDIANTE EL USO DE MEDIO SUSPENDIDO/COLGADO</t>
  </si>
  <si>
    <t>REVPINT-ACRIL.ANTIFISURAS-V-MS</t>
  </si>
  <si>
    <t>XXXXXX PINTURA ACRÍLICA ANTIFISURAS EN PARAMENTO VERTICAL CON PRODUCTO "MONTÓ"; MEDIANTE EL USO DE MEDIO SUSPENDIDO/COLGADO</t>
  </si>
  <si>
    <t>PINTURA ACRÍLICA ANTIFISURAS EN PARAMENTO VERTICAL CON PRODUCTO "MONTÓ"; MEDIANTE EL USO DE MEDIO SUSPENDIDO/COLGADO</t>
  </si>
  <si>
    <t>REVPINT-ACRIL.RUGOSO-V-MS-01</t>
  </si>
  <si>
    <t>XXXXXX PINTURA RUGOSA IMPERMEABLE 100% ACRÍLICA EN PARAMENTO VERTICAL CON PRODUCTO "REVETÓN", MEDIANTE EL USO DE MEDIO SUSPENDIDO/COLGADO</t>
  </si>
  <si>
    <t>PINTURA RUGOSA IMPERMEABLE 100% ACRÍLICA EN PARAMENTO VERTICAL CON PRODUCTO "REVETÓN", MEDIANTE EL USO DE MEDIO SUSPENDIDO/COLGADO</t>
  </si>
  <si>
    <t>REVPINT04-MNR-H</t>
  </si>
  <si>
    <t>XXXXXX PINTURA INTUMESCENTE EN PARAMENTOS HORIZONTALES (90 minutos); INCLUYE IMPRIMANTE ALQUÍDICO</t>
  </si>
  <si>
    <t>Pintura intumescente en paramentos horizontales (90 minutos); incluye imprimante alquídico</t>
  </si>
  <si>
    <t>REVPINT08-MNR-M2-01</t>
  </si>
  <si>
    <t>PINTURA AL BARNIZ POR M2 CON POLIURETANO</t>
  </si>
  <si>
    <t>PINTURA AL BARNIZ CON POLIURETANO</t>
  </si>
  <si>
    <t>ma-servicolor-690510-MG</t>
  </si>
  <si>
    <t>Fondo poliuretánico monocomponente en base acuosa XANOL TAPAPOROS de ISAVAL; acabado satinado (2,5 litros/envase).   Ref. servicolor-690510-MG</t>
  </si>
  <si>
    <t>ma-pp-s/c-06-G</t>
  </si>
  <si>
    <t>Barniz exterior sintético POLIURETANO TITÁN YATE; acabado brillante (4 litrosl/envase).   Ref. pp-s/c-06-G</t>
  </si>
  <si>
    <t>REVPINT08-MNR-ML-01</t>
  </si>
  <si>
    <t>PINTURA AL BARNIZ POR ML CON POLIURETANO</t>
  </si>
  <si>
    <t>REVPINT09-MNR-IPN10-MS</t>
  </si>
  <si>
    <t>XXXXXX PINTURA AL ESMALTE EN PERFIL METÁLICO IPN10; MEDIANTE USO DE MEDIO SUSPENDIDO/COLGADO</t>
  </si>
  <si>
    <t>Pintura al esmalte en perfil metálico IPN10; mediante uso de medio suspendido/colgado</t>
  </si>
  <si>
    <t>REVPINT09-MNR-IPN12-AT</t>
  </si>
  <si>
    <t>XXXXXX PINTURA AL ESMALTE EN PERFIL METÁLICO IPN12; MEDIANTE USO DE ANDAMIO TUBULAR</t>
  </si>
  <si>
    <t>Pintura al esmalte en perfil metálico IPN12; mediante uso de andamio tubular</t>
  </si>
  <si>
    <t>REVPINT09-MNR-IPN12-MS</t>
  </si>
  <si>
    <t>XXXXXX PINTURA AL ESMALTE EN PERFIL METÁLICO IPN12; MEDIANTE USO DE MEDIO SUSPENDIDO/COLGADO</t>
  </si>
  <si>
    <t>Pintura al esmalte en perfil metálico IPN12; mediante uso de medio suspendido/colgado</t>
  </si>
  <si>
    <t>REVPINT09-MNR-IPN14-MS</t>
  </si>
  <si>
    <t>XXXXXX PINTURA AL ESMALTE EN PERFIL METÁLICO IPN14; MEDIANTE USO DE MEDIO SUSPENDIDO/COLGADO</t>
  </si>
  <si>
    <t>Pintura al esmalte en perfil metálico IPN14; mediante uso de medio suspendido/colgado</t>
  </si>
  <si>
    <t>REVPINT-B.STD-TITAN.Y.EPOXI</t>
  </si>
  <si>
    <t>XXXXXX PINTURA AL ESMALTE EN BARANDILLA STD (TITÁN OXICRON FORJA); INCLUYE IMPRIMACIÓN EPÓXICA (FCH)</t>
  </si>
  <si>
    <t>PINTURA AL ESMALTE EN BARANDILLA STD (TITÁN OXICRON FORJA); INCLUYE IMPRIMACIÓN EPÓXICA (FCH)</t>
  </si>
  <si>
    <t>ma-villares-titantech-sxb-200</t>
  </si>
  <si>
    <t>Imprimación epoxi bicomponente multiadherente anticorrosiva SXB-200 de TITANTECH (4 litro/pack).   Ref. villares-titantech-sxb-200</t>
  </si>
  <si>
    <t>ma-anidia-8414800430509</t>
  </si>
  <si>
    <t>Disolvente Epoxi DX-810 de TITANTECH (5 litros/envase).   Ref. anidia-8414800430509</t>
  </si>
  <si>
    <t>REVPINT-PERFIL.20-TITAN.Y.EPOXI</t>
  </si>
  <si>
    <t>XXXXXX PINTURA AL ESMALTE EN PERFIL METÁLICO CON ANCHO &lt;= 20 cm (TITÁN OXICRON FORJA); INCLUYE IMPRIMACIÓN EPÓXICA</t>
  </si>
  <si>
    <t>PINTURA AL ESMALTE EN PERFIL METÁLICO CON ANCHO &lt;= 20 cm (TITÁN OXICRON FORJA); INCLUYE IMPRIMACIÓN EPÓXICA</t>
  </si>
  <si>
    <t>REVPINT-B.STD-VALENTINE-MS</t>
  </si>
  <si>
    <t>XXXXXX PINTURA AL ESMALTE EN BARANDILLA STD (DIRECTO AL METAL LISO SATINADO VALENTINE); MEDIANTE EL USO DE MEDIO SUSPENDIDO/COLGADO</t>
  </si>
  <si>
    <t>PINTURA AL ESMALTE EN BARANDILLA STD (DIRECTO AL METAL LISO SATINADO VALENTINE); MEDIANTE EL USO DE MEDIO SUSPENDIDO/COLGADO</t>
  </si>
  <si>
    <t>REVPINT-B.STD-ANTIOX.Y.DEC-MS</t>
  </si>
  <si>
    <t>XXXXXX PINTURA AL ESMALTE EN BARANDILLA STD (PROCOFER FORJA ANTIOXIDANTE Y DECORATIVO); MEDIANTE USO DE MEDIO SUSPENDIDO/COLGADO</t>
  </si>
  <si>
    <t>PINTURA AL ESMALTE EN BARANDILLA STD (PROCOFER FORJA ANTIOXIDANTE Y DECORATIVO); MEDIANTE USO DE MEDIO SUSPENDIDO/COLGADO</t>
  </si>
  <si>
    <t>REVPINT-B.STD-SINTETICO.AS-MS</t>
  </si>
  <si>
    <t>XXXXXX PINTURA AL ESMALTE EN BARANDILLA STD (KILATE PROCOLOR SATINADO); MEDIANTE USO DE MEDIO SUSPENDIDO/COLGADO</t>
  </si>
  <si>
    <t>PINTURA AL ESMALTE EN BARANDILLA STD (KILATE PROCOLOR SATINADO); MEDIANTE USO DE MEDIO SUSPENDIDO/COLGADO</t>
  </si>
  <si>
    <t>REVPINT11-MNR-03</t>
  </si>
  <si>
    <t>XXXXXX PINTURA AL ESMALTE EN SUPERFICIE METÁLICA "TITÁN OXIRON FORJA"; INCLUYE IMPRIMACIÓN</t>
  </si>
  <si>
    <t>PINTURA AL ESMALTE EN SUPERFICIE METÁLICA "TITÁN OXIRON FORJA"; INCLUYE IMPRIMACIÓN</t>
  </si>
  <si>
    <t>ma-multipinturas-06A</t>
  </si>
  <si>
    <t>Imprimante anticorrosivo de secado rápido PREPARACIÓN MULTIUSO de TITÁN; colores blanco, gris, verde, negro (4 litros/envase).   Ref. multipinturas-06A</t>
  </si>
  <si>
    <t>REVPINT19</t>
  </si>
  <si>
    <t>XXXXXX PINTURA PLASTICA MUROS</t>
  </si>
  <si>
    <t>REVPINT20</t>
  </si>
  <si>
    <t>XXXXXX PINTURA PLASTICA TECHOS</t>
  </si>
  <si>
    <t>PINTURA PLASTICA TECHOS</t>
  </si>
  <si>
    <t>REVPINT-PLASTICA-H-AT-01</t>
  </si>
  <si>
    <t>XXXXXX PINTURA PLÁSTICA EN PARAMENTOS HORIZONTALES INCLUYENDO IMPRIMACIÓN (FCH)</t>
  </si>
  <si>
    <t>PINTURA PLÁSTICA EN PARAMENTOS HORIZONTALES INCLUYENDO IMPRIMACIÓN (FCH)</t>
  </si>
  <si>
    <t>ma-pp-0135001400SJ-B</t>
  </si>
  <si>
    <t>Imprimante Isacrílico emulsión selladora penetrante de ISAVAL (15 litros/bidón)   Ref. pp-0135001400SJ-B</t>
  </si>
  <si>
    <t>ma-pp-0120100600ML</t>
  </si>
  <si>
    <t>Pintura plástica PALAS INTER FACHADAS; color blanco mate (14 litros/bidón).   Ref. pp-s/c-01</t>
  </si>
  <si>
    <t>REVPINT-PLASTICA-H-MS-01</t>
  </si>
  <si>
    <t>XXXXXX PINTURA PLÁSTICA EN PARAMENTOS HORIZONTALES MEDIANTE EL USO DE MEDIO SUSPENDIDO/COLGADO; INCLUYENDO IMPRIMACIÓN (FCH)</t>
  </si>
  <si>
    <t>PINTURA PLÁSTICA EN PARAMENTOS HORIZONTALES MEDIANTE EL USO DE MEDIO SUSPENDIDO/COLGADO; INCLUYENDO IMPRIMACIÓN (FCH)</t>
  </si>
  <si>
    <t>ma%</t>
  </si>
  <si>
    <t>Materiales Misceláneos</t>
  </si>
  <si>
    <t>REVPINT-PLASTICA-V-AT-01</t>
  </si>
  <si>
    <t>XXXXXX PINTURA PLÁSTICA EN PARAMENTOS VERTICALES MEDIANTE EL USO DE ANDAMIO TUBULAR; INCLUYENDO IMPRIMACIÓN (FCH)</t>
  </si>
  <si>
    <t>PINTURA PLÁSTICA EN PARAMENTOS VERTICALES MEDIANTE EL USO DE ANDAMIO TUBULAR; INCLUYENDO IMPRIMACIÓN (FCH)</t>
  </si>
  <si>
    <t>REVPINT-PLASTICA-V-MS-01</t>
  </si>
  <si>
    <t>XXXXXX PINTURA PLÁSTICA EN PARAMENTOS VERTICALES MEDIANTE EL USO DE MEDIO SUSPENDIDO/COLGADO; INCLUYENDO IMPRIMACIÓN (FCH)</t>
  </si>
  <si>
    <t>PINTURA PLÁSTICA EN PARAMENTOS VERTICALES MEDIANTE EL USO DE MEDIO SUSPENDIDO/COLGADO; INCLUYENDO IMPRIMACIÓN (FCH)</t>
  </si>
  <si>
    <t>REVPINT-PLASTICA-H-AT-02</t>
  </si>
  <si>
    <t>XXXXXX PINTURA PLÁSTICA ACRÍLICA MATE "REVETÓN NOVEX" EN PARAMENTOS HORIZONTALES, MEDIANTE EL USO DE ANDAMIO TUBULAR</t>
  </si>
  <si>
    <t>PINTURA PLÁSTICA ACRÍLICA MATE "REVETÓN NOVEX" EN PARAMENTOS HORIZONTALES, MEDIANTE EL USO DE ANDAMIO TUBULAR</t>
  </si>
  <si>
    <t>REVPINT-PLASTICA-H-MS-02</t>
  </si>
  <si>
    <t>XXXXXX PINTURA PLÁSTICA ACRÍLICA MATE "REVETÓN NOVEX" EN PARAMENTOS HORIZONTALES, MEDIANTE EL USO DE MEDIO SUSPENDIDO/COLGADO</t>
  </si>
  <si>
    <t>PINTURA PLÁSTICA ACRÍLICA MATE "REVETÓN NOVEX" EN PARAMENTOS HORIZONTALES, MEDIANTE EL USO DE MEDIO SUSPENDIDO/COLGADO</t>
  </si>
  <si>
    <t>REVPINT-PLASTICA-V-MS-02</t>
  </si>
  <si>
    <t>XXXXXX PINTURA PLÁSTICA ACRÍLICA MATE "REVETÓN NOVEX" EN PARAMENTOS VERTICALES, MEDIANTE EL USO DE MEDIO SUSPENDIDO/COLGADO</t>
  </si>
  <si>
    <t>PINTURA PLÁSTICA ACRÍLICA MATE "REVETÓN NOVEX" EN PARAMENTOS VERTICALES, MEDIANTE EL USO DE MEDIO SUSPENDIDO/COLGADO</t>
  </si>
  <si>
    <t>REVPINT-CLORO.CAUCHO-H-MS-01</t>
  </si>
  <si>
    <t>XXXXXX PINTURA CLORO-CAUCHO EN PARAMENTOS HORIZONTALES MEDIANTE EL USO DE MEDIO SUSPENDIDO/COLGADO (FCH)</t>
  </si>
  <si>
    <t>PINTURA CLORO-CAUCHO EN PARAMENTOS HORIZONTALES MEDIANTE EL USO DE MEDIO SUSPENDIDO/COLGADO (FCH)</t>
  </si>
  <si>
    <t>REVPINT-CLORO.CAUCHO-V-AT-01</t>
  </si>
  <si>
    <t>XXXXXX PINTURA CLORO-CAUCHO EN PARAMENTOS VERTICALES MEDIANTE EL USO DE ANDAMIO TUBULAR (FCH)</t>
  </si>
  <si>
    <t>PINTURA CLORO-CAUCHO EN PARAMENTOS VERTICALES MEDIANTE EL USO DE ANDAMIO TUBULAR (FCH)</t>
  </si>
  <si>
    <t>REVPINT-CLORO.CAUCHO-V-MS-01</t>
  </si>
  <si>
    <t>XXXXXX PINTURA CLORO-CAUCHO EN PARAMENTOS VERTICALES MEDIANTE EL USO DE MEDIO SUSPENDIDO/COLGADO (FCH)</t>
  </si>
  <si>
    <t>PINTURA CLORO-CAUCHO EN PARAMENTOS VERTICALES MEDIANTE EL USO DE MEDIO SUSPENDIDO/COLGADO (FCH)</t>
  </si>
  <si>
    <t>REVPINT23-MNR-01-V</t>
  </si>
  <si>
    <t>XXXXXX PINTURA AL ESMALTE ALIFÁTICO EN PARAMENTOS VERTICALES</t>
  </si>
  <si>
    <t>PINTURA AL ESMALTE ALIFÁTICO EN PARAMENTOS VERTICALES</t>
  </si>
  <si>
    <t>REVPINT-ELAST.SILOXANO-H-AT-1</t>
  </si>
  <si>
    <t>XXXXXX PINTURA ELÁSTICA AL SILOXANO "BEISSIER" EN PARAMENTOS HORIZONTALES Y MEDIANTE EL USO DE ANDAMIO TUBULAR</t>
  </si>
  <si>
    <t>PINTURA ELÁSTICA AL SILOXANO "BEISSIER" EN PARAMENTOS HORIZONTALES Y MEDIANTE EL USO DE ANDAMIO TUBULAR</t>
  </si>
  <si>
    <t>REVPINT-ELAST.SILOXANO-V-MS-1</t>
  </si>
  <si>
    <t>XXXXXX PINTURA ELÁSTICA AL SILOXANO "BEISSIER" EN PARAMENTOS VERTICALES Y MEDIANTE EL USO DE MEDIO SUSPENDIDO/COLGADO</t>
  </si>
  <si>
    <t>PINTURA ELÁSTICA AL SILOXANO "BEISSIER" EN PARAMENTOS VERTICALES Y MEDIANTE EL USO DE MEDIO SUSPENDIDO/COLGADO</t>
  </si>
  <si>
    <t>REVPINT-ELAST.SILOXANO-H-MS-1</t>
  </si>
  <si>
    <t>XXXXXX PINTURA ELÁSTICA AL SILOXANO "BEISSIER" EN PARAMENTOS HORIZONTALES Y MEDIANTE EL USO DE MEDIO SUSPENDIDO/COLGADO</t>
  </si>
  <si>
    <t>PINTURA ELÁSTICA AL SILOXANO "BEISSIER" EN PARAMENTOS HORIZONTALES Y MEDIANTE EL USO DE MEDIO SUSPENDIDO/COLGADO</t>
  </si>
  <si>
    <t>REVPINT-ACRILSILOXANO-H-AT</t>
  </si>
  <si>
    <t>XXXXXX PINTURA ACRILSILOXÁNICA EN PARAMENTOS HORIZONTALES DE FACHADAS CON PRODUCTO "REVETÓN ABSYDE"; MEDIANTE USO DE ANDAMIO TUBULAR</t>
  </si>
  <si>
    <t>Pintura acrilsiloxánica en paramentos horizontales de fachadas con producto "REVETÓN ABSYDE"; mediante uso de andamio tubular.</t>
  </si>
  <si>
    <t>REVPINT-ACRILSILOXANO-H-MS</t>
  </si>
  <si>
    <t>Pintura acrilsiloxánica en paramentos horizontales de fachadas con producto "REVETÓN ABSYDE"; mediante uso de medio suspendido/colgado.</t>
  </si>
  <si>
    <t>REVPINT-ANTI-CARBONATO-H-MS-1</t>
  </si>
  <si>
    <t>XXXXXX PINTURA DE PROTECCIÓN ANTI-CARBONATACIÓN DE SIKA EN MORTERO/HORMIGÓN, EN PARAMENTOS HORIZONTALES Y MEDIANTE EL USO DE MEDIO SUSPENDIDO/COLGADO</t>
  </si>
  <si>
    <t>PINTURA DE PROTECCIÓN ANTI-CARBONATACIÓN DE SIKA EN MORTERO/HORMIGÓN, EN PARAMENTOS HORIZONTALES Y MEDIANTE EL USO DE MEDIO SUSPENDIDO/COLGADO</t>
  </si>
  <si>
    <t>REVPINT-ANTI-CARBONATO-H-MS-2</t>
  </si>
  <si>
    <t>XXXXXX PINTURA DE PROTECCIÓN ANTI-CARBONATACIÓN DE REVETÓN EN MORTERO/HORMIGÓN, EN PARAMENTOS HORIZONTALES Y MEDIANTE EL USO DE MEDIO SUSPENDIDO/COLGADO</t>
  </si>
  <si>
    <t>PINTURA DE PROTECCIÓN ANTI-CARBONATACIÓN DE REVETÓN EN MORTERO/HORMIGÓN, EN PARAMENTOS HORIZONTALES Y MEDIANTE EL USO DE MEDIO SUSPENDIDO/COLGADO</t>
  </si>
  <si>
    <t>REVPINT-ANTI-CARBONATO-V-AT-1</t>
  </si>
  <si>
    <t>XXXXXX PINTURA DE PROTECCIÓN ANTI-CARBONATACIÓN DE SIKA EN MORTERO/HORMIGÓN, EN PARAMENTOS VERTICALES Y MEDIANTE EL USO DE ANDAMIO TUBULAR</t>
  </si>
  <si>
    <t>PINTURA DE PROTECCIÓN ANTI-CARBONATACIÓN DE SIKA EN MORTERO/HORMIGÓN, EN PARAMENTOS VERTICALES Y MEDIANTE EL USO DE ANDAMIO TUBULAR</t>
  </si>
  <si>
    <t>REVPINT-ANTI-CARBONATO-V-AT-2</t>
  </si>
  <si>
    <t>XXXXXX PINTURA DE PROTECCIÓN ANTI-CARBONATACIÓN DE REVETÓN EN MORTERO/HORMIGÓN, EN PARAMENTOS VERTICALES Y MEDIANTE EL USO DE ANDAMIO TUBULAR</t>
  </si>
  <si>
    <t>PINTURA DE PROTECCIÓN ANTI-CARBONATACIÓN DE REVETÓN EN MORTERO/HORMIGÓN, EN PARAMENTOS VERTICALES Y MEDIANTE EL USO DE ANDAMIO TUBULAR</t>
  </si>
  <si>
    <t>REVPINT-ANTI-CARBONATO-V-MS-1</t>
  </si>
  <si>
    <t>XXXXXX PINTURA DE PROTECCIÓN ANTI-CARBONATACIÓN DE SIKA EN MORTERO/HORMIGÓN, EN PARAMENTOS VERTICALES Y MEDIANTE EL USO DE MEDIO SUSPENDIDO/COLGADO</t>
  </si>
  <si>
    <t>PINTURA DE PROTECCIÓN ANTI-CARBONATACIÓN DE SIKA EN MORTERO/HORMIGÓN, EN PARAMENTOS VERTICALES Y MEDIANTE EL USO DE MEDIO SUSPENDIDO/COLGADO</t>
  </si>
  <si>
    <t>REVPINT-ANTI-CARBONATO-V-MS-2</t>
  </si>
  <si>
    <t>XXXXXX PINTURA DE PROTECCIÓN ANTI-CARBONATACIÓN DE REVETÓN EN MORTERO/HORMIGÓN, EN PARAMENTOS VERTICALES Y MEDIANTE EL USO DE MEDIO SUSPENDIDO/COLGADO</t>
  </si>
  <si>
    <t>PINTURA DE PROTECCIÓN ANTI-CARBONATACIÓN DE REVETÓN EN MORTERO/HORMIGÓN, EN PARAMENTOS VERTICALES Y MEDIANTE EL USO DE MEDIO SUSPENDIDO/COLGADO</t>
  </si>
  <si>
    <t>REVPINT-ESMALTE.PU.AGUA-V-MS-01</t>
  </si>
  <si>
    <t>XXXXXX PINTURA ESMALTE AL AGUA CON POLIURETANO EN BARANDILLA STD (RUBBOL BL DE SIKKENS)); MEDIANTE EL USO DE MEDIO SUSPENDIDO/COLGADO</t>
  </si>
  <si>
    <t>PINTURA ESMALTE AL AGUA CON POLIURETANO EN BARANDILLA STD (RUBBOL BL DE SIKKENS)); MEDIANTE EL USO DE MEDIO SUSPENDIDO/COLGADO</t>
  </si>
  <si>
    <t>REVPINT33-MNR-M2-MS</t>
  </si>
  <si>
    <t>XXXXXX PINTURA MULTISUPERFICIE EN MADERA, METAL Y PVC; MEDIANTE USO DE ANDAMIO TUBULAR</t>
  </si>
  <si>
    <t>REVPINT33-MNR-ML20a30-MS</t>
  </si>
  <si>
    <t>XXXXXX PINTURA MULTISUPERFICIE EN MADERA, METAL Y PVC (20 cm2 &lt; área/m &lt;= 30 cm2); MEDIANTE USO DE MEDIO SUSPENDIDO/COLGADO</t>
  </si>
  <si>
    <t>Pintura multisuperficie en madera, metal y pvc (20 cm2 &lt; área/m &lt;= 30 cm2); mediante uso de medio suspendido/colgado</t>
  </si>
  <si>
    <t>REVPINT33-MNR-ML30a40-AT</t>
  </si>
  <si>
    <t>XXXXXX PINTURA MULTISUPERFICIE EN MADERA, METAL Y PVC (30 cm2 &lt; área/m &lt;= 40 cm2); MEDIANTE USO DE ANDAMIO TUBULAR</t>
  </si>
  <si>
    <t>Pintura multisuperficie en madera, metal y pvc (30 cm2 &lt; área/m &lt;= 40 cm2); mediante uso de andamio tubular</t>
  </si>
  <si>
    <t>REVPINT33-MNR-ML30a40-MS</t>
  </si>
  <si>
    <t>XXXXXX PINTURA MULTISUPERFICIE EN MADERA, METAL Y PVC (30 cm2 &lt; área/m &lt;= 40 cm2); MEDIANTE USO DE MEDIO SUSPENDIDO/COLGADO</t>
  </si>
  <si>
    <t>Pintura multisuperficie en madera, metal y pvc (30 cm2 &lt; área/m &lt;= 40 cm2); mediante uso de medio suspendido/colgado</t>
  </si>
  <si>
    <t>REVPINT-MINERAL-H-MS</t>
  </si>
  <si>
    <t>XXXXXX PINTURA MINERAL "LIME PAINT de FLEUR" EN PARAMENTOS HORIZONTALES, MEDIANTE EL USO DE MEDIO SUSPENDIDO/COLGADO (FCH)</t>
  </si>
  <si>
    <t>Pintura mineral "LIME PAINT DE FLEUR" en paramentos horizontales, mediante el uso de medio suspendido/colgado (FCH)</t>
  </si>
  <si>
    <t>REVPINT-MINERAL-V-AT</t>
  </si>
  <si>
    <t>XXXXXX PINTURA MINERAL "LIME PAINT de FLEUR" EN PARAMENTOS VERTICALES, MEDIANTE EL USO DE ANDAMIO TUBULAR (FCH)</t>
  </si>
  <si>
    <t>Pintura mineral "LIME PAINT DE FLEUR" en paramentos verticales, mediante el uso de andamio tubular (FCH)</t>
  </si>
  <si>
    <t>REVPINT-MINERAL-V-MS</t>
  </si>
  <si>
    <t>XXXXXX PINTURA MINERAL "LIME PAINT de FLEUR" EN PARAMENTOS VERTICALES, MEDIANTE EL USO DE MEDIO SUSPENDIDO/COLGADO (FCH)</t>
  </si>
  <si>
    <t>Pintura mineral "LIME PAINT DE FLEUR" en paramentos verticales, mediante el uso de medio suspendido/colgado (FCH)</t>
  </si>
  <si>
    <t>REVPREP</t>
  </si>
  <si>
    <t>XXXXXX PREPARACIONES</t>
  </si>
  <si>
    <t>ENFOSC</t>
  </si>
  <si>
    <t>o ENFOSCADO</t>
  </si>
  <si>
    <t>Enfoscado de cemento, a buena vista, aplicado sobre un paramento vertical interior, hasta 3 m de altura, acabado superficial rugoso, con mortero de cemento, armado y reforzado con malla antialcalis.</t>
  </si>
  <si>
    <t>MOR012</t>
  </si>
  <si>
    <t>XXXXXX ENFOSCADO 12 mm EN PARAMENTO HORIZONTAL CON MORTERO BASTARDO "M-7,5/SAGRASEC", MEDIANTE USO DE ANDAMIO TUBULAR</t>
  </si>
  <si>
    <t>ENFOSCADO 12 mm EN PARAMENTO HORIZONTAL CON MORTERO BASTARDO "M-7,5/SAGRASEC", MEDIANTE USO DE ANDAMIO TUBULAR</t>
  </si>
  <si>
    <t>MOR012TV</t>
  </si>
  <si>
    <t>XXXXXX ENFOSCADO 12 mm EN PARAMENTO HORIZONTAL CON MORTERO BASTARDO "M-7,5/SAGRASEC", MEDIANTE USO DE MEDIO SUSPENDIDO/COLGADO</t>
  </si>
  <si>
    <t>ENFOSCADO 12 mm EN PARAMENTO HORIZONTAL CON MORTERO BASTARDO "M-7,5/SAGRASEC", MEDIANTE USO DE MEDIO SUSPENDIDO/COLGADO</t>
  </si>
  <si>
    <t>REV-ENFOSCADO-M7.5-12mm-V-AT</t>
  </si>
  <si>
    <t>XXXXXX ENFOSCADO 12 mm EN PARAMENTO VERTICAL CON MORTERO BASTARDO "M-7,5/SAGRASEC", MEDIANTE USO DE ANDAMIO TUBULAR</t>
  </si>
  <si>
    <t>ENFOSCADO 12 mm EN PARAMENTO VERTICAL CON MORTERO BASTARDO "M-7,5/SAGRASEC", MEDIANTE USO DE ANDAMIO TUBULAR</t>
  </si>
  <si>
    <t>REV-ENFOSCADO-M7.5-12mm-V-MS</t>
  </si>
  <si>
    <t>XXXXXX ENFOSCADO 12 mm EN PARAMENTO VERTICAL CON MORTERO BASTARDO "M-7,5/SAGRASEC", MEDIANTE USO DE MEDIO SUSPENDIDO/COLGADO</t>
  </si>
  <si>
    <t>ENFOSCADO 12 mm EN PARAMENTO VERTICAL CON MORTERO BASTARDO "M-7,5/SAGRASEC", MEDIANTE USO DE MEDIO SUSPENDIDO/COLGADO</t>
  </si>
  <si>
    <t>REV-ENFOSCADO-M7.5-15mm-H-AT</t>
  </si>
  <si>
    <t>XXXXXX ENFOSCADO 15 mm EN PARAMENTO HORIZONTAL CON MORTERO BASTARDO "M-7,5/SAGRASEC", MEDIANTE USO DE ANDAMIO TUBULAR</t>
  </si>
  <si>
    <t>ENFOSCADO 15 mm EN PARAMENTO HORIZONTAL CON MORTERO BASTARDO "M-7,5/SAGRASEC", MEDIANTE USO DE ANDAMIO TUBULAR</t>
  </si>
  <si>
    <t>REV-ENFOSCADO-M7.5-15mm-H-MS</t>
  </si>
  <si>
    <t>XXXXXX ENFOSCADO 15 mm EN PARAMENTO HORIZONTAL CON MORTERO BASTARDO "M-7,5/SAGRASEC", MEDIANTE USO DE MEDIO SUSPENDIDO/COLGADO</t>
  </si>
  <si>
    <t>ENFOSCADO 15 mm EN PARAMENTO HORIZONTAL CON MORTERO BASTARDO "M-7,5/SAGRASEC", MEDIANTE USO DE MEDIO SUSPENDIDO/COLGADO</t>
  </si>
  <si>
    <t>REV-ENFOSCADO-M7.5-15mm-V-AT</t>
  </si>
  <si>
    <t>XXXXXX ENFOSCADO 15 mm EN PARAMENTO VERTICAL CON MORTERO BASTARDO "M-7,5/SAGRASEC", MEDIANTE USO DE ANDAMIO TUBULAR</t>
  </si>
  <si>
    <t>ENFOSCADO 15 mm EN PARAMENTO VERTICAL CON MORTERO BASTARDO "M-7,5/SAGRASEC", MEDIANTE USO DE ANDAMIO TUBULAR</t>
  </si>
  <si>
    <t>REV-ENFOSCADO-M7.5-15mm-V-MS</t>
  </si>
  <si>
    <t>XXXXXX ENFOSCADO 15 mm EN PARAMENTO VERTICAL CON MORTERO BASTARDO "M-7,5/SAGRASEC", MEDIANTE USO DE MEDIO SUSPENDIDO/COLGADO</t>
  </si>
  <si>
    <t>ENFOSCADO 15 mm EN PARAMENTO VERTICAL CON MORTERO BASTARDO "M-7,5/SAGRASEC", MEDIANTE USO DE MEDIO SUSPENDIDO/COLGADO</t>
  </si>
  <si>
    <t>MORACR</t>
  </si>
  <si>
    <t>o MORTEROS ACRILICOS</t>
  </si>
  <si>
    <t>MORACR001</t>
  </si>
  <si>
    <t>o MORTERO ACRÍLICO REVAT PLAS DE PROPAMSA</t>
  </si>
  <si>
    <t>Revestimiento decorativo en fachadas, con mortero acrilico REVAT PLAS DE PROPAMSA a base de resina de copolímeros acrílico-estirénicos, cargas, pigmentos minerales y aditivos que proporcionan un acabado de protección y decoración del edificio, de 2 a 3 mm de espesor, color Blanco.</t>
  </si>
  <si>
    <t>MORACR001TV</t>
  </si>
  <si>
    <t>o MORTERO ACRÍLICO REVAT PLAS DE PROPAMSA C/TRABAJOS VERTICALES</t>
  </si>
  <si>
    <t>Revestimiento decorativo en fachadas CON TRABAJOS VERTICALES, con mortero acrilico REVAT PLAS DE PROPAMSA a base de resina de copolímeros acrílico-estirénicos, cargas, pigmentos minerales y aditivos que proporcionan un acabado de protección y decoración del edificio, de 2 a 3 mm de espesor, color Blanco.</t>
  </si>
  <si>
    <t>MORACR002</t>
  </si>
  <si>
    <t>o MORTERO ACRÍLICO WEBERTENE CLASSIC L</t>
  </si>
  <si>
    <t>Revestimiento decorativo en fachadas, con mortero acrilico WEBERTENE CLASSIC L a base de resina de copolímeros acrílico-estirénicos, cargas, pigmentos minerales y aditivos que proporcionan un acabado de protección y decoración del edificio, de 2 a 3 mm de espesor, color a elegir.</t>
  </si>
  <si>
    <t>ma-prolisur-weberteneclassicl</t>
  </si>
  <si>
    <t>cubeta</t>
  </si>
  <si>
    <t>WEBERTENE CLASSIC L - 25kg - Mortero Acrílico Coloreado Listo al Uso (1,5 mm)</t>
  </si>
  <si>
    <t>MORACR003</t>
  </si>
  <si>
    <t>o MORTERO ACRÍLICO WEBERTENE CLASSIC XL</t>
  </si>
  <si>
    <t>TT</t>
  </si>
  <si>
    <t>MORACR004</t>
  </si>
  <si>
    <t>o MORTERO ACRILICO WEBERTENE ADVANCE M</t>
  </si>
  <si>
    <t>REVESTIMIENTO DE CAPA FINA CON MORTERO SILOXANO "WEBERTENE ADVANCE M" (FCH)</t>
  </si>
  <si>
    <t>ma-dp-SKU.1057310</t>
  </si>
  <si>
    <t>Mortero siloxano WEBERTENE ADVANCE M coloreado para revestimiento de capa fina listo al uso para sistema SATE (25 kg/bidón).   Ref. dp-SKU.1057310</t>
  </si>
  <si>
    <t>MORACR005</t>
  </si>
  <si>
    <t>o MORTERO ACRILICO PIEDRA PROJECTADA WEBERTHERM MARMOL BLANCO 15mm</t>
  </si>
  <si>
    <t>Revestimiento decorativo en fachadas WEBERTHERM, con mortero soporte, color blanco, acabado granulado imitación piedra natural, con un rendimiento de 3 kg/m² y árido de mármol, procedente de machaqueo, de granulometría comprendida entre 3 y 4 mm, para la realización de la capa de acabado en revestimientos continuos.</t>
  </si>
  <si>
    <t>ma-lp-000018143</t>
  </si>
  <si>
    <t>Esquinero grande monocapa de medida 2,50 m.</t>
  </si>
  <si>
    <t>MORACR006</t>
  </si>
  <si>
    <t>o SISTEMA WEBERENOVA ANTIFISURAS EN CAPA LISA</t>
  </si>
  <si>
    <t>Reparación de fisuras de hasta 1 mm de anchura en revestimiento exterior, con el sistema WEBERENOVA ANTIFISURAS, acabado mineral  en CAPA LISA, compuesto por: imprimación, WEBERPRIM FX15, a base de resinas acrílicas en dispersión acuosa,  cargas minerales y aditivos, dos capas del mismo espesor de mortero polimérico de altas prestaciones reforzado con fibras,  WEBERTHERM BASEGEL, color gris, de 4 mm de espesor total; capa de acabado de mortero de cemento WEBERMUR LISO, compuesto por ligantes hidráulicos, resinas poliméricas, áridos calizos y silíceos y aditivos orgánicos e inorgánicos, color  blanco.</t>
  </si>
  <si>
    <t>mt28mic060e</t>
  </si>
  <si>
    <t>Mortero de cemento Webermur Liso "WEBER", compuesto por ligantes hidráulicos, resinas poliméricas, áridos calizos y silíceos y aditivos orgánicos e inorgánicos, color blanco, para regularización de superficies.</t>
  </si>
  <si>
    <t>MORACR006TV</t>
  </si>
  <si>
    <t>o SISTEMA WEBERENOVA ANTIFISURAS EN CAPA LISA C/TRABAJOS VERTICALES</t>
  </si>
  <si>
    <t>Reparación de fisuras CON TRABAJOS VERTICALES, de hasta 1 mm de anchura en revestimiento exterior, con el sistema WEBERENOVA ANTIFISURAS, acabado mineral  en CAPA LISA, compuesto por: imprimación, WEBERPRIM FX15, a base de resinas acrílicas en dispersión acuosa,  cargas minerales y aditivos, dos capas del mismo espesor de mortero polimérico de altas prestaciones reforzado con fibras,  WEBERTHERM BASEGEL, color gris, de 4 mm de espesor total; capa de acabado de mortero de cemento WEBERMUR LISO, compuesto por ligantes hidráulicos, resinas poliméricas, áridos calizos y silíceos y aditivos orgánicos e inorgánicos, color  blanco.</t>
  </si>
  <si>
    <t>MORACR007</t>
  </si>
  <si>
    <t>o SISTEMA WEBERENOVA ANTIFISURAS ACABADO ORGANICO</t>
  </si>
  <si>
    <t>Reparación de fisuras de hasta 1 mm de anchura en revestimiento exterior, con el sistema WEBERENOVA ANTIFISURAS, ACABADO ORGANICO, compuesto por: imprimación, WEBERPRIM FX15, a base de resinas acrílicas en dispersión acuosa, cargas  minerales y aditivos, dos capas del mismo espesor de mortero polimérico de altas prestaciones reforzado con fibras, WEBERTHERM BASEGEL, color gri, de 4 mm de espesor total; capa de acabado de mortero al silicato WEBERTENE PREMIUM M,  color a elegir, gama Estándar, acabado gota, sobre imprimación WEBERPRIM SILICATO.</t>
  </si>
  <si>
    <t>mt28pcc020a</t>
  </si>
  <si>
    <t>Imprimación Weberprim Silicato "WEBER", incolora, a base de silicato potásico y aditivos especiales, impermeable al agua de lluvia y permeable al vapor de agua.</t>
  </si>
  <si>
    <t>MORACR008</t>
  </si>
  <si>
    <t>o SISTEMA WEBERENOVA ANTIFISURAS EN CAPA FINA</t>
  </si>
  <si>
    <t>Reparación de fisuras de hasta 1 mm de anchura en revestimiento exterior, con el sistema WEBERENOVA ANTIFISURAS, acabado mineral  en CAPA FINA, compuesto por: imprimación, WEBERPRIM FX15, a base de resinas acrílicas en dispersión acuosa,  cargas minerales y aditivos, dos capas del mismo espesor de mortero polimérico de altas prestaciones reforzado con fibras,  WEBERTHERM BASEGEL, color gris, de 4 mm de espesor total; capa de acabado de estuco de mortero de cal, tipo CR CSI W0,  según UNE-EN 998-1, WEBERCAL ESTUCO, acabado liso, color a elegir, armado con malla de fibra de vidrio antiálcalis,  Webertherm Malla 65 "WEBER", de 1x1,5 mm de luz de malla, 65 g/m² de masa superficial y 0,18 mm de espesor, y posterior  aplicación de una mano de impregnación hidrófuga incolora en base acuosa, WEBERNETO S-400.</t>
  </si>
  <si>
    <t>ma-aislamientofach-weberneto</t>
  </si>
  <si>
    <t>Impregnación hidrófuga incolora en base acuosa, Weberneto S-400 de 4L, anticarbonatación.</t>
  </si>
  <si>
    <t>REV-REVOCO.ACRILICO-H-MS--01</t>
  </si>
  <si>
    <t>XXXXXX  REVOCO ACRÍLICO APLICADO SOBRE ENFOSCADO DE PARAMENTO HORIZONTAL, MEDIANTE EL USO DE MEDIO SUSPENDIDO/COLGADO</t>
  </si>
  <si>
    <t>REVOCO ACRÍLICO APLICADO SOBRE ENFOSCADO DE PARAMENTO HORIZONTAL, MEDIANTE EL USO DE MEDIO SUSPENDIDO/COLGADO</t>
  </si>
  <si>
    <t>REV-REVOCO.ACRILICO-V-AT--01</t>
  </si>
  <si>
    <t>XXXXXX  REVOCO ACRÍLICO APLICADO SOBRE ENFOSCADO DE PARAMENTO VERTICAL, MEDIANTE EL USO DE ANDAMIO TUBULAR</t>
  </si>
  <si>
    <t>REVOCO ACRÍLICO APLICADO SOBRE ENFOSCADO DE PARAMENTO VERTICAL, MEDIANTE EL USO DE ANDAMIO TUBULAR</t>
  </si>
  <si>
    <t>REV-REVOCO.ACRILICO-V-MS--01</t>
  </si>
  <si>
    <t>XXXXXX  REVOCO ACRÍLICO APLICADO SOBRE ENFOSCADO DE PARAMENTO VERTICAL, MEDIANTE EL USO DE MEDIO SUSPENDIDO/COLGADO</t>
  </si>
  <si>
    <t>REVOCO ACRÍLICO APLICADO SOBRE ENFOSCADO DE PARAMENTO VERTICAL, MEDIANTE EL USO DE MEDIO SUSPENDIDO/COLGADO</t>
  </si>
  <si>
    <t>MORHID</t>
  </si>
  <si>
    <t>o MORTEROS HIDROFUGOS</t>
  </si>
  <si>
    <t>MORHID001TV</t>
  </si>
  <si>
    <t>o MORTERO HIDROFUGO PROPAM REVOC 15mm C/TRABAJOS VERTICALES</t>
  </si>
  <si>
    <t>REVOCO DE MORTERO HIDROFUGO 15 mm (GP-CSIV-W2 / PROPAM REVOC) EN PARAMENTO VERTICAL Y MEDIANTE EL USO DE MEDIO SUSPENDIDO/COLGADO</t>
  </si>
  <si>
    <t>MORHID002</t>
  </si>
  <si>
    <t>o MORTERO HIDROFUGO PROPAM REVOC 5mm</t>
  </si>
  <si>
    <t>Revestimiento de paramentos exteriores con mortero hidrofugo, color gris, gama Estándar, espesor 5 mm, aplicado manualmente, armado y reforzado con malla de fibra de vidrio antiálcalis, incluso en los cambios de material.</t>
  </si>
  <si>
    <t>MORHID002TV</t>
  </si>
  <si>
    <t>o MORTERO HIDROFUGO PROPAM REVOC 5mm  C/TRABAJOS VERTICALES</t>
  </si>
  <si>
    <t>REVOCO DE MORTERO HIDROFUGO 5 mm (GP-CSIV-W2 / PROPAM REVOC) EN PARAMENTO VERTICAL Y MEDIANTE EL USO DE MEDIO SUSPENDIDO/COLGADO</t>
  </si>
  <si>
    <t>MORCAL</t>
  </si>
  <si>
    <t>o MORTEROS DE CAL</t>
  </si>
  <si>
    <t>MORCAL001</t>
  </si>
  <si>
    <t>o CAPA BASE DE MORTERO DE CAL PROPAM REVAT 15 mm</t>
  </si>
  <si>
    <t>Capa base de mortero de cal, PROPAM REVAT, de 15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</si>
  <si>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ma-lp-00540811</t>
  </si>
  <si>
    <t>Mortero para revoco PROPAM REVAT CAL BASE; color gris (25 kg/saco)   Ref. lp-00540811</t>
  </si>
  <si>
    <t>MORCAL001TV</t>
  </si>
  <si>
    <t>o CAPA BASE DE MORTERO DE CAL PROPAM REVAT 15 mm C/TRABAJOS VERTICALES</t>
  </si>
  <si>
    <t>Capa base de mortero de cal, PROPAM REVAT, de 15 mm de espesor, CON TRABAJOS VERTICALES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</si>
  <si>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MORCAL002</t>
  </si>
  <si>
    <t>o CAPA BASE DE MORTERO DE CAL WEBERCAL BASIC 15 mm</t>
  </si>
  <si>
    <t>Capa base de mortero de cal, WEBERCAL BASIC, color blanco, de 15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</si>
  <si>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MORCAL002TV</t>
  </si>
  <si>
    <t>o CAPA BASE DE MORTERO DE CAL WEBERCAL BASIC 15 mm C/TRABAJOS VERTICALES</t>
  </si>
  <si>
    <t>Capa base de mortero de cal, WEBERCAL BASIC, de 15 mm de espesor, CON TRABAJOS VERTICALES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</si>
  <si>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MORCAL003</t>
  </si>
  <si>
    <t>o CAPA DE TERMINACION DE MORTERO DE CAL WEBERCAL LISO 5 mm</t>
  </si>
  <si>
    <t>Capa de terminacion de mortero de cal, WEBERCAL LISO, de 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</si>
  <si>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MORCAL004</t>
  </si>
  <si>
    <t>o CAPA DE TERMINACION DE MORTERO DE CAL PROPAM FINO 5 mm</t>
  </si>
  <si>
    <t>Capa de terminacion de mortero de cal, PROPAM FINO, de 5 mm de espesor,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</si>
  <si>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ma-lp-00540810</t>
  </si>
  <si>
    <t>Mortero hidrófugo para revoco PROPAM FINO; color blanco (25 kg/saco)   Ref. lp-00540810</t>
  </si>
  <si>
    <t>MORCAL004TV</t>
  </si>
  <si>
    <t>o CAPA DE TERMINACION DE MORTERO DE CAL PROPAM FINO 5 mm C/TRABAJOS VERTICALES</t>
  </si>
  <si>
    <t>Capa de terminacion de mortero de cal, PROPAM FINO, de 5 mm de espesor, CON TRABAJOS VERTICALES maestreado, con acabado rugoso, aplicado manualmente, sobre paramento vertical. Incluso junquillos de PVC, para formación de juntas y malla de fibra de vidrio antiálcalis en los cambios de material y en los frentes de forjado, para evitar fisuras. El precio incluye la protección de los elementos del entorno que puedan verse afectados durante los trabajos, pero no incluye la capa de terminación de mortero.</t>
  </si>
  <si>
    <t>MORCAL005</t>
  </si>
  <si>
    <t>o MORTERO DE CAL SISTEMA WEBERCAL BASIC + LISO</t>
  </si>
  <si>
    <t>Revestimiento con mortero de cal, sistema WEBERCAL BASIC+LISO.  PREPARACIÓN DEL SOPORTE: picado de enfoscado de cemento, para eliminar las partes sueltas presentes en el 20% de la  superficie soporte, con medios manuales. CAPA BASE: aplicación manual de mortero de cal, tipo CR CSII W0, según UNE-EN 998-1, WEBERCAL BASIC, color a  elegir, de 10 mm de espesor, en una capa, maestreado, con acabado fratasado. CAPA DE ACABADO: aplicación manual de mortero de cal, tipo CR CSI W2, según UNE-EN 998-1, WEBERCAL LISO, color a elegir, de 5 mm de espesor.</t>
  </si>
  <si>
    <t>MORCAL006</t>
  </si>
  <si>
    <t>o REVESTIMIENTO DE CAL HIDRÁULICA 20 mm</t>
  </si>
  <si>
    <t>REVESTIMIENTO A BASE DE CAL HIDRÁULICA 20 mm EN PARAMENTO HORIZONTAL Y MEDIANTE EL USO DE ANDAMIO TUBULAR</t>
  </si>
  <si>
    <t>MORCAL007</t>
  </si>
  <si>
    <t>o REVESTIMIENTO DE ESTUCO DE CAL COM-CAL</t>
  </si>
  <si>
    <t>Aplicación de un mínimo de tres capas de estuco de cal, ajustándose y reproduciendo las texturas, molduras y geometrías existentes según modelo original.
Se preparará la superficie con una primera capa (adhesión) de regularización y soporte compuesta por mortero de cal, COM-CAL Adherecal "COM-CAL", tipo GP CSIII W2, según UNE-EN 998-1, color beige, armado y reforzado con malla de fibra de vidrio antialcalis, de 15 mm hormigón y/o fábrica cerámica.
La segunda capa (base) para recrecidos y obtención de espesores necesarios, mediante la aplicación de mortero natural de cal sin aditivos, COM-CAL Restaura "COM-CAL", tipo GP CSII W0, según UNE-EN 998-1, color blanco, de hasta 20 mm de espesor, aplicado con dos capas de agua fábrica cerámica, horizontal. Incluso ribetes de PVC, para formación de juntas.
La tercera capa (acabado), estará compuesta por una capa de mortero natural de cal sin aditivos, COM-CAL TRADICIONAL "COM-CAL", con árido de mármol, de granulometría comprendida entre 0,35 y 0,7 mm, COM-CAL Tradicional "COM-CAL", tipo CR CSII W0, según UNE-EN enlucido.</t>
  </si>
  <si>
    <t>MC01</t>
  </si>
  <si>
    <t>Saco</t>
  </si>
  <si>
    <t>MORTERO COM-CAL ADHERECAL NHL-5 (SATE) 21 KG</t>
  </si>
  <si>
    <t>COMREST</t>
  </si>
  <si>
    <t>MORTERO NHL-3,5 COM-CAL RESTAURA 23 KG</t>
  </si>
  <si>
    <t>COMAC</t>
  </si>
  <si>
    <t>MORTERO CAL AEREA COLOR A DEFINIR + AM0,35-0,7 BOTE 24 KG</t>
  </si>
  <si>
    <t>MORCAL008</t>
  </si>
  <si>
    <t>o REVOCO DE CAL TRADICIONAL 20 mm</t>
  </si>
  <si>
    <t>REVOCO A BASE DE CAL TRADICIONAL 20 mm APLICADO SOBRE ENFOSCADO DE PARAMENTO HORIZONTAL, MEDIANTE EL USO DE ANDAMIO TUBULAR</t>
  </si>
  <si>
    <t>ma-lp-00561384</t>
  </si>
  <si>
    <t>Mortero para revoco PROPAM REVAT CAL TRADICIONAL (25 kg/saco).   Ref. lp-00561384</t>
  </si>
  <si>
    <t>MORCAL009</t>
  </si>
  <si>
    <t>o REPARACIÓN DE FISURAS MENORES EN PARAMENTOS CON USO DE CAL HIDRÁULICA CALIX NHL-3,5 DE FYM</t>
  </si>
  <si>
    <t>REPARACIÓN DE FISURAS MENORES EN PARAMENTOS CON USO DE CAL HIDRÁULICA CALIX NHL-3,5 DE FYM</t>
  </si>
  <si>
    <t>ma-pp-0135002200SJ-G</t>
  </si>
  <si>
    <t>Imprimante sellador para fondos pulverulentos DELTAFIX de BEISSIER (5 litros/envase).   Ref. pp-0135002200SJ-G</t>
  </si>
  <si>
    <t>MORCAL021111</t>
  </si>
  <si>
    <t>XXXXXX CAPA DE TERMINACIÓN DE MORTERO DE CAL 10 mm C/TRABAJOS VERTICALES( FC )</t>
  </si>
  <si>
    <t>Capa de terminación de mortero de cal 10 mm (revoco tradicional) preparado y aplicado CON TRABAJOS VERTICALES con acabado fratasado sobre paramento horizontal interior de fábrica de ladrillo o bloque de hormigón..</t>
  </si>
  <si>
    <t>MORCAL031111</t>
  </si>
  <si>
    <t>XXXXXX CAPA DE TERMINACIÓN DE MORTERO DE CAL 10 mm (REVOCO TRADICIONAL) PREPARADO Y APLICADO A MÁQUINA CON ACABADO FRATASADO SOBRE PARAMENTO HORIZONTAL EXTERIOR (FCH)</t>
  </si>
  <si>
    <t>Capa de terminación de mortero de cal 10 mm (revoco tradicional) preparado y aplicado mecánicamente con acabado fratasado sobre paramento horizontal interior de fábrica de ladrillo o bloque de hormigón</t>
  </si>
  <si>
    <t>REV-CAL.HIDRAULICA-20mm-H-MS</t>
  </si>
  <si>
    <t>XXXXXX REVESTIMIENTO A BASE DE CAL HIDRÁULICA 20 mm EN PARAMENTO HORIZONTAL Y MEDIANTE EL USO DE MEDIO SUSPENDIDO/COLGADO</t>
  </si>
  <si>
    <t>REVESTIMIENTO A BASE DE CAL HIDRÁULICA 20 mm EN PARAMENTO HORIZONTAL Y MEDIANTE EL USO DE MEDIO SUSPENDIDO/COLGADO</t>
  </si>
  <si>
    <t>REV-CAL.HIDRAULICA-20mm-V-AT</t>
  </si>
  <si>
    <t>XXXXXX REVESTIMIENTO A BASE DE CAL HIDRÁULICA 20 mm EN PARAMENTO VERTICAL Y MEDIANTE EL USO DE ANDAMIO TUBULAR</t>
  </si>
  <si>
    <t>REVESTIMIENTO A BASE DE CAL HIDRÁULICA 20 mm EN PARAMENTO VERTICAL Y MEDIANTE EL USO DE ANDAMIO TUBULAR</t>
  </si>
  <si>
    <t>REV-CAL.HIDRAULICA-20mm-V-MS</t>
  </si>
  <si>
    <t>XXXXXX REVESTIMIENTO A BASE DE CAL HIDRÁULICA 20 mm EN PARAMENTO VERTICAL Y MEDIANTE EL USO DE MEDIO SUSPENDIDO/COLGADO</t>
  </si>
  <si>
    <t>REVESTIMIENTO A BASE DE CAL HIDRÁULICA 20 mm EN PARAMENTO VERTICAL Y MEDIANTE EL USO DE MEDIO SUSPENDIDO/COLGADO</t>
  </si>
  <si>
    <t>REV-REVOCO-CAL.TRADIC-20mm-H-MS</t>
  </si>
  <si>
    <t>XXXXXX REVOCO A BASE DE CAL TRADICIONAL 20 mm APLICADO SOBRE ENFOSCADO DE PARAMENTO HORIZONTAL, MEDIANTE EL USO DE MEDIO SUSPENDIDO/COLGADO</t>
  </si>
  <si>
    <t>REVOCO A BASE DE CAL TRADICIONAL 20 mm APLICADO SOBRE ENFOSCADO DE PARAMENTO HORIZONTAL, MEDIANTE EL USO DE MEDIO SUSPENDIDO/COLGADO</t>
  </si>
  <si>
    <t>REV-REVOCO-CAL.TRADIC-20mm-V-AT</t>
  </si>
  <si>
    <t>XXXXXX REVOCO A BASE DE CAL TRADICIONAL 20 mm APLICADO SOBRE ENFOSCADO DE PARAMENTO VERTICAL, MEDIANTE EL USO DE ANDAMIO TUBULAR</t>
  </si>
  <si>
    <t>REVOCO A BASE DE CAL TRADICIONAL 20 mm APLICADO SOBRE ENFOSCADO DE PARAMENTO VERTICAL, MEDIANTE EL USO DE ANDAMIO TUBULAR</t>
  </si>
  <si>
    <t>REV-REVOCO-CAL.TRADIC-20mm-V-MS</t>
  </si>
  <si>
    <t>XXXXXX REVOCO A BASE DE CAL TRADICIONAL 20 mm APLICADO SOBRE ENFOSCADO DE PARAMENTO VERTICAL, MEDIANTE EL USO DE MEDIO SUSPENDIDO/COLGADO</t>
  </si>
  <si>
    <t>REVOCO A BASE DE CAL TRADICIONAL 20 mm APLICADO SOBRE ENFOSCADO DE PARAMENTO VERTICAL, MEDIANTE EL USO DE MEDIO SUSPENDIDO/COLGADO</t>
  </si>
  <si>
    <t>REV30-MNR-003-H-AT</t>
  </si>
  <si>
    <t>XXXXX CAPA BASE DE MORTERO DE CAL 15 mm PREPARADO Y APLICADO A MANO MEDIANTE EL USO DE ANDAMIO TUBULAR, CON ACABADO RUGOSO SOBRE PARAMENTO VERTICAL EXTERIOR</t>
  </si>
  <si>
    <t>CAPA BASE DE MORTERO DE CAL 15 mm PREPARADO Y APLICADO A MANO MEDIANTE EL USO DE ANDAMIO TUBULAR, CON ACABADO RUGOSO SOBRE PARAMENTO VERTICAL EXTERIOR</t>
  </si>
  <si>
    <t>REV30-MNR-003-H-MS</t>
  </si>
  <si>
    <t>XXXXX CAPA BASE DE MORTERO DE CAL 15 mm PREPARADO Y APLICADO A MANO MEDIANTE EL USO DE MEDIO SUSPENDIDO/COLGADO, CON ACABADO RUGOSO SOBRE PARAMENTO HORIZONTAL EXTERIOR</t>
  </si>
  <si>
    <t>CAPA BASE DE MORTERO DE CAL 15 mm PREPARADO Y APLICADO A MANO MEDIANTE EL USO DE MEDIO SUSPENDIDO/COLGADO, CON ACABADO RUGOSO SOBRE PARAMENTO HORIZONTAL EXTERIOR</t>
  </si>
  <si>
    <t>REV30-MNR-002</t>
  </si>
  <si>
    <t>XXXXX CAPA BASE DE MORTERO DE CAL 15 mm PREPARADO Y APLICADO A MANO CON ACABADO RUGOSO SOBRE PARAMENTO HORIZONTAL EXTERIOR (FCH)</t>
  </si>
  <si>
    <t>Capa base de mortero de cal 15 mm maestreado con acabado rugoso, preparado y aplicado manualmente sobre paramento exterior horizontal de fábrica de ladrillo o bloque de hormigón, reforzado con malla de fibra de vidrio antiálcalis (FCH).</t>
  </si>
  <si>
    <t>REV30-MNR-003-V-AT</t>
  </si>
  <si>
    <t>XXXXX CAPA BASE DE MORTERO DE CAL 15 mm PREPARADO Y APLICADO A MANO MEDIANTE EL USO DE ANDAMIO TUBULAR, CON ACABADO FRATASADO SOBRE PARAMENTO VERTICAL EXTERIOR</t>
  </si>
  <si>
    <t>Capa base de mortero de cal 15 mm maestreado con acabado fratasado, preparado y aplicado manualmente sobre paramento exterior vertical de fábrica de ladrillo o bloque de hormigón, mediante el uso de andamio tubular, reforzado con malla de fibra de vidrio antiálcalis</t>
  </si>
  <si>
    <t>REV30-MNR-003-V-MS</t>
  </si>
  <si>
    <t>XXXXX CAPA BASE DE MORTERO DE CAL 15 mm PREPARADO Y APLICADO A MANO MEDIANTE EL USO DE MEDIO SUSPENDIDO/COLGADO, CON ACABADO FRATASADO SOBRE PARAMENTO VERTICAL EXTERIOR (FCH)</t>
  </si>
  <si>
    <t>Capa base de mortero de cal 15 mm maestreado con acabado fratasado, preparado y aplicado manualmente sobre paramento exterior vertical de fábrica de ladrillo o bloque de hormigón, mediante el uso de medio suspendido/colgado, reforzado con malla de fibra de vidrio antiálcalis</t>
  </si>
  <si>
    <t>REV30-MNR-004</t>
  </si>
  <si>
    <t>XXXXX CAPA BASE DE MORTERO DE CAL 15 mm PREPARADO Y APLICADO A MANO CON ACABADO FRATASADO SOBRE PARAMENTO HORIZONTAL EXTERIOR (FCH)</t>
  </si>
  <si>
    <t>Capa base de mortero de cal 15 mm maestreado con acabado fratasado, preparado y aplicado manualmente sobre paramento exterior horizontal de fábrica de ladrillo o bloque de hormigón, reforzado con malla de fibra de vidrio antiálcalis (FCH).</t>
  </si>
  <si>
    <t>REV30-MNR-005</t>
  </si>
  <si>
    <t>XXXXX CAPA BASE DE MORTERO DE CAL 15 mm PREPARADO Y APLICADO A MÁQUINA CON ACABADO RUGOSO SOBRE PARAMENTO VERTICAL EXTERIOR (FCH)</t>
  </si>
  <si>
    <t>Capa base de mortero de cal 15 mm maestreado con acabado rugoso, preparado y aplicado mecánicamente sobre paramento exterior vertical de fábrica de ladrillo o bloque de hormigón, reforzado con malla de fibra de vidrio antiálcalis (FCH).</t>
  </si>
  <si>
    <t>REV30-MNR-006</t>
  </si>
  <si>
    <t>XXXXX CAPA BASE DE MORTERO DE CAL 15 mm PREPARADO Y APLICADO A MÁQUINA CON ACABADO RUGOSO SOBRE PARAMENTO HORIZONTAL EXTERIOR (FCH)</t>
  </si>
  <si>
    <t>Capa base de mortero de cal 15 mm maestreado con acabado rugoso, preparado y aplicado mecánicamente sobre paramento exterior horizontal de fábrica de ladrillo o bloque de hormigón, reforzado con malla de fibra de vidrio antiálcalis (FCH).</t>
  </si>
  <si>
    <t>REV30-MNR-007</t>
  </si>
  <si>
    <t>XXXXX CAPA BASE DE MORTERO DE CAL 15 mm PREPARADO Y APLICADO A MÁQUINA CON ACABADO FRATASADO SOBRE PARAMENTO VERTICAL EXTERIOR (FCH)</t>
  </si>
  <si>
    <t>Capa base de mortero de cal 15 mm maestreado con acabado fratasado, preparado y aplicado mecánicamente sobre paramento exterior vertical de fábrica de ladrillo o bloque de hormigón, reforzado con malla de fibra de vidrio antiálcalis (FCH).</t>
  </si>
  <si>
    <t>REV30-MNR-008</t>
  </si>
  <si>
    <t>XXXXX CAPA BASE DE MORTERO DE CAL 15 mm PREPARADO Y APLICADO A MÁQUINA CON ACABADO FRATASADO SOBRE PARAMENTO HORIZONTAL EXTERIOR (FCH)</t>
  </si>
  <si>
    <t>Capa base de mortero de cal 15 mm maestreado con acabado fratasado, preparado y aplicado mecánicamente sobre paramento exterior horizontal de fábrica de ladrillo o bloque de hormigón, reforzado con malla de fibra de vidrio antiálcalis (FCH).</t>
  </si>
  <si>
    <t>REV30-MNR-V-MS-15</t>
  </si>
  <si>
    <t>XXXXX CAPA BASE DE MORTERO DE CAL 15 mm PREPARADO Y APLICADO A MANO CON ACABADO FRATASADO SOBRE PARAMENTO VERTICAL EXTERIOR Y MEDIANTE EL USO DE MEDIO SUSPENDIDO/COLGADO (FCH)</t>
  </si>
  <si>
    <t>CAPA BASE DE MORTERO DE CAL 15 mm PREPARADO Y APLICADO A MANO CON ACABADO FRATASADO SOBRE PARAMENTO VERTICAL EXTERIOR Y MEDIANTE EL USO DE MEDIO SUSPENDIDO/COLGADO (FCH)</t>
  </si>
  <si>
    <t>REV31-MNR-001</t>
  </si>
  <si>
    <t>XXXXX CAPA BASE DE MORTERO DE CAL 15 mm PREPARADO Y APLICADO A MANO CON ACABADO RUGOSO SOBRE PARAMENTO VERTICAL INTERIOR</t>
  </si>
  <si>
    <t>Capa base de mortero de cal 15 mm maestreado con acabado rugoso, preparado y aplicado manualmente sobre paramento interior vertical de fábrica de ladrillo o bloque de hormigón, reforzado con malla de fibra de vidrio antiálcalis.</t>
  </si>
  <si>
    <t>REV31-MNR-002</t>
  </si>
  <si>
    <t>XXXXX CAPA BASE DE MORTERO DE CAL 15 mm PREPARADO Y APLICADO A MANO CON ACABADO RUGOSO SOBRE PARAMENTO HORIZONTAL INTERIOR</t>
  </si>
  <si>
    <t>Capa base de mortero de cal 15 mm maestreado con acabado rugoso, preparado y aplicado manualmente sobre paramento interior horizontal de fábrica de ladrillo o bloque de hormigón, reforzado con malla de fibra de vidrio antiálcalis.</t>
  </si>
  <si>
    <t>REV31-MNR-003</t>
  </si>
  <si>
    <t>XXXXX CAPA BASE DE MORTERO DE CAL 15 mm PREPARADO Y APLICADO A MANO CON ACABADO FRATASADO SOBRE PARAMENTO VERTICAL INTERIOR</t>
  </si>
  <si>
    <t>Capa base de mortero de cal 15 mm maestreado con acabado fratasado, preparado y aplicado manualmente sobre paramento interior vertical de fábrica de ladrillo o bloque de hormigón, reforzado con malla de fibra de vidrio antiálcalis.</t>
  </si>
  <si>
    <t>REV31-MNR-004</t>
  </si>
  <si>
    <t>XXXXX CAPA BASE DE MORTERO DE CAL 15 mm PREPARADO Y APLICADO A MANO CON ACABADO FRATASADO SOBRE PARAMENTO HORIZONTAL INTERIOR</t>
  </si>
  <si>
    <t>Capa base de mortero de cal 15 mm maestreado con acabado fratasado, preparado y aplicado manualmente sobre paramento interior horizontal de fábrica de ladrillo o bloque de hormigón, reforzado con malla de fibra de vidrio antiálcalis.</t>
  </si>
  <si>
    <t>REV31-MNR-005</t>
  </si>
  <si>
    <t>XXXXX CAPA BASE DE MORTERO DE CAL 15 mm PREPARADO Y APLICADO A MÁQUINA CON ACABADO RUGOSO SOBRE PARAMENTO VERTICAL INTERIOR</t>
  </si>
  <si>
    <t>Capa base de mortero de cal 15 mm maestreado con acabado rugoso, preparado y aplicado mecánicamente sobre paramento interior vertical de fábrica de ladrillo o bloque de hormigón, reforzado con malla de fibra de vidrio antiálcalis.</t>
  </si>
  <si>
    <t>REV31-MNR-006</t>
  </si>
  <si>
    <t>XXXXX CAPA BASE DE MORTERO DE CAL 15 mm PREPARADO Y APLICADO A MÁQUINA CON ACABADO RUGOSO SOBRE PARAMENTO HORIZONTAL INTERIOR</t>
  </si>
  <si>
    <t>Capa base de mortero de cal 15 mm maestreado con acabado rugoso, preparado y aplicado mecánicamente sobre paramento interior horizontal de fábrica de ladrillo o bloque de hormigón, reforzado con malla de fibra de vidrio antiálcalis.</t>
  </si>
  <si>
    <t>REV31-MNR-007</t>
  </si>
  <si>
    <t>XXXXX CAPA BASE DE MORTERO DE CAL 15 mm PREPARADO Y APLICADO A MÁQUINA CON ACABADO FRATASADO SOBRE PARAMENTO VERTICAL INTERIOR</t>
  </si>
  <si>
    <t>Capa base de mortero de cal 15 mm maestreado con acabado fratasado, preparado y aplicado mecánicamente sobre paramento interior vertical de fábrica de ladrillo o bloque de hormigón, reforzado con malla de fibra de vidrio antiálcalis.</t>
  </si>
  <si>
    <t>REV31-MNR-008</t>
  </si>
  <si>
    <t>XXXXX CAPA BASE DE MORTERO DE CAL 15 mm PREPARADO Y APLICADO A MÁQUINA CON ACABADO FRATASADO SOBRE PARAMENTO HORIZONTAL INTERIOR</t>
  </si>
  <si>
    <t>Capa base de mortero de cal 15 mm maestreado con acabado fratasado, preparado y aplicado mecánicamente sobre paramento interior horizontal de fábrica de ladrillo o bloque de hormigón, reforzado con malla de fibra de vidrio antiálcalis.</t>
  </si>
  <si>
    <t>REV32-MNR-001-H-AT</t>
  </si>
  <si>
    <t>XXXXX CAPA DE TERMINACIÓN DE MORTERO DE CAL 10 mm (REVOCO TRADICIONAL) PREPARADO Y APLICADO A MANO MEDIANTE EL USO DE ANDAMIO TUBULAR, CON ACABADO LISO LAVADO SOBRE PARAMENTO HORIZONTAL EXTERIOR</t>
  </si>
  <si>
    <t>CAPA DE TERMINACIÓN DE MORTERO DE CAL 10 mm (REVOCO TRADICIONAL) PREPARADO Y APLICADO A MANO MEDIANTE EL USO DE ANDAMIO TUBULAR, CON ACABADO LISO LAVADO SOBRE PARAMENTO HORIZONTAL EXTERIOR</t>
  </si>
  <si>
    <t>REV32-MNR-001-V-AT</t>
  </si>
  <si>
    <t>XXXXX CAPA DE TERMINACIÓN DE MORTERO DE CAL 10 mm (REVOCO TRADICIONAL) PREPARADO Y APLICADO A MANO MEDIANTE EL USO DE ANDAMIO TUBULAR, CON ACABADO LISO LAVADO SOBRE PARAMENTO VERTICAL EXTERIOR</t>
  </si>
  <si>
    <t>CAPA DE TERMINACIÓN DE MORTERO DE CAL 10 mm (REVOCO TRADICIONAL) PREPARADO Y APLICADO A MANO MEDIANTE EL USO DE ANDAMIO TUBULAR, CON ACABADO LISO LAVADO SOBRE PARAMENTO VERTICAL EXTERIOR</t>
  </si>
  <si>
    <t>REV32-MNR-002</t>
  </si>
  <si>
    <t>XXXXX CAPA DE TERMINACIÓN DE MORTERO DE CAL 10 mm (REVOCO TRADICIONAL) PREPARADO Y APLICADO A MANO CON ACABADO LISO LAVADO SOBRE PARAMENTO HORIZONTAL EXTERIOR (FCH)</t>
  </si>
  <si>
    <t>Capa de terminación de mortero de cal 10 mm (revoco tradicional) preparado y aplicado manualmente con acabado liso lavado sobre paramento horizontal exterior de fábrica de ladrillo o bloque de hormigón (FCH)</t>
  </si>
  <si>
    <t>REV32-MNR-003</t>
  </si>
  <si>
    <t>XXXXX CAPA DE TERMINACIÓN DE MORTERO DE CAL 10 mm (REVOCO TRADICIONAL) PREPARADO Y APLICADO A MANO CON ACABADO FRATASADO SOBRE PARAMENTO VERTICAL EXTERIOR (FCH)</t>
  </si>
  <si>
    <t>Capa de terminación de mortero de cal 10 mm (revoco tradicional) preparado y aplicado manualmente con acabado fratasado sobre paramento vertical exterior de fábrica de ladrillo o bloque de hormigón (FCH)</t>
  </si>
  <si>
    <t>REV32-MNR-004</t>
  </si>
  <si>
    <t>XXXXX CAPA DE TERMINACIÓN DE MORTERO DE CAL 10 mm (REVOCO TRADICIONAL) PREPARADO Y APLICADO A MANO CON ACABADO FRATASADO SOBRE PARAMENTO HORIZONTAL EXTERIOR (FCH)</t>
  </si>
  <si>
    <t>Capa de terminación de mortero de cal 10 mm (revoco tradicional) preparado y aplicado manualmente con acabado fratasado sobre paramento horizontal exterior de fábrica de ladrillo o bloque de hormigón (FCH)</t>
  </si>
  <si>
    <t>REV32-MNR-005</t>
  </si>
  <si>
    <t>XXXXX CAPA DE TERMINACIÓN DE MORTERO DE CAL 10 mm (REVOCO TRADICIONAL) PREPARADO Y APLICADO A MÁQUINA CON ACABADO LISO LAVADO SOBRE PARAMENTO VERTICAL EXTERIOR (FCH)</t>
  </si>
  <si>
    <t>Capa de terminación de mortero de cal 10 mm (revoco tradicional) preparado y aplicado mecánicamente con acabado liso lavado sobre paramento vertical exterior de fábrica de ladrillo o bloque de hormigón (FCH)</t>
  </si>
  <si>
    <t>REV32-MNR-006</t>
  </si>
  <si>
    <t>XXXXX CAPA DE TERMINACIÓN DE MORTERO DE CAL 10 mm (REVOCO TRADICIONAL) PREPARADO Y APLICADO A MÁQUINA CON ACABADO LISO LAVADO SOBRE PARAMENTO HORIZONTAL EXTERIOR (FCH)</t>
  </si>
  <si>
    <t>Capa de terminación de mortero de cal 10 mm (revoco tradicional) preparado y aplicado mecánicamente con acabado liso lavado sobre paramento horizontal exterior de fábrica de ladrillo o bloque de hormigón (FCH)</t>
  </si>
  <si>
    <t>REV32-MNR-007</t>
  </si>
  <si>
    <t>XXXXX CAPA DE TERMINACIÓN DE MORTERO DE CAL 10 mm (REVOCO TRADICIONAL) PREPARADO Y APLICADO A MÁQUINA CON ACABADO FRATASADO SOBRE PARAMENTO VERTICAL EXTERIOR (FCH)</t>
  </si>
  <si>
    <t>Capa de terminación de mortero de cal 10 mm (revoco tradicional) preparado y aplicado mecánicamente con acabado fratasado sobre paramento vertical exterior de fábrica de ladrillo o bloque de hormigón (FCH)</t>
  </si>
  <si>
    <t>REV32-MNR-V-MS-10</t>
  </si>
  <si>
    <t>XXXXX CAPA DE TERMINACIÓN DE MORTERO DE CAL 10 mm (REVOCO TRADICIONAL) PREPARADO Y APLICADO A MANO CON ACABADO LISO LAVADO SOBRE PARAMENTO VERTICAL EXTERIOR Y MEDIANTE EL USO DE MEDIO SUSPENDIDO/COLGADO(FCH)</t>
  </si>
  <si>
    <t>CAPA DE TERMINACIÓN DE MORTERO DE CAL 10 mm (REVOCO TRADICIONAL) PREPARADO Y APLICADO A MANO CON ACABADO LISO LAVADO SOBRE PARAMENTO VERTICAL EXTERIOR Y MEDIANTE EL USO DE MEDIO SUSPENDIDO/COLGADO(FCH)</t>
  </si>
  <si>
    <t>REV33-MNR-001</t>
  </si>
  <si>
    <t>XXXXX CAPA DE TERMINACIÓN DE MORTERO DE CAL 10 mm (REVOCO TRADICIONAL) PREPARADO Y APLICADO A MANO CON ACABADO LISO LAVADO SOBRE PARAMENTO VERTICAL INTERIOR</t>
  </si>
  <si>
    <t>Capa de terminación de mortero de cal 10 mm (revoco tradicional) preparado y aplicado manualmente con acabado liso lavado sobre paramento vertical interior de fábrica de ladrillo o bloque de hormigón</t>
  </si>
  <si>
    <t>REV33-MNR-002</t>
  </si>
  <si>
    <t>XXXXX CAPA DE TERMINACIÓN DE MORTERO DE CAL 10 mm (REVOCO TRADICIONAL) PREPARADO Y APLICADO A MANO CON ACABADO LISO LAVADO SOBRE PARAMENTO HORIZONTAL INTERIOR</t>
  </si>
  <si>
    <t>Capa de terminación de mortero de cal 10 mm (revoco tradicional) preparado y aplicado manualmente con acabado liso lavado sobre paramento horizontal interior de fábrica de ladrillo o bloque de hormigón</t>
  </si>
  <si>
    <t>REV33-MNR-003</t>
  </si>
  <si>
    <t>XXXXX CAPA DE TERMINACIÓN DE MORTERO DE CAL 10 mm (REVOCO TRADICIONAL) PREPARADO Y APLICADO A MANO CON ACABADO FRATASADO SOBRE PARAMENTO VERTICAL INTERIOR</t>
  </si>
  <si>
    <t>Capa de terminación de mortero de cal 10 mm (revoco tradicional) preparado y aplicado mecánicamente con acabado fratasado sobre paramento vertical interior de fábrica de ladrillo o bloque de hormigón</t>
  </si>
  <si>
    <t>REV33-MNR-004</t>
  </si>
  <si>
    <t>XXXXX CAPA DE TERMINACIÓN DE MORTERO DE CAL 10 mm (REVOCO TRADICIONAL) PREPARADO Y APLICADO A MANO CON ACABADO FRATASADO SOBRE PARAMENTO HORIZONTAL INTERIOR</t>
  </si>
  <si>
    <t>Capa de terminación de mortero de cal 10 mm (revoco tradicional) preparado y aplicado manualmente con acabado fratasado sobre paramento horizontal interior de fábrica de ladrillo o bloque de hormigón</t>
  </si>
  <si>
    <t>REV33-MNR-005</t>
  </si>
  <si>
    <t>XXXXX CAPA DE TERMINACIÓN DE MORTERO DE CAL 10 mm (REVOCO TRADICIONAL) PREPARADO Y APLICADO A MÁQUINA CON ACABADO LISO LAVADO SOBRE PARAMENTO VERTICAL INTERIOR</t>
  </si>
  <si>
    <t>Capa de terminación de mortero de cal 10 mm (revoco tradicional) preparado y aplicado mecánicamente con acabado liso lavado sobre paramento vertical interior de fábrica de ladrillo o bloque de hormigón</t>
  </si>
  <si>
    <t>REV33-MNR-006</t>
  </si>
  <si>
    <t>XXXXX CAPA DE TERMINACIÓN DE MORTERO DE CAL 10 mm (REVOCO TRADICIONAL) PREPARADO Y APLICADO A MÁQUINA CON ACABADO LISO LAVADO SOBRE PARAMENTO HORIZONTAL INTERIOR</t>
  </si>
  <si>
    <t>Capa de terminación de mortero de cal 10 mm (revoco tradicional) preparado y aplicado mecánicamente con acabado liso lavado sobre paramento horizontal interior de fábrica de ladrillo o bloque de hormigón</t>
  </si>
  <si>
    <t>REV33-MNR-007</t>
  </si>
  <si>
    <t>XXXXX CAPA DE TERMINACIÓN DE MORTERO DE CAL 10 mm (REVOCO TRADICIONAL) PREPARADO Y APLICADO A MÁQUINA CON ACABADO FRATASADO SOBRE PARAMENTO VERTICAL INTERIOR</t>
  </si>
  <si>
    <t>REV33-MNR-008</t>
  </si>
  <si>
    <t>XXXXX CAPA DE TERMINACIÓN DE MORTERO DE CAL 10 mm (REVOCO TRADICIONAL) PREPARADO Y APLICADO A MÁQUINA CON ACABADO FRATASADO SOBRE PARAMENTO HORIZONTAL INTERIOR</t>
  </si>
  <si>
    <t>MORMON</t>
  </si>
  <si>
    <t>o MORTEROS MONOCAPA</t>
  </si>
  <si>
    <t>MORMON001</t>
  </si>
  <si>
    <t>o MORTERO MONOCAPA RASPADO REVAT DE PROPAMSA 10mm</t>
  </si>
  <si>
    <t>Revestimiento de paramentos exteriores con mortero monocapa REVAT raspado "PROPAMSA", color a elegir, gama Estándar, espesor 10 mm, aplicado manualmente, armado y reforzado con malla de fibra de vidrio antiálcalis, incluso en los cambios de material.</t>
  </si>
  <si>
    <t>ma-lp-00540818</t>
  </si>
  <si>
    <t>Mortero monocapa raspado Revat. Envase de 25 kg. Color marfil.</t>
  </si>
  <si>
    <t>MORMON001TV</t>
  </si>
  <si>
    <t>o MORTERO MONOCAPA RASPADO REVAT DE PROPAMSA 10mm C/TRABAJOS VERTICALES</t>
  </si>
  <si>
    <t>Revestimiento CON TRABAJOS VERTICALES de paramentos exteriores con mortero monocapa REVAT raspado "PROPAMSA", color a elegir, gama Estándar, espesor 10 mm, aplicado manualmente, armado y reforzado con malla de fibra de vidrio antiálcalis, incluso en los cambios de material.</t>
  </si>
  <si>
    <t>MORMON002</t>
  </si>
  <si>
    <t>o MORTERO MONOCAPA RASPADO REVAT DE PROPAMSA 20mm</t>
  </si>
  <si>
    <t>Revestimiento de paramentos exteriores con mortero monocapa REVAT raspado "PROPAMSA", color a elegir, gama Estándar, espesor 20 mm, aplicado manualmente, armado y reforzado con malla de fibra de vidrio antiálcalis, incluso en los cambios de material.</t>
  </si>
  <si>
    <t>MORMON003</t>
  </si>
  <si>
    <t>o MORTERO MONOCAPA RASPADO WEBERPRAL PRISMA 15 mm</t>
  </si>
  <si>
    <t>Revestimiento de paramentos exteriores con mortero monocapa Weberpral Prisma "WEBER", color a elegir, gama Estándar, espesor 15 mm, aplicado manualmente, armado y reforzado con malla de fibra de vidrio antiálcalis, incluso en los cambios de material.</t>
  </si>
  <si>
    <t>ma-obramat-10484964</t>
  </si>
  <si>
    <t>Mortero mineral monocapa coloreado, impermeable y transpirable WEBERPRAL PRISMA de WEBER (25 kg/saco).   Ref. om-10484964</t>
  </si>
  <si>
    <t>ma-lp-00018143</t>
  </si>
  <si>
    <t>Esquinero grande monocapa para carga de 10 mm (2,5 m/pza).   Ref. lp-00018143</t>
  </si>
  <si>
    <t>MORMON004</t>
  </si>
  <si>
    <t>o MORTERO MONOCAPA PIEDRA PROJECTADA REVAT ROJO ALICANTE 15mm</t>
  </si>
  <si>
    <t>Revestimiento de paramentos exteriores con mortero monocapa REVAT PIEDRA DE PROPAMSA, acabado con piedra proyectada ROJO ALICANTE, gama Estándar, tipo OC CSIII W1 según UNE-EN 998-1, espesor 15 mm, aplicado manualmente, armado y reforzado con malla  de fibra de vidrio antiálcalis, incluso en los cambios de material.</t>
  </si>
  <si>
    <t>ma-lp-00554549</t>
  </si>
  <si>
    <t>Arido proyectar rojo alicante Nº3 de 30KG</t>
  </si>
  <si>
    <t>MORMON004TV</t>
  </si>
  <si>
    <t>o MORTERO MONOCAPA PIEDRA PROJECTADA REVAT  ROJO ALICANTE 15mm C/TRABAJOS VERTICALES</t>
  </si>
  <si>
    <t>Revestimiento CON TRABAJOS VERTICALES de paramentos exteriores con mortero monocapa REVAT PIEDRA DE PROPAMSA, acabado con piedra proyectada ROJO ALICANTE, gama Estándar, tipo OC CSIII W1 según UNE-EN 998-1, espesor 15 mm, aplicado manualmente, armado y reforzado con malla  de fibra de vidrio antiálcalis, incluso en los cambios de material.</t>
  </si>
  <si>
    <t>MORMON005</t>
  </si>
  <si>
    <t>o MORTERO MONOCAPA PIEDRA PROJECTADA REVAT MARMOL BLANCO 15mm</t>
  </si>
  <si>
    <t>Revestimiento de paramentos exteriores con mortero monocapa REVAT PIEDRA DE PROPAMSA, acabado con piedra proyectada MARMOL BLANCO, gama Estándar, tipo OC CSIII W1 según UNE-EN 998-1, espesor 15 mm, aplicado manualmente, armado y reforzado con malla  de fibra de vidrio antiálcalis, incluso en los cambios de material.</t>
  </si>
  <si>
    <t>ma-lp-00540819</t>
  </si>
  <si>
    <t>Mortero monocapa PROPAM REVAT PIEDRA; color blanco (25 kg/saco).   Ref. lp-00540819</t>
  </si>
  <si>
    <t>MORMON005TV</t>
  </si>
  <si>
    <t>o MORTERO MONOCAPA PIEDRA PROJECTADA REVAT MARMOL BLANCO 15mm C/TRABAJOS VERTICALES</t>
  </si>
  <si>
    <t>Revestimiento CON TRABAJOS VERTICALES de paramentos exteriores con mortero monocapa REVAT PIEDRA DE PROPAMSA, acabado con piedra proyectada MARMOL BLANCO, gama Estándar, tipo OC CSIII W1 según UNE-EN 998-1, espesor 15 mm, aplicado manualmente, armado y reforzado con malla  de fibra de vidrio antiálcalis, incluso en los cambios de material.</t>
  </si>
  <si>
    <t>MORMON006</t>
  </si>
  <si>
    <t>o MORTERO MONOCAPA PIEDRA PROYECTADA WEBERPRAL ARID 15mm</t>
  </si>
  <si>
    <t>Revestimiento de paramentos exteriores con mortero monocapa WEBERPRAL ARID DE WEBER, acabado con piedra proyectada, color a  elegir, gama Estándar, tipo OC CSIII W1 según UNE-EN 998-1, espesor 15 mm, aplicado manualmente, armado y reforzado con malla  de fibra de vidrio antiálcalis, incluso en los cambios de material.</t>
  </si>
  <si>
    <t>ma-distripla-1044880</t>
  </si>
  <si>
    <t>Weberpral Arid de Weber, acabado de piedra proyectada 25kg</t>
  </si>
  <si>
    <t>mt28maw050j</t>
  </si>
  <si>
    <t>Malla de fibra de vidrio antiálcalis, Webertherm Malla 200 "WEBER", de 7x6,5 mm de luz de malla, 195 g/m² de masa superficial, 0,65 mm de espesor y de 0,11x50 m, para armar morteros.</t>
  </si>
  <si>
    <t>REV-REVOCO-R3-10mm-H-AT</t>
  </si>
  <si>
    <t>XXXXXX REVOCO CON MORTERO DE REPARACIÓN R3 MONOCAPA EN PARAMENTO HORIZONTAL MEDIANTE EL USO DE ANDAMIO TUBULAR</t>
  </si>
  <si>
    <t>REVOCO CON MORTERO DE REPARACIÓN R3 MONOCAPA EN PARAMENTO HORIZONTAL MEDIANTE EL USO DE ANDAMIO TUBULAR</t>
  </si>
  <si>
    <t>REV-REVOCO-R3-10mm-V-MS</t>
  </si>
  <si>
    <t>XXXXXX REVOCO CON MORTERO DE REPARACIÓN R3 MONOCAPA EN PARAMENTO VERTICAL MEDIANTE EL USO DE MEDIO SUSPENDIDO/COLGADO</t>
  </si>
  <si>
    <t>REVOCO CON MORTERO DE REPARACIÓN R3 MONOCAPA EN PARAMENTO VERTICAL MEDIANTE EL USO DE MEDIO SUSPENDIDO/COLGADO</t>
  </si>
  <si>
    <t>REV-REVOCO-R3-10mm-V-AT</t>
  </si>
  <si>
    <t>XXXXXX REVOCO CON MORTERO DE REPARACIÓN R3 MONOCAPA EN PARAMENTO VERTICAL MEDIANTE EL USO DE ANDAMIO TUBULAR</t>
  </si>
  <si>
    <t>REVOCO CON MORTERO DE REPARACIÓN R3 MONOCAPA EN PARAMENTO VERTICAL MEDIANTE EL USO DE ANDAMIO TUBULAR</t>
  </si>
  <si>
    <t>REV-REVOCO-R3-10mm-H-MS</t>
  </si>
  <si>
    <t>XXXXXX REVOCO CON MORTERO DE REPARACIÓN R3 MONOCAPA EN PARAMENTO HORIZONTAL MEDIANTE EL USO DE MEDIO SUSPENDIDO/COLGADO</t>
  </si>
  <si>
    <t>REVOCO CON MORTERO DE REPARACIÓN R3 MONOCAPA EN PARAMENTO HORIZONTAL MEDIANTE EL USO DE MEDIO SUSPENDIDO/COLGADO</t>
  </si>
  <si>
    <t>REV-MAN-GP.CSIV.W2-V-AT</t>
  </si>
  <si>
    <t>XXXXXX MORTERO MONOCAPA TIPO GP CSIV W2 según UNE-EN 998-1 EN PARAMENTO VERTICAL</t>
  </si>
  <si>
    <t>S/C MORTERO MONOCAPA TIPO GP CSIV W2 según UNE-EN 998-1 EN PARAMENTO VERTICAL</t>
  </si>
  <si>
    <t>REV-MAN-GRANITO.PROY.BLANCO-H-AT</t>
  </si>
  <si>
    <t>XXXXXX MORTERO MONOCAPA 15 mm PREPARADO Y APLICADO A MANO CON ACABADO EN PIEDRA PROYECTADA DE GRANITO BLANCO SOBRE PARAMENTO HORIZONTAL EXTERIOR DE MAMPOSTERÍA (FCH)</t>
  </si>
  <si>
    <t>Revestimiento con mortero monocapa 15 mm preparado y aplicado manualmente en paramentos horizontales exteriores sobre ladrillo cerámico, ladrillo o bloque de hormigón, o bloque cerámico aligerado; acabado en piedra proyectada con árido de granito blanco para monocapa, reforzado con malla antiálcalis (FCH)</t>
  </si>
  <si>
    <t>ma-lp-00540822</t>
  </si>
  <si>
    <t>Árido de granito para monocapa blanco (30 kg/saco).   Ref. lp-00540822</t>
  </si>
  <si>
    <t>REV-MAN-GRANITO-PROY.BLANCO-V-AT</t>
  </si>
  <si>
    <t>XXXXXX MORTERO MONOCAPA 15 mm PREPARADO Y APLICADO A MANO CON ACABADO EN PIEDRA PROYECTADA DE GRANITO BLANCO SOBRE PARAMENTO VERTICAL EXTERIOR DE MAMPOSTERÍA (FCH)</t>
  </si>
  <si>
    <t>Revestimiento con mortero monocapa 15 mm preparado y aplicado manualmente en paramentos verticales exteriores sobre ladrillo cerámico, ladrillo o bloque de hormigón, o bloque cerámico aligerado; acabado en piedra proyectada con árido de granito blanco para monocapa, reforzado con malla antiálcalis (FCH)</t>
  </si>
  <si>
    <t>REV-MAN-GRANITO-PROY.GRIS-H-AT</t>
  </si>
  <si>
    <t>XXXXXX MORTERO MONOCAPA 15 mm PREPARADO Y APLICADO A MANO CON ACABADO EN PIEDRA PROYECTADA DE GRANITO GRIS SOBRE PARAMENTO HORIZONTAL EXTERIOR DE MAMPOSTERÍA (FCH)</t>
  </si>
  <si>
    <t>Revestimiento con mortero monocapa 15 mm preparado y aplicado manualmente en paramentos horizontales exteriores sobre ladrillo cerámico, ladrillo o bloque de hormigón, o bloque cerámico aligerado; acabado en piedra proyectada con árido de granito gris para monocapa, reforzado con malla antiálcalis (FCH)</t>
  </si>
  <si>
    <t>ma-lp-00540820</t>
  </si>
  <si>
    <t>Mortero monocapa PROPAM REVAT PIEDRA; color gris (25 kg/saco).   Ref. lp-00540820</t>
  </si>
  <si>
    <t>REV-MAN-GRANITO-PROY.GRIS-V-AT</t>
  </si>
  <si>
    <t>XXXXXX MORTERO MONOCAPA 15 mm PREPARADO Y APLICADO A MANO CON ACABADO EN PIEDRA PROYECTADA DE GRANITO GRIS SOBRE PARAMENTO VERTICAL EXTERIOR DE MAMPOSTERÍA (FCH)</t>
  </si>
  <si>
    <t>Revestimiento con mortero monocapa 15 mm preparado y aplicado manualmente en paramentos verticales exteriores sobre ladrillo cerámico, ladrillo o bloque de hormigón, o bloque cerámico aligerado; acabado en piedra proyectada con árido de granito gris para monocapa, reforzado con malla antiálcalis (FCH)</t>
  </si>
  <si>
    <t>REV-MAN-GP.CSIV.W2-H-AT</t>
  </si>
  <si>
    <t>XXXXXX S/C MORTERO MONOCAPA TIPO GP CSIV W2 según UNE-EN 998-1 EN PARAMENTO HORIZONTAL</t>
  </si>
  <si>
    <t>S/C MORTERO MONOCAPA TIPO GP CSIV W2 según UNE-EN 998-1 EN PARAMENTO HORIZONTAL</t>
  </si>
  <si>
    <t>REV-MAN-OC.CSIII.W2-H-AT</t>
  </si>
  <si>
    <t>XXXXXX S/C MORTERO MONOCAPA TIPO OC CSIII W2 según UNE-EN 998-1 EN PARAMENTO HORIZONTAL</t>
  </si>
  <si>
    <t>S/C MORTERO MONOCAPA TIPO OC CSIII W2 según UNE-EN 998-1 EN PARAMENTO HORIZONTAL</t>
  </si>
  <si>
    <t>REV-MAN-OC.CSIII.W2-V-AT</t>
  </si>
  <si>
    <t>XXXXXX S/C MORTERO MONOCAPA TIPO OC CSIII W2 según UNE-EN 998-1 EN PARAMENTO VERTICAL</t>
  </si>
  <si>
    <t>S/C MORTERO MONOCAPA TIPO OC CSIII W2 según UNE-EN 998-1 EN PARAMENTO VERTICAL</t>
  </si>
  <si>
    <t>REV.MAN-MARMOL.BLANCO-H-AT</t>
  </si>
  <si>
    <t>XXXXXX MORTERO MONOCAPA 15 mm PREPARADO Y APLICADO A MANO CON ACABADO EN PIEDRA PROYECTADA DE MÁRMOL BLANCO SOBRE PARAMENTO HORIZONTAL EXTERIOR DE MAMPOSTERÍA (FCH)</t>
  </si>
  <si>
    <t>Revestimiento con mortero monocapa 15 mm preparado y aplicado manualmente en paramentos horizontales exteriores sobre ladrillo cerámico, ladrillo o bloque de hormigón, o bloque cerámico aligerado; acabado en piedra proyectada con árido de mármol blanco para monocapa, reforzado con malla antiálcalis (FCH)</t>
  </si>
  <si>
    <t>REV.MAN-MARMOL.BLANCO-V-AT</t>
  </si>
  <si>
    <t>XXXXXX MORTERO MONOCAPA 15 mm PREPARADO Y APLICADO A MANO CON ACABADO EN PIEDRA PROYECTADA DE MÁRMOL BLANCO SOBRE PARAMENTO VERTICAL EXTERIOR DE MAMPOSTERÍA, MEDIANTE EL USO DE ANDAMIO TUBULAR (FCH)</t>
  </si>
  <si>
    <t>Revestimiento con mortero monocapa 15 mm preparado y aplicado manualmente en paramentos verticales exteriores sobre ladrillo cerámico, ladrillo o bloque de hormigón, o bloque cerámico aligerado; acabado en piedra proyectada con árido de mármol blanco para monocapa, reforzado con malla antiálcalis, mediante el uso de andamio tubular (FCH)</t>
  </si>
  <si>
    <t>REV.MAN-MARMOL.BLANCO-V-MS</t>
  </si>
  <si>
    <t>XXXXXX MORTERO MONOCAPA 15 mm PREPARADO Y APLICADO A MANO CON ACABADO EN PIEDRA PROYECTADA DE MÁRMOL BLANCO SOBRE PARAMENTO VERTICAL EXTERIOR DE MAMPOSTERÍA, MEDIANTE EL USO DE MEDIO SUSPENDIDO/COLGADO (FCH)</t>
  </si>
  <si>
    <t>Revestimiento con mortero monocapa 15 mm preparado y aplicado manualmente en paramentos verticales exteriores sobre ladrillo cerámico, ladrillo o bloque de hormigón, o bloque cerámico aligerado; acabado en piedra proyectada con árido de mármol blanco para monocapa, reforzado con malla antiálcalis, mediante el uso de medio suspendido/colgado (FCH)</t>
  </si>
  <si>
    <t>REV.MAN-MARMOL.GRIS-H-AT</t>
  </si>
  <si>
    <t>XXXXXX MORTERO MONOCAPA 15 mm PREPARADO Y APLICADO A MANO CON ACABADO EN PIEDRA PROYECTADA DE MÁRMOL GRIS SOBRE PARAMENTO HORIZONTAL EXTERIOR DE MAMPOSTERÍA (FCH)</t>
  </si>
  <si>
    <t>Revestimiento con mortero monocapa 15 mm preparado y aplicado manualmente en paramentos horizontales exteriores sobre ladrillo cerámico, ladrillo o bloque de hormigón, o bloque cerámico aligerado; acabado en piedra proyectada con árido de mármol gris para monocapa, reforzado con malla antiálcalis (FCH)</t>
  </si>
  <si>
    <t>ma-lp-00388344</t>
  </si>
  <si>
    <t>Árido de mármol para monocapa gris (30 kg/saco).   Ref. lp-00388344</t>
  </si>
  <si>
    <t>REV.MAN-MARMOL.GRIS-V-AT</t>
  </si>
  <si>
    <t>Revestimiento con mortero monocapa 15 mm preparado y aplicado manualmente en paramentos verticales exteriores sobre ladrillo cerámico, ladrillo o bloque de hormigón, o bloque cerámico aligerado; acabado en piedra proyectada con árido de mármol gris para monocapa, reforzado con malla antiálcalis (FCH)</t>
  </si>
  <si>
    <t>REV40-MNR-009</t>
  </si>
  <si>
    <t>XXXXXX MORTERO MONOCAPA 15 mm PREPARADO Y APLICADO A MANO CON ACABADO RÚSTICO O RASPADO (COLOR BLANCO) SOBRE PARAMENTO HORIZONTAL EXTERIOR DE MAMPOSTERÍA (FCH)</t>
  </si>
  <si>
    <t>Revestimiento con mortero monocapa 15 mm preparado y aplicado manualmente en paramentos horizontales exteriores sobre ladrillo cerámico, ladrillo o bloque de hormigón, o bloque cerámico aligerado; acabado rústico o raspado (color blanco), imprimado y reforzado con malla antiálcalis (FCH)</t>
  </si>
  <si>
    <t>ma-lp-00540814</t>
  </si>
  <si>
    <t>Mortero monocapa PROPAM REVAT RASPADO; color blanco (25 kg/saco).   Ref. lp-00540814</t>
  </si>
  <si>
    <t>REV40-MNR-010</t>
  </si>
  <si>
    <t>XXXXXX MORTERO MONOCAPA 15 mm PREPARADO Y APLICADO A MANO CON ACABADO RÚSTICO O RASPADO (COLOR BLANCO) SOBRE PARAMENTO VERTICAL EXTERIOR DE MAMPOSTERÍA (FCH)</t>
  </si>
  <si>
    <t>Revestimiento con mortero monocapa 15 mm preparado y aplicado manualmente en paramentos verticales exteriores sobre ladrillo cerámico, ladrillo o bloque de hormigón, o bloque cerámico aligerado; acabado rústico o raspado (color blanco), imprimado y reforzado con malla antiálcalis (FCH)</t>
  </si>
  <si>
    <t>REV-MAQ-GRANITO.PROY.BLANCO-H-AT</t>
  </si>
  <si>
    <t>XXXXXX MORTERO MONOCAPA 15 mm PREPARADO Y APLICADO A MÁQUINA CON ACABADO EN PIEDRA PROYECTADA DE GRANITO BLANCO SOBRE PARAMENTO HORIZONTAL EXTERIOR DE MAMPOSTERÍA (FCH)</t>
  </si>
  <si>
    <t>Revestimiento con mortero monocapa 15 mm preparado y aplicado mecánicamente en paramentos horizontales exteriores sobre ladrillo cerámico, ladrillo o bloque de hormigón, o bloque cerámico aligerado; acabado en piedra proyectada con árido de granito blanco para monocapa, reforzado con malla antiálcalis (FCH)</t>
  </si>
  <si>
    <t>REV-MAQ-GRANITO-PROY.BLANCO-V-AT</t>
  </si>
  <si>
    <t>XXXXXX MORTERO MONOCAPA 15 mm PREPARADO Y APLICADO A MÁQUINA CON ACABADO EN PIEDRA PROYECTADA DE GRANITO BLANCO SOBRE PARAMENTO VERTICAL EXTERIOR DE MAMPOSTERÍA (FCH)</t>
  </si>
  <si>
    <t>Revestimiento con mortero monocapa 15 mm preparado y aplicado mecánicamente en paramentos verticales exteriores sobre ladrillo cerámico, ladrillo o bloque de hormigón, o bloque cerámico aligerado; acabado en piedra proyectada con árido de granito blanco para monocapa, reforzado con malla antiálcalis (FCH)</t>
  </si>
  <si>
    <t>REV-MAQ-GRANITO-PROY.GRIS-H-AT</t>
  </si>
  <si>
    <t>XXXXXX MORTERO MONOCAPA 15 mm PREPARADO Y APLICADO A MÁQUINA CON ACABADO EN PIEDRA PROYECTADA DE GRANITO GRIS SOBRE PARAMENTO HORIZONTAL EXTERIOR DE MAMPOSTERÍA (FCH)</t>
  </si>
  <si>
    <t>Revestimiento con mortero monocapa 15 mm preparado y aplicado mecánicamente en paramentos horizontales exteriores sobre ladrillo cerámico, ladrillo o bloque de hormigón, o bloque cerámico aligerado; acabado en piedra proyectada con árido de granito gris para monocapa, reforzado con malla antiálcalis (FCH)</t>
  </si>
  <si>
    <t>REV-MAQ-GRANITO-PROY.GRIS-V-AT</t>
  </si>
  <si>
    <t>XXXXXX MORTERO MONOCAPA 15 mm PREPARADO Y APLICADO A MÁQUINA CON ACABADO EN PIEDRA PROYECTADA DE GRANITO GRIS SOBRE PARAMENTO VERTICAL EXTERIOR DE MAMPOSTERÍA (FCH)</t>
  </si>
  <si>
    <t>Revestimiento con mortero monocapa 15 mm preparado y aplicado mecánicamente en paramentos verticales exteriores sobre ladrillo cerámico, ladrillo o bloque de hormigón, o bloque cerámico aligerado; acabado en piedra proyectada con árido de granito gris para monocapa, reforzado con malla antiálcalis (FCH)</t>
  </si>
  <si>
    <t>REV.MAQ-MARMOL.BLANCO-H-AT</t>
  </si>
  <si>
    <t>XXXXXX MORTERO MONOCAPA 15 mm PREPARADO Y APLICADO A MÁQUINA CON ACABADO EN PIEDRA PROYECTADA DE MÁRMOL BLANCO SOBRE PARAMENTO HORIZONTAL EXTERIOR DE MAMPOSTERÍA (FCH)</t>
  </si>
  <si>
    <t>Revestimiento con mortero monocapa 15 mm preparado y aplicado mecánicamente en paramentos horizontales exteriores sobre ladrillo cerámico, ladrillo o bloque de hormigón, o bloque cerámico aligerado; acabado en piedra proyectada con árido de mármol blanco para monocapa, reforzado con malla antiálcalis (FCH)</t>
  </si>
  <si>
    <t>REV.MAQ-MARMOL.BLANCO-V-AT</t>
  </si>
  <si>
    <t>XXXXXX MORTERO MONOCAPA 15 mm PREPARADO Y APLICADO A MÁQUINA CON ACABADO EN PIEDRA PROYECTADA DE MÁRMOL BLANCO SOBRE PARAMENTO VERTICAL EXTERIOR DE MAMPOSTERÍA (FCH)</t>
  </si>
  <si>
    <t>Revestimiento con mortero monocapa 15 mm preparado y aplicado mecánicamente en paramentos verticales exteriores sobre ladrillo cerámico, ladrillo o bloque de hormigón, o bloque cerámico aligerado; acabado en piedra proyectada con árido de mármol blanco para monocapa, reforzado con malla antiálcalis (FCH)</t>
  </si>
  <si>
    <t>REV.MAQ-MARMOL.GRIS-H-AT</t>
  </si>
  <si>
    <t>XXXXXX MORTERO MONOCAPA 15 mm PREPARADO Y APLICADO A MÁQUINA CON ACABADO EN PIEDRA PROYECTADA DE MÁRMOL GRIS SOBRE PARAMENTO HORIZONTAL EXTERIOR DE MAMPOSTERÍA (FCH)</t>
  </si>
  <si>
    <t>MORTERO MONOCAPA 15 mm PREPARADO Y APLICADO A MÁQUINA CON ACABADO EN PIEDRA PROYECTADA DE MÁRMOL GRIS SOBRE PARAMENTO HORIZONTAL EXTERIOR DE MAMPOSTERÍA (FCH)</t>
  </si>
  <si>
    <t>REV.MAQ-MARMOL.GRIS-V-AT</t>
  </si>
  <si>
    <t>XXXXXX MORTERO MONOCAPA 15 mm PREPARADO Y APLICADO A MÁQUINA CON ACABADO EN PIEDRA PROYECTADA DE MÁRMOL GRIS SOBRE PARAMENTO VERTICAL EXTERIOR DE MAMPOSTERÍA (FCH)</t>
  </si>
  <si>
    <t>Revestimiento con mortero monocapa 15 mm preparado y aplicado mecánicamente en paramentos verticales exteriores sobre ladrillo cerámico, ladrillo o bloque de hormigón, o bloque cerámico aligerado; acabado en piedra proyectada con árido de mármol gris para monocapa, reforzado con malla antiálcalis (FCH)</t>
  </si>
  <si>
    <t>REV41-MNR-009</t>
  </si>
  <si>
    <t>XXXXXX MORTERO MONOCAPA 15 mm PREPARADO Y APLICADO A MÁQUINA CON ACABADO RÚSTICO O RASPADO (COLOR BLANCO) SOBRE PARAMENTO HORIZONTAL EXTERIOR DE MAMPOSTERÍA (FCH)</t>
  </si>
  <si>
    <t>Revestimiento con mortero monocapa 15 mm preparado y aplicado mecánicamente en paramentos horizontales exteriores sobre ladrillo cerámico, ladrillo o bloque de hormigón, o bloque cerámico aligerado; acabado rústico o raspado (color blanco), imprimado y reforzado con malla antiálcalis (FCH)</t>
  </si>
  <si>
    <t>REV41-MNR-010</t>
  </si>
  <si>
    <t>XXXXXX MORTERO MONOCAPA 15 mm PREPARADO Y APLICADO A MÁQUINA CON ACABADO RÚSTICO O RASPADO (COLOR BLANCO) SOBRE PARAMENTO VERTICAL EXTERIOR DE MAMPOSTERÍA (FCH)</t>
  </si>
  <si>
    <t>Revestimiento con mortero monocapa 15 mm preparado y aplicado mecánicamente en paramentos verticales exteriores sobre ladrillo cerámico, ladrillo o bloque de hormigón, o bloque cerámico aligerado; acabado rústico o raspado (color blanco), imprimado y reforzado con malla antiálcalis (FCH)</t>
  </si>
  <si>
    <t>REV42-MNR-001</t>
  </si>
  <si>
    <t>XXXXXX MORTERO MONOCAPA 15 mm PREPARADO Y APLICADO A MANO CON ACABADO EN PIEDRA PROYECTADA DE GRANITO BLANCO SOBRE PARAMENTO HORIZONTAL EXTERIOR DE HORMIGÓN (FCH)</t>
  </si>
  <si>
    <t>Revestimiento con mortero monocapa 15 mm preparado y aplicado manualmente en paramentos horizontales exteriores sobre hormigón; acabado en piedra proyectada con árido de granito blanco para monocapa, reforzado con malla antiálcalis (FCH)</t>
  </si>
  <si>
    <t>REV42-MNR-002</t>
  </si>
  <si>
    <t>XXXXXX MORTERO MONOCAPA 15 mm PREPARADO Y APLICADO A MANO CON ACABADO EN PIEDRA PROYECTADA DE GRANITO BLANCO SOBRE PARAMENTO VERTICAL EXTERIOR DE HORMIGÓN (FCH)</t>
  </si>
  <si>
    <t>Revestimiento con mortero monocapa 15 mm preparado y aplicado manualmente en paramentos verticales exteriores de hormigón; acabado en piedra proyectada con árido de granito blanco para monocapa, reforzado con malla antiálcalis (FCH)</t>
  </si>
  <si>
    <t>REV42-MNR-003</t>
  </si>
  <si>
    <t>XXXXXX MORTERO MONOCAPA 15 mm PREPARADO Y APLICADO A MANO CON ACABADO EN PIEDRA PROYECTADA DE GRANITO GRIS SOBRE PARAMENTO HORIZONTAL EXTERIOR DE HORMIGÓN (FCH)</t>
  </si>
  <si>
    <t>Revestimiento con mortero monocapa 15 mm preparado y aplicado manualmente en paramentos horizontales exteriores de hormigón; acabado en piedra proyectada con árido de granito gris para monocapa, reforzado con malla antiálcalis (FCH)</t>
  </si>
  <si>
    <t>REV42-MNR-004</t>
  </si>
  <si>
    <t>XXXXXX MORTERO MONOCAPA 15 mm PREPARADO Y APLICADO A MANO CON ACABADO EN PIEDRA PROYECTADA DE GRANITO GRIS SOBRE PARAMENTO VERTICAL EXTERIOR DE HORMIGÓN (FCH)</t>
  </si>
  <si>
    <t>Revestimiento con mortero monocapa 15 mm preparado y aplicado manualmente en paramentos verticales exteriores de hormigón; acabado en piedra proyectada con árido de granito gris para monocapa, reforzado con malla antiálcalis (FCH)</t>
  </si>
  <si>
    <t>REV42-MNR-005</t>
  </si>
  <si>
    <t>XXXXXX MORTERO MONOCAPA 15 mm PREPARADO Y APLICADO A MANO CON ACABADO EN PIEDRA PROYECTADA DE MÁRMOL BLANCO SOBRE PARAMENTO HORIZONTAL EXTERIOR DE HORMIGÓN (FCH)</t>
  </si>
  <si>
    <t>Revestimiento con mortero monocapa 15 mm preparado y aplicado manualmente en paramentos horizontales exteriores de hormigón; acabado en piedra proyectada con árido de mármol blanco para monocapa, reforzado con malla antiálcalis (FCH)</t>
  </si>
  <si>
    <t>REV42-MNR-006</t>
  </si>
  <si>
    <t>XXXXXX MORTERO MONOCAPA 15 mm PREPARADO Y APLICADO A MANO CON ACABADO EN PIEDRA PROYECTADA DE MÁRMOL BLANCO SOBRE PARAMENTO VERTICAL EXTERIOR DE HORMIGÓN (FCH)</t>
  </si>
  <si>
    <t>Revestimiento con mortero monocapa 15 mm preparado y aplicado manualmente en paramentos verticales exteriores de hormigón; acabado en piedra proyectada con árido de mármol blanco para monocapa, reforzado con malla antiálcalis (FCH)</t>
  </si>
  <si>
    <t>REV42-MNR-007</t>
  </si>
  <si>
    <t>XXXXXX MORTERO MONOCAPA 15 mm PREPARADO Y APLICADO A MANO CON ACABADO EN PIEDRA PROYECTADA DE MÁRMOL GRIS SOBRE PARAMENTO HORIZONTAL EXTERIOR DE HORMIGÓN (FCH)</t>
  </si>
  <si>
    <t>Revestimiento con mortero monocapa 15 mm preparado y aplicado manualmente en paramentos horizontales exteriores de hormigón; acabado en piedra proyectada con árido de mármol gris para monocapa, reforzado con malla antiálcalis (FCH)</t>
  </si>
  <si>
    <t>REV42-MNR-008</t>
  </si>
  <si>
    <t>XXXXXX MORTERO MONOCAPA 15 mm PREPARADO Y APLICADO A MANO CON ACABADO EN PIEDRA PROYECTADA DE MÁRMOL GRIS SOBRE PARAMENTO VERTICAL EXTERIOR DE HORMIGÓN (FCH)</t>
  </si>
  <si>
    <t>Revestimiento con mortero monocapa 15 mm preparado y aplicado manualmente en paramentos verticales exteriores de hormigón; acabado en piedra proyectada con árido de mármol gris para monocapa, reforzado con malla antiálcalis (FCH)</t>
  </si>
  <si>
    <t>REV42-MNR-009</t>
  </si>
  <si>
    <t>XXXXXX MORTERO MONOCAPA 15 mm PREPARADO Y APLICADO A MANO CON ACABADO RÚSTICO O RASPADO (COLOR BLANCO) SOBRE PARAMENTO HORIZONTAL EXTERIOR DE HORMIGÓN (FCH)</t>
  </si>
  <si>
    <t>Revestimiento con mortero monocapa 15 mm preparado y aplicado manualmente en paramentos horizontales exteriores de hormigón; acabado rústico o raspado (color blanco), imprimado y reforzado con malla antiálcalis (FCH)</t>
  </si>
  <si>
    <t>REV42-MNR-010</t>
  </si>
  <si>
    <t>XXXXXX MORTERO MONOCAPA 15 mm PREPARADO Y APLICADO A MANO CON ACABADO RÚSTICO O RASPADO (COLOR BLANCO) SOBRE PARAMENTO VERTICAL EXTERIOR DE HORMIGÓN (FCH)</t>
  </si>
  <si>
    <t>Revestimiento con mortero monocapa 15 mm preparado y aplicado manualmente en paramentos verticales exteriores de hormigón; acabado rústico o raspado (color blanco), imprimado y reforzado con malla antiálcalis (FCH)</t>
  </si>
  <si>
    <t>REV43-MNR-001</t>
  </si>
  <si>
    <t>XXXXXX MORTERO MONOCAPA 15 mm PREPARADO Y APLICADO A MÁQUINA CON ACABADO EN PIEDRA PROYECTADA DE GRANITO BLANCO SOBRE PARAMENTO HORIZONTAL EXTERIOR DE HORMIGÓN (FCH)</t>
  </si>
  <si>
    <t>Revestimiento con mortero monocapa 15 mm preparado y aplicado mecánicamente en paramentos horizontales exteriores de hormigón; acabado en piedra proyectada con árido de granito blanco para monocapa, reforzado con malla antiálcalis (FCH)</t>
  </si>
  <si>
    <t>REV43-MNR-002</t>
  </si>
  <si>
    <t>XXXXXX MORTERO MONOCAPA 15 mm PREPARADO Y APLICADO A MÁQUINA CON ACABADO EN PIEDRA PROYECTADA DE GRANITO BLANCO SOBRE PARAMENTO VERTICAL EXTERIOR DE HORMIGÓN (FCH)</t>
  </si>
  <si>
    <t>Revestimiento con mortero monocapa 15 mm preparado y aplicado mecánicamente en paramentos verticales exteriores de hormigón; acabado en piedra proyectada con árido de granito blanco para monocapa, reforzado con malla antiálcalis (FCH)</t>
  </si>
  <si>
    <t>REV43-MNR-003</t>
  </si>
  <si>
    <t>XXXXXX MORTERO MONOCAPA 15 mm PREPARADO Y APLICADO A MÁQUINA CON ACABADO EN PIEDRA PROYECTADA DE GRANITO GRIS SOBRE PARAMENTO HORIZONTAL EXTERIOR DE HORMIGÓN (FCH)</t>
  </si>
  <si>
    <t>Revestimiento con mortero monocapa 15 mm preparado y aplicado mecánicamente en paramentos horizontales exteriores de hormigón; acabado en piedra proyectada con árido de granito gris para monocapa, reforzado con malla antiálcalis (FCH)</t>
  </si>
  <si>
    <t>REV43-MNR-004</t>
  </si>
  <si>
    <t>XXXXXX MORTERO MONOCAPA 15 mm PREPARADO Y APLICADO A MÁQUINA CON ACABADO EN PIEDRA PROYECTADA DE GRANITO GRIS SOBRE PARAMENTO VERTICAL EXTERIOR DE HORMIGÓN (FCH)</t>
  </si>
  <si>
    <t>Revestimiento con mortero monocapa 15 mm preparado y aplicado mecánicamente en paramentos verticales exteriores de hormigón; acabado en piedra proyectada con árido de granito gris para monocapa, reforzado con malla antiálcalis (FCH)</t>
  </si>
  <si>
    <t>REV43-MNR-005</t>
  </si>
  <si>
    <t>XXXXXX MORTERO MONOCAPA 15 mm PREPARADO Y APLICADO A MÁQUINA CON ACABADO EN PIEDRA PROYECTADA DE MÁRMOL BLANCO SOBRE PARAMENTO HORIZONTAL EXTERIOR DE HORMIGÓN (FCH)</t>
  </si>
  <si>
    <t>Revestimiento con mortero monocapa 15 mm preparado y aplicado mecánicamente en paramentos horizontales exteriores de hormigón; acabado en piedra proyectada con árido de mármol blanco para monocapa, reforzado con malla antiálcalis (FCH)</t>
  </si>
  <si>
    <t>REV43-MNR-006</t>
  </si>
  <si>
    <t>XXXXXX MORTERO MONOCAPA 15 mm PREPARADO Y APLICADO A MÁQUINA CON ACABADO EN PIEDRA PROYECTADA DE MÁRMOL BLANCO SOBRE PARAMENTO VERTICAL EXTERIOR DE HORMIGÓN (FCH)</t>
  </si>
  <si>
    <t>Revestimiento con mortero monocapa 15 mm preparado y aplicado mecánicamente en paramentos verticales exteriores de hormigón; acabado en piedra proyectada con árido de mármol blanco para monocapa, reforzado con malla antiálcalis (FCH)</t>
  </si>
  <si>
    <t>REV43-MNR-007</t>
  </si>
  <si>
    <t>XXXXXX MORTERO MONOCAPA 15 mm PREPARADO Y APLICADO A MÁQUINA CON ACABADO EN PIEDRA PROYECTADA DE MÁRMOL GRIS SOBRE PARAMENTO HORIZONTAL EXTERIOR DE HORMIGÓN (FCH)</t>
  </si>
  <si>
    <t>Revestimiento con mortero monocapa 15 mm preparado y aplicado mecánicamente en paramentos horizontales exteriores de hormigón; acabado en piedra proyectada con árido de mármol gris para monocapa, reforzado con malla antiálcalis (FCH)</t>
  </si>
  <si>
    <t>REV43-MNR-008</t>
  </si>
  <si>
    <t>XXXXXX MORTERO MONOCAPA 15 mm PREPARADO Y APLICADO A MÁQUINA CON ACABADO EN PIEDRA PROYECTADA DE MÁRMOL GRIS SOBRE PARAMENTO VERTICAL EXTERIOR DE HORMIGÓN (FCH)</t>
  </si>
  <si>
    <t>Revestimiento con mortero monocapa 15 mm preparado y aplicado mecánicamente en paramentos verticales exteriores de hormigón; acabado en piedra proyectada con árido de mármol gris para monocapa, reforzado con malla antiálcalis (FCH)</t>
  </si>
  <si>
    <t>REV43-MNR-009</t>
  </si>
  <si>
    <t>XXXXXX MORTERO MONOCAPA 15 mm PREPARADO Y APLICADO A MÁQUINA CON ACABADO RÚSTICO O RASPADO (COLOR BLANCO) SOBRE PARAMENTO HORIZONTAL EXTERIOR DE HORMIGÓN (FCH)</t>
  </si>
  <si>
    <t>Revestimiento con mortero monocapa 15 mm preparado y aplicado mecánicamente en paramentos horizontales exteriores de hormigón; acabado rústico o raspado (color blanco), imprimado y reforzado con malla antiálcalis (FCH)</t>
  </si>
  <si>
    <t>REV43-MNR-010</t>
  </si>
  <si>
    <t>XXXXXX MORTERO MONOCAPA 15 mm PREPARADO Y APLICADO A MÁQUINA CON ACABADO RÚSTICO O RASPADO (COLOR BLANCO) SOBRE PARAMENTO VERTICAL EXTERIOR DE HORMIGÓN (FCH)</t>
  </si>
  <si>
    <t>Revestimiento con mortero monocapa 15 mm preparado y aplicado mecánicamente en paramentos verticales exteriores de hormigón; acabado rústico o raspado (color blanco), imprimado y reforzado con malla antiálcalis (FCH)</t>
  </si>
  <si>
    <t>SEN</t>
  </si>
  <si>
    <t>Señalización y equipamiento</t>
  </si>
  <si>
    <t>SEN-INCENDIO</t>
  </si>
  <si>
    <t>SEÑALIZACIÓN Y EQUIPAMIENTO EN INSTALACIONES ANTI-INCENDIOS</t>
  </si>
  <si>
    <t>SEN-INCENDIO-EXTINTORES</t>
  </si>
  <si>
    <t>EXTINTORES DE INCENDIO</t>
  </si>
  <si>
    <t>SEN-EXTINTORES-01</t>
  </si>
  <si>
    <t>S/I EXTINTOR PORTÁTIL 6 KG PQS ABC</t>
  </si>
  <si>
    <t>S/I Extintor portátil 6 kg PQS ABC</t>
  </si>
  <si>
    <t>ma-lm-90730659</t>
  </si>
  <si>
    <t>Extintor portátil 6 kg PQS ABC alta eficacia 34A 233B C de VALLE-UNIÓN.   Ref. lm-90730659</t>
  </si>
  <si>
    <t>ma-bm-25052209</t>
  </si>
  <si>
    <t>Placa colgador en acero cincado para extintor de pared PQS ABC de 3 a 12 kg.   Ref. bm-25052209</t>
  </si>
  <si>
    <t>SENSAN</t>
  </si>
  <si>
    <t>APARATOS SANITARIOS</t>
  </si>
  <si>
    <t>SENSAN01</t>
  </si>
  <si>
    <t>Taza de inodoro de tanque bajo</t>
  </si>
  <si>
    <t>00010169</t>
  </si>
  <si>
    <t>INODORO ROCA MERIDIAN COMPACTO ADOSADO Ref.: 00010169</t>
  </si>
  <si>
    <t>00010137</t>
  </si>
  <si>
    <t>TANQUE CISTERNA ROCA MERIDIAN DOBLE DESCARGA PARA INODORO COMPACTO Ref.: 00010137</t>
  </si>
  <si>
    <t>00487834</t>
  </si>
  <si>
    <t>TAPA Y ASIENTO SUPRALITÂ® PARA INODORO ROCA MERIDIAN CAÍDA AMORTIGUADA BLANCO Ref.: 00487834</t>
  </si>
  <si>
    <t>SENSAN02</t>
  </si>
  <si>
    <t>MUEBLE BASE PARA LAVABO DE 60CM</t>
  </si>
  <si>
    <t>MU60CM</t>
  </si>
  <si>
    <t>Mueble MONTERREY 600 1 cajón metálico BLANCO BRILLO 598 x 270 x 450 mm</t>
  </si>
  <si>
    <t>SENSAN03</t>
  </si>
  <si>
    <t>CONJUNTO DE MUEBLE DE BAÑO DE 80CM</t>
  </si>
  <si>
    <t>NOJA800</t>
  </si>
  <si>
    <t>Conjunto mueble de baño NOJA 800 BLANCO BRILLO+ Lavabo + Espejo + Aplique</t>
  </si>
  <si>
    <t>SENSAN04</t>
  </si>
  <si>
    <t>PLATO DE DUCHA</t>
  </si>
  <si>
    <t>PLADUCH</t>
  </si>
  <si>
    <t>Plato de ducha 0.70x1.70m</t>
  </si>
  <si>
    <t>SENSAN05</t>
  </si>
  <si>
    <t>GRIFERIA LAVAMANOS</t>
  </si>
  <si>
    <t>00151157</t>
  </si>
  <si>
    <t>GRIFO MONOMANDO LAVABO ROCA L20 Ref.: 00151157</t>
  </si>
  <si>
    <t>SENSAN06</t>
  </si>
  <si>
    <t>GRIFERIA DUCHA</t>
  </si>
  <si>
    <t>LEX-TRES</t>
  </si>
  <si>
    <t>CONJUNTO DUCHA MONOMANDO LEX-TRES</t>
  </si>
  <si>
    <t>SENSAN07</t>
  </si>
  <si>
    <t>MAMPARA FIJA</t>
  </si>
  <si>
    <t>MAMP01</t>
  </si>
  <si>
    <t>mampara fija 1.00m</t>
  </si>
  <si>
    <t>SENSAN08</t>
  </si>
  <si>
    <t>ACCESORIOS DE BAÑO</t>
  </si>
  <si>
    <t>SENCOC</t>
  </si>
  <si>
    <t>COCINAS</t>
  </si>
  <si>
    <t>SENCON01</t>
  </si>
  <si>
    <t>Suministro y colocacion de Campana extraíble - Teka 40474260 TL 6420, 3 Velocidades</t>
  </si>
  <si>
    <t>TEKATL6420</t>
  </si>
  <si>
    <t>Campana TEKA TL6420 60cm Inox 40474260</t>
  </si>
  <si>
    <t>GES</t>
  </si>
  <si>
    <t>Gestión de residuos</t>
  </si>
  <si>
    <t>GES002</t>
  </si>
  <si>
    <t>TRANSPORTE CON CONTENEDOR DE 7M3</t>
  </si>
  <si>
    <t>BIGBAG02</t>
  </si>
  <si>
    <t>CONTENEDOR RESIDUOS 7M3</t>
  </si>
  <si>
    <t>CANON</t>
  </si>
  <si>
    <t>CANON DEPOSICION CONTROLADA</t>
  </si>
  <si>
    <t>gest11</t>
  </si>
  <si>
    <t>ALB</t>
  </si>
  <si>
    <t>o ALBAÑILERIA</t>
  </si>
  <si>
    <t>Base para pavimento, de 4 cm de espesor, de mortero de cemento, armado con malla electrosoldada de 20x20 de Ø5. Incluso banda de panel rígido de poliestireno expandido para la preparación de las juntas perimetrales de dilatación.</t>
  </si>
  <si>
    <t>ALB03-MNR-01</t>
  </si>
  <si>
    <t>TRABAJOS COMPLEMENTARIOS DE ALBAÑILERÍA MENOR EN CUARTO DE BATERÍA DE CONTADORES DE AGUA</t>
  </si>
  <si>
    <t>Trabajos complementarios de albañilería menor en cuarto de batería de contadores de agua; incluyendo limpieza de cuarteto, reparación de humedades y agujeros con mortero y pintado final (+/- 23 m2).</t>
  </si>
  <si>
    <t>ma-pp-8436563360107-G</t>
  </si>
  <si>
    <t>Pintura int&amp;ext PALAS P-500 CUBREX; color blanco (5 litros/envase).   Ref. pp-8436563360107-G</t>
  </si>
  <si>
    <t>ALB04</t>
  </si>
  <si>
    <t>AYUDAS DE ALBAÑILERIA PARA RECIBIR PRECERCO DE PUERTA</t>
  </si>
  <si>
    <t>Recibido de precerco a tabique de fábrica, con patillas de anclaje, con mortero de cemento, industrial, después de la ejecución del tabique y con el pavimento colocado, para fijar posteriormente, sobre él, el marco de la carpintería exterior de más de 4 m² de superficie.</t>
  </si>
  <si>
    <t>ALB05</t>
  </si>
  <si>
    <t>DINTEL DE VIGUETA DE HORMIGON</t>
  </si>
  <si>
    <t>Dintel realizado con una vigueta de hormigón doble T, capa de mortero de cemento, de 2 cm de espesor, con revestimiento; para la formación de dintel en hueco de muro de fábrica para puerta.</t>
  </si>
  <si>
    <t>00285537</t>
  </si>
  <si>
    <t>VIGA DE HORMIGÓN DOBLE T 2 M Ref.: 00285537</t>
  </si>
  <si>
    <t>00540808</t>
  </si>
  <si>
    <t>MORTERO REVOCO PROPAM REVOC GRIS 25 KG Ref.: 00540808</t>
  </si>
  <si>
    <t>ALB30-MNR</t>
  </si>
  <si>
    <t>PREPARACIÓN DE MORTERO BASE PARA VIERTEAGUAS (SEGÚN PERFIL Nº 1 ADJUNTO (JPG))</t>
  </si>
  <si>
    <t>ALB50-MNR-01-10</t>
  </si>
  <si>
    <t>CONSTRUCCIÓN DE MURO DE FÁBRICA NO ESTRUCTURAL CON LADRILLO CERÁMICO HUECO</t>
  </si>
  <si>
    <t>ALB50-MNR-02</t>
  </si>
  <si>
    <t>CONSTRUCCIÓN DE MURO DE FÁBRICA NO ESTRUCTURAL CON LADRILLO CERÁMICO MACIZO</t>
  </si>
  <si>
    <t>PARTIDA.TRANSITORIA</t>
  </si>
  <si>
    <t>PARTIDA CON CARÁCTER TRANSITORIO</t>
  </si>
  <si>
    <t>ALQUILERES</t>
  </si>
  <si>
    <t>ALQUILERES DE MAQUINARIAS Y EQUIPOS</t>
  </si>
  <si>
    <t>Alquiler de Equipo Airless para Pintura TOOLQUICK</t>
  </si>
  <si>
    <t>Transporte-Mezcladora</t>
  </si>
  <si>
    <t>Dezplazamiento a obra de máquina mezcladora</t>
  </si>
  <si>
    <t>Dezplazamiento a obra de maquina mezcladora</t>
  </si>
  <si>
    <t>La amoladora eléctrica es una herramienta esencial en diferentes sectores pero podemos destacar el de la construcción, industria y metal. Con una amoladora puedes realizar gran cantidad de trabajos como cortar cerámica, mármol, hierro y aluminio. También se pueden realizar diversos trabajos de pulido y desgaste de material. La principal característica de las amoladoras son su potencia y versatilidad para realizar cortes. Su liviano peso y protecciones hacen que la realización del trabajo sea segura, eficiente y rápida. Existen dos tipos de amoladoras: amoladoras grandes con más potencia y tamaño, dedicadas a trabajos más intensos y mini amoladoras con las que se suele trabajar en espacios reducidos o en altura. Para elegir la amoladora adecuada hemos de valorar ciertos aspectos com el tipo de trabajo y el material. Esto nos determinará el tipo de potencia que necesitamos y el disco de corte que utilizaremos para el trabajo a desarrollar. Al ser herramientas de corte muy potentes es sumamente importante respetar la normativa de seguridad de estas herramientas, como no quitar las protecciones de disco y utilizar guantes y gafas protectoras, entre otras. En Máquinas y Máquinas disponemos de varios modelos de amoladoras con diferentes potencias y toma de aspiración para polvo.</t>
  </si>
  <si>
    <t>alq-andamio-0.75x4.20-tq-hora</t>
  </si>
  <si>
    <t>Alquiler por hora de Torre 4,20 m de Andamio Tubular de Aluminio (Largo x Ancho x Altura de Trabajo: 1,80x0,75 m).   Ref. TOOLQUICK</t>
  </si>
  <si>
    <t>alq-andamio-1.50x4.20-tq-dia</t>
  </si>
  <si>
    <t>Alquiler diario de Torre 4,20 m de Andamio Tubular de Aluminio (Largo x Ancho x Altura de Trabajo: 1,80x1,50 m).   Ref. TOOLQUICK</t>
  </si>
  <si>
    <t>alq-andamio-1.50x4.20-tq-hora</t>
  </si>
  <si>
    <t>Alquiler por hora de Torre 4,20 m de Andamio Tubular de Aluminio (Largo x Ancho x Altura de Trabajo: 1,80x1,50 m).   Ref. TOOLQUICK</t>
  </si>
  <si>
    <t>TARIFA DE ALQUILER     90€ + ((115+174)/141.19) = 92€ por dia /8horas = 11.5€/hora
PRECIO DIA (Mínimo 2 días ) ……………………………………………………………………………………… 90 €
PRECIO SEMANAL ……………………...………………………………………………………………………..... 400 €
PRECIO MENSUAL ………………………..……………………………..………………….…………………….1.300 €
PRECIO HORA TECNICO (APOYO TECNICO)……… ………………………………………….………….. 36 €
CAMISA Y ROTOR D5-2,5 ECO……………………………………………………………………………… 101,66 €
DESPLAZAMIENTO A OBRA (dentro zona 30km. de Ubip) …………………………..……………….…….. 100 €
Desplazamiento fuera de las zonas anteriores:
PRECIO TECNICO PARA DESPLAZAMIENTO Y PUESTA EN MARCHA ……………………………… 36.00 €/Hora
PRECIO KM. DESPLAZAMIENTO ……………………………………………………………..…………… 0,60€/km.
GASTOS DE PEAJES, DIETAS, ETC. ……………………………………………………………………… No incluidos.</t>
  </si>
  <si>
    <t>Alquiler de Andamios Tubulares Metálicos Fijos formados por Premarcos de 70 cm y altura &lt;= 200 cm, con Bases Regulables, Tubos Travesaños, Tubos de Trabamiento, Plataformas de Trabajo con ancho mínimo de 60 cm, Escaleras de Acceso, Barandillas Laterales, Zócalos; incluye Montaje, Desmontaje y Transportes asociados.</t>
  </si>
  <si>
    <t>alq-atornillador.bateria-mym-01</t>
  </si>
  <si>
    <t>Alquiler de Atornillador a Batería 18 V MAKITA.   Ref. MÁQUINAS Y MÁQUINAS</t>
  </si>
  <si>
    <t>Alquiler de Atornillador a Batería 18 V MAKITA</t>
  </si>
  <si>
    <t>Presión Máxima de Trabajo 12 bar (174 PSI). Capacidad Depósito de Abrasivo 115 litros (diámetro 90 cm; altura 130 cm).
El sistema profesional de arenado de chorro de arena está hoy en día recomendado como el mejor sistema para preparar las superficies para los sucesivos tratamientos de protección.
Utilizando el abrasivo apropiado sobre la superficie a tratar se elimina todo residuo de óxido, pintura e incrustaciones consiguiendo de esta forma restaurar la superficie a su estado original, asegurando en los sucesivos tratamientos una mayor duración.
Consumos: Arena de Sílice: 300 kg/h; Granalla Metálica: 700 kg/h; Corindón: 355 kg/h).
Equipamiento incluido: Casco de protección con mandril tipo M0-6; Kit de respiración; Manguera respiración atóxica 10 m; Manguera para abrasivo; Boquilla UG1 con diámetro 6 mm.
Equipo no incluido: Compresor de aire; Mando a distancia.
Incluye filtro secador de agua para aire comprimido.</t>
  </si>
  <si>
    <t>Alquiler de Compresor Móvil 4litros/8kg presión, Caudal 4.000 LPM, Peso 1.025 kg</t>
  </si>
  <si>
    <t>alq-cortadora.azulejos-tq-130</t>
  </si>
  <si>
    <t>Alquiler de Cortadora Manual de Azulejos (ancho 130 cm).   Ref. TOOLQUICK</t>
  </si>
  <si>
    <t>alq-cortadora.azulejos-tq-70</t>
  </si>
  <si>
    <t>Alquiler de Cortadora Manual de Azulejos (ancho 71 cm).   Ref. TOOLQUICK</t>
  </si>
  <si>
    <t>Decapadora de Pintura con Potencia 1.600 W; Temperatura Máxima:500 ºC; Volumen de Aire: 350 a 500 litros/minuto.  Ref. TOOLQUICK</t>
  </si>
  <si>
    <t>Martillo Demoledor para utilizar en pavimentos, cimientos y demolición de hormigón. Cuenta con motor potente de 2.000 W y gran potencia de impacto único de 72,8 J. Su peso sin cable es de 32 kg; y sus medidas son: 21 cm de ancho x 60,8 cm de alto x 84,3 cm de fondo. Cuenta con carro de transporte D-54972 y cincel punta autoafilable de 400mm.   Ref. 0088381693349</t>
  </si>
  <si>
    <t>Alquiler de Dobladora Ferralla Portátil  500 W / 220 V / 17 kg. Diseñada para cortar y doblar varillas hasta 16 mm a pié de obra; incluye control electrónico selector de ángulos (45º; 90º; 135º y 180º).</t>
  </si>
  <si>
    <t>Alquiler de HidroLimpiadora Eléctrica 200 bares. Diseñada para trabajos exigentes. Cuenta con manguera de alta presión de 10 metros.</t>
  </si>
  <si>
    <t>alq-inyector.mortero.manual-01</t>
  </si>
  <si>
    <t>Alquiler de Equipo de Inyección Manual de Morteros Fluidos y Resinas</t>
  </si>
  <si>
    <t>Alquiler de Equipo de Inyección Manual de Morteros Fluidos y Resinas (incluye boquilla de inyección)
Referencia Generador de Precios de Arquímedes: (aprox. 15 Euros/m3)</t>
  </si>
  <si>
    <t>alq-lijadora-tq-pared-01</t>
  </si>
  <si>
    <t>Alquiler de Lijadora Eléctrica de Pared a Disco de Cuello Corto.   Ref. TOOLQUICK</t>
  </si>
  <si>
    <t>Alquiler de Lijadora Eléctrica de Pared a Disco de Cuello Corte (1.200 W; Disco 225 mm; Velocaidad en Vacío 650 a 1.300/min; Peso 3,1 kg)</t>
  </si>
  <si>
    <t>alq-lijadora.banda-mym-01</t>
  </si>
  <si>
    <t>Alquiler de Lijadora Eléctrica de Banda 100x610 mm 1.200 W</t>
  </si>
  <si>
    <t>Alquiler de Lijadora Eléctrica de Banda 100x610 mm 1.200 W.   Ref. MÁQUINAS Y MÁQUINAS</t>
  </si>
  <si>
    <t>Alquiler Martillo Eléctrico Picador-Demoledor 16 kg - 230 V.
HITACHI 1.240 W / MAKITA 1.600 W</t>
  </si>
  <si>
    <t>Alquiler Martillo Eléctrico Picador-Demoledor 32 kg - 230 V.
HITACHI 1.400 W / MAKITA 2.000 W</t>
  </si>
  <si>
    <t>Alquiler de Martillo Neumático Picador 10 kg (Longitud 490 mm; Consumo de Aire: 0,95 m3)</t>
  </si>
  <si>
    <t>Alquiler de Martillo Neumático Rompedor 24 kg (Longitud 686 mm; Consumo de Aire: 1,25 m3)</t>
  </si>
  <si>
    <t>Alquiler de Martillo Perforador 40 mm.   Ref. MÁQUINAS Y MÁQUINAS
Equipo: Marca MAKITA; 1.100 W; 230 V. Precios Asumido por Semana (incluyendo Transporte).</t>
  </si>
  <si>
    <t>alq-polipasto.500x30-mym-01</t>
  </si>
  <si>
    <t>Alquiler de Elevador Polipasto Eléctrico 500 kg 30 m 400 V.   Ref. MÁQUINAS Y MÁQUINAS</t>
  </si>
  <si>
    <t>Máquina especialmente útil en la formación de regatas o rozas para la instalación de tuberías en paredes y/o suelos. El alquiler incluye 2 unidades de disco.</t>
  </si>
  <si>
    <t>alq-soldadora-lp-00559161</t>
  </si>
  <si>
    <t>Alquiler de Soldadora Eléctrica CEVIK PRO CE-TITANIUM201 (200 A)   Ref. 00559161</t>
  </si>
  <si>
    <t>mq-lp-00559161</t>
  </si>
  <si>
    <t>Soldadora Eléctrica CEVIK PRO CE-TITANIUM201 (200 A)   Ref. 00559161</t>
  </si>
  <si>
    <t>alq-soldadora-ox.ac-mym-01</t>
  </si>
  <si>
    <t>Alquiler de Equipo Portátil Soldadura Oxígeno-Acetileno.   Ref. MÁQUINAS Y MÁQUINAS</t>
  </si>
  <si>
    <t>Alquiler Equipo Portátil Soldadura Oxígeno-Acetileno</t>
  </si>
  <si>
    <t>Alquiler de Soldadora Inox. TIG 160 A / 230 V</t>
  </si>
  <si>
    <t>Soplador Eléctrico Portátil de Aire STIHL BR 600 MAGNUM. Peso 10,2 kg; Caudal de Aire: 1.720 m3/hora; Velocidad: 1.150 m/seg.</t>
  </si>
  <si>
    <t>Alquiler de Soplete de Corte Oxígeno-Acetileno.   Ref. MÁQUINAS Y MÁQUINAS</t>
  </si>
  <si>
    <t>Alquiler Taladro Percutor BOSCH Modelo GSB-20-2 850 W   Ref. 00469501</t>
  </si>
  <si>
    <t>Alquiler de Taladro Percutor (Cable-Batería) TOOLQUICK</t>
  </si>
  <si>
    <t>alq-tijera.electrica-ra-6m</t>
  </si>
  <si>
    <t>Alquiler de Plataforma Tijera Eléctrica 6 m.   Ref. RENTAIRE</t>
  </si>
  <si>
    <t>lquiler de Plataforma Tijera Eléctrica 6 m.   Ref. RENTAIRE
Características técnicas: Marca: LGMG, Modelo: SS0407ER:
• Peso (kg): 885
• Alto de la plataforma: 2 m
• Altura máxima de trabajo: 5,6 m
• Ancho de la máquina: 760 mm
• Carga máxima: 240 kg
• Longitud: 1530 mm
• Alto de la plataforma sin barandillas: 860 mm
Plataforma tijera eléctrica 6 m, equipada con una batería avanzada para una mayor productividad. Gracias a su accionamiento eléctrico, sin emisiones y silencioso, este elevador de tijera es respetuoso con el medio ambiente. Se trata de la solución ideal para los lugares de trabajo con acceso de bajo nivel y aplicaciones de espacio reducido. Gracias a sus compactas dimensiones y su peso ligero, es capaz de entrar por puertas y en la mayoría de ascensores. Perfecta, por ejemplo, para trabajos de mantenimiento en interior de edificios. El diseño excepcional del sistema de transmisión impermeable, proporciona un rendimiento excelente en condiciones de humedad. Las características son las reflejadas en la ficha técnica del modelo, las medidas exactas varían de una unidad a otra. En caso de no disponer de este modelo concreto se suministrará uno de similares características. Consultar las características específicas de las máquinas disponibles.</t>
  </si>
  <si>
    <t>Alquiler de Equipo Eléctrico Limpiador a Vapor (Vaporeta); 2300 W; 3,5 Bares.   Ref. MIL HERRAMIENTAS</t>
  </si>
  <si>
    <t>ESTRUCTURAS</t>
  </si>
  <si>
    <t>ACERO EN ESTRUCTURAS</t>
  </si>
  <si>
    <t>ACERO-01</t>
  </si>
  <si>
    <t>REFUERZO LONGITUDINAL COMPLEMENTARIO CON PERFIL UPN 10 EN FONDOS A LA VISTA DE NERVIOS METÁLICOS DE LOSAS O FORJADOS (Tipologia: STR-FCH).</t>
  </si>
  <si>
    <t>Refuerzo longitudinal complementario de perfiles metálicos a la vista en losas nervadas o tipo bovedilla; incluyendo suministro y colocación de perfil UPN 10 (previamente tratado con dos manos de imprimación antioxidante) disponiéndolo por debajo del ala inferior del homólogo existente, y el posterior recatado con mortero estructural fluido de alta resistencia sin retracción (garantizando la correcta adhesión y contacto entre miembros) (STR-FCH).</t>
  </si>
  <si>
    <t>STR.ENC-ENCOFRADOS-01</t>
  </si>
  <si>
    <t>ENCOFRADO Y APEO DE FONDO DE VIGAS</t>
  </si>
  <si>
    <t>moc-std1-encofrado</t>
  </si>
  <si>
    <t>Cuadrilla Std1 Encofrador - 1 Oficial Encofrador de 1ª y 1 Ayudante de Encofrador</t>
  </si>
  <si>
    <t>ma-lp-00253726</t>
  </si>
  <si>
    <t>Perfil de acero estructural tipo UPN 100 mm x 3 m   Ref. lp-00253726</t>
  </si>
  <si>
    <t>ma-lp-00540841</t>
  </si>
  <si>
    <t>Mortero de reparación PROPAM GROUT Mortero Fluido sin Retracción (25 kg/saco)   Ref. lp-00540841</t>
  </si>
  <si>
    <t>ACERO-02</t>
  </si>
  <si>
    <t>REFUERZO LONGITUDINAL COMPLEMENTARIO CON PERFIL UPN 12 EN FONDOS A LA VISTA DE NERVIOS METÁLICOS DE LOSAS O FORJADOS (STR-FCH).</t>
  </si>
  <si>
    <t>Refuerzo longitudinal complementario de perfiles metálicos a la vista en losas nervadas o tipo bovedilla; incluyendo suministro y colocación de perfil UPN 12 (previamente tratado con dos manos de imprimación antioxidante) disponiéndolo por debajo del ala inferior del homólogo existente, y el posterior recatado con mortero estructural fluido de alta resistencia sin retracción (garantizando la correcta adhesión y contacto entre miembros) (STR-FCH).</t>
  </si>
  <si>
    <t>ma-bm-10841901</t>
  </si>
  <si>
    <t>Perfil de acero estructural tipo UPN 120 mm x 3 m   Ref. bm-10841901</t>
  </si>
  <si>
    <t>STR.AC-PLACA-20x20-MAMP-01</t>
  </si>
  <si>
    <t>SUMINISTRO E INSTALACIÓN DE PLACA DE ACERO DE 200x200x10 mm FIJADA A PARAMENTO DE MAMPOSTERÍA CON 4 ANCLAJES QUÍMICOS PARA 15 cm DE PROFUNDIDAD Y SENDOS ESPÁRRAGOS O BARRAS ROSCADAS Ø 12 mm DE ACERO INOXIDABLE (TODO ELLO, PREVIAMENTE TRATADO CON DOS MANOS DE IMPRIMACIÓN ANTIOXIDANTE); INCLUYE LA SOLDADURA DE FIJACIÓN DEL PERFIL METÁLICO A EMPALMAR (STR-FCH).</t>
  </si>
  <si>
    <t>Suministro e instalación de placa de acero de 200x200x10 mm embebida y fijada a la base del paramento de mampostería mediante 4 anclajes químicos para 15 cm de profundidad, y sendos espárragos o barras roscadas Ø 12 mm de acero inoxidable (todo ello, previamente tratado con dos manos de imprimación antioxidante); incluye la soldadura de fijación del perfil metálico IPN10-IPN12 (o similar) a empalmar. Las placas se empotrarán en el paramento existente para quedar caladas dentro del grosor del revestimiento de acabado de fachada (STR-FCH).</t>
  </si>
  <si>
    <t>mo-salarial-peon1</t>
  </si>
  <si>
    <t>Peón Especializado</t>
  </si>
  <si>
    <t>ma-lp-00253732</t>
  </si>
  <si>
    <t>Placa de acero para anclaje de estructura metálica (250x250x8 mm/pza).   Ref. lp-00253732</t>
  </si>
  <si>
    <t>moc-std1-ferralista</t>
  </si>
  <si>
    <t>Cuadrilla Std1 Ferralista - 1 Oficial Ferralista de 1ª + 1 Ayudante de Ferralista</t>
  </si>
  <si>
    <t>mo-ferrallista-oficial1</t>
  </si>
  <si>
    <t>Oficial Ferrallista de 1ª</t>
  </si>
  <si>
    <t>mo-ferrallista-ayudante</t>
  </si>
  <si>
    <t>Ayudante de Ferrallista</t>
  </si>
  <si>
    <t>STR.AC-PLACA-20x20-HORM-01</t>
  </si>
  <si>
    <t>SUMINISTRO E INSTALACIÓN DE PLACA DE ACERO DE 200x200x10 mm FIJADA A PARAMENTO DE HORMIGÓN CON 4 ANCLAJES QUÍMICOS PARA 15 cm DE PROFUNDIDAD Y SENDOS ESPÁRRAGOS O BARRAS ROSCADAS Ø 12 mm DE ACERO INOXIDABLE (TODO ELLO, PREVIAMENTE TRATADO CON DOS MANOS DE IMPRIMACIÓN ANTIOXIDANTE); INCLUYE LA SOLDADURA DE FIJACIÓN DEL PERFIL METÁLICO A EMPALMAR (STR-FCH).</t>
  </si>
  <si>
    <t>Suministro e instalación de placa de acero de 200x200x10 mm embebida y fijada a la base del paramento de hormigón mediante 4 anclajes químicos para 15 cm de profundidad, y sendos espárragos o barras roscadas Ø 12 mm de acero inoxidable (todo ello, previamente tratado con dos manos de imprimación antioxidante); incluye la soldadura de fijación del perfil metálico IPN10-IPN12 (o similar) a empalmar. Las placas se empotrarán en el paramento existente para quedar caladas dentro del grosor del revestimiento de acabado de fachada (STR-FCH).</t>
  </si>
  <si>
    <t>STR.AC-PLACA-30x20-MAMP-01</t>
  </si>
  <si>
    <t>SUMINISTRO E INSTALACIÓN DE PLACA DE ACERO DE 300x200x10 mm FIJADA A PARAMENTO DE MAMPOSTERÍA CON 6 ANCLAJES QUÍMICOS PARA 20 cm DE PROFUNDIDAD Y SENDOS ESPÁRRAGOS O BARRAS ROSCADAS Ø 12 mm DE ACERO INOXIDABLE (TODO ELLO, PREVIAMENTE TRATADO CON DOS MANOS DE IMPRIMACIÓN ANTIOXIDANTE); INCLUYE LA SOLDADURA DE FIJACIÓN DEL PERFIL METÁLICO A EMPALMAR (STR-FCH).</t>
  </si>
  <si>
    <t>Suministro e instalación de placa de acero de 300x200x10 mm embebida y fijada a la base del paramento de mampostería mediante 6 anclajes químicos para 20 cm de profundidad, y sendos espárragos o barras roscadas Ø 12 mm de acero inoxidable (todo ello, previamente tratado con dos manos de imprimación antioxidante); incluye la soldadura de fijación del perfil metálico IPN14-IPN16 (o similar) a empalmar. Las placas se empotrarán en el paramento existente para quedar caladas dentro del grosor del revestimiento de acabado de fachada (STR-FCH).</t>
  </si>
  <si>
    <t>ma-hierromiguel-placa.300x200x10</t>
  </si>
  <si>
    <t>Placa de acero para anclaje de estructura metálica 300x200x10 mm   Ref. hierromiguel-placa.300x200x10</t>
  </si>
  <si>
    <t>STR.AC-PLACA-30x20-HORM-01</t>
  </si>
  <si>
    <t>SUMINISTRO E INSTALACIÓN DE PLACA DE ACERO DE 300x200x10 mm FIJADA A PARAMENTO DE HORMIGÓN CON 6 ANCLAJES QUÍMICOS PARA 25 cm DE PROFUNDIDAD Y SENDOS ESPÁRRAGOS O BARRAS ROSCADAS Ø 12 mm DE ACERO INOXIDABLE (TODO ELLO, PREVIAMENTE TRATADO CON DOS MANOS DE IMPRIMACIÓN ANTIOXIDANTE); INCLUYE LA SOLDADURA DE FIJACIÓN DEL PERFIL METÁLICO A EMPALMAR (STR-FCH).</t>
  </si>
  <si>
    <t>Suministro e instalación de placa de acero de 300x200x10 mm embebida y fijada a la base del paramento de hormigón mediante 6 anclajes químicos para 25 cm de profundidad, y sendos espárragos o barras roscadas Ø 12 mm de acero inoxidable (todo ello, previamente tratado con dos manos de imprimación antioxidante); incluye la soldadura de fijación del perfil metálico IPN14-IPN16 (o aimilar) a empalmar. Las placas se empotrarán en el paramento existente para quedar caladas dentro del grosor del revestimiento de acabado de fachada (STR-FCH).</t>
  </si>
  <si>
    <t>STR.AC-SANEADO-PERFIL.20-GAM</t>
  </si>
  <si>
    <t>SANEADO DE VIGAS METÁLICAS h &lt;=20 cm MEDIANTE LIJADO MANUAL DE ZONAS AFECTADAS 30% POR CORROSIÓN Y APLICADOR DE CONVERTIDOR DE ÓXIDO DE RESINAS</t>
  </si>
  <si>
    <t>Saneado de vigas metálicas h &lt;= 20 cm mediante lijado manual de zonas afectadas 30% por corrosión y aplicador de convertidor de óxido de resinas; incluye eventual suplementación de material.</t>
  </si>
  <si>
    <t>STR.AC-SANEADO-PERFIL.20-GAA</t>
  </si>
  <si>
    <t>SANEADO DE VIGAS METÁLICAS h &lt;= 20 cm MEDIANTE LIJADO MANUAL DE ZONAS AFECTADAS 50% POR CORROSIÓN Y APLICADOR DE CONVERTIDOR DE ÓXIDO DE RESINAS</t>
  </si>
  <si>
    <t>Saneado de vigas metálicas h &lt;= 20 cm mediante lijado manual de zonas afectadas 50% por corrosión y aplicador de convertidor de óxido de resinas; incluye eventual suplementación de material.</t>
  </si>
  <si>
    <t>FABRICACIÓN DE GRAPAS DE ACERO CORRUGADO 10 mm PARA REPARAR GRIETAS EN FACHADAS (15x50x15 cm/pza)</t>
  </si>
  <si>
    <t>STR.AC-PRESILLAS-80x6-L10a12cm</t>
  </si>
  <si>
    <t>S/C PRESILLAS DE ATADO (largo &lt;= 12 cm) EN PERFILES METÁLICOS CON PLETINA DE ACERO ACABADO LAMINADO EN CALIENTE (ancho 80 mm; espesor 6 mm)</t>
  </si>
  <si>
    <t>ENCOFRADOS</t>
  </si>
  <si>
    <t>ENCOFRADOS EN ESTRUCTURAS</t>
  </si>
  <si>
    <t>ENCOFRADO
 Y APEO DE FONDO DE VIGAS</t>
  </si>
  <si>
    <t>mo-encofrador-oficial1</t>
  </si>
  <si>
    <t>Oficial Encofrador de 1ª</t>
  </si>
  <si>
    <t>mo-encofrador-ayudante</t>
  </si>
  <si>
    <t>Ayudante de Encofrador</t>
  </si>
  <si>
    <t>HONORARIOS</t>
  </si>
  <si>
    <t>HONORARIOS PROFESIONALES</t>
  </si>
  <si>
    <t>MAQUINARIAS</t>
  </si>
  <si>
    <t>MAQUINARIAS Y EQUIPOS</t>
  </si>
  <si>
    <t>Martillo demoledor GSH 16-30. Ventajas: - Máximo rendimiento en el arranque de material gracias a una energía de impacto de 45 J y un motor de 1.750 W de potencia - Sistema Vibration Control para reducir las vibraciones y aumentar así el tiempo de trabajo y la comodidad de uso - Excelente manejabilidad gracias a su gran empuñadura - El interruptor ON/OFF está situado en un lugar óptimo, de modo que se evita una desconexión involuntaria de la herramienta - Máxima vida útil gracias a su robusta construcción y al uso de materiales de alta calidad - Se suministra con cincel, empuñadura adicional y trolley. Peso aprox. 16,9 kg.   Ref. 00254673</t>
  </si>
  <si>
    <t>Taladro percutor Bosch GSB 20-2 multiusos con cable de dos velocidades y robusta carcasa metálica del engranaje para alargar su vida útil. Función inteligente KickBack Control para aumentar la protección del usuario. Potente motor para un rápido avance del trabajo. Indicado para taladrar hormigón, piedra y mampostería. Es compatible con el aspirador de polvo GDE 16 Cyl Professional. Incluye funciones como Autolock, control de giro y selección de velocidad. Se suministra con portabrocas de sujección rápida de 13 mm, empuñadura adicional, tope de profundidad de 210 mm y estuche L-BOXX.   Ref. 00469501</t>
  </si>
  <si>
    <t>Equipo de soldadura MMA inverter, DC 200 Amp. con rendimiento del 60%. (230v) Para uso profesional. Cuenta con transistores IGBT y diodos de recuperación rápida, lo cual asegura una regulación uniforme de la corriente de soldar y garantiza un arco eléctrico adecuado. con protección dinámica avanzada que posibilita un proceso de soldadura fiable y seguro Para electrodos de rutilo, básico, inoxidables y de fundición hasta un diámetro de 4mm. Conexión DINSE 50.   Ref. 00559161</t>
  </si>
  <si>
    <t>MATERIALES</t>
  </si>
  <si>
    <t>ACC.EQPS.y.HERRAMIENTAS</t>
  </si>
  <si>
    <t>ACCESORIOS DE EQUIPOS Y HERRAMIENTAS</t>
  </si>
  <si>
    <t>Hilo de estaño/plata 8%, diámetro de 2 mm de ROTHENBERGER, para soldaduras de cobre y latón (250 gr/carrete).   Ref. bd-8435065001471</t>
  </si>
  <si>
    <t>Disco de corte ERBAUER para acero inoxidable y otros metales. Formato: blíster 1 unidad. Uso recomendado: con amoladora angular. Medidas: Ø 125 X 22.2 X 1 mm. Revoluciones (máx): 12.250 rpm.   Ref. bd-EAN.5059340418391.</t>
  </si>
  <si>
    <t>ma-lm-10541755</t>
  </si>
  <si>
    <t>Decapante universal para soldadura blanda GRIFFON S-39 (80 ml/envase).   Ref. lm-10541755</t>
  </si>
  <si>
    <t>Decapante de soldadura universal sin ácido, para la soldadura blanda de todos los metales (a excepción del aluminio y sus aleaciones) en prácticamente todos los campos de aplicación.   Ref. ma-lm-10541755
Adecuado para todo tipo de soldadura de estaño sólido. No apto para tuberías de agua potable. Esto requiere el uso de un fundente aprobado por KIWA en combinación con una aleación sin plomo.</t>
  </si>
  <si>
    <t>Decapante líquido con pincel para soldar. Líquido decapante autolimpiador en base acuosa libre de ácido. Como no se requiere una limpieza previa, directamente se aplica Decapante Líquido sobre las dos superficies a soldar, con el pincel que lleva incorporado. Seguidamente se debe calentar con el soplete hasta conseguir la temperatura adecuada, aportando a continuación la soldadura.   Ref. lm-86218534</t>
  </si>
  <si>
    <t>ma-lp-00016788</t>
  </si>
  <si>
    <t>Bandas de lija en tela de óxido de aluminio de RESINFLEX 100x610 mm grano P150 (10 lijas/paquete).   Ref. lp-00016788</t>
  </si>
  <si>
    <t>Bandas portátiles abrasivas RESINFLEX FR3 de tela de óxido de aluminio con buen rendimiento a velocidades bajas. Con abrasivo de óxido de aluminio y soporte de algodón pesado. Ideal para muebles y parquets. Grano Nº 150. Medidas: 100x610 mm.   Ref. lp-00016788.</t>
  </si>
  <si>
    <t>Características:- Broca helicoidal de acero ultrarrápido según DIN 340.- Broca helicoidal de corte a la derecha tipo N, punta de broca 135°, afilado en cruz según DIN 1412 C, tolerancia de diámetro h 8.- Brocas helicoidales totalmente rectificadas con capa de óxido para una evacuación óptima de las virutas.- El extremo de inserción se corresponde con el diámetro de perforación. Color de broca: brillante.- 2 aristas de corte, cilíndricas, de 2 espirales.- Medidas: 12x134x205 mm.   Ref. lp-00017168</t>
  </si>
  <si>
    <t>El cepillo taza de acero 50813-120 de BELLOTA está indicado para trabajar grandes superficies metálicas en amoladoras angulares y en miniamoladoras para zonas de difícil acceso. Longitud de 120 mm.   Ref. lp-00017597.</t>
  </si>
  <si>
    <t>ma-lp-00017603</t>
  </si>
  <si>
    <t>Cepillo Taza acero latonado 125 mm 50812-125 de BELLOTA.   Ref. lp-00017603</t>
  </si>
  <si>
    <t>El cepillo taza de acero 50812-125 de BELLOTA está indicado para trabajar grandes superficies metálicas en amoladoras angulares y en miniamoladoras para zonas de difícil acceso. Longitud de 125 mm.   Ref. 00017603.</t>
  </si>
  <si>
    <t>ma-lp-00017895</t>
  </si>
  <si>
    <t>Cutter FATMAX 18mm de STANLEY.   Ref. lp-00017895</t>
  </si>
  <si>
    <t>Cútter FATMAX con cuerpo de acero inoxidable. Mango bimateria. Cambio rápido de la hoja.   Ref. lp-00017895.
Gracias a su diseño de almacenaje una vez eliminada la hoja antigua, automáticamente aparecerá la nueva. Mecanismo de limpieza de la hoja. Botón de bloqueo. Este mecanismo evita la oscilación de la hoja y permite realizar cortes más precisos. Rompe hojas extraíble. Almacenamiento de 6 hojas. Ancho de la cinta de 18 mm. Longitud de 180 mm.</t>
  </si>
  <si>
    <t>ma-lp-00018838</t>
  </si>
  <si>
    <t>Navaja cutter plegable de URKO.   Ref. lp-00018838</t>
  </si>
  <si>
    <t>Navaja suiza con hoja trapezoidal escamoteable y sistema de seguridad. Cuchilla fácilmente recargable. Plegable: apretar el resorte hacia abajo y plegar.   Ref. lp-00018838.</t>
  </si>
  <si>
    <t>Soplete Soldador ROFIRE PIEZO de ROTHENBERGER con encendido piezoeléctrico y 3 botellas o cartuchos Multigas 300. Regulador de la llama. Ajuste preciso de la llama. Boquillas del soplete intercambiables en caso de requerir reparación. Conexión: 7/16" EU. Soldadura fuerte: hasta diámetro de 15 mm. Soldadura blanda: hasta diámetro de 22 mm.   Ref. lp-00018993</t>
  </si>
  <si>
    <t>ma-lp-00019523</t>
  </si>
  <si>
    <t>Cuchilla navaja para cutter 0,6 mm de URKO (10 pzas/pack).   Ref. lp-00019523</t>
  </si>
  <si>
    <t>Pack de 10 cuchillas de recambio de longitud 60 mm y 0,6 mm de espesor para la navaja-cútter plegable modelo 113.   Ref. lp-00019523.</t>
  </si>
  <si>
    <t>ma-lp-00112817</t>
  </si>
  <si>
    <t>Decapante en gel para soldar UNECOL (100 gr/envase). Ref. lp-00112817</t>
  </si>
  <si>
    <t>Decapante en gel para soldar. Autolimpiador en base acuosa libre de ácido. Como no se requiere una limpieza previa, directamente se aplica Decapante sobre las dos superficies a soldar, Seguidamente se debe calentar con el soplete hasta conseguir la temperatura adecuada, aportando a continuación la soldadura. Disponible en líquido, gel y pasta.   Ref. lp-00112817</t>
  </si>
  <si>
    <t>ma-lp-00112821</t>
  </si>
  <si>
    <t>Decapante líquido con pincel para soldar UNECOL (100 ml/envase).   Ref. lp-00112821</t>
  </si>
  <si>
    <t>Decapante líquido con pincel para soldar. Líquido decapante autolimpiador en base acuosa libre de ácido. Como no se requiere una limpieza previa, directamente se aplica Decapante Líquido sobre las dos superficies a soldar, con el pincel que lleva incorporado. Seguidamente se debe calentar con el soplete hasta conseguir la temperatura adecuada, aportando a continuación la soldadura. Disponible en líquido, gel y pasta.   Ref. lp-00112821</t>
  </si>
  <si>
    <t>Disco abrasivo para uso con amoladora de 115 mm. Especialmente indicado para el corte de acero inoxidable ya que proporciona un corte fino. Medidas: 115x1x22,23 mm.   Ref. lp-00288080</t>
  </si>
  <si>
    <t>Juego de 19 Brocas rectificadas HSS-Co, fabricadas con 5% de cobalto y con una aleación de acero altamente resistente al calor conforme DIN 338 Adecuadas para taladrar aceros y metales con una resistencia a la tracción superior a 1000N/mm², como aceros resistentes al calor, al ácido y acero inoxidable.   Ref. lp-00367910</t>
  </si>
  <si>
    <t>Bridas de polipropileno para la nivelación de pavimentos y revestimientos cerámicos. Permiten una línea de lechada de 1,5 mm.   Ref. lp-00532404</t>
  </si>
  <si>
    <t>Cuñas de polipropileno y poliamida para la nivelación de pavimentos y revestimientos cerámicos.   Ref lp-00532407.</t>
  </si>
  <si>
    <t>ma-lp-00532409</t>
  </si>
  <si>
    <t>Tenaza de nivelación BIGMAT para trabajos con cuñas y bridas en nivelación de pavimentos y revestimientos cerámicos.   Ref. lp-00532409</t>
  </si>
  <si>
    <t>Tenaza metálica fabricada en poliamida con fibra de vidrio y refuerzo metálico interior, para trabajos con cuñas y bridas en la nivelación de pavimentos y revestimientos cerámicos. Permite ajustar la cuña sobre la base en el sistema de nivelación de cerámica.   Ref. lp-00532409.</t>
  </si>
  <si>
    <t>ma-lp-00533056</t>
  </si>
  <si>
    <t>Cuchilla para cutter 18 mm (10 pzas/pack).   Ref. lp-00533056</t>
  </si>
  <si>
    <t>Cuchilla para cutter 18 mm.   Ref. lp-00533056.</t>
  </si>
  <si>
    <t>ma-lp-00538683</t>
  </si>
  <si>
    <t>Broca diamantada porcelánico 6 mm de VACUUM BRAZING.   Ref. lp-00538683</t>
  </si>
  <si>
    <t>Brocas diamantadas para corte en seco, no es necesaria la lubricación con agua. Para perforar materiales cerámicos, gres, gres porcelánico (porcelanato), mármol, granito.   Ref. lp-00538683.
Tecnología VACUUM BRAZING (soldadura en vacío) que mejora la retención de los granos de diamante, consiguiendo incrementar considerablemente la vida útil de la broca, aumentando la resistencia al calentamiento y al desgaste por fricción.</t>
  </si>
  <si>
    <t>ma-lp-00538684</t>
  </si>
  <si>
    <t>Broca diamantada porcelánico 8 mm de VACUUM BRAZING.   Ref. lp-00538684</t>
  </si>
  <si>
    <t>Brocas diamantadas para corte en seco, no es necesaria la lubricación con agua. Para perforar materiales cerámicos, gres, gres porcelánico (porcelanato), mármol, granito.   Ref. lp-00538684.
Tecnología VACUUM BRAZING (soldadura en vacío) que mejora la retención de los granos de diamante, consiguiendo incrementar considerablemente la vida útil de la broca, aumentando la resistencia al calentamiento y al desgaste por fricción.</t>
  </si>
  <si>
    <t>ma-lp-00538685</t>
  </si>
  <si>
    <t>Broca diamantada porcelánico 10 mm de VACUUM BRAZING.   Ref. lp-00538685</t>
  </si>
  <si>
    <t>Brocas diamantadas para corte en seco, no es necesaria la lubricación con agua. Para perforar materiales cerámicos, gres, gres porcelánico (porcelanato), mármol, granito.   Ref. lp-00538685.
Tecnología VACUUM BRAZING (soldadura en vacío) que mejora la retención de los granos de diamante, consiguiendo incrementar considerablemente la vida útil de la broca, aumentando la resistencia al calentamiento y al desgaste por fricción.</t>
  </si>
  <si>
    <t>Disco Diamante Turbo DHTI de MILWAUKEE diseñado para cortar sin descantillar en baldosa y piedra natural fina. Altura de segmento: Ancho de corte 2 mm.   Ref. lp-00539160</t>
  </si>
  <si>
    <t>ma-lp-00539955</t>
  </si>
  <si>
    <t>Cruceta plástica BIGMAT de 1 mm para instalación de baldosas de cerámica. (500 pzas/bolsa)    Ref.: 00539955</t>
  </si>
  <si>
    <t>Cruceta plástica BIGMAT de 1 mm para instalación de baldosas de cerámica. (500 pzas/bolsa)</t>
  </si>
  <si>
    <t>Cruceta plástica BIGMAT de 1,5 mm para instalación de baldosas de cerámica. (500 pzas/bolsa)</t>
  </si>
  <si>
    <t>ma-lp-00539957</t>
  </si>
  <si>
    <t>bolas</t>
  </si>
  <si>
    <t>Cruceta plástica BIGMAT de 2 mm para instalación de baldosas de cerámica. (500 pzas/bolsa)   Ref.: 00539957</t>
  </si>
  <si>
    <t>Cruceta plástica BIGMAT de 2 mm para instalación de baldosas de cerámica. (500 pzas/bolsa)</t>
  </si>
  <si>
    <t>Disco diamante porcelánico BIG-SPRINT de BIGMAT turbo 115 mm. Disco de alta concentración diamantada para cortar con rapidez y perfecto acabado todo tipo de materiales duros, especialmente el Gres Porcelánico.   Ref. lp-00552545</t>
  </si>
  <si>
    <t>ma-lp-00556676</t>
  </si>
  <si>
    <t>Disco de corte BIGMAT estándar para acero inoxidable 115x1 retractilado.   Ref. lp-00556676</t>
  </si>
  <si>
    <t>Disco de corte BIGMAT estándar para acero inoxidable 115x1 retractilado. Disco de corte fino para acero inoxidable. Sin hierro, azufre ni cloro. Mínima formación de rebaba. Buen rendimiento de corte con una presión de contacto reducida.   Ref. lp-00556676</t>
  </si>
  <si>
    <t>ma-lp-00556677</t>
  </si>
  <si>
    <t>Disco de corte BIGMAT estándar para acero inoxidable 230x1,9 retractilado.   Ref.: lp-00556677</t>
  </si>
  <si>
    <t>Disco de corte BIGMAT estándar para acero inoxidable 230x1,9 retractilado. Disco de corte fino para acero inoxidable. Sin hierro, azufre ni cloro. Mínima formación de rebaba. Buen rendimiento de corte con una presión de contacto reducida.   Ref.: lp-00556677</t>
  </si>
  <si>
    <t>ma-lp-00556679</t>
  </si>
  <si>
    <t>Disco de corte BIGMAT estándar para metal 230x3.   Ref. lp-00556679</t>
  </si>
  <si>
    <t>Disco de corte BIGMAT estándar para metal 115x2,5.   Ref. lp-00556679</t>
  </si>
  <si>
    <t>ma-lp-00557410</t>
  </si>
  <si>
    <t>Broca para metal MILWAUKEE THUNDERWEB HSS; 12.0X151 mm   Ref. lp-00557410</t>
  </si>
  <si>
    <t>El diseño THUNDERWEB esta basado en una alma cónica, la cual es más estrecha en la punta de la broca y más gruesa al final de la espiral. Las brocas estándar tienen un grosor constante a lo largo de su alma. Aún así, la zona más estrecha de nuestra broca, es más gruesa comparada con la competencia.
- Sección de la espiral: Alma de la broca reforzada gracias a su espesor
- Diseño de la espiral - La espiral THUNDERWEB elimina las virutas rápidamente, disipa mejor el calor aumentando la durabilidad
- Punta de 4 cortes afilada a 135° - Comienzos de precisión, la broca no patina en la superficie
- El acabado pulido reduce la fricción y aumenta la durabilidad de la broca
- Estuche en ABS y esquinas engomadas, resistente a los golpes
- Menos roturas al resistir mayor torsión y presión</t>
  </si>
  <si>
    <t>ma-lp-00557439</t>
  </si>
  <si>
    <t>Broca para hormigón SDS-Plus M2 MILWAUKEE; 14x160 mm   Ref. lp-00557439</t>
  </si>
  <si>
    <t>ma-lp-00564134</t>
  </si>
  <si>
    <t>Bandas de lija KL de KLINSPOR 100x610 mm grano P100 (3 lijas/caja).   Ref. lp-00564134</t>
  </si>
  <si>
    <t>ma-lp-00564171</t>
  </si>
  <si>
    <t>Disco de corte BIGMAT inox/metal 125x2,5 mm retractilado.   Ref. lp-00564171</t>
  </si>
  <si>
    <t>Disco de corte BIGMAT para acero inoxidable y otros metales. Formato: blíster 1 unidad. Uso recomendado: con amoladora angular. Medidas: Ø 125 X 22.2 X 2.5 mm. Revoluciones (máx): 12.250 rpm.   Ref. lp-00564171.</t>
  </si>
  <si>
    <t>ma-lp-00564172</t>
  </si>
  <si>
    <t>Disco de corte BIGMAT inox/metal 125x1 mm retractilado.   Ref. lp-00564172</t>
  </si>
  <si>
    <t>Disco de corte BIGMAT para acero inoxidable y otros metales. Formato: blíster 1 unidad. Uso recomendado: con amoladora angular. Medidas: Ø 125 X 22.2 X 1 mm. Revoluciones (máx): 12.250 rpm.   Ref. lp-00564172.</t>
  </si>
  <si>
    <t>ma-lp-00564750</t>
  </si>
  <si>
    <t>Lata de 10 discos BIGMAT A660R para acero inoxidable 125X1X22,23   Ref.: 00564750</t>
  </si>
  <si>
    <t>ma-lp-00564751</t>
  </si>
  <si>
    <t>Lata de 10 discos de corte BIGMAT estándar para acero inoxidable 115X1X22,23 retractilado.   Ref. lp-00564751</t>
  </si>
  <si>
    <t>Lata de 10 discos de corte BIGMAT estándar para acero inoxidable 115x1 retractilado. Disco de corte fino para acero inoxidable. Sin hierro, azufre ni cloro. Mínima formación de rebaba. Buen rendimiento de corte con una presión de contacto reducida.   Ref. lp-00564751</t>
  </si>
  <si>
    <t>ACERO.INOXIDABLE</t>
  </si>
  <si>
    <t>ACERO INOXIDABLE</t>
  </si>
  <si>
    <t>Gárgola de acero inoxidable AISI 304, formada por placa en L de 100x100 mm, y tubo de salida de 45 mm de diámetro y 250 mm de longitud.   Ref. Schluter.Systems-KD.SPE.45/25
Schlüter-KERDI-DRAIN-SP es un imbornal (gárgola) de acero inoxidable que permite el desagüe de superficies en balcones y terrazas delimitadas por un muro. El manguito Schlüter-KERDI se pega sobre la pletina como entrega impermeable que garantiza una unión sencilla y segura a la impermeabilización. Si existen muros perimetrales que impiden la evacuación del agua por los lados, deberán instalarse dos desagües independientes según la norma DIN EN 12056, como p. ej. un desagüe por el suelo y un imbornal, o dos imbornales. De conformidad con la reglamentación, el segundo imbornal servirá como rebosadero de seguridad.</t>
  </si>
  <si>
    <t>ma-aliexpress-placa.ai-100x100mm</t>
  </si>
  <si>
    <t>Placa cuadrada pulida de acero inoxidable 316, espesor 2 mm (150x150 mm/pza).   Ref. aliexpress-placa.ai-100x100mm</t>
  </si>
  <si>
    <t>ma-aliexpress-placa.ai-150x150mm</t>
  </si>
  <si>
    <t>Placa cuadrada pulida de acero inoxidable 316, espesor 2 mm (150x150 mm/pza).   Ref. aliexpress-placa.ai-150x150mm</t>
  </si>
  <si>
    <t>ma-aliexpress-placa.ai-50x50mm</t>
  </si>
  <si>
    <t>Placa cuadrada pulida de acero inoxidable 316, espesor 2 mm (150x150 mm/pza).   Ref. aliexpress-placa.ai-50x50mm</t>
  </si>
  <si>
    <t>Barandilla de acero inoxidable AISI 304 acabado brillante de 100 cm de altura, compuesta de pasamanos de 42 mm de diámetro, sujeto a montantes verticales provistos de remate superior inclinado hacia el interior, respecto al plano vertical de la barandilla, para dificultar su escalada de 40x10 mm dispuestos cada 120 cm y entrepaño de 3 barrotes horizontales de 16 mm de diámetro soldados a los montantes.   Ref. cype-mt26dbe330a.</t>
  </si>
  <si>
    <t>ma-centralbiomasa-2500042</t>
  </si>
  <si>
    <t>Abrazadera mural para tubo modular doble pared acero inoxidable 200 mm para conductos AISI 304 de SCHÜTZ o ROS TUBOS.   Ref. centralbiomasa-2500042</t>
  </si>
  <si>
    <t>ma-centralbiomasa-2500043</t>
  </si>
  <si>
    <t>Abrazadera mural para tubo modular doble pared acero inoxidable 250 mm para conductos AISI 304 de SCHÜTZ o ROS TUBOS.   Ref. centralbiomasa-2500043</t>
  </si>
  <si>
    <t>ma-centralbiomasa-4600706</t>
  </si>
  <si>
    <t>Abrazadera pared regulable doble pared acero inoxidable 200 mm para conductos AISI 304 de SCHÜTZ o ROS TUBOS.   Ref. centralbiomasa-4600706</t>
  </si>
  <si>
    <t>ma-ggb-placa.ai-150x150mm</t>
  </si>
  <si>
    <t>Placa cuadrada pulida de acero inoxidable 304 2B, espesor 3 mm (150x150 mm/pza).   Ref. ggb-placa.ai-150x150mm</t>
  </si>
  <si>
    <t>ma-guma-RCI304006</t>
  </si>
  <si>
    <t>Redondo corrugado de acero inoxidable (6 mm x 6m/pza).    Ref. guma-RCI304006</t>
  </si>
  <si>
    <t>ma-lm-18608583</t>
  </si>
  <si>
    <t>Tensor de acero inoxidable 5 mm de STANDERS.   Ref. lm-18608583</t>
  </si>
  <si>
    <t>Tensor STANDERS de 5 mm de diámetro fabricado en acero inoxidable con acabado de color gris plata. Soporta un peso de 50 kg/daN.   Ref. lm-18608583.</t>
  </si>
  <si>
    <t>ma-lp-00149701</t>
  </si>
  <si>
    <t>Pinza maciza redonda con base plana en acero inoxidable satinado AISI 316 (4 unds (50x40x28 mm)/paquete).   Ref. lp-00149701</t>
  </si>
  <si>
    <t>Pinza maciza redonda en acero inoxidable AISI 316 acabado satinado para vidrio en chapa con base plana. Medidas: 50x40x28 mm. Peso: 0,18 kg.   Ref. lp-00149701.</t>
  </si>
  <si>
    <t>ma-lp-00149728</t>
  </si>
  <si>
    <t>Pinza maciza redonda con base curva en acero inoxidable satinado AISI 316 (4 unds (50x40x28 mm)/paquete).   Ref. lp-00149728</t>
  </si>
  <si>
    <t>Pinza maciza redonda en acero inoxidable AISI 316 acabado satinado para vidrio en chapa con base curva. Medidas: 50x40x28 mm. Peso: 0,18 kg.   Ref. lp-00149728.</t>
  </si>
  <si>
    <t>ma-lp-00149737</t>
  </si>
  <si>
    <t>Pinza maciza redonda con base curva en acero inoxidable satinado AISI 316 (4 unds (63x45x30 mm)/paquete).   Ref. lp-00149737</t>
  </si>
  <si>
    <t>Pinza maciza redonda en acero inoxidable AISI 316 acabado satinado para vidrio en chapa con base plana. Medidas: 63x45x30 mm. Peso: 0,19 kg.   Ref. lp-00149737.</t>
  </si>
  <si>
    <t>Grapa de acero inoxidable 200x95x10 mm indicada para la reparación de grietas y fisuras en fachadas.   Ref. lp- 00278894</t>
  </si>
  <si>
    <t>ma-lp-00278895</t>
  </si>
  <si>
    <t>Grapa de acero inoxidable para reparar grietas en fachadas (125x95x10 mm).   Ref. lp-00278895</t>
  </si>
  <si>
    <t>Grapa de acero inoxidable 125x95x10 mm indicada para la reparación de grietas y fisuras en fachadas.   Ref. lp- 00278895</t>
  </si>
  <si>
    <t>Electrodo revestido de rutilo con 110% de rendimiento depósito de soldadura austenítico, con resistencia contra la corrosión intercristalina hasta 400 ºC.   Ref. lp-00351248</t>
  </si>
  <si>
    <t>ma-lp-00351616</t>
  </si>
  <si>
    <t>Electrodo rutilo para acero inoxidable EUTECTRODE E 316L-17 CASTOLÍN EUTECTIC; 3,25x350mm (5 varillas/caja).   Ref. lp-00351616</t>
  </si>
  <si>
    <t>Electrodo revestido de rutilo con 110% de rendimiento depósito de soldadura austenítico, con resistencia contra la corrosión intercristalina hasta 400 ºC.   Ref. lp-00351616</t>
  </si>
  <si>
    <t>Varilla antiposamiento de palomas, gaviotas y aves pequeñas, con púas y base 100 % acero inoxidable.   Ref. lp-00564478.
La base está garantizada por una duración de más de 25 años. Cada pieza mide 50 cm de largo y dispone de 32 púas (grosor: 1,3 mm; altura: 11,5 cm; ancho: 16 cm) que protegen hasta 19 cm. Se puede pegar o atornillar, si se elige esta segunda opción puede llegar a durar casi eternamente si se instala correctamente.</t>
  </si>
  <si>
    <t>Tubo redondo acero inoxidable 304L soldado HF para decoración diámetro exterior 30 mm espesor 1,5 mm.   Ref. manomano-ME2856043.</t>
  </si>
  <si>
    <t>Grapa para grietas Norma MFB16 Material: Corrugado Acabado: Crudo/Acero Inox AISI 304 Descripción: Varilla en forma de "U".   Ref. sie-GP07 (sie=SUBMINISTRAMENTS INDUSTRIALES ESQUERDA).
Aplicación: Impedirá la expansión de la grieta de su pared, suelo o techo independientemente del material del que sea la superficie a reparar (pladur, piedra, asfalto, hormigón, ladrillo, etc.), “cosiendo" la grieta a intervalos, asegurando así la estructura vista (fabricadas en una sola pieza, el corrugado ferroso se suministra crudo para usar como testigo).</t>
  </si>
  <si>
    <t>ALBANILERIA.Y.CONEXOS</t>
  </si>
  <si>
    <t>MATERIALES DE ALBAÑILERÍA Y CONEXOS</t>
  </si>
  <si>
    <t>ma-bauhaus-24093134</t>
  </si>
  <si>
    <t>Ladrillo picholín refractario R-40/H-9 (22x3 cm/pza).   Ref. bauhaus-24093134</t>
  </si>
  <si>
    <t>El ladrillo refractario de arcilla cocida es un elemento de construcción desarrollado para ser colocado en zonas que requieran propiedades refractarias. Este ladrillo desempeña una función estructural pero también decorativa.   Ref. bauhaus-24093134.</t>
  </si>
  <si>
    <t>ma-bm-25030333</t>
  </si>
  <si>
    <t>Bovedilla cerámica (640x220x130 mm/pza).   Ref. bm-25030333</t>
  </si>
  <si>
    <t>Bovedilla cerámica para la elaboración de forjados unidireccionales entre vigas. Medida 65x13x22 cm.   Ref. bm-25030333.</t>
  </si>
  <si>
    <t>ma-fl-12110220</t>
  </si>
  <si>
    <t>Plaqueta/Pichulín PL02 LLISA ; color champagne (28x5x1,4 cm/pza).   Ref. fl-12110220</t>
  </si>
  <si>
    <t>Plaqueta/Pichulín PL02 LLISA ; color champagne (28x5x1,4 cm/pza).   Ref. fl-12110220
1 caja contiene 1 m2 con 56 piezas</t>
  </si>
  <si>
    <t>ma-fl-12110223</t>
  </si>
  <si>
    <t>Plaqueta/Pichulín PL01 LLISA ; color beige (28x5x1,4 cm/pza).   Ref. fl-12110223</t>
  </si>
  <si>
    <t>Plaqueta/Pichulín PL01 LLISA ; color beige (28x5x1,4 cm/pza).   Ref. fl-12110223
1 caja contiene 1 m2 con 56 piezas</t>
  </si>
  <si>
    <t>ma-fl-12110226</t>
  </si>
  <si>
    <t>Plaqueta/Pichulín PL02 LLISA ; color ton pierre (28x5x1,4 cm/pza).   Ref. fl-12110226</t>
  </si>
  <si>
    <t>Plaqueta/Pichulín PL02 LLISA ; color ton pierre (28x5x1,4 cm/pza).   Ref. fl-12110226
1 caja contiene 1 m2 con 56 piezas</t>
  </si>
  <si>
    <t>Balaustre de hormigón GÉNOVA 12x12x75cm de VERNIPRENS, clásico e hidrofugado. Se fabrican en usa sola pieza, careciendo así de la antiestética junta. Solución ideal que aporta elegancia con sus formas y un acabado fino. Entrega en 24/48 horas.   Ref. lm-14613921.</t>
  </si>
  <si>
    <t>ma-lm-14792484</t>
  </si>
  <si>
    <t>Gárgola de hormigón MIÑO; color blanco (30x10x6 cm/pza).   Ref. lm-14792484</t>
  </si>
  <si>
    <t>Gárgola de hormigón en color blanco, con dimensiones de 31x12 cm, es una solución diseñada para la evacuación del agua de lluvia en terrazas y balcones, proyectándola lejos de la fachada.   Ref. lm-14792484.
Este elemento no solo cumple con un propósito práctico, evitando la acumulación de agua y la posible filtración en la estructura del edificio, sino que también añade un toque decorativo al exterior. El blanco puro de la gárgola facilita su integración en cualquier diseño arquitectónico, manteniendo la coherencia estética con el estilo del edificio. Fabricada con hormigón de alta calidad, garantiza durabilidad y resistencia al desgaste natural por la intemperie, lo que resulta en una solución de drenaje de bajo mantenimiento y larga vida útil. La instalación de esta gárgola de hormigón es sencilla, ofreciendo una funcionalidad imprescindible sin comprometer la belleza del diseño exterior.</t>
  </si>
  <si>
    <t>ma-lp-00000363</t>
  </si>
  <si>
    <t>Ladrillo cerámico NATURAL HIDROFUGADO ALCÁNTARA de LA PALOMA CERÁMICAS (24x11,5x5 cm/pza).   Ref. lp-00000363</t>
  </si>
  <si>
    <t>El ladrillo cara vista cerámico natural hidrofugado Alcántara, es una variante con origen rojizo y tendente a una cromática salmón, con resultados muy homogéneos y estéticamente agradables en fachada. 4 caras vistas. Color rojizo. Medidas: 24x11,5x5 cm.   Ref. lp-00000363.</t>
  </si>
  <si>
    <t>ma-lp-00000364</t>
  </si>
  <si>
    <t>Ladrillo cerámico NATURAL HIDROFUGADO MARRÓN de LA PALOMA CERÁMICAS (24x11,5x5 cm/pza).   Ref. lp-00000364</t>
  </si>
  <si>
    <t>Ladrillo cara vista cerámico natural hidrofugado Marrón. Un modelo que ofrece grandes posibilidades, tanto en colocación única como en combinación con ladrillos de tonalidad más clara. 4 caras vistas. Color marrón. Medidas: 24x11,5x5 cm.   Ref. lp-00000364.</t>
  </si>
  <si>
    <t>ma-lp-00001117</t>
  </si>
  <si>
    <t>Bloque de hormigón común de SUBEROLITA (40x20x15 cm/pza).   Ref. lp-00001117</t>
  </si>
  <si>
    <t>El bloque común de hormigón de SUBEROLITA se utiliza para construir tabiques y muros de habilitación exterior.   Ref. lp-00001117.</t>
  </si>
  <si>
    <t>ma-lp-00001118</t>
  </si>
  <si>
    <t>Bloque de hormigón común de SUBEROLITA (40x20x20 cm/pza).   Ref. lp-00001118</t>
  </si>
  <si>
    <t>El bloque común de hormigón de SUBEROLITA se utiliza para construir tabiques y muros de habilitación exterior.   Ref. lp-00001118.</t>
  </si>
  <si>
    <t>ma-lp-00001119</t>
  </si>
  <si>
    <t>Bloque de hormigón común de SUBEROLITA (40x20x10 cm/pza).   Ref. lp-00001119</t>
  </si>
  <si>
    <t>El bloque común de hormigón de SUBEROLITA se utiliza para construir tabiques y muros de habilitación exterior.   Ref. lp-00001119.</t>
  </si>
  <si>
    <t>ma-lp-00001123</t>
  </si>
  <si>
    <t>Bovedilla de arcilla cocida para sistemas de forjado de viguetas y bovedillas (60x25x17 cm/pza).   Ref. lp-00001123</t>
  </si>
  <si>
    <t>La bovedilla cerámica está fabricada con arcilla cocida. Se utiliza para sistemas de forjado de viguetas y bovedillas. Medidas: 60x25x17 cm.   Ref. lp-00001123.</t>
  </si>
  <si>
    <t>El Gero fonoabsorbente es un ladrillo de arcilla perforado, no visto, con relieve a 2 caras. Para muros resistentes con exigencias acústicas, térmicas y frente al fuego. Medidas: 28x14x9 cm. Categoría I, tipo HD.   Ref. lp-00001155.</t>
  </si>
  <si>
    <t>Gero 6 rústico o ladrillo macizo cara vista rojo (28,5x13,7x4,6 cm/pza), es una pieza de arcilla cocida HD para uso en fábrica de albañilería.   Ref. lp-00001156.</t>
  </si>
  <si>
    <t>ma-lp-00001178</t>
  </si>
  <si>
    <t>Ladrillo cerámico hueco mahón (4x14x28 cm/pza).   Ref. lp-00001178</t>
  </si>
  <si>
    <t>El ladrillo mahón es de arcilla cocida, tiene 4 agujeros y se utiliza para fábrica de albañilería interior que será revestida. Medidas: 4x14x28 cm.   Ref. lp-00001178.</t>
  </si>
  <si>
    <t>Ladrillo picholín refractario, denso de ligado cerámico. Base arcilla refractaria de bajo contenido en alúmina calcinada. Se usa para revestir calderas, hornos y elementos que son expuestos a altas temperaturas. Grupo LF 10. Medidas: 22x5,5x5 cm.   Ref. lp-00001196.</t>
  </si>
  <si>
    <t>ma-lp-00001229</t>
  </si>
  <si>
    <t>Ladrillo cerámico hueco supermahón; 50x20x7 cm   Ref. lp 00001229</t>
  </si>
  <si>
    <t>Ladrillo cerámico hueco supermahón. Se utiliza para realización de tabiques dobles para revestir. Color rojo. Medidas: 50x20x7 cm. Peso 4,5 kg/pza.   Ref. lp-00001229</t>
  </si>
  <si>
    <t>Ladrillo cara vista cerámico natural hidrofugado liso, modelo tradicional y muy estético. Color rojo natural. Medidas: 24x11,5x5 cm.   Ref. lp-00001568.</t>
  </si>
  <si>
    <t>ma-lp-00001586</t>
  </si>
  <si>
    <t>Ladrillo cerámico hueco para revestir (24x11x8 cm/pza).   Ref. lp-00001586</t>
  </si>
  <si>
    <t>Ladrillo hueco es una pieza de arcilla cocida LD R-5 de categoría II, Tipo LD, para uso en muros interiores sin exigencias estructurales, ni térmicas ni acústicas. UNE-EN 771-1:2003. Color rojo. Medidas: 240x115x80 mm.   Ref. lp-00001586.</t>
  </si>
  <si>
    <t>Ladrillo tosco es una pieza de arcilla cocida aligerada LD R-10 Categoría I UNE EN 771-1. Color rojo. Medidas: 237x105x68 mm.   Ref. lp-00001596.</t>
  </si>
  <si>
    <t>ma-lp-00096120</t>
  </si>
  <si>
    <t>Ladrillo cerámico CARAVISTA NATURAL MEZQUITA de LA PALOMA CERÁMICAS (24x11,5x5 cm/pza).   Ref. lp-00096120</t>
  </si>
  <si>
    <t>El ladrillo cara vista cerámico natural hidrofugado Mezquita, es una variante con tonalidad anaranjada muy clara que resiste muy bien el tiempo por ser una coloración cien por cien en masa. Medidas: 24x11,5x5 cm.   Ref. lp-00096120.</t>
  </si>
  <si>
    <t>La teja cerámica curva T4 está fabricada con arcilla y es una de las más utilizadas. Cumplen las normativas de calidad más estrictas a nivel nacional e internacional (como AENOR, AFNOR, ICC-ES, DIN EN-1304, NOA…) resisten heladas y tienen garantía de 35 años. Color rojo. Medidas: 40x18,3x13 cm.   Ref. lp-00110913.</t>
  </si>
  <si>
    <t>La teja cerámica curva T2 está fabricada con arcilla y es una de las más utilizadas. Cumplen las normativas de calidad más estrictas a nivel nacional e internacional (como AENOR, AFNOR, ICC-ES, DIN EN-1304, NOA…) resisten heladas y tienen garantía de 35 años. Medidas: 20x10x7,5 cm. Color rojo.   Ref. lp-00110914.</t>
  </si>
  <si>
    <t>La teja cerámica curva T5 está fabricada con arcilla y es una de las más utilizadas. Cumplen las normativas de calidad más estrictas a nivel nacional e internacional (como AENOR, AFNOR, ICC-ES, DIN EN-1304, NOA…) resisten heladas y tienen garantía de 35 años. Color rojo. Medidas: 50x21x16 cm.   Ref. lp-00110915.</t>
  </si>
  <si>
    <t>ma-lp-00119520</t>
  </si>
  <si>
    <t>Gero Eco liso o ladrillo de arcilla cocida aligerada LD Cat I R-15 de LA COMA (27,5x12,5x9,3 cm/pza).   Ref. lp-00119520</t>
  </si>
  <si>
    <t>Elemento de exteriores/interiores con exigencias acústicas, térmicas y de fuego, para fábricas estructurales sustentantes. No destinado a ser expuesto. Medidas: 27,5x12,5x9,3 cm.   Ref. lp-00119520.</t>
  </si>
  <si>
    <t>ma-lp-00237635</t>
  </si>
  <si>
    <t>Ladrillo cerámico hueco supermahón (50x20x4 cm/pza).   Ref. lp-00237635</t>
  </si>
  <si>
    <t>Ladrillo cerámico hueco supermahón. Se utiliza para realización de tabiques sencillos para revestir. Color rojo. Medidas: 50x20x4 cm. Pieza P de arcilla cocida hueca (G4) Cumple con las exigencias acústicas, térmicas y contra el fuego necesarias.   Ref. lp-00237635.</t>
  </si>
  <si>
    <t>Ladrillo cerámico hueco supermahón. Se utiliza para realización de tabiques dobles para revestir. Cumple con las exigencias acústicas, térmicas y contra el fuego necesarias. Color rojo. Medidas: 50x20x7 cm. Peso 4,5 kg/pza.   Ref. lp-00237643</t>
  </si>
  <si>
    <t>ARIDOS.Y.AGREGADOS</t>
  </si>
  <si>
    <t>ÁRIDOS Y AGREGADOS</t>
  </si>
  <si>
    <t>Producto utilizado en la industria naval, en mantenimientos, eliminación de óxidos en piezas férricas, tratamiento y limpieza de fachadas, etc.   Ref. jomafa-9997.
Este abrasivo está homologado en toda la Comunidad Europea. No contiene sílice libre, ni partículas ferrosas, materiales corrosivos o solubles en agua; por lo tanto, no hay riesgo de provocar Silicosis. Se recomienda almacenar sobre pallets, en lugar seco y protegido de la lluvia y la humedad.</t>
  </si>
  <si>
    <t>ma-lm-88895688</t>
  </si>
  <si>
    <t>Sepiolita 15/30 (20 kg/saco).   Ref. lm-88895688</t>
  </si>
  <si>
    <t>Producto que proporciona una solución instantánea y muy eficiente a todos los problemas de absorción de líquidos o semi-líquidos. Garantiza la seguridad de las superficies tratadas preservando el medio ambiente. Los sacos de 20 kg de Sepiolita son perfectos para su uso en talleres mecánicos, para limpieza y absorción de vertidos y fugas en interior y exterior.   Ref. lm-88895688.
La Sepiolita es un absorbente natural de origen mineral reciclable. Las principales aplicaciones de la Sepiolita son: absorción industrial, tratamiento de residuos, carga de productos químicos, control de la humedad, usos domésticos, aditivo tecnológico en alimentación animal (E-562), fertilizantes, polímeros y elastómeros, paneles de techos, aditivos para la construcción, betunes, aditivos reológicos para sistemas acuosos, aditivos reológicos de los sistemas orgánicos. Con un saco de 20 kg de Sepiolita podrás garantizar la absorción de aguas y aceites. No combustible. No hay peligro de descomposición térmica. No se precisa ninguna protección específica de lucha contra incendios.
RECOMENDACIONES PARA LA MANIPULACIÓN SEGURA DE LA SEPIOLITA:
Garantiza la seguridad e higiene en tus proyectos. Evita la generación de polvo en el aire. Evita barrer en seco y usar agua rociada o sistemas de limpieza por aspiración. Usa equipo de protección individual de acuerdo con la legislación nacional. Se debe disponer de un sistema de aspiración apropiado en los lugares donde se genera polvo en el aire. En caso de ventilación insuficiente, usar equipo de protección respiratoria. Manejar con cuidado los productos envasados para prevenir la rotura accidental del envase. Durante la descarga, minimiza la generación de polvo en el aire y evitar la dispersión por el viento. Mantén los recipientes cerrados y almacenar los productos envasados con el fin de prevenir su rotura accidental.</t>
  </si>
  <si>
    <t>ma-lp-00001104</t>
  </si>
  <si>
    <t>Arena fina LA PLATAFORMA de ÀRIDS CATALUNYA (14 kg/saco).   Ref. lp-00001104</t>
  </si>
  <si>
    <t>La arena fina de LA PLATAFORMA de la Construcción se mezcla con cemento para hacer mortero de enfoscado o revoco en general. Saco de 25 kg.   Ref. lp-00001104.</t>
  </si>
  <si>
    <t>El Triturado de mármol GRANOMAR 1.2 que suministra AYMAR S.A. es un árido fino triturado de mármol dolomítico, idóneo para aplicaciones industriales, desde árido en los morteros y hormigón en construcción hasta la industria química básica, pasando por la fabricación de cerámica, vidrio, pinturas, para su utilización como arena para chorreo, como cargas blancas, en refractarios, como fundente siderúrgico, como corrector de acidez de suelos agrícolas y para piensos animales.   Ref. lp-00001107.</t>
  </si>
  <si>
    <t>Arcilla expandida súper ligera ARLITA LECA LIGHT PLUS de WEBER es una arcilla expandida de tamaño 10 a 20 mm de granulometría con densidad 275 kg/m3. Se utiliza en recrecidos ligeros de altas prestaciones, aligeramiento en estructuras de hormigón, drenajes, jardinería, nivelaciones, cubiertas verdes. Alta ligereza, aislante térmico y acústico, estable en el tiempo, respetuoso con el medio ambiente.   Ref. lp-00001542</t>
  </si>
  <si>
    <t>ma-lp-00001543</t>
  </si>
  <si>
    <t>Arcilla expandida ARLITA LECA DUR de WEBER; granulometría 2-10 mm (50 litro/saco o 17,50 kg/saco).   Ref. lp-00001543</t>
  </si>
  <si>
    <t>Arcilla expandida súper ligera ARLITA LECA LIGHT PLUS de WEBER es una arcilla expandida de tamaño 2 a 10 mm de granulometría con densidad 350 kg/m3. Se utiliza en recrecidos ligeros de altas prestaciones, aligeramiento en estructuras de hormigón, drenajes, jardinería, nivelaciones, cubiertas verdes. Alta ligereza, aislante térmico y acústico, estable en el tiempo, respetuoso con el medio ambiente.   Ref. lp-00001543</t>
  </si>
  <si>
    <t>La grava en saco de LA PLATAFORMA DE LA CONSTRUCCIÓN se utiliza aportar resistencia al hormigón a la hora de realizar cimentaciones y soleras. La grava se mezcla con arena y cemento para fabricar hormigón. Saco de 15 kg aprox.   Ref. lp-00001630.</t>
  </si>
  <si>
    <t>Árido de mármol para proyección sobre monocapa, se obtiene por machaqueo del mineral de mármol. Se utiliza para proyectar sobre morteros monocapa, principalmente en fachadas. Color gris. Saco de 30 kg.   Ref. lp-00388344</t>
  </si>
  <si>
    <t>Árido de mármol para proyección sobre monocapa, se obtiene por machaqueo del mineral de mármol. Se utiliza para proyectar sobre morteros monocapa, principalmente en fachadas. Color gris. Saco de 30 kg.   Ref. lp-00410104</t>
  </si>
  <si>
    <t>ma-lp-00536079</t>
  </si>
  <si>
    <t>Arcilla expandida para recrecidos BIGMAT 3-8 mm (50 litros/saco).   Ref. lp-00536079</t>
  </si>
  <si>
    <t>Arcilla expandida de tamaño medio 3-8 mm, para recrecidos de forjados, aligeramientos, aislamientos, formación de pendientes en cubiertas y hormigones ligeros.   Ref. lp-00536079</t>
  </si>
  <si>
    <t>Árido de granito para proyección sobre monocapa, se obtiene por machaqueo del mineral de granito. Se utiliza para proyectar sobre morteros monocapa, principalmente en fachadas. Color blanco. Saco de 30 kg.   Ref. -lp-00540822</t>
  </si>
  <si>
    <t>Árido de granito para monocapa marrón se obtiene por machaqueo. Se utiliza para proyectar sobre morteros monocapa, principalmente en fachadas. Color gris. Saco de 30 kg.   Ref. lp-00540823</t>
  </si>
  <si>
    <t>ma-mausa-sikadur.arena.510</t>
  </si>
  <si>
    <t>Arena fina de cuarzo pigmentadas SIKADUR ARENA 510 (26 kg/saco).   Ref. mausa-sikadur.arena.510</t>
  </si>
  <si>
    <t>Arena de cuarzo fina con color, gradada con granulometría definida para la utilización en sistemas epóxicos traslúcidos, donde se requiere un acabado con color y que ofrezca altas resistencias mecánicas.   Ref. mausa-sikadur.arena.510.</t>
  </si>
  <si>
    <t>AUDIO-VIDEO</t>
  </si>
  <si>
    <t>MATERIALES Y ACCESORIOS RELACIONADOS CON SEÑALES (AUDIO/VIDEO)</t>
  </si>
  <si>
    <t>Con la antena de 60 cm de diámetro de TELEVES se pueden recibir los satélites europeos ASTRA 19E, HOTBIRD, ATLANTIC en toda la península y en general todos aquellos cuya huella de cobertura tenga un PIRE superior a 48 dBW (siendo el PIRE la potencia con la que irradia el satélite hacia a tierra).   Ref. bd-3327967021600.</t>
  </si>
  <si>
    <t>Amplificador de mástil 3E/1S BIII/UHF [dc]-FImix [dc] USOS con 3 entradas y 1 salida. Con sistema de conexión EasyF y cofre ABS. Incorpora el sistema USOS por el cual el usuario puede seleccionar el nivel de salida deseado y el dispositivo se ajusta automáticamente en el tiempo, adaptándose a las variaciones de la señal recibida. Con interruptor C60/C69 para seleccionar filtrado de LTE e interruptor On/Off para seleccionar el paso DC. Posee un diseño ergonómico de muy reducido tamaño y fácil montaje y muy baja figura de ruido.   Ref. lp-00013185.</t>
  </si>
  <si>
    <t>Fuente de alimentación PICOKOM 24V/130mA con sistema de conexión EasyF. Fuente conmutada de gran rendimiento con hasta un 40% menos de consumo. Tiene un diseño estético y un tamaño extrarreducido (86x65x26 mm). Para instalar en cajas de 100x100 mm. Atornillable en pared. De fácil montaje, respetando el radio de curvatura mínimo de los cables coaxiales. Número de salidas: 2. Grado de protección IP20.   Ref. lp-00095512.</t>
  </si>
  <si>
    <t>Cable coaxial antena de cobre, gama profesional bajas pérdidas, para todo tipo de instalación de TV. Según ICT.   Ref. lp-00121298.</t>
  </si>
  <si>
    <t>BALDOSAS.Y.LOSAS</t>
  </si>
  <si>
    <t>LOSAS, BALDOSAS, VIERTEAGUAS, PASAMANOS, CUBREMUROS</t>
  </si>
  <si>
    <t>La baldosa hidráulica decorativa está fabricada con cemento coloreado, se puede utilizar en interior. Es totalmente artesanal, es la utilización de unas plantillas metálicas o moldes. Estos se llaman trepas para la aplicación de colores y conformar el diseño, que posteriormente se fijan gracias a la prensa hidráulica.   Ref. adrihosan-133-B.
https://www.adrihosan.com/producto/baldosa-hidraulica-geometrico-212/</t>
  </si>
  <si>
    <t>La baldosa hidráulica decorativa está fabricada con cemento coloreado, se puede utilizar en interior. Es totalmente artesanal, es la utilización de unas plantillas metálicas o moldes. Estos se llaman trepas para la aplicación de colores y conformar el diseño, que posteriormente se fijan gracias a la prensa hidráulica.   Ref. adrihosan-221-A.
https://www.adrihosan.com/producto/baldosa-hidraulica-geometrico-212/</t>
  </si>
  <si>
    <t>Pasamano/Cubremuro Plano de Piedra Artificial Doble Goterón; color blanco (50x27,5x4 cm/pza).   Ref . b.martinez-27.5-blanco.</t>
  </si>
  <si>
    <t>ma-b.martinez-27.5-gris</t>
  </si>
  <si>
    <t>Pasamano/cubremuro plano de piedra artificial doble goterón; color gris cemento (50x27,5x4 cm/pza).   Ref . b.martinez-27.5-gris</t>
  </si>
  <si>
    <t>Piezas de hormigón polímero destinadas para rematar la coronación de muros y que tienen por objeto evacuar el agua para evitar filtraciones. La base de las piezas presenta grava y anclajes para una correcta colocación. Anclaje inoxidable para garantizar el amarre óptimo, al evitar la corrosión de la pieza. La longitud estándar es de 130cm por pieza; sin embargo, esta longitud puede adaptarse a sus necesidades.   Ref. dgm-MJ14.</t>
  </si>
  <si>
    <t>Baldosa vidriada (14x28 cm/pza).   Ref. ferres-baldosa.VT-14x28-CT1.
CT1 = Colores Tipo 1: Paja 10 – Amarillo 50 – Amarillo 52 – Beige 85 – Tabaco 16 – Marrón 95 - Rojo 24 – Verde 28 – Verde 31.</t>
  </si>
  <si>
    <t>ma-ferres-baldosa.VT-14x28-CT2</t>
  </si>
  <si>
    <t>Baldosa vidriada (14x28 cm/pza).   Ref. ferres-baldosa.VT-14x28-CT2</t>
  </si>
  <si>
    <t>Baldosa vidriada (14x28 cm/pza).   Ref. ferres-baldosa.VT-14x28-CT2.
CT2 = Colores Tipo 2: Azul 62 - Azul 64 - Azul 43 - Negro 13.</t>
  </si>
  <si>
    <t>Baldosa vidriada (14x28 cm/pza).   Ref. ferres-baldosa.VT-14x28-CT3.
CT3 = Colores Tipo 3: Blanco 23 - Gris 12 - Rojo 92.</t>
  </si>
  <si>
    <t>ma-ferres-baldosa.VT-20x20-CT1</t>
  </si>
  <si>
    <t>Baldosa vidriada (20x20 cm/pza).   Ref. ferres-baldosa.VT-20x20-CT1</t>
  </si>
  <si>
    <t>Baldosa vidriada (20x20 cm/pza).   Ref. ferres-baldosa.VT-20x20-CT1.
CT1 = Colores Tipo 1: Paja 10 – Amarillo 50 – Amarillo 52 – Beige 85 – Tabaco 16 – Marrón 95 - Rojo 24 – Verde 28 – Verde 31.</t>
  </si>
  <si>
    <t>ma-ferres-baldosa.VT-20x20-CT2</t>
  </si>
  <si>
    <t>Baldosa vidriada (20x20 cm/pza).   Ref. ferres-baldosa.VT-20x20-CT2</t>
  </si>
  <si>
    <t>Baldosa vidriada (20x20 cm/pza).   Ref. ferres-baldosa.VT-20x20-CT2.
CT2 = Colores Tipo 2: Azul 62 - Azul 64 - Azul 43 - Negro 13.</t>
  </si>
  <si>
    <t>ma-ferres-baldosa.VT-20x20-CT3</t>
  </si>
  <si>
    <t>Baldosa vidriada (20x20 cm/pza).   Ref. ferres-baldosa.VT-20x20-CT3</t>
  </si>
  <si>
    <t>Baldosa vidriada (20x20 cm/pza).   Ref. ferres-baldosa.VT-20x20-CT3.
CT3 = Colores Tipo 3: Blanco 23 - Gris 12 - Rojo 92.</t>
  </si>
  <si>
    <t>ma-ferres-c/muro.VT-SW-18x20-CT1</t>
  </si>
  <si>
    <t>Pasamanos/cubremuros vidriado STONEWARE (18x20 cm/pza).   Ref. ferres-c/muro.VT-SW-18x20-CT1</t>
  </si>
  <si>
    <t>Pasamanos/cubremuros vidriado STONEWARE (18x20 cm/pza).   Ref. ferres-c/muro.VT-SW-18x20-CT1.
CT1 = Colores Tipo 1: Paja 10 – Amarillo 50 – Amarillo 52 – Beige 85 – Tabaco 16 – Marrón 95 - Rojo 24 – Verde 28 – Verde 31.</t>
  </si>
  <si>
    <t>ma-ferres-c/muro.VT-SW-18x20-CT2</t>
  </si>
  <si>
    <t>Pasamanos/cubremuros vidriado STONEWARE (18x20 cm/pza).   Ref. ferres-c/muro.VT-SW-18x20-CT2</t>
  </si>
  <si>
    <t>Pasamanos/cubremuros vidriado STONEWARE (18x20 cm/pza).   Ref. ferres-c/muro.VT-SW-18x20-CT2.
CT2 = Colores Tipo 2: Azul 62 - Azul 64 - Azul 43 - Negro 13.</t>
  </si>
  <si>
    <t>ma-ferres-c/muro.VT-SW-18x20-CT3</t>
  </si>
  <si>
    <t>Pasamanos/cubremuros vidriado STONEWARE (18x20 cm/pza).   Ref. ferres-c/muro.VT-SW-18x20-CT3</t>
  </si>
  <si>
    <t>Pasamanos/cubremuros vidriado STONEWARE (18x20 cm/pza).   Ref. ferres-c/muro.VT-SW-18x20-CT3.
CT3 = Colores Tipo 3: Blanco 23 - Gris 12 - Rojo 92.</t>
  </si>
  <si>
    <t>ma-ferres-c/muro.VT-SW-20x20-CT1</t>
  </si>
  <si>
    <t>Pasamanos/cubremuros vidriado STONEWARE (20x20 cm/pza).   Ref. ferres-c/muro.VT-SW-20x20-CT1</t>
  </si>
  <si>
    <t>Pasamanos/cubremuros vidriado STONEWARE (20x20 cm/pza).   Ref. ferres-c/muro.VT-SW-20x20-CT1.
CT1 = Colores Tipo 1: Paja 10 – Amarillo 50 – Amarillo 52 – Beige 85 – Tabaco 16 – Marrón 95 - Rojo 24 – Verde 28 – Verde 31.</t>
  </si>
  <si>
    <t>ma-ferres-c/muro.VT-SW-20x20-CT2</t>
  </si>
  <si>
    <t>Pasamanos/cubremuros vidriado STONEWARE (20x20 cm/pza).   Ref. ferres-c/muro.VT-SW-20x20-CT2</t>
  </si>
  <si>
    <t>Pasamanos/cubremuros vidriado STONEWARE (20x20 cm/pza).   Ref. ferres-c/muro.VT-SW-20x20-CT2.
CT2 = Colores Tipo 2: Azul 62 - Azul 64 - Azul 43 - Negro 13.</t>
  </si>
  <si>
    <t>Pasamanos/cubremuros vidriado STONEWARE (20x20 cm/pza).   Ref. ferres-c/muro.VT-SW-20x20-CT3.
CT3 = Colores Tipo 3: Blanco 23 - Gris 12 - Rojo 92.</t>
  </si>
  <si>
    <t>ma-ferres-v/agua.VT-SW-15x30-CT1</t>
  </si>
  <si>
    <t>Vierteaguas vidriado STONEWARE (15x30 cm/pza).   Ref. c.ferres-v/agua.VT-stonewear-15x30</t>
  </si>
  <si>
    <t>Vierteaguas vidriado STONEWARE (15x30 cm/pza).   Ref. c.ferres-v/agua.VT-stonewear-15x30.
Colores Tipo 1: Paja 10 – Amarillo 50 – Amarillo 52 – Beige 85 – Tabaco 16 – Marrón 95 - Rojo 24 – Verde 28 – Verde 31.</t>
  </si>
  <si>
    <t>ma-ferres-v/agua.VT-SW-15x30-CT2</t>
  </si>
  <si>
    <t>Vierteaguas vidriado STONEWARE (15x30 cm/pza).   Ref. ferres-v/agua.VT-SW-15x30-CT2</t>
  </si>
  <si>
    <t>Vierteaguas vidriado STONEWARE (15x30 cm/pza).   Ref. ferres-v/agua.VT-SW-15x30-CT2.
CT2 = Colores Tipo 2: Azul 62 - Azul 64 - Azul 43 - Negro 13.</t>
  </si>
  <si>
    <t>ma-ferres-v/agua.VT-SW-15x30-CT3</t>
  </si>
  <si>
    <t>Vierteaguas vidriado STONEWARE (15x30 cm/pza).   Ref. ferres-v/agua.VT-SW-15x30-CT3</t>
  </si>
  <si>
    <t>Vierteaguas vidriado STONEWARE (15x30 cm/pza).   Ref. ferres-v/agua.VT-SW-15x30-CT3.
CT3 = Colores Tipo 3: Blanco 23 - Gris 12 - Rojo 92.</t>
  </si>
  <si>
    <t>ma-ferres-v/agua.VT-SW-20x20-CT1</t>
  </si>
  <si>
    <t>Vierteaguas vidriado STONEWARE (20x20 cm/pza).   Ref. ferres-v/agua.VT-SW-20x20-CT1</t>
  </si>
  <si>
    <t>Vierteaguas vidriado STONEWARE (20x20 cm/pza).   Ref. ferres-v/agua.VT-SW-20x20-CT1.
CT1 = Colores Tipo 1: Paja 10 – Amarillo 50 – Amarillo 52 – Beige 85 – Tabaco 16 – Marrón 95 - Rojo 24 – Verde 28 – Verde 31.</t>
  </si>
  <si>
    <t>ma-ferres-v/agua.VT-SW-20x20-CT2</t>
  </si>
  <si>
    <t>Vierteaguas vidriado STONEWARE (20x20 cm/pza).   Ref. ferres-v/agua.VT-SW-20x20-CT2</t>
  </si>
  <si>
    <t>Vierteaguas vidriado STONEWARE (20x20 cm/pza).   Ref. ferres-v/agua.VT-SW-20x20-CT2.
CT2 = Colores Tipo 2: Azul 62 - Azul 64 - Azul 43 - Negro 13.</t>
  </si>
  <si>
    <t>Vierteaguas vidriado STONEWARE (20x20 cm/pza).   Ref. ferres-v/agua.VT-SW-20x20-CT3.
CT3 = Colores Tipo 3: Blanco 23 - Gris 12 - Rojo 92.</t>
  </si>
  <si>
    <t>Baldosa Porcelánica GELA de AZULIBER 40x60 mm; con efecto piedra, textura suave y acabado antideslizante.   Ref. SOLA-AZULEJOS-01.</t>
  </si>
  <si>
    <t>ma-fl-93305501</t>
  </si>
  <si>
    <t>Pasamanos GRECOGRES NATURAL (27,5x31,4 cm/pza).   Ref. fl-93305501</t>
  </si>
  <si>
    <t>Pieza complementaria pasamanos, texturizado, natural y no rectificado, útil para pieza complementaria en cocina, exterior, residencial, decoración, comercio. De estilo clásico, contemporáneo, rústico y artesanal, vintage, mediterráneo y simulando barro mayoritariamente en color arena, marrón.   Ref. fl-93305501</t>
  </si>
  <si>
    <t>ma-fl-93305502</t>
  </si>
  <si>
    <t>Pasamanos GRECOGRES NATURAL (15,3x31,4 cm/pza).   Ref. fl-93305502</t>
  </si>
  <si>
    <t>Pieza complementaria pasamanos, texturizado, natural y no rectificado, útil para pieza complementaria en cocina, exterior, residencial, decoración, comercio. De estilo clásico, contemporáneo, rústico y artesanal, vintage, mediterráneo y simulando barro mayoritariamente en color arena, marrón.   Ref. fl-93305502
Proveedor: Ferrolan
Enlace:</t>
  </si>
  <si>
    <t>Pieza complementaria pasamanos, texturizado, natural y no rectificado, útil para pieza complementaria en cocina, exterior, residencial, decoración, comercio. De estilo clásico, contemporáneo, rústico y artesanal, vintage, mediterráneo y simulando barro mayoritariamente en color arena, marrón.   Ref. fl-93305504</t>
  </si>
  <si>
    <t>ma-fl-93512302</t>
  </si>
  <si>
    <t>Pasamano de gres rústico natural para cubremuros, remates y barandillas (26x33 cm/pza).   Ref. fl-93512302</t>
  </si>
  <si>
    <t>Pieza complementaria pasamanos, texturizado, antideslizante y no rectificado en formato rectangular (33x26), útil en exterior. De estilo contemporáneo, mediterráneo y simulando barro mayoritariamente en color arena, marrón.</t>
  </si>
  <si>
    <t>ma-graniarte-blanco.perla</t>
  </si>
  <si>
    <t>Vierteaguas de piedra natural con caras visibles pulidas y hendidura de goterón; granito Blanco Perla (100x30x3 cm/pza).   Ref. graniarte-blanco.perla</t>
  </si>
  <si>
    <t>ma-graniarte-crema.julia</t>
  </si>
  <si>
    <t>Vierteaguas de piedra natural con caras visibles pulidas y hendidura de goterón; granito Crema Julia (100x30x3 cm/pza).   Ref. graniarte-crema.julia</t>
  </si>
  <si>
    <t>ma-graniarte-gris.pinor</t>
  </si>
  <si>
    <t>Vierteaguas de piedra natural con caras visibles pulidas y hendidura de goterón; granito Gris Pinor (100x30x3 cm/pza).   Ref. graniarte-gris.pinor</t>
  </si>
  <si>
    <t>ma-graniarte-negro.santa.olalla</t>
  </si>
  <si>
    <t>Vierteaguas de piedra natural con caras visibles pulidas y hendidura de goterón; granito Negro Santa Olalla (100x30x3 cm/pza).   Ref. graniarte-negro.santa.olalla</t>
  </si>
  <si>
    <t>ma-ia-01</t>
  </si>
  <si>
    <t>Vierteaguas INTERAZULEJOS natural extruido antideslizante; espesor 1,3 cm (24,5x28x3,5 cm/pza).   Ref. ia-01</t>
  </si>
  <si>
    <t>Gres de Andorra. Mate con relieve. Antideslizante CLASE 3 / R 12. Absorción de agua &lt; 3%. Resistente al choque térmico, heladas y manchas. Dorso estriado en cola de milano. Junta recomendada mínima entre 8 mm y 1 cm. 6 pzas/caja.   Ref. ma-ia-01</t>
  </si>
  <si>
    <t>ma-ia-02</t>
  </si>
  <si>
    <t>Vierteaguas INTERAZULEJOS natural extruido antideslizante; espesor 1,3 cm (24,5x30x3,5 cm/pza).   Ref. ia-02</t>
  </si>
  <si>
    <t>Gres de Andorra. Mate con relieve. Antideslizante CLASE 3 / R 12. Absorción de agua &lt; 3%. Resistente al choque térmico, heladas y manchas. Dorso estriado en cola de milano. Junta recomendada mínima entre 8 mm y 1 cm. 6 pzas/caja.   Ref. ia -02</t>
  </si>
  <si>
    <t>Gres de Andorra. Mate con relieve. Antideslizante CLASE 3 / R 12. Absorción de agua &lt; 3%. Resistente al choque térmico, heladas y manchas. Dorso estriado en cola de milano. Junta recomendada mínima entre 8 mm y 1 cm. 4 pzas/caja.   Ref. ia -03</t>
  </si>
  <si>
    <t>Gres de Andorra. Mate con relieve. Antideslizante CLASE 3 / R 12. Absorción de agua &lt; 3%. Resistente al choque térmico, heladas y manchas. Dorso estriado en cola de milano. Junta recomendada mínima entre 8 mm y 1 cm. 4 pzas/caja.   Ref. ia-04</t>
  </si>
  <si>
    <t>ma-ia-05</t>
  </si>
  <si>
    <t>Peldaño recto T5 INTERAZULEJOS natural extruido antideslizante; espesor 1,6 cm (24,5x33x5 cm/pza).   Ref. ia-05</t>
  </si>
  <si>
    <t>Gres de Andorra. Mate con relieve. Antideslizante CLASE 3 / R 12. Absorción de agua &lt; 3%. Resistente al choque térmico, heladas y manchas. Dorso estriado en cola de milano. Junta recomendada mínima entre 8 mm y 1 cm. 4 pzas/caja.   Ref. ia-05</t>
  </si>
  <si>
    <t>ma-ia-06</t>
  </si>
  <si>
    <t>Peldaño recto T5 INTERAZULEJOS natural extruido antideslizante; espesor 1,6 cm (32,5x33x5 cm/pza).   Ref. ia-06</t>
  </si>
  <si>
    <t>Gres de Andorra. Mate con relieve. Antideslizante CLASE 3 / R 12. Absorción de agua &lt; 3%. Resistente al choque térmico, heladas y manchas. Dorso estriado en cola de milano. Junta recomendada mínima entre 8 mm y 1 cm. 4 pzas/caja.   Ref. ia-06</t>
  </si>
  <si>
    <t>Gres de Andorra. Mate con relieve. Antideslizante CLASE 3 / R 12. Absorción de agua &lt; 3%. Resistente al choque térmico, heladas y manchas. Dorso estriado en cola de milano. Junta recomendada mínima entre 8 mm y 1 cm. 8 pzas/caja.   Ref. ia-07</t>
  </si>
  <si>
    <t>Gres de Andorra. Mate con relieve. Antideslizante CLASE 3 / R 12. Absorción de agua &lt; 3%. Resistente al choque térmico, heladas y manchas. Dorso estriado en cola de milano. Junta recomendada mínima entre 8 mm y 1 cm. 5 pzas/caja.   Ref. ia-08</t>
  </si>
  <si>
    <t>ma-ia-09</t>
  </si>
  <si>
    <t>Pasamanos INTERAZULEJOS natural extruido antideslizante; espesor 1,3 cm (27,5x32,5x5 cm/pza).   Ref. ia-09</t>
  </si>
  <si>
    <t>Gres de Andorra. Mate con relieve. Antideslizante CLASE 3 / R 12. Absorción de agua &lt; 3%. Resistente al choque térmico, heladas y manchas. Dorso estriado en cola de milano. Junta recomendada mínima entre 8 mm y 1 cm. 6 pzas/caja.   Ref. ia-09</t>
  </si>
  <si>
    <t>ma-ia-10</t>
  </si>
  <si>
    <t>Baldosa natural extrusionada antideslizante 1ª o gres de ANDORRA de GRESAN (16x32,5 cm/pza).   Ref. ia-10</t>
  </si>
  <si>
    <t>Baldosa natural o gres de ANDORRA de GRESAN, disponible en formatos 24.5x24.5, 32.5x32.5, 16x32.5 y 32.5x49.7 cm en natural, albarracín y ónix, con espesor de 1,3 cm. Peldaños y piezas especiales a juego disponibles.   Ref. ia-10.
Junta mínima recomendada entre 8 mm y 1 cm; no obstante, el fabricante recomienda que la junta entre las piezas sea de 5 mm para respetar la modularidad de las series y la correspondencia de juntas entre los diferentes formatos y/o piezas especiales. Antideslizante CLASE 3 / R 12.</t>
  </si>
  <si>
    <t>Baldosa natural o gres de ANDORRA de GRESAN, disponible en formatos 24.5x24.5, 32.5x32.5, 16x32.5 y 32.5x49.7 cm en natural, albarracín y ónix, con espesor de 1,3 cm. Peldaños y piezas especiales a juego disponibles.   Ref. ia-11.
Junta mínima recomendada entre 8 mm y 1 cm; no obstante, el fabricante recomienda que la junta entre las piezas sea de 5 mm para respetar la modularidad de las series y la correspondencia de juntas entre los diferentes formatos y/o piezas especiales. Antideslizante CLASE 3 / R 12.</t>
  </si>
  <si>
    <t>Baldosa GRES ARAGÓN DUERO ROA de INDIGAR; 30x30 cm espesor 10 mm (0,99 m2/caja; 11 pzas/caja).   Ref. INDIGAR-339.904071</t>
  </si>
  <si>
    <t>ma-ig-339.904134</t>
  </si>
  <si>
    <t>Baldosa GRES ARAGÓN DUERO ARANDA de INDIGAR; 60x60 cm con espesor 10 mm (1,44 m2/caja; 4 pzas/caja).   Ref. indigar-339.904134</t>
  </si>
  <si>
    <t>Baldosa GRES ARAGÓN DUERO ARANDA de INDIGAR; 60x60 cm con espesor 10 mm (1,44 m2/caja; 4 pzas/caja).   Ref. INDIGAR-339.904134</t>
  </si>
  <si>
    <t>Vierteaguas rústico FERROGRES modelo RUBÍ en acabado natural; 30 ancho x 31 largo x 4 cm vuelo (espesor 20 mm).   Ref. indigar-157.123302.3130.</t>
  </si>
  <si>
    <t>ma-imer-EVOLUTION.3.BEIGE-22</t>
  </si>
  <si>
    <t>Vierteaguas de piedra artificial UNICO EVOLUTION OCRE/ROSA/SALMÓN de IMER-PREFABRICADOS (ancho interno 22 cm/pza; largo 1 m/pza).   Ref. imer-EVOLUTION.BLANCO-22</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</si>
  <si>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imer-EVOLUTION.3.BEIGE-22.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</si>
  <si>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ma-imer-EVOLUTION.3.BEIGE-27</t>
  </si>
  <si>
    <t>Vierteaguas de piedra artificial UNICO EVOLUTION OCRE/ROSA/SALMÓN de IMER-PREFABRICADOS (ancho interno 27 cm/pza; largo 1 m/pza).   Ref. imer-EVOLUTION.BLANCO-27</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</si>
  <si>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imer-EVOLUTION.3.BEIGE-27.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</si>
  <si>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ma-imer-EVOLUTION.3.BEIGE-30</t>
  </si>
  <si>
    <t>Vierteaguas de piedra artificial UNICO EVOLUTION OCRE/ROSA/SALMÓN de IMER-PREFABRICADOS (ancho interno 30 cm/pza; largo 1 m/pza).   Ref. imer-EVOLUTION.BLANCO-30</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</si>
  <si>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imer-EVOLUTION.3.BEIGE-30.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</si>
  <si>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ma-imer-EVOLUTION.BLANCO-22</t>
  </si>
  <si>
    <t>Vierteaguas de piedra artificial UNICO EVOLUTION BLANCO de IMER-PREFABRICADOS (ancho interno 22 cm/pza; largo 1 m/pza).   Ref. imer-EVOLUTION.BLANCO-22</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</si>
  <si>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imer-EVOLUTION.BLANCO-22.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</si>
  <si>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imer-EVOLUTION.BLANCO-27.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</si>
  <si>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imer-EVOLUTION.BLANCO-30.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</si>
  <si>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Vierteaguas esmaltado de color rojo con acabado brillo. Medidas: 14x28 cm. Recomendado para uso en interiores. Limpiar con agua para un óptimo resultado. Resistente al desgaste.   Ref. lp-00008179</t>
  </si>
  <si>
    <t>ma-imer-EVOLUTION.GRIS-22</t>
  </si>
  <si>
    <t>Vierteaguas de piedra artificial UNICO EVOLUTION BLANCO de IMER-PREFABRICADOS (ancho interno 22 cm/pza; largo 1 m/pza).   Ref. imer-EVOLUTION.GRIS-22</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</si>
  <si>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imer-EVOLUTION.GRIS-22.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</si>
  <si>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ma-imer-EVOLUTION.GRIS-27</t>
  </si>
  <si>
    <t>Vierteaguas de piedra artificial UNICO EVOLUTION GRIS de IMER-PREFABRICADOS (ancho interno 27 cm/pza; largo 1 m/pza).   Ref. imer-EVOLUTION.GRIS-27</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</si>
  <si>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imer-EVOLUTION.GRIS-27.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</si>
  <si>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ma-imer-EVOLUTION.GRIS-30</t>
  </si>
  <si>
    <t>Vierteaguas de piedra artificial UNICO EVOLUTION GRIS de IMER-PREFABRICADOS (ancho interno 30 cm/pza; largo 1 m/pza).   Ref. imer-EVOLUTION.GRIS-30</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</si>
  <si>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imer-EVOLUTION.GRIS-30.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</si>
  <si>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ma-imer-EVOLUTION.NEGRO-22</t>
  </si>
  <si>
    <t>Vierteaguas de piedra artificial UNICO EVOLUTION NEGRO de IMER-PREFABRICADOS (ancho interno 22 cm/pza; largo 1 m/pza).   Ref. imer-EVOLUTION.NEGRO-22</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</si>
  <si>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imer-EVOLUTION.NEGRO-22.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</si>
  <si>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ma-imer-EVOLUTION.NEGRO-27</t>
  </si>
  <si>
    <t>Vierteaguas de piedra artificial UNICO EVOLUTION NEGRO de IMER-PREFABRICADOS (ancho interno 27 cm/pza; largo 1 m/pza).   Ref. imer-EVOLUTION.NEGRO-27</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</si>
  <si>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imer-EVOLUTION.NEGRO-27.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</si>
  <si>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ma-imer-EVOLUTION.NEGRO-30</t>
  </si>
  <si>
    <t>Vierteaguas de piedra artificial UNICO EVOLUTION NEGRO de IMER-PREFABRICADOS (ancho interno 30 cm/pza; largo 1 m/pza).   Ref. imer-EVOLUTION.NEGRO-30</t>
  </si>
  <si>
    <t>El vierteaguas EVOLUTION protege de la entrada de humedad y evacúa el agua. Con la más alta tecnología en la fabricación vibro-prensada, confiere a este vierteagua una gran resistencia, sin ningún armado interior, evitando a futuro cualquier tipo de riesgo de rotura por oxidación del armado interior. Por otra parte, el acabado final es pulido (tipo terrazo) de fácil limpieza y de acabados estéticamente perfectos. Esta pieza puede ser utilizada como cubremuro en forma de L cuando nos encontramos en paredes donde tiene el vuelo a un solo lado. Piezas de 100cm de longitud (1m). Colores disponibles: Blanco, Gris, Negro, Ocre, Rosa y Salmón.   Ref. imer-EVOLUTION.NEGRO-30.
El vierteaguas es un elemento de terminación en obra y se utiliza habitualmente para el remate de la parte inferior de la ventana. Esta pieza tiene una triple función: FUNCIONAL. Protege el poyete de la ventana de la entrada de humedad al interior o al propio muro; EVACUACIÓN DEL AGUA. Para evitar futuros problemas de humedades por filtración, la misma pieza dispone de un goterón que protege la pared de suciedad y humedad; ESTÉTICA: La albardilla nos ayuda a realzar los acabados perimetrales de la obra.
El remate de pared UNICO EVOLUTION de IMER es la protección perfecta para cualquier tipo de mampostería porque protege contra la intemperie y todos los problemas que pueden dañar las fachadas y paredes de los edificios. Su particular sistema de goteo, de hecho, evita el goteo en las paredes y desvía la salida del agua de lluvia. Además, con una longitud de 1 metro, tiene muchas menos juntas que los tapones de pared tradicionales y puede garantizar una seguridad aún mayor.</t>
  </si>
  <si>
    <t>ma-interazulejos-P014</t>
  </si>
  <si>
    <t>Vierteaguas BRILLO de 1ª (14x28 cm/pza).   Ref. interazulejos-P014</t>
  </si>
  <si>
    <t>Vierteaguas BRILLO de 1ª 14x28. Gres de pasta roja. Textura brillo. Pieza de vierteaguas o goterón para realizar un acabado perfecto con el azulejo escogido. Colores: verde, cobalto, melado y blanco. Junta recomendada de 2mm. No es resistente a las heladas, se puede cuartear.   Ref. interazulejos-P014.</t>
  </si>
  <si>
    <t>Albardilla a 2 aguas de hormigón polímero liso de color blanco. Impermeable y de fácil instalación. Alta resistencia mecánica y agentes atmosféricos. Bajo peso específico. Medidas: 27,5x50 cm. Canto: 25 mm.   Ref. lp-00095113.</t>
  </si>
  <si>
    <t>ma-lp-00104480</t>
  </si>
  <si>
    <t>Alféizar de hormigón polímero liso blanco de BEDYFA (160x30 cm/pza; Canto 25 mm).   Ref. lp-00104480</t>
  </si>
  <si>
    <t>Alféizar de hormigón polímero liso de color blanco apto para exterior. Indicado para colocar en los vanos de las ventanas. Impermeable y de fácil instalación. Alta resistencia mecánica y agentes atmosféricos. Bajo peso específico. Medidas: 160x30 cm. Canto: 25 mm.   Ref. lp-00104480.</t>
  </si>
  <si>
    <t>Rasilla lisa de 1ª calidad con un espesor de 1,2 mm. Medidas: 14x28 cm</t>
  </si>
  <si>
    <t>El vierteaguas sirve para casi todo tipo de aplicaciones: patios, terrazas, áticos, museos, tejados o incluso como nivelaje del terreno. Se adhiere firmemente al suelo gracias a su diseño inferior. Es de gran absorción y porosidad. Resistencia al rayado (MOHS): 4.   Ref. lp-00299054.
La rasilla es uno de los tipos de vierteaguas ideal para casas rurales. La razón es su apariencia en forma de ladrillo, lo cual recrea una atmósfera campestre. Es el material más económico y más utilizado por su precio. Su mayor desventaja es que no es adecuado para zonas heladas, ya que absorbe demasiada agua.</t>
  </si>
  <si>
    <t>Piezas cerámicas que permiten rematar barandas y tabiques en balcones, terrazas, escalera, … Tanto para interior como exterior, son unas piezas esenciales para completar la estética y funcionalidad de cada proyecto.   Ref. lp-00299055</t>
  </si>
  <si>
    <t>El vierteaguas sirve para casi todo tipo de aplicaciones: patios, terrazas, aticos, museos, tejados o incluso como nivelaje del terreno. Se adhiere firmemente al suelo gracias a su diseño inferior. Es de gran absorción y porosidad. Resistencia al rayado (MOHS): 4.   Ref. lp-00299057.
La rasilla es uno de los tipos de vierteaguas ideal para casas rurales. La razón es su apariencia en forma de ladrillo, lo cual recrea una atmósfera campestre. Es el material más económico y más utilizado por su precio. Su mayor desventaja es que no es adecuado para zonas heladas, ya que absorbe demasiada agua.</t>
  </si>
  <si>
    <t>El vierteaguas sirve para casi todo tipo de aplicaciones: patios, terrazas, áticos, museos, tejados o incluso como nivelaje del terreno. Se adhiere firmemente al suelo gracias a su diseño inferior. Es de gran absorción y porosidad. Resistencia al rayado (MOHS): 4.   Ref. lp-00299058.
La rasilla es uno de los tipos de vierteaguas ideal para casas rurales. La razón es su apariencia en forma de ladrillo, lo cual recrea una atmósfera campestre. Es el material más económico y más utilizado por su precio. Su mayor desventaja es que no es adecuado para zonas heladas, ya que absorbe demasiada agua.</t>
  </si>
  <si>
    <t>El terrazo pizarra es un pavimento rugoso y antideslizante. Es una baldosa hidráulica que se usa en exterior por ser muy resistente a las heladas y cómodo para el tránsito peatonal.   Ref. lp-00407834.</t>
  </si>
  <si>
    <t>ma-lp-00415858</t>
  </si>
  <si>
    <t>Vierteaguas serie GRIS CAZORLA de AZULIBER (15x33,3x4 cm/pza).   Ref. lp-00415858</t>
  </si>
  <si>
    <t>ma-ma-PCO00004</t>
  </si>
  <si>
    <t>Vierteaguas rojo mate 14x28 cm.   Ref. ma-PCO00004</t>
  </si>
  <si>
    <t>ma-ma-PCO00018</t>
  </si>
  <si>
    <t>Vierteaguas rojo mate 28x14 cm.   Ref. ma-PCO00018</t>
  </si>
  <si>
    <t>ma-ma-PCRG0159</t>
  </si>
  <si>
    <t>Baldosa cerámica HIERRO GRES EXTRUSIONADO.   Ref. ma-ma-PCGR0159</t>
  </si>
  <si>
    <t>ccccccccccccccc</t>
  </si>
  <si>
    <t>ma-mausa-BEVIERNAT1428</t>
  </si>
  <si>
    <t>Vierteaguas prensado natural color Rojo Cugat de BENESOL (14x28 cm/pza).   Ref. mausa-BEVIERNAT1428</t>
  </si>
  <si>
    <t>ma-mausa-BEVIERNAT2814</t>
  </si>
  <si>
    <t>Vierteaguas prensado natural color Rojo Cugat de BENESOL (28x14 cm/pza).   Ref. mausa-BEVIERNAT2814</t>
  </si>
  <si>
    <t>Las baldosas pueden tener una ligera variación de medidas. Se recomienda instalarlas con una junta de 8 a 10 mm. El semigres rústico tiene normalmente variaciones de color entre las piezas de un mismo lote de producción. Además de la variación de color, algunas piezas pueden tener pequeñas imperfecciones. Estas cualidades son características de las baldosas rústicas y se deben considerar como normales.   Ref. mausa-Sku-CALAF1.
La variación de las medidas, planimetría, tono y los escantillados, dentro de la normativa establecida, no deben considerarse en ningún caso como defectos de producción. Debido a la naturaleza de este material, al efectuar la colocación, es conveniente mezclar piezas de distintas cajas o palets, para conseguir un mejor efecto estético. Así mismo se recomienda colocar todas las piezas en el mismo sentido de las estrías que se observan en su parte inferior. Se recomienda utilizar varias piezas representativas de las variaciones de color antes de la decisión final. Una sola muestra puede no ser suficientemente representativa. Por ello, se aconseja utilizar varias piezas para determinar la variación de tonos actualizada.</t>
  </si>
  <si>
    <t>Pavimentos con una absorción de agua entre el 3% y el 6% que, junto con una granulometría especial, evita la aparición de eflorescencias y humedades. Destacan por su gran resistencia al desgaste -Mohs 7- y su superficie antideslizante -Clase 3-. Son resistentes a los productos de limpieza, así como a ácidos y bases tanto de concentración débil como fuerte.   Ref. mausa-Sku-CALAF11.</t>
  </si>
  <si>
    <t>ma-mausa-Sku-CALAF16</t>
  </si>
  <si>
    <t>Vierteaguas MONTSERRAT de CALAF; color beige (19x19x1,3 cm/pza).   Ref. mausa-Sku-CALAF16</t>
  </si>
  <si>
    <t>Pavimentos con una absorción de agua entre el 3% y el 6% que, junto con una granulometría especial, evita la aparición de eflorescencias y humedades. Destacan por su gran resistencia al desgaste -Mohs 7- y su superficie antideslizante -Clase 3-. Son resistentes a los productos de limpieza, así como a ácidos y bases tanto de concentración débil como fuerte.   Ref. mausa-Sku-CALAF16.</t>
  </si>
  <si>
    <t>ma-monomat-01</t>
  </si>
  <si>
    <t>Baldosa cerámica para pavimento RÚSTICO DUNSTER; color natural (14x28 cm/pza).   Ref. monomat-01</t>
  </si>
  <si>
    <t>Baldosa cerámica para pavimento RÚSTICO DUNSTER; color natural (14x28 cm/pza). Espesor 8 mm.   Ref. monomat-01.</t>
  </si>
  <si>
    <t>ma-pierreysol-DALGRAHGP60602</t>
  </si>
  <si>
    <t>Baldosas de granito gris de HUBEI (60x60x2 cm/baldosa). Ref. pierreysol-DALGRAHGP60602</t>
  </si>
  <si>
    <t>ma-sola.azulejos-03</t>
  </si>
  <si>
    <t>Baldosa de gres esmaltado antideslizante tipo rústico para pavimento RODAS de BENESOL (31,6x31,6 cm/pza).   Ref. solá.azulejos-03</t>
  </si>
  <si>
    <t>Baldosa. Un modelo resistente, ideal para colocar como suelo de exterior en terrazas, rampas, escaleras o alrededor de la piscina. Espesor 10,5 mm.   Ref. solá.azulejos-03.</t>
  </si>
  <si>
    <t>La baldosa Catalana, con un origen tradicional que ha perdurado viva hasta nuestros días, sigue siendo un icono de nuestra identidad. La variedad de formatos y las diferentes tierras aportan calidez y atemporalidad a los interiores contemporáneos que buscan incorporar materiales honestos.   Ref. terraceramica-catalana.20x20.</t>
  </si>
  <si>
    <t>CERRAJERIA</t>
  </si>
  <si>
    <t>MATERIALES DE CERRAJERÍA</t>
  </si>
  <si>
    <t>ma-d.herrajes-sku.1501D150INXX0</t>
  </si>
  <si>
    <t>Manilla para puerta serie BASICS de FORMANI LBVII-19, acabado inox. mate.   Ref. d.herrajes-sku.1501D150INXX0</t>
  </si>
  <si>
    <t>Juego de manillas BASICS LBVII-19 EN1906 clase 3 de FORMANI, con roseta redonda con muelle y sin bocallave, para puertas interiores y de entrada. Está fabricada íntegramente en acero inoxidable, siendo especial para colocar en cualquier condición de ambiente, garantizando su resistencia debido a la elevada calidad del material. Las formas ovaladas de su roseta y su mango recto alargado logran un diseño de gran interés para captar la atención.   Ref. d.herrajes-sku.1501D150INXX0.</t>
  </si>
  <si>
    <t>ma-lp-00016229</t>
  </si>
  <si>
    <t>Juego de rosetas de aluminio R-868-CN acabado cromo/níquel.   Ref. lp-00016229</t>
  </si>
  <si>
    <t>Juego de rosetas de aluminio modelo R-868 CN. Acabado cromo brillo/níquel satinado. Medidas: 140x55 mm.   Ref. lp-00016229.</t>
  </si>
  <si>
    <t>ma-lp-00017619</t>
  </si>
  <si>
    <t>Cerradura a embutir EUROPERFIL con resbalón 600-HL-40/70-130 latonado.   Ref. lp-00017619</t>
  </si>
  <si>
    <t>ma-lp-00575740</t>
  </si>
  <si>
    <t>Juego de manillas 272; acabado negro (275x140x65 mm/pza).   Ref. lp-00575740</t>
  </si>
  <si>
    <t>CRISTALERIA.Y.VIDRIOS</t>
  </si>
  <si>
    <t>MATERIALES DE CRISTALERÍA</t>
  </si>
  <si>
    <t>ma-vallano-catedral-armado-6mm</t>
  </si>
  <si>
    <t>Vidrio catedral armado con malla (espesor 6 mm).   Ref. vallano-catedral-armado-6mm</t>
  </si>
  <si>
    <t>ma-vidriosonline-doble3-T</t>
  </si>
  <si>
    <t>paño</t>
  </si>
  <si>
    <t>Vidrio de seguridad laminado incoloro 3+3 mm con 4 esquinas 30º (1x1 m/paño).   Ref. vidriosonline-doble3-T</t>
  </si>
  <si>
    <t>Vidrio laminado incoloro 3+3 mm formado por dos lunas de 3 mm unidas mediante una o varias laminas plásticas. Usos más comunes del vidrio laminado en ventanas, escaparates, barandillas, puertas de paso correderas, puertas automáticas, pasarelas, tejados.   Ref. vidriosonline-doble3-T.
El vidrio laminado incoloro es un tipo de vidrio que se forma por la unión de varias láminas de vidrio de diferentes espesores. Se unen mediante películas de materiales plásticos translúcidas o transparentes que, unidas, dan sensación de láminas. La propiedad más importante del vidrio laminado es que, en caso de rotura, la unión con la película de material plástico evita la fragmentación y caída del vidrio, por lo que su comportamiento mecánico es mejorado en caso de impacto y evita el peligro de astillas de vidrio. Por ese motivo, el vidrio laminado también es conocido como vidrio de seguridad, por no tener riesgo de desprendimiento. Las láminas plásticas de unión incorporadas en las capas intercaladas en el vidrio laminado reciben el nombre de butiral y pueden ser de polivinilo, transparentes o translucidas y de colores.
Los parabrisas de los vehículos, los vidrios antirrobo o los vidrios antibalas se fabrican con vidrio laminado por su resistencia, versatilidad y opacidad.</t>
  </si>
  <si>
    <t>ma-vidriosonline-doble4-T</t>
  </si>
  <si>
    <t>Vidrio de seguridad laminado incoloro 4+4 mm con 4 esquinas 30º (1x1 m/paño).   Ref. vidriosonline-doble4-T</t>
  </si>
  <si>
    <t>Vidrio laminado incoloro 4+4 mm formado por dos lunas de 4 mm unidas mediante una o varias laminas plásticas. Usos más comunes del vidrio laminado en ventanas, escaparates, barandillas, puertas de paso correderas, puertas automáticas, pasarelas, tejados.   Ref. vidriosonline-doble4-T.
El vidrio laminado incoloro es un tipo de vidrio que se forma por la unión de varias láminas de vidrio de diferentes espesores. Se unen mediante películas de materiales plásticos translúcidas o transparentes que, unidas, dan sensación de láminas. La propiedad más importante del vidrio laminado es que, en caso de rotura, la unión con la película de material plástico evita la fragmentación y caída del vidrio, por lo que su comportamiento mecánico es mejorado en caso de impacto y evita el peligro de astillas de vidrio. Por ese motivo, el vidrio laminado también es conocido como vidrio de seguridad, por no tener riesgo de desprendimiento. Las láminas plásticas de unión incorporadas en las capas intercaladas en el vidrio laminado reciben el nombre de butiral y pueden ser de polivinilo, transparentes o translucidas y de colores.
Los parabrisas de los vehículos, los vidrios antirrobo o los vidrios antibalas se fabrican con vidrio laminado por su resistencia, versatilidad y opacidad.</t>
  </si>
  <si>
    <t>ma-vidriosonline-doble5-T</t>
  </si>
  <si>
    <t>Vidrio de seguridad laminado incoloro 5+5 mm con 4 esquinas 30º (1x1 m/paño).   Ref. vidriosonline-doble5-T</t>
  </si>
  <si>
    <t>Vidrio laminado incoloro 5+5 formado por dos lunas de 5 mm unidas mediante una o varias laminas plásticas. Usos más comunes del vidrio laminado en ventanas, escaparates, barandillas, puertas de paso correderas, puertas automáticas, pasarelas, tejados.   Ref. vidriosonline-doble5-T.
El vidrio laminado incoloro es un tipo de vidrio que se forma por la unión de varias láminas de vidrio de diferentes espesores. Se unen mediante películas de materiales plásticos translúcidas o transparentes que, unidas, dan sensación de láminas. La propiedad más importante del vidrio laminado es que, en caso de rotura, la unión con la película de material plástico evita la fragmentación y caída del vidrio, por lo que su comportamiento mecánico es mejorado en caso de impacto y evita el peligro de astillas de vidrio. Por ese motivo, el vidrio laminado también es conocido como vidrio de seguridad, por no tener riesgo de desprendimiento. Las láminas plásticas de unión incorporadas en las capas intercaladas en el vidrio laminado reciben el nombre de butiral y pueden ser de polivinilo, transparentes o translucidas y de colores.
Los parabrisas de los vehículos, los vidrios antirrobo o los vidrios antibalas se fabrican con vidrio laminado por su resistencia, versatilidad y opacidad.</t>
  </si>
  <si>
    <t>EQUIPAMIENTO</t>
  </si>
  <si>
    <t>ARTÍCULOS DE EQUIPAMIENTO (EXT/INT) Y ACCESORIOS CONEXOS</t>
  </si>
  <si>
    <t>ma-bd-3663602891192</t>
  </si>
  <si>
    <t>Cable de acero plastificado para tendedero (25 m/rollo)   Ref. bd-3663602891192</t>
  </si>
  <si>
    <t>ma-bm-10106705</t>
  </si>
  <si>
    <t>Soporte metálico pintado tipo escuadra sin poleas para tendedero; 55x2x2 cm   Ref. bm-10106705</t>
  </si>
  <si>
    <t>ma-bm-10201303</t>
  </si>
  <si>
    <t>Polea para tendedero (montura cincada y rodamiento de nylon); 22x40 mm   Ref. bm-10201303</t>
  </si>
  <si>
    <t>ma-bm-10201443</t>
  </si>
  <si>
    <t>Polea para tendedero (montura acero inoxidable y rodamiento zamat); 22x40 mm   Ref. bm-10201443</t>
  </si>
  <si>
    <t>ma-bm-10981712</t>
  </si>
  <si>
    <t>Tendedero plegable de pared en acero acabado en color blanco AC 160 EPOXI de CUNCIAL (medidas desplegado: 160x23x71 cm) con 5 barras 8 mm espesor.   Ref. bm-10981712</t>
  </si>
  <si>
    <t>ma-bm-10981733</t>
  </si>
  <si>
    <t>Tendedero plegable de pared en acero acabado en color blanco AC 100 EPOXI de CUNCIAL (medidas desplegado: 100x23x71 cm) con 5 barras 8 mm espesor.   Ref. bm-10981733</t>
  </si>
  <si>
    <t>ma-bm-10981775</t>
  </si>
  <si>
    <t>Tendedero plegable de pared en acero acabado en color blanco AC 140 EPOXI de CUNCIAL (medidas desplegado: 140x23x71 cm) con 5 barras 8 mm espesor.   Ref. bm-10981775</t>
  </si>
  <si>
    <t>ma-bm-10981782</t>
  </si>
  <si>
    <t>Tendedero plegable de pared en acero acabado en color blanco AC 180 EPOXI de CUNCIAL (medidas desplegado: 180x23x71 cm) con 5 barras 8 mm espesor.   Ref. bm-10981782</t>
  </si>
  <si>
    <t>Tendedero plegable de pared en acero acabado en color blanco AC 100 EPOXI de CUNCIAL (medidas desplegado: 180x23x71 cm) con 5 barras 8 mm espesor.   Ref. bm-10981782</t>
  </si>
  <si>
    <t>Buzón vertical de comunidad fabricado en acero de color plata mate. Dispone de una puerta de 0,7 mm de espesor y se vende con 2 llaves. Es ideal para reposiciones por su capacidad de adaptación a espacios en los que ya había un buzón, para lugares interiores como exteriores. Permite colocarse en batería de 3 buzones. Medidas: 27 x 40 x 30 cm (ancho x alto x fondo).   Ref. lm-18059006.</t>
  </si>
  <si>
    <t>Burlete o bajo puerta doble rollo de espuma de poliuretano de color gris AXTON para colocar en la parte inferior de las puertas interiores de tu vivienda. Uso apto para suelos con moqueta y fijación invisible. El perfil de la junta es plano y presenta un tipo de junta deslizante.   Ref. lm-82202916.
Aunque se comercializa en piezas con una longitud de 1 metro se puede recortar para ajustar en puertas de tamaño inferior. Sirve como aislante térmico y acústico, protegiendo tus estancias de corrientes de aire y ciertos ruidos. Medidas: 1 m de largo.</t>
  </si>
  <si>
    <t>Burlete de PVC AXTON de color blanco para colocar en la parte inferior de las puertas interiores de tu vivienda. El perfil de la junta es plano y presenta un tipo de junta en forma de cepillo transparente. Uso apto para cualquier tipo de suelo.   Ref. lm-82202922.
Aunque se comercializa en piezas con una longitud de 1 metro se puede recortar para ajustar en puertas de tamaño inferior. Su fijación es invisible y muy sencilla mediante la aplicación de adhesivo. Sirve como aislante térmico y acústico, protegiendo tus estancias de corrientes de aire y ciertos ruidos. Medidas: 1 m de largo.</t>
  </si>
  <si>
    <t>Burlete de aluminio AXTON de color marrón para colocar en la parte inferior de las puertas interiores de tu vivienda. El perfil de la junta es plano y presenta un tipo de junta en forma de cepillo negro. Uso apto para cualquier tipo de suelo.   Ref. lm-82202932
Aunque se comercializa en piezas con una longitud de 1 metro se puede recortar para ajustar en puertas de tamaño inferior. Su fijación es invisible y muy sencilla mediante adhesivo o tornillos. Sirve como aislante térmico y acústico, protegiendo tus estancias de corrientes de aire y ciertos ruidos. Medidas: 1 m de largo.</t>
  </si>
  <si>
    <t>ma-lm-82551579</t>
  </si>
  <si>
    <t>Toldo MARBELLA brazo punto recto manual sin cofre blanco y tela beige (1,5x1 m/und).   Ref. lm-82551579</t>
  </si>
  <si>
    <t>Toldo punto recto para ventana o balcón sin cofre serie MARBELLA de apertura manual. Con estructura de aluminio lacada en color blanco y tela acrílica con acabado liso en colores gris, beige y café; ideal para proteger el interior de tu hogar del sol y ahorrar en consumo en verano.   Ref. lm-82551579.
La tela cuenta con un alto gramaje (300 g/m²), que le proporciona resistencia y durabilidad. Además, cuenta con protección frente al viento clase 3 (hasta un máximo de 49 km/h). Incluye soportes de fijación para pared y techo. Ángulo de inclinación máxima de 90°. Medidas: 150 x 8,5 x 100 cm (ancho x alto x largo).</t>
  </si>
  <si>
    <t>ma-lm-82551580</t>
  </si>
  <si>
    <t>Toldo MARBELLA brazo punto recto manual sin cofre blanco y tela café (1,5x1 m/und).   Ref. lm-82551580</t>
  </si>
  <si>
    <t>Toldo punto recto para ventana o balcón sin cofre serie MARBELLA de apertura manual. Con estructura de aluminio lacada en color blanco y tela acrílica con acabado liso en colores gris, beige y café; ideal para proteger el interior de tu hogar del sol y ahorrar en consumo en verano.   Ref. lm-82551580.
La tela cuenta con un alto gramaje (300 g/m²), que le proporciona resistencia y durabilidad. Además, cuenta con protección frente al viento clase 3 (hasta un máximo de 49 km/h). Incluye soportes de fijación para pared y techo. Ángulo de inclinación máxima de 90°. Medidas: 150 x 8,5 x 100 cm (ancho x alto x largo).</t>
  </si>
  <si>
    <t>ma-lm-82551589</t>
  </si>
  <si>
    <t>Toldo MARBELLA brazo punto recto manual sin cofre blanco y tela gris 1,5x1 m/und).   Ref. lm-82551589</t>
  </si>
  <si>
    <t>Toldo punto recto para ventana o balcón sin cofre serie MARBELLA de apertura manual. Con estructura de aluminio lacada en color blanco y tela acrílica con acabado liso en colores gris, beige y café; ideal para proteger el interior de tu hogar del sol y ahorrar en consumo en verano.   Ref. lm-82551589.
La tela cuenta con un alto gramaje (300 g/m²), que le proporciona resistencia y durabilidad. Además, cuenta con protección frente al viento clase 3 (hasta un máximo de 49 km/h). Incluye soportes de fijación para pared y techo. Ángulo de inclinación máxima de 90°. Medidas: 150 x 8,5 x 100 cm (ancho x alto x largo).</t>
  </si>
  <si>
    <t>ma-lm-86545486</t>
  </si>
  <si>
    <t>Cortina de pared NATERIAL MODUS de aluminio gris (1,13x2,38 m/panel).   Ref. lm-86545486</t>
  </si>
  <si>
    <t>Persianas Alicantinas para exterior fabricadas en madera de varios colores (marrón, beige y verde) de CORTINADECOR con certificado PEFC.   Ref. lm-88236080.
Se trata de una persiana enrollable económica fabricada a medida. Su funcionamiento se basa en un sencillo mecanismo de subida y bajada. Está formada por unas lamas dispuestas en sentido horizontal, que van unidas entre ellas con unos ganchos metálicos. Para su apertura y cierre se enrollan o desenrollan gracias a un cordel que recorre la persiana por el centro. Para subirla y dejar paso a la luz, basta con tirar del cordel y esta se enrollará hasta quedar recogida en la parte superior, fijándola con un simple nudo o atando la cuerda a un lateral. El color natural, no incluye ningún tipo de tratamiento en la madera, para poder tratarla y barnizarla con el color deseado.</t>
  </si>
  <si>
    <t>ma-lm-89452672</t>
  </si>
  <si>
    <t>Tendedero plegable de pared fabricado en resina y aluminio GIMI SKATTO (4 m para colgar; dimensiones L70xP50xH16).   Ref. lm-89452672</t>
  </si>
  <si>
    <t>El esencial y resistente tendedero inoxidable de pared fabricado en resina y aluminio. Grandes alambres en varillas que evitan arrugas en las prendas secas. Se convierte en un práctico toallero cuando está cerrado.   Ref. lm-89452672.</t>
  </si>
  <si>
    <t>ma-lm-89452673</t>
  </si>
  <si>
    <t>Tendedero plegable de pared fabricado en resina y aluminio GIMI SKATTO (6 m para colgar; dimensiones L104xP50xH16).   Ref. lm-89452673</t>
  </si>
  <si>
    <t>El esencial y resistente tendedero inoxidable de pared fabricado en resina y aluminio. Grandes alambres en varillas que evitan arrugas en las prendas secas. Se convierte en un práctico toallero cuando está cerrado.   Ref. lm-89452673.</t>
  </si>
  <si>
    <t>EQUIPOS.Y.APARATOS</t>
  </si>
  <si>
    <t>EQUIPOS Y APARATOS VARIOS</t>
  </si>
  <si>
    <t>ma-lm-82913482</t>
  </si>
  <si>
    <t>Deshumidificador DHUM-12 EN de SOLER&amp;PALAU (Área de Influencia = 30 m2; LxAxH=360x220x490 mm).   Ref. lm-82913482</t>
  </si>
  <si>
    <t>Deshumidificadores DHUM-12 EN de SOLER&amp;PALAU; domésticos, compactos, portátiles, fáciles de desplazar y ubicar. Para estancias de hasta 30 m², con 12 litros/día de capacidad y 495 W de consumo.   Ref. lm-82913482.
CARACTERÍSTICAS:
• Compresor rotativo muy silencioso.
• Humidostato electrónico que permite seleccionar la humedad deseada y display indicador de humedad ambiente.
• 2 velocidades y 3 modos de funcionamiento: MANUAL, CONTINUO Y AUTOMÁTICO (este último selecciona la humedad en función de la temperatura ambiente).
• Temporizador programable entre 1 y 24 horas.
• Función de descongelación: se activa cuando la temperatura ambiente es inferior a 15ºC aproximadamente.
• Rearme automático, en caso de corte de suministro eléctrico.
• Indicador saturación del depósito.
• Desconexión de la unidad cuando el depósito del agua está lleno.
• Asas para transporte.</t>
  </si>
  <si>
    <t>ma-lm-82945688</t>
  </si>
  <si>
    <t>Deshumidificador de aire EQUATION 18L (Área de Influencia = 18 m2; LxAxH=276x185x480 mm).   Ref. lm-82945688</t>
  </si>
  <si>
    <t>Deshumidificador de aire EQUATION, en color blanco, recomendado para estancias de hasta 18 m² de superficie. Cuenta con un motor de 280 W, drenaje permanente y función anticongelante (para funcionar en estancias frías). Se para automáticamente cuando el depósito está lleno y se reinicia en caso de fallo en la alimentación. Dispone de pantalla digital, temporizador, higrostato, nivel de agua visible, depósito de 2 litros, filtro antipolvo, y asa de transporte. Los deshumidificadores son muy útiles cuando la humedad supera el 60%, ya que corrigen el porcentaje y aumentan el confort en tu vivienda. Medidas: 27,6 x 48 x 18,5 cm (ancho x alto x fondo).   Ref. lm-82945688.</t>
  </si>
  <si>
    <t>ma-me-SYP5261001500</t>
  </si>
  <si>
    <t>Deshumidificador DHUM-30 EN de SOLER&amp;PALAU (Área de Influencia = 50 m2; LxAxH=481x286x628 mm).   Ref. ma-me-SYP5261001500</t>
  </si>
  <si>
    <t>Deshumidificadores DHUM-30 EN de SOLER&amp;PALAU; domésticos, compactos, portátiles, fáciles de desplazar y ubicar. Para estancias de hasta 50 m², con 30 litros/día de capacidad y 520 W de consumo.   Ref. ma-me-SYP5261001500.
CARACTERÍSTICAS:
• Compresor rotativo muy silencioso.
• Humidostato electrónico que permite seleccionar la humedad deseada y display indicador de humedad ambiente.
• 2 velocidades y 3 modos de funcionamiento: MANUAL, CONTINUO Y AUTOMÁTICO (este último selecciona la humedad en función de la temperatura ambiente).
• Temporizador programable entre 1 y 24 horas.
• Función de descongelación: se activa cuando la temperatura ambiente es inferior a 15ºC aproximadamente.
• Rearme automático, en caso de corte de suministro eléctrico.
• Indicador saturación del depósito.
• Desconexión de la unidad cuando el depósito del agua está lleno.
• Asas para transporte.</t>
  </si>
  <si>
    <t>ma-tiendadelaire-8413893594778</t>
  </si>
  <si>
    <t>Deshumidificador DHUM-30 EN de SOLER&amp;PALAU (Área de Influencia = 50 m2; LxAxH=481x286x628 mm).   Ref. tiendadelaire-8413893594778</t>
  </si>
  <si>
    <t>Deshumidificadores DHUM-30 EN de SOLER&amp;PALAU; domésticos, compactos, portátiles, fáciles de desplazar y ubicar. Para estancias de hasta 50 m², con 30 litros/día de capacidad y 520 W de consumo.   Ref. tiendadelaire-8413893594778.
CARACTERÍSTICAS:
• Compresor rotativo muy silencioso.
• Humidostato electrónico que permite seleccionar la humedad deseada y display indicador de humedad ambiente.
• 2 velocidades y 3 modos de funcionamiento: MANUAL, CONTINUO Y AUTOMÁTICO (este último selecciona la humedad en función de la temperatura ambiente).
• Temporizador programable entre 1 y 24 horas.
• Función de descongelación: se activa cuando la temperatura ambiente es inferior a 15ºC aproximadamente.
• Rearme automático, en caso de corte de suministro eléctrico.
• Indicador saturación del depósito.
• Desconexión de la unidad cuando el depósito del agua está lleno.
• Asas para transporte.</t>
  </si>
  <si>
    <t>FIJACION.Y.SUSPENSION</t>
  </si>
  <si>
    <t>MATERIALES PARA FIJACIÓN Y/O SUSPENSIÓN</t>
  </si>
  <si>
    <t>Espárrago de Acero para Anclaje Químico 10x165 mm Tipo Varilla (8 Pzas./Bolsa).   Ref. bm-10282853</t>
  </si>
  <si>
    <t>ma-bm-10917384</t>
  </si>
  <si>
    <t>Tamiz de nylon para taco/anclaje químico; 12x85 mm FISCHER (8 pzas./bolsa)   Ref. bm-10917384</t>
  </si>
  <si>
    <t>Tamiz de nylon para taco/anclaje químico; 12x85 mm FISCHER (8 pzas./bolsa)   Ref. bm-10917384.
Tamíz o casquillo de anclaje para la inyección, manguitos de rosca interior y varillas roscadas y, especialmente para la aplicación con cartucho de inyección Fischer en materiales huecos. Tienen una estructura reticular optimizada para un mínimo consumo de resina, con una adaptación óptima a los huecos del ladrillo. Ganchos que sirven de apoyo en el taladro. Borde ancho para evitar el deslizamiento hacia abajo y cubre el taladro de forma limpia. Espesor mínimo del borde. Aleta para centrar ya que una vez dentro del taladro se pliegan hacia el interior y centran la varilla de anclaje. 20 pzas/bolsa.</t>
  </si>
  <si>
    <t>ma-bm-10917391</t>
  </si>
  <si>
    <t>Tamiz de nylon para taco/anclaje químico; 16x85 mm FISCHER (8 pzas./bolsa)   Ref. bm-10917391</t>
  </si>
  <si>
    <t>Tamiz de nylon para taco/anclaje químico; 16x85 mm FISCHER (8 pzas./bolsa)   Ref. bm-10917391.
Tamíz o casquillo de anclaje para la inyección, manguitos de rosca interior y varillas roscadas y, especialmente para la aplicación con cartucho de inyección Fischer en materiales huecos. Tienen una estructura reticular optimizada para un mínimo consumo de resina, con una adaptación óptima a los huecos del ladrillo. Ganchos que sirven de apoyo en el taladro. Borde ancho para evitar el deslizamiento hacia abajo y cubre el taladro de forma limpia. Espesor mínimo del borde. Aleta para centrar ya que una vez dentro del taladro se pliegan hacia el interior y centran la varilla de anclaje. 20 pzas/bolsa.</t>
  </si>
  <si>
    <t>Tamíz o casquillo de anclaje para la inyección, manguitos de rosca interior y varillas roscadas y, especialmente para la aplicación con cartucho de inyección Fischer en materiales huecos. Tienen una estructura reticular optimizada para un mínimo consumo de resina, con una adaptación óptima a los huecos del ladrillo. Ganchos que sirven de apoyo en el taladro. Borde ancho para evitar el deslizamiento hacia abajo y cubre el taladro de forma limpia. Espesor mínimo del borde. Aleta para centrar ya que una vez dentro del taladro se pliegan hacia el interior y centran la varilla de anclaje. 20 pzas/bolsa.   Ref. bm-10943415</t>
  </si>
  <si>
    <t>Grapas-clip para fijación de cables y tubos rígidos de 32 mm de diámetro, fabricadas en nylon con acabado de color gris.   Ref. lm-14761453</t>
  </si>
  <si>
    <t>ma-lm-18567976</t>
  </si>
  <si>
    <t>Gancho para sujeción de láminas de cubierta con arandelas de acero y PVC (19x5,2x2 cm/pza).   Ref. lm-18567976</t>
  </si>
  <si>
    <t>Gancho para la sujeción de cubiertas metálicas o de fibrocemento a viguetas metálicas o de hormigón. Fabricada en alambre de acero, rosca M7. Longitud de rosca: 60 mm. Equipados con tuerca hexagonal M7 y arandela hierro y PVC adaptada al diámetro de la varilla.   lm-18567976.</t>
  </si>
  <si>
    <t>ma-lm-18607155</t>
  </si>
  <si>
    <t>Perno de acero inoxidable A4 de STANDERS (diámetro 6 a 35 mm).   Ref. lm-18607155</t>
  </si>
  <si>
    <t>Perno en "U" STANDERS fabricado en acero inoxidable con acabado de color gris plata y con medidas de 6 a 35 mm de diámetro.   Ref. lm-18607155.</t>
  </si>
  <si>
    <t>Abrazadera o grapa SANICLIP para tubo rígido de 35 mm de diámetro fabricadas en nylon con acabado de color gris. Se puede fijar a perfiles E2000PB, E2000PG, 1000PVC, y a pared con tirafondo TF M6 y taco FX de 6.   Ref. lm-86291086</t>
  </si>
  <si>
    <t>ma-lp-00015437</t>
  </si>
  <si>
    <t>Taco fijación presión 6 mm de SOLERA con pasador para bridas; color negro (100 pzas/bolsa).   Ref. lp-00015437</t>
  </si>
  <si>
    <t>ma-lp-00015438</t>
  </si>
  <si>
    <t>Taco fijación presión 8 mm de SOLERA con pasador para bridas; color negro (100 pzas/bolsa).   Ref. lp-00015438</t>
  </si>
  <si>
    <t>El anclaje químico de altas prestaciones FIS V de FISCHER es el polivalente universal para las máximas exigencias. El anclaje de viniléster híbrido libre de estireno con sus numerosos elementos de fijación está homologado para fijaciones en hormigón traccionado y comprimido, así como en mampostería. Incluye 2 boquillas mezcladoras.   Ref. lp-00016626.
El anclaje químico también se utiliza con los componentes de sistema homologados para empalmes de varillas de refuerzo, el anclaje reparador de muro VBS 8 de FISCHER, el anclaje resistente a la intemperie FWS II de FISCHER y la instalación a distancia TherMax. La variante FIS VS LOW SPEED permite un tiempo de procesamiento mayor a altas temperaturas de procesamiento o una mayor profundidad de perforación. El tiempo de endurecimiento más corto de la variante FIS VW HIGH SPEED permite un progreso del trabajo ágil incluso a bajas temperaturas.</t>
  </si>
  <si>
    <t>Remache de medida 4,8x8 estándar cabeza alomada aluminio Al-Mg 3,5 y vástago de acero cincado A1K suministrado en caja de 50 uds.   Ref. lp-00019571.</t>
  </si>
  <si>
    <t>ma-lp-00019579</t>
  </si>
  <si>
    <t>Remache aluminio-acero 4,0x8 estándar de BRALO (50 pzas/caja).   Ref. lp-00019579</t>
  </si>
  <si>
    <t>Remache de medida 4,0x8 estándar cabeza alomada aluminio Al-Mg 3,5 y vástago de acero cincado A1K suministrado en caja de 50 uds.   Ref. lp-00019579.</t>
  </si>
  <si>
    <t>ma-lp-00094315</t>
  </si>
  <si>
    <t>Abrazadera FISCHER CLIP FT para la fijación de cables y tubos IEC 20 mm.   Ref. lp-00094315</t>
  </si>
  <si>
    <t>Abrazadera FISCHER CLIP FT para la fijación de cables y tubos IEC 20 mm en sistemas de montaje SAMONTEC.   Ref. lp-00094315</t>
  </si>
  <si>
    <t>ma-lp-00094316</t>
  </si>
  <si>
    <t>Abrazadera FISCHER CLIP FT para la fijación de cables y tubos IEC 25 mm.   Ref. lp-00094316</t>
  </si>
  <si>
    <t>Abrazadera FISCHER CLIP FT para la fijación de cables y tubos IEC 25 mm en sistemas de montaje SAMONTEC.   Ref. lp-00094316</t>
  </si>
  <si>
    <t>Abrazadera FISCHER CLIP FT para la fijación de cables y tubos IEC 32 mm en sistemas de montaje SAMONTEC.   Ref. lp-00094317</t>
  </si>
  <si>
    <t>ma-lp-00094371</t>
  </si>
  <si>
    <t>Soporte recto FISCHER SAMONTEC ALK 27/18 (3 m/pza).   Ref. lp-00094371</t>
  </si>
  <si>
    <t>Soporte recto ALK 27/18-300 para sistemas de montaje FISCHER SAMONTEC. Dimensiones de la pletina: 120x40x4 mm. Longitud de 3 metros. Distancia entre taladros: 79 mm. Carril: 27/18.   Ref. lp-00094371</t>
  </si>
  <si>
    <t>ma-lp-00173561</t>
  </si>
  <si>
    <t>Varilla roscada de acero cincado M-12 de HYDRAFIX (1 m/pza).   Ref. lp-00173561</t>
  </si>
  <si>
    <t>ma-lp-00193860</t>
  </si>
  <si>
    <t>Varilla roscada de acero cincado M-10 de HYDRAFIX (1 m/pza).   Ref. lp-00193860</t>
  </si>
  <si>
    <t>El taco DUOPOWER de FISCHER es un taco de nylon y polipropileno con valores superiores de carga y funcionamiento inteligente según el sustrato. El borde estrecho del tapón evita el deslizamiento en el agujero de perforación. La característica serrada anti-rotación evita la rotación en el agujero de perforación durante la instalación. Combinación de dos componentes de materiales para un mayor rendimiento. Funciones seguras para materiales macizos (expansión) y perforados o placas (bloqueo/anudado). Mejor respuesta posible del taco: se nota que el taco encaja a la perfección. Con el tornillo adecuado para una sujeción perfecta. Dos componentes para cargas superiores y funcionamiento inteligente (expansión, plegado, anudado) en función del soporte. Mejor sensación del taco. Puede sentir con seguridad cuando el taco está instalado perfectamente. Las aletas dentadas impiden la rotación en el agujero durante la instalación. Medidas: 6x30 S. Envase de 50 unidades.   Ref. lp-00215083.</t>
  </si>
  <si>
    <t>ma-lp-00276616</t>
  </si>
  <si>
    <t>Clavos de acero con botón plástico para fijación de láminas drenantes al soporte FIJACIONES DRENTEX de SOPREMA (200 unds/caja).   Ref. lp-00276616</t>
  </si>
  <si>
    <t>Clavos zincados con botón plástico para la fijación mecánica sobre cualquier superficie de las láminas alveolares DRENTEX y del DRENTEX PERFIL.   Ref. lp-00276616</t>
  </si>
  <si>
    <t>ma-lp-00300152</t>
  </si>
  <si>
    <t>Varilla roscada de acero cincado M-16 de HYDRAFIX (1 m/pza).   Ref. lp-00300152</t>
  </si>
  <si>
    <t>Anclaje rosca hembra de latón de métrica con exterior moleteado. Medidas: M-6x23 mm. Diámetro de la broca: 8 mm. Bolsa de 10 unidades.   Ref. lp-00411803.</t>
  </si>
  <si>
    <t>ma-lp-00473206</t>
  </si>
  <si>
    <t>Tornillo autotaladrante cabeza hexagonal con arandela vulcanizada acero-EPDM (6,3x38 mm/pza; 8 pzas/envase).   Ref. lp-00473206</t>
  </si>
  <si>
    <t>ma-lp-00473218</t>
  </si>
  <si>
    <t>Tornillo cincado autotaladrante cabeza avellanada (Ph 3,5x13 mm/pza; 40 uds/envase).   Ref. lp-00473218</t>
  </si>
  <si>
    <t>Tornillo cincado autotaladrante de cabeza avellanada y huella Ph de medidas 3,5x13 mm. Envase de 40 unidades.   Ref. lp-00473218.</t>
  </si>
  <si>
    <t>Bolsa de 100 Bridas o Tirraps de Amarre (Largo=300 mm; Ancho=4,8 mm. 100 pzas/bolsa.   Ref. lp-00514905</t>
  </si>
  <si>
    <t>ma-lp-00551135</t>
  </si>
  <si>
    <t>Anclaje/Taco químico poliéster sin estireno BIGMAT. cargas medias (410 ml/cartucho)   Ref. lp-00551135</t>
  </si>
  <si>
    <t>Anclaje químico bicomponente a base de resina poliéster sin estireno. Cargas MEDIAS. Idóneo para mampostería maciza o hueca. Incluye mixer T-FLOWTM con collarín. Formato sin necesidad de corte. Menos fuerza de extrusión. Aprovechamiento total del contenido. Tapón estanco: Bajo olor de almacenamiento. Uso con pistola de silicona. No presenta fugas. Peligrosidad: Provoca irritación ocular grave. Puede provocar una reacción alérgica en la piel.</t>
  </si>
  <si>
    <t>Anclaje químico bicomponente a base de resina epoxi sin estireno (cargas MEDIAS-ALTAS). Idóneo para hormigón no fisurado. Instalación en taladros húmedos. Uso con varillas roscadas y corrugadas. Incluye mixer T-FLOWTM con collarín. Formato sin necesidad de corte. Menos fuerza de extrusión. Aprovechamiento total del contenido. Tapón estanco: Bajo olor de almacenamiento. Uso con pistola de silicona. No presenta fugas.   Ref. lp-00551136
Peligrosidad: Puede provocar una reacción alérgica en la piel. Provoca irritación ocular grave.</t>
  </si>
  <si>
    <t>ma-lp-00557294</t>
  </si>
  <si>
    <t>Taco brida 6 mm; color blanco (100 pzas/bolsa).   Ref. lp-00557294</t>
  </si>
  <si>
    <t>Taco de nylon con pasador para bridas de nylon Excelente fijación a presión en macizo o hueco Aislante y autoextinegrouible. Sistema antivibratorio.   Ref. lp-00557294.</t>
  </si>
  <si>
    <t>ma-lp-00557295</t>
  </si>
  <si>
    <t>Taco brida 8 mm; color blanco (100 pzas/bolsa).   Ref. lp-00557295</t>
  </si>
  <si>
    <t>Taco de nylon con pasador para bridas de nylon Excelente fijación a presión en macizo o hueco Aislante y autoextinegrouible. Sistema antivibratorio.   Ref. lp-00557295.</t>
  </si>
  <si>
    <t>ma-lp-00557296</t>
  </si>
  <si>
    <t>Taco brida 6 mm; color negro (100 pzas/bolsa).   Ref. lp-00557296</t>
  </si>
  <si>
    <t>Taco de nylon con pasador para bridas de nylon Excelente fijación a presión en macizo o hueco Aislante y autoextinegrouible. Sistema antivibratorio.   Ref. lp-00557296.</t>
  </si>
  <si>
    <t>ma-lp-00557297</t>
  </si>
  <si>
    <t>Taco brida 8 mm; color negro (100 pzas/bolsa).   Ref. lp-00557297</t>
  </si>
  <si>
    <t>Taco de nylon con pasador para bridas de nylon Excelente fijación a presión en macizo o hueco Aislante y autoextinegrouible. Sistema antivibratorio.   Ref. lp-00557297.</t>
  </si>
  <si>
    <t>ma-lp-00557751</t>
  </si>
  <si>
    <t>Anclaje/Taco químico resina epoxi sin estireno BIGMAT. cargas medias-altas (300 ml/cartucho)   Ref. lp-00557751</t>
  </si>
  <si>
    <t>ma-lp-00557752</t>
  </si>
  <si>
    <t>Anclaje/Taco químico poliéster sin estireno BIGMAT. cargas medias (300 ml/cartucho)   Ref. lp-00557752</t>
  </si>
  <si>
    <t>ma-manau-36960</t>
  </si>
  <si>
    <t>Adhesivo bicomponente de curado rápido para anclajes Sika AnchorFix-1 de SIKA (330 ml / 490 gr/cartucho).   Ref. manau-36960</t>
  </si>
  <si>
    <t>Adhesivo para anclajes de dos componentes a base de resina de poliéster libre de estireno y disolventes.   Ref. manau-36960.
USOS:
Como adhesivo de curado rápido para todo tipo de:
• Redondos de acero corrugado.
• Varillas roscadas
• Pernos y sistemas de sujeción especiales.
Sobre los siguientes soportes:
• Hormigón
• Fábrica de ladrillo maciza o hueca
• Piedra natural (*)
• Roca sólida (*)
(*) Estos soportes pueden variar mucho, en particular en cuanto a resistencia, composición y porosidad. Por lo tanto, para cada aplicación, la idoneidad del adhesivo SIKA ANCHORFIX-1 debe ser comprobada aplicando primero SIKA ANCHORFIX-1. Adherir sólo a un área de la muestra. Compruebe especialmente la fuerza de adherencia, las manchas en la superficie y la decoloración.</t>
  </si>
  <si>
    <t>ma-manomano-562169</t>
  </si>
  <si>
    <t>Taco alargado DuoXpand 10x120 mm FISCHER FUS acero (50 pzas/caja).   Ref. manomano-562169</t>
  </si>
  <si>
    <t>ma-manomano-ME87267243</t>
  </si>
  <si>
    <t>Soporte metálico atornillable para poste TT 90/200/200mm.   Ref. manomano-ME87267243</t>
  </si>
  <si>
    <t>ma-manomano-tamiz.12x85</t>
  </si>
  <si>
    <t>Tamiz de nylon para taco/anclaje químico; 12x85 mm FISCHER (50 pzas./bolsa)   Ref. manomano-tamiz.12x85</t>
  </si>
  <si>
    <t>El Tamiz FISCHER es el componente de sistema para el empleo de los morteros de inyección FISCHER en mampostería de piedra perforada. El manguito de anclaje se introduce en la perforación y se rellena con mortero de inyección desde la base del manguito de anclaje. Al colocar la varilla roscada o la varilla con roscado interno, el mortero se presiona contra la estructura de rejilla y se une de forma continua a la piedra perforada. De este modo, la carga se conduce al material. con el manguito de anclaje para inyección tampoco pueden puentearse las capas portantes.   Ref. manomano-tamiz.12x85.</t>
  </si>
  <si>
    <t>ma-oldwestiron-HCS031</t>
  </si>
  <si>
    <t>Tornillo decorativo con cabeza piramidal lisa 1”.   Ref. oldwestiron-HCS031</t>
  </si>
  <si>
    <t>Tornillo de cabeza piramidal puntiaguda con base cuadrada que llega a un punto creando una apariencia de estilo artesanal limpio. Este tornillo es compatible con la mayoría de los estilos modernos y crea una apariencia de transición con estilos rústicos.   Ref. oldwestiron-HCS031.</t>
  </si>
  <si>
    <t>ma-provisional-01</t>
  </si>
  <si>
    <t>Abrazadera tipo U</t>
  </si>
  <si>
    <t>FONTANERIA.Y.GAS</t>
  </si>
  <si>
    <t>MATERIALES PARA FONTANERÍA Y GAS</t>
  </si>
  <si>
    <t>MULTICAPA</t>
  </si>
  <si>
    <t>MATERIALES DEL SISTEMA MULTICAPA</t>
  </si>
  <si>
    <t>ma-bm-10266120</t>
  </si>
  <si>
    <t>Codo 90º MULTICAPA MULTIPEX 32 mm.   Ref. bm-10266120</t>
  </si>
  <si>
    <t>ma-bm-10269315</t>
  </si>
  <si>
    <t>Manguito MULTICAPA MULTIPEX 16 mm.   Ref. bm-10269315</t>
  </si>
  <si>
    <t>ma-bm-10269322</t>
  </si>
  <si>
    <t>Manguito MULTICAPA MULTIPEX 20 mm.   Ref. bm-10269322</t>
  </si>
  <si>
    <t>ma-bm-10269336</t>
  </si>
  <si>
    <t>Manguito MULTICAPA MULTIPEX 25 mm.   Ref. bm-10269336</t>
  </si>
  <si>
    <t>ma-bm-10269364</t>
  </si>
  <si>
    <t>Codo 90º MULTICAPA MULTIPEX 16 mm.   Ref. bm-10269364</t>
  </si>
  <si>
    <t>ma-bm-10269371</t>
  </si>
  <si>
    <t>Codo 90º MULTICAPA MULTIPEX 20 mm.   Ref. bm-10269371</t>
  </si>
  <si>
    <t>ma-bm-10269385</t>
  </si>
  <si>
    <t>Codo 90º MULTICAPA MULTIPEX 25 mm.   Ref. bm-10269385</t>
  </si>
  <si>
    <t>ma-bm-10269644</t>
  </si>
  <si>
    <t>Válvula esfera MULTICAPA MULTIPEX 16 mm.   Ref. bm-10269644</t>
  </si>
  <si>
    <t>ma-bm-10269651</t>
  </si>
  <si>
    <t>Válvula esfera MULTICAPA MULTIPEX 20 mm.   Ref. bm-10269651</t>
  </si>
  <si>
    <t>ma-bm-10269665</t>
  </si>
  <si>
    <t>Válvula esfera MULTICAPA MULTIPEX 25 mm.   Ref. bm-10269665</t>
  </si>
  <si>
    <t>ma-bm-10269672</t>
  </si>
  <si>
    <t>Válvula palanca MULTICAPA MULTIPEX 16 mm.   Ref. bm-10269672</t>
  </si>
  <si>
    <t>ma-bm-10269686</t>
  </si>
  <si>
    <t>Válvula palanca MULTICAPA MULTIPEX 20 mm.   Ref. bm-10269686</t>
  </si>
  <si>
    <t>ma-bm-10269693</t>
  </si>
  <si>
    <t>Válvula palanca MULTICAPA MULTIPEX 25 mm.   Ref. bm-10269693</t>
  </si>
  <si>
    <t>ma-bm-10285254</t>
  </si>
  <si>
    <t>rolla</t>
  </si>
  <si>
    <t>Tubo MULTICAPA PERT-AL-PERT 16 mm; espesor 2 mm (25 m/rollo).   Ref. bm-10285254</t>
  </si>
  <si>
    <t>Tubo MULTICAPA PERT-AL-PERT 16 mm; espesor 2 mm (25 m/rollo).   Ref. bm-10285254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</si>
  <si>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ma-bm-10285282</t>
  </si>
  <si>
    <t>Tubo MULTICAPA PERT-AL-PERT 20 mm; espesor 2 mm (25 m/rollo).   Ref. bm-10285282</t>
  </si>
  <si>
    <t>Tubo MULTICAPA PERT-AL-PERT 20 mm; espesor 2 mm (25 m/rollo).   Ref. bm-10285282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</si>
  <si>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ma-bm-10285296</t>
  </si>
  <si>
    <t>Tubo MULTICAPA PERT-AL-PERT 20 mm; espesor 2 mm (100 m/rollo).   Ref. bm-10285296</t>
  </si>
  <si>
    <t>Tubo MULTICAPA PERT-AL-PERT 20 mm; espesor 2 mm (100 m/rollo).   Ref. bm-10285296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</si>
  <si>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Tubo MULTICAPA PERT-AL-PERT 25 mm; espesor 2,5 mm (25 m/rollo).   Ref. bm-10286310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</si>
  <si>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ma-bm-10466225</t>
  </si>
  <si>
    <t>Válvula esfera MULTICAPA MULTIPEX 32 mm.   Ref. bm-10466225</t>
  </si>
  <si>
    <t>ma-bm-10466232</t>
  </si>
  <si>
    <t>Tubo MULTICAPA PERT-AL-PERT 32 mm; espesor 2,8 mm (25 m/rollo).   Ref. bm-10466232</t>
  </si>
  <si>
    <t>Tubo MULTICAPA PERT-AL-PERT 32 mm; espesor 2,8 mm (25 m/rollo).   Ref. bm-10466232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</si>
  <si>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ma-bm-10466701</t>
  </si>
  <si>
    <t>Manguito MULTICAPA MULTIPEX 32 mm.   Ref. bm-10466701</t>
  </si>
  <si>
    <t>ma-bm-10544744</t>
  </si>
  <si>
    <t>Tubo MULTICAPA PERT-AL-PERT 16 mm; con aislamiento; espesor 2 mm (50 m/rollo).   Ref. bm-10544744</t>
  </si>
  <si>
    <t>Tubo MULTICAPA PERT-AL-PERT 16 mm; con aislamiento; espesor 2 mm (50 m/rollo).   Ref. bm-10544744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</si>
  <si>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ma-bm-10544765</t>
  </si>
  <si>
    <t>Tubo MULTICAPA PERT-AL-PERT 20 mm con aislamiento; espesor 2 mm (50 m/rollo).   Ref. bm-10544765</t>
  </si>
  <si>
    <t>Tubo MULTICAPA PERT-AL-PERT 20 mm con aislamiento; espesor 2 mm (50 m/rollo).   Ref. bm-10544765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</si>
  <si>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ma-bm-10544786</t>
  </si>
  <si>
    <t>Tubo MULTICAPA PERT-AL-PERT 25 mm con aislamiento; espesor 2 mm (25 m/rollo).   Ref. bm-10544786</t>
  </si>
  <si>
    <t>Tubo MULTICAPA PERT-AL-PERT 25 mm con aislamiento; espesor 2 mm (25 m/rollo).   Ref. bm-10544786
DESCRIPCIÓN DE LOS TUBOS MULTICAPA PERT-AL-PERT:
Tubo multicapa de color blanco compuesto por cinco capas: dos capas de polietileno (PERT), dos capas de adhesivo y una capa de aluminio. El material PERT es un polietileno no reticulado que contiene aditivos que confieren una especial resistencia a las altas temperaturas. Los tubos multicapa son una evolución de los tubos de polietileno reticulado ya que combinan las ventajas de las tuberías plásticas con las características de las tuberías metálicas en una misma tubería.
VENTAJAS: Flexibilidad; Ligereza; Carencia de corrosión; Facilidad de manipulación; Carencia de incrustaciones de cal; Larga vida útil; Precio competitivo.
PROPIEDADES: Resistencia elevada a la presión; Estanqueidad a la difusión del oxígeno; Mantenimiento en la forma dada una vez curvadas.
Los tubos multicapa PERT-Al-PERT son una alternativa más económica que las tuberías multicapa PEX-Al-PEX ya que la materia prima que se utiliza para su fabricación es más económica y, al no precisar una reticulación posterior, se reducen los costes de fabricación.</t>
  </si>
  <si>
    <t>ma-bm-10631803</t>
  </si>
  <si>
    <t>Válvula palanca MULTICAPA COMPRESIÓN 16 mm.   Ref. bm-10631803</t>
  </si>
  <si>
    <t>ma-bm-10631810</t>
  </si>
  <si>
    <t>Válvula palanca MULTICAPA COMPRESIÓN 20 mm.   Ref. bm-10631810</t>
  </si>
  <si>
    <t>ma-bm-10631824</t>
  </si>
  <si>
    <t>Válvula palanca MULTICAPA COMPRESIÓN 25 mm.   Ref. bm-10631824</t>
  </si>
  <si>
    <t>ma-bm-10863580</t>
  </si>
  <si>
    <t>Válvula palanca MULTICAPA MULTIPEX 32 mm.   Ref. bm-10863580</t>
  </si>
  <si>
    <t>ma-lp-00099520</t>
  </si>
  <si>
    <t>Manguito reducido MULTICAPA MULTIPEX 20-16 mm.   Ref. lp-00099520</t>
  </si>
  <si>
    <t>ma-lp-00099522</t>
  </si>
  <si>
    <t>Manguito reducido MULTICAPA MULTIPEX 25-20 mm.   Ref. lp-00099522</t>
  </si>
  <si>
    <t>ma-lp-00099531</t>
  </si>
  <si>
    <t>Te MULTICAPA MULTIPEX 16 mm.   Ref. lp-00099531</t>
  </si>
  <si>
    <t>ma-lp-00099532</t>
  </si>
  <si>
    <t>Te MULTICAPA MULTIPEX 20 mm.   Ref. lp-00099532</t>
  </si>
  <si>
    <t>ma-lp-00099533</t>
  </si>
  <si>
    <t>Te MULTICAPA MULTIPEX 25 mm.   Ref. lp-00099533</t>
  </si>
  <si>
    <t>ma-lp-00099534</t>
  </si>
  <si>
    <t>Te reducida MULTICAPA MULTIPEX 20-16-16 mm.   Ref. lp-00099534</t>
  </si>
  <si>
    <t>ma-lp-00099535</t>
  </si>
  <si>
    <t>Te reducida MULTICAPA MULTIPEX 20-16-20 mm.   Ref. lp-00099535</t>
  </si>
  <si>
    <t>ma-lp-00099536</t>
  </si>
  <si>
    <t>Te reducida MULTICAPA MULTIPEX 20-20-16 mm.   Ref. lp-00099536</t>
  </si>
  <si>
    <t>ma-lp-00112006</t>
  </si>
  <si>
    <t>Manguito reducido MULTICAPA MULTIPEX 25-16 mm.   Ref. lp-00112006</t>
  </si>
  <si>
    <t>ma-lp-00112008</t>
  </si>
  <si>
    <t>Te reducida MULTICAPA MULTIPEX 25-16-25 mm.   Ref. lp-00112008</t>
  </si>
  <si>
    <t>ma-lp-00131807</t>
  </si>
  <si>
    <t>Te reducida MULTICAPA MULTIPEX 25-16-20 mm.   Ref. lp-00131807</t>
  </si>
  <si>
    <t>ma-lp-00131809</t>
  </si>
  <si>
    <t>Te reducida MULTICAPA MULTIPEX 25-20-25 mm.   Ref. lp-00131809</t>
  </si>
  <si>
    <t>ma-lp-00131814</t>
  </si>
  <si>
    <t>Colector MULTICAPA 1” con 3 salidas 16 mm.   Ref. lp-00131814</t>
  </si>
  <si>
    <t>ma-lp-00131815</t>
  </si>
  <si>
    <t>Colector MULTICAPA 1” con 4 salidas 16 mm.   Ref. lp-00131815</t>
  </si>
  <si>
    <t>ma-lp-0013806</t>
  </si>
  <si>
    <t>Te reducida MULTICAPA MULTIPEX 20-25-20 mm.   Ref. lp-0013806</t>
  </si>
  <si>
    <t>ma-lp-00173388</t>
  </si>
  <si>
    <t>Manguito unión MULTICAPA COMPRESIÓN 16 mm.   Ref. lp-00173388</t>
  </si>
  <si>
    <t>ma-lp-00173389</t>
  </si>
  <si>
    <t>Manguito unión MULTICAPA COMPRESIÓN 20 mm.   Ref. lp-00173389</t>
  </si>
  <si>
    <t>ma-lp-00173390</t>
  </si>
  <si>
    <t>Te MULTICAPA COMPRESIÓN 16 mm.   Ref. lp-00173390</t>
  </si>
  <si>
    <t>ma-lp-00173391</t>
  </si>
  <si>
    <t>Te MULTICAPA COMPRESIÓN 20 mm.   Ref. lp-00173391</t>
  </si>
  <si>
    <t>ma-lp-00173392</t>
  </si>
  <si>
    <t>Codo MULTICAPA COMPRESIÓN 16 mm.   Ref. lp-00173392</t>
  </si>
  <si>
    <t>ma-lp-00173393</t>
  </si>
  <si>
    <t>Codo MULTICAPA COMPRESIÓN 20 mm.   Ref. lp-00173393</t>
  </si>
  <si>
    <t>ma-lp-00570276</t>
  </si>
  <si>
    <t>Te reducida MULTICAPA MULTIPEX 20-16-25 mm.   Ref. lp-00570276</t>
  </si>
  <si>
    <t>Canalón PVC curvo 125 mm; color blanco.   Ref. bd-8011031254906</t>
  </si>
  <si>
    <t>Soporte para canalón curvo de PVC. Pieza crucial para el agarre del canalón. Deberá de ir acompañada de un soporte metálico que se agarre a la teja o placa. Son necesarias ambas piezas para la fijación de toda la estructura para una correcta evacuación del agua de los tejados del hogar. Compatible con canalón de diámetro de 120 mm.   Ref. bd-8019966005495.</t>
  </si>
  <si>
    <t>Bajada central BI-SYSTEM con junta 125 blanca. Medidas: longitud 180 x ancho 126 x alt. 80 mm; Conector Ø 80 mm. Sistema de unión BI-SYSTEM: para encolar o con junta. Cumple Norma EN607.   Ref. bd-8019966078604.</t>
  </si>
  <si>
    <t>ma-bd-angulo.canalon/c.125-b</t>
  </si>
  <si>
    <t>Ángulo de canalón de PVC curvo 125 mm; color blanco.   Ref. bd-angulo.canalon/c.125-b</t>
  </si>
  <si>
    <t>ma-bm-10778222</t>
  </si>
  <si>
    <t>Parahojas universal PVC 60 mm.   Ref. bm-10778222</t>
  </si>
  <si>
    <t>Los parahojas son una solución eficaz para la protección de sumideros, desagües y otros sistemas de drenaje, diseñados para prevenir la obstrucción causada por hojas y residuos. Su diseño adaptable los hace compatibles con tubos de diámetros que varían hasta 125 mm, asegurando una amplia aplicación en diferentes instalaciones.   Ref. bm-10778222.
Estos parahojas están preparados para el uso exterior, ofreciendo una resistencia superior contra la corrosión y las inclemencias del tiempo; y dicha característica garantiza una larga vida útil y un mantenimiento mínimo, convirtiéndolos en una opción práctica y duradera para mantener los sistemas de drenaje funcionando eficientemente y sin interrupciones.</t>
  </si>
  <si>
    <t>Tubo flexible de PVC que se utiliza en desagües hidráulicos, saneamientos, fontanerías y drenaje del aire acondicionado. Diámetros 20 (interior) y 25 mm (exterior). Superficie interior y exterior lisa. Resistente a la propagación de la llama V0. Color gris. Rollo de 25 m.   Ref. bm-10885763</t>
  </si>
  <si>
    <t>ma-bm-10885770</t>
  </si>
  <si>
    <t>Hidrotubo PVC flexible; diámetro exterior 32 mm, color gris (25 m/rollo).   Ref. bm-10885770</t>
  </si>
  <si>
    <t>Tubo flexible de PVC que se utiliza en desagües hidráulicos, saneamientos, fontanerías y drenaje del aire acondicionado. Diámetro exterior 32 mm. Superficie interior y exterior lisa. Resistente a la propagación de la llama V0. Color gris. Rollo de 25 m.   Ref. bm-10885770</t>
  </si>
  <si>
    <t>ma-bm-25045289</t>
  </si>
  <si>
    <t>Hidrotubo PVC flexible; diámetro exterior 40 mm, color gris (5 m/rollo).   Ref. bm-25045289</t>
  </si>
  <si>
    <t>Tubo flexible de PVC que se utiliza en desagües hidráulicos, saneamientos, fontanerías y drenaje del aire acondicionado. Diámetro exterior 40 mm. Superficie interior y exterior lisa. Resistente a la propagación de la llama V0. Color gris. Rollo de 5 m.   Ref. bm-25045289</t>
  </si>
  <si>
    <t>Los parahojas metálicos son una solución eficaz para la protección de sumideros, desagües y otros sistemas de drenaje, diseñados para prevenir la obstrucción causada por hojas y residuos. Su diseño adaptable los hace compatibles con tubos de diámetros que van desde los 80 mm hasta los 125 mm, asegurando una amplia aplicación en diferentes instalaciones.   Ref. ferrolan-23450101.
Estos parahojas están preparados para el uso exterior, ofreciendo una resistencia superior contra la corrosión y las inclemencias del tiempo; y dicha característica garantiza una larga vida útil y un mantenimiento mínimo, convirtiéndolos en una opción práctica y duradera para mantener los sistemas de drenaje funcionando eficientemente y sin interrupciones.</t>
  </si>
  <si>
    <t>ma-hudsonreed-HRQSESB</t>
  </si>
  <si>
    <t>Plato de Ducha Angular NOX con Mampara; efecto Piedra, acabado Antracita (900x900 mm/und).   Ref. hudsonreed-HRQSESB</t>
  </si>
  <si>
    <t>La mampara de ducha de la gama NOX se adapta a cualquier espacio, mientras que el plato de ducha con efecto piedra está disponible en una variedad de acabados: antracita, gris y blanco. La unidad incluye: Mampara de Ducha Angular (900mm) – NOX; Plato de Ducha Efecto Piedra y Válvula de Desagüe – ROCKWELL.   Ref. hudsonreed-HRQSESB.
Perfecto para cualquier cuarto de baño familiar o compacto, la mampara de ducha NOX caracteriza un elegante acabado de color negro opaco y crea un verdadero impacto visual en cualquier espacio decorado en estilo contemporáneo. La mampara ha sido realizada con vidrio temperado de 6mm para una mayor seguridad y durabilidad.
El plato de ducha es extremadamente ligero y mide una altura de 30mm, proporcionándole con un acceso simple y rápido a su ducha mientras que crea un look minimalista. El plato de ducha tiene un acabado efecto piedra para proporcionarle con un look y una sensación natural para darle la sensación de estar en un spa.
Combine con uno de nuestros kits de ducha NOX para crear un verdadero impacto visual y disfrutar de una experiencia de ducha inolvidable.
CARACTERÍSTICAS DE LA MAMPARA DE DUCHA NOX:
• Disponible en distintas medidas para adaptarse a cualquier espacio.
• Mampara de ducha de 900 mm.
• Plato de ducha disponible en distintos acabados: antracita, gris o blanco.
• Diseñado para aprovechar al máximo el espacio en el baño.
• Vidrio de seguridad de 6mm para mayor solidez y durabilidad.
• Manijas de aluminio con acabado de color negro opaco pata crear un look contemporáneo.
• Cierre magnético para asegurar un cierre hermético.
• Puertas con sistema de desenganche rápido para una limpieza más fácil.
• Ruedas en la parte superior y en la parte inferior de las puertas para un cierre suave.
• Altura de la mampara: 1850 mm.
• El plato mide 30 mm de altura para crear un look minimalista y acceso fácil a la ducha.
• Mampara con textura efecto piedra para crear un look efecto Spa.
• 50% más ligero que cualquier otro plato de ducha de piedra para asegurar un montaje simple.
• Mampara de ducha con certificaciones EN14428 and EN12150-2 para garantizar calidad.
• Garantía de 10 años</t>
  </si>
  <si>
    <t>ma-hudsonreed-HRQSEWC</t>
  </si>
  <si>
    <t>Plato de Ducha Angular PORTLAND con Mampara (900x900 mm/und).   Ref. hudsonreed-HRQSEWC</t>
  </si>
  <si>
    <t>Producto disponible en distintas medidas para asegurar adaptarse a cualquier cuarto de baño perfectamente. La unidad incluye: Mampara de Ducha Angular PORTLAND (900 mm); Plato de Ducha Plano y Válvula de Desagüe con vaciado rápido MAXON.   Ref. hudsonreed-HRQSEWC.
Perfecto incluso para los cuartos de baño más compactos esta mampara de ducha con vidrio de seguridad de 6 mm para mayor durabilidad y robusteza, además de un cierre magnético para asegurar un cierre totalmente hermético. El acabado de aluminio pulido y las manijas cromadas complementan cualquier tipo de decoración, mientras que las ruedas en la parte superior e inferior le aseguran una apertura y cerrado suave. Este plato de ducha es extremadamente ligero y duradero y mide una altura de hasta 45 mm de altura para un acceso mucho más sencillo a la ducha. Realizado de polímero compuesto de resina, pesa hasta un 60% menos que cualquier otro plato de ducha convencional, asegurando una instalación mucho más sencilla y segura.
CARACTERÍSTICAS DEL PRODUCTO:
• Disponible en distintas medidas para adaptarse a cualquier espacio.
• Diseñado para aprovechar al máximo el espacio en el baño.
• Vidrio de seguridad de 6.mm para mayor solidez y durabilidad.
• Perfilería de aluminio con acabado cromado y manijas cromadas para adaptarse a cualquier tipo de decoración.
• Cierre magnético para asegurar un cierre hermético.
• Puertas con sistema de desenganche rápido para una limpieza más fácil.
• Ruedas en la parte superior y en la parte inferior de las puertas para un cierre suave.
• Altura de la mampara: 1850 mm.
• El plato de ducha tiene una altura de 45 mm para proporcionarle con un acceso fácil y un look minimalista.
• Hasta un 60% más ligero que cualquier otro plato de ducha de resina para un montaje más fácil.
• La construcción de polímero compuesto de resina de piedra para garantizar ser ligero y extremadamente duradero.
• Revestimiento en ABS acrílico – para proteger la superficie del plato de ducha.
• Parte inferior plana para facilitar la nivelación e instalación.
• Mampara de ducha con certificaciones EN14428 and EN12150-2 para garantizar calidad.
• Garantía de 10 años.</t>
  </si>
  <si>
    <t>ma-lp-00000267</t>
  </si>
  <si>
    <t>Cazoleta de caucho EPDM para Impermeabilización de puntos singulares (36x36x25 cm/pza).   Ref. lp-00000267</t>
  </si>
  <si>
    <t>Los bajantes prefabricados de GISCOSA permiten una rápida y fácil solución a la impermeabilización de puntos singulares. Fabricados a partir de giscolene 120 y polietileno de alta densidad, unidos por termofusión, están disponibles en diámetros de 90 mm, 110 mm y 125 mm. La altura de la caña estándard es de 25 cm y las dimensiones de la base de giscolene 120 es un cuadrado de 36 cm por 36 cm. Otras dimensiones son posibles bajo pedido. La unión del bajante prefabricado sobre la impermeabilización de EPDM existente se realiza mediante la aplicación del adhesivo SA-008 y posterior sellado con LS-009.   Ref. lp-00000267.</t>
  </si>
  <si>
    <t>Codo de evacuación de 45° macho-hembra de diámetro 110 mm fabricado en PVC de color gris. Normas UNE-EN 1329 y EN 12200.   Ref. lp-00001385.</t>
  </si>
  <si>
    <t>Codo de evacuación de 45° macho-hembra de diámetro 125 mm fabricado en PVC de color gris. Normas UNE-EN 1329 y EN 12200.   Ref. lp-00001388.</t>
  </si>
  <si>
    <t>Codo de evacuación de 87° macho-hembra de diámetro 125 mm fabricado en PVC de color gris. Normas UNE-EN 1329 y EN 12200.   Ref. lp-00001390</t>
  </si>
  <si>
    <t>ma-lp-00001430</t>
  </si>
  <si>
    <t>Derivación doble para evacuación M-H PVC 45º x 110 mm; color gris.   Ref. lp-00001430</t>
  </si>
  <si>
    <t>Derivación doble para evacuación de 45º macho-hembra de diámetro 110 mm fabricado en PVC de color gris. Normas UNE-EN 1329 y EN 12200.   Ref. lp-00001430.</t>
  </si>
  <si>
    <t>ma-lp-00001431</t>
  </si>
  <si>
    <t>Derivación doble para evacuación M-H PVC 45º x 125 mm; color gris.   Ref. lp-00001431</t>
  </si>
  <si>
    <t>Derivación doble para evacuación de 45º macho-hembra de diámetro 125 mm fabricado en PVC de color gris. Normas UNE-EN 1329 y EN 12200.   Ref. lp-00001431.</t>
  </si>
  <si>
    <t>Derivación simple para evacuación de 45º hembra-hembra de diámetro 110 mm fabricado en PVC de color gris. Normas UNE-EN 1329 y EN 12200.   Ref. lp-00001433.</t>
  </si>
  <si>
    <t>ma-lp-00001438</t>
  </si>
  <si>
    <t>Derivación simple para evacuación M-H PVC 45º x 125 mm; color gris.   Ref. lp-00001438</t>
  </si>
  <si>
    <t>Derivación simple de 45º macho-hembra de diámetro 125 mm fabricado en PVC de color gris. Normas UNE-EN 1329 y EN 12200.   Ref lp-00001438</t>
  </si>
  <si>
    <t>ma-lp-00001712</t>
  </si>
  <si>
    <t>Manguito evacuación H-H PVC 125 mm.   Ref. lp-00001712</t>
  </si>
  <si>
    <t>Manguito de unión hembra-hembra de diámetro 125 mm fabricado en PVC de color gris. Normas UNE-EN 1329 y EN 12200.   Ref. lp-00001712.</t>
  </si>
  <si>
    <t>Sumidero sifónico ADEQUA PVC 10x10 cm con salida vertical de diámetro 32-40 mm; se utiliza para evacuación de aguas en terrazas, patios, balcones, cubiertas planas, solariums, instalaciones deportivas.   Ref. lp-00001951</t>
  </si>
  <si>
    <t>Sumidero sifónico CEM de aluminio 15x15 cm con vaso-salida vertical de diámetro 32-40 mm; se utiliza para evacuación de aguas en terrazas, patios, balcones, cubiertas planas, solariums, instalaciones deportivas.   Ref. lp-00001954</t>
  </si>
  <si>
    <t>Sumidero sifónico CEM de aluminio 20x20 cm con vaso-salida vertical de diámetro 75 mm; se utiliza para evacuación de aguas en terrazas, patios, balcones, cubiertas planas, solariums, instalaciones deportivas.   Ref. lp-00001955</t>
  </si>
  <si>
    <t>Sumidero sifónico ADEQUA PVC 20x20 cm con salida vertical de diámetro 80-90 mm; se utiliza para evacuación de aguas en terrazas, patios, balcones, cubiertas planas, solariums, instalaciones deportivas.   Ref. lp-00001956</t>
  </si>
  <si>
    <t>Tubería de evacuación en barra de diámetro 110 mm fabricada en PVC de color gris. Espesor de 3,2 mm. Longitud de 3 m. Norma UNE-EN 1453.   Ref lp-00002046</t>
  </si>
  <si>
    <t>Tubería de evacuación en barra de diámetro 125 mm fabricada en PVC de color gris. Espesor de 3,2 mm. Longitud de 3 m. Norma UNE-EN 1453.   Ref lp-00002047</t>
  </si>
  <si>
    <t>ma-lp-00010888</t>
  </si>
  <si>
    <t>Cinta Teflón PTFE de GYMCOL 12 mm (12 m/rollo).   Ref. lp-00010888</t>
  </si>
  <si>
    <t>Cintas PTFE alta calidad y con las mayores densidades del mercado. Densidad: 70 g/cm3. Especial gas. Medidas: 12x0,1 mm. Longitud del rollo: 12 m.   Ref. lp-00010888</t>
  </si>
  <si>
    <t>Cinta PTFE alta calidad y con las mayores densidades del mercado. Densidad: 40 g/cm3. Especial gas. Medidas: 25x0,2 mm. Longitud del rollo: 25 m.   Ref. lp-00010889</t>
  </si>
  <si>
    <t>ma-lp-00012102</t>
  </si>
  <si>
    <t>Tapón H PVC 20 mm de ADEQUA; color gris.   Ref. lp-00012102</t>
  </si>
  <si>
    <t>ma-lp-00012103</t>
  </si>
  <si>
    <t>Tapón H PVC 25 mm de ADEQUA; color gris.   Ref. lp-00012103</t>
  </si>
  <si>
    <t>ma-lp-00012104</t>
  </si>
  <si>
    <t>Tapón H PVC 32 mm de ADEQUA; color gris.   Ref. lp-00012104</t>
  </si>
  <si>
    <t>ma-lp-00012107</t>
  </si>
  <si>
    <t>Tapón M latón 1” (25 mm) de ALTECH.   Ref. lp-00012107</t>
  </si>
  <si>
    <t>ma-lp-00012110</t>
  </si>
  <si>
    <t>Tapón M latón 3/4” (19 mm) de ALTECH.   Ref. lp-00012110</t>
  </si>
  <si>
    <t>ma-lp-00012111</t>
  </si>
  <si>
    <t>Tapón M latón 3/8” (9,5 mm) de ALTECH.   Ref. lp-00012111</t>
  </si>
  <si>
    <t>Cintas PTFE alta calidad y con las mayores densidades del mercado. Densidad: 0,52 g/cm3. Especial gas. Medidas: 19x0,1 mm. Longitud del rollo: 50 m.   Ref. lp-00012213</t>
  </si>
  <si>
    <t>ma-lp-00012439</t>
  </si>
  <si>
    <t>Válvula esfera palanca H.G. roscada M-H diámetro 1" (25,4 mm) TURIA 3000.   Ref. lp-00012439</t>
  </si>
  <si>
    <t>Válvula esfera palanca H.G. roscada M-H diámetro 1" (25,4 mm) TURIA 3000.   Ref. lp- 00012439</t>
  </si>
  <si>
    <t>ma-lp-00014156</t>
  </si>
  <si>
    <t>Hidrotubo PVC flexible; diámetros 16 y 20 mm, color gris (25 m/rollo).   Ref. lp-00014156</t>
  </si>
  <si>
    <t>Tubo flexible de PVC que se utiliza en desagües hidráulicos, saneamientos, fontanerias y drenaje del aire acondicionado. Superficie interior y exterior lisa, resistente a la propagación de la llama V0. Color gris. Diámetros: 16x20 mm. Rollo de 25 m.   Ref. lp-00014156</t>
  </si>
  <si>
    <t>ma-lp-00014157</t>
  </si>
  <si>
    <t>Hidrotubo PVC flexible; diámetros 16 y 20 mm, color blanco (25 m/rollo).   Ref. lp-00014157</t>
  </si>
  <si>
    <t>Tubo flexible de PVC que se utiliza en desagües hidráulicos, saneamientos, fontanerias y drenaje del aire acondicionado. Superficie interior y exterior lisa, resistente a la propagación de la llama V0. Color blanco. Diámetros: 16x20 mm. Rollo de 25 m.   Ref. lp-00014157</t>
  </si>
  <si>
    <t>ma-lp-00018675</t>
  </si>
  <si>
    <t>Manguera de caucho ROTHENBERGER (5 m/rollo).   Ref. lp-00018675</t>
  </si>
  <si>
    <t>Manguera de caucho de larga duración y flexible, suministrada con los accesorios ya montados. Normativa europea EN559. W21,8 IZ-R3/8" Izq.   Ref. lp-00018675.</t>
  </si>
  <si>
    <t>ma-lp-00023404</t>
  </si>
  <si>
    <t>Curva flexible tubo PVC; color gris (16 mm/pza).   Ref. lp-00023404</t>
  </si>
  <si>
    <t>Curva flexible tubo aislante de PVC de color gris. Resistencia a la compresión: 1250 NW. Resistencia al impacto: 2 J.   Ref. lp-00023404.</t>
  </si>
  <si>
    <t>ma-lp-00023405</t>
  </si>
  <si>
    <t>Curva flexible tubo PVC; color gris (20 mm/pza).   Ref. lp-00023405</t>
  </si>
  <si>
    <t>Curva flexible tubo aislante de PVC de color gris. Resistencia a la compresión: 1250 NW. Resistencia al impacto: 2 J.   Ref. lp-00023405.</t>
  </si>
  <si>
    <t>ma-lp-00023406</t>
  </si>
  <si>
    <t>Curva flexible tubo PVC; color gris (25 mm/pza).   Ref. lp-00023406</t>
  </si>
  <si>
    <t>Curva flexible tubo aislante de PVC de color gris. Resistencia a la compresión: 1250 NW. Resistencia al impacto: 2 J.   Ref. lp-00023406.</t>
  </si>
  <si>
    <t>ma-lp-00023407</t>
  </si>
  <si>
    <t>Curva flexible tubo PVC; color gris (32 mm/pza).   Ref. lp-00023407</t>
  </si>
  <si>
    <t>Curva flexible tubo aislante de PVC de color gris. Resistencia a la compresión: 1250 NW. Resistencia al impacto: 2 J.   Ref. lp-00023407.</t>
  </si>
  <si>
    <t>ma-lp-00126629</t>
  </si>
  <si>
    <t>Llave compresión escuadra 3/8”x12.   Ref. lp-00126629</t>
  </si>
  <si>
    <t>ma-lp-00126630</t>
  </si>
  <si>
    <t>Llave compresión escuadra 1/2”x15.   Ref. lp-00126630</t>
  </si>
  <si>
    <t>ma-lp-00168610</t>
  </si>
  <si>
    <t>juego</t>
  </si>
  <si>
    <t>Juego de fijación lateral de ROCA para piezas sanitarias.   Ref. lp-00168610</t>
  </si>
  <si>
    <t>Sumidero sifónico de PVC 15x15 cm con salida vertical de diámetro 40-50 mm; se utiliza para evacuación de aguas en terrazas, patios, balcones, cubiertas planas, solariums, instalaciones deportivas.   Ref. lp-00179404</t>
  </si>
  <si>
    <t>Sumidero sifónico CEM de aluminio 15x15 cm con vaso-salida vertical de diámetro 40 mm; se utiliza para evacuación de aguas en terrazas, patios, balcones, cubiertas planas, solariums, instalaciones deportivas.   Ref. lp-00211669</t>
  </si>
  <si>
    <t>ma-lp-00254161</t>
  </si>
  <si>
    <t>Racor acople rápido de ABS 19 mm para prolongación de manguera.   Ref. lp-00254161</t>
  </si>
  <si>
    <t>Pistola de riego ECO fabricada en metal y recubierta de caucho insulado para aislar la temperatura del agua. La pistola tiene un diseño atractivo, cómodo, ergonómico y suave al tacto. Con control de caudal y multijet con 7 formas de riego. Es resistente a los impactos.   Ref. lp-00254198.</t>
  </si>
  <si>
    <t>Cazoleta de salida vertical para desagüe. Ideal para utilizar como accesorio de descarga de agua en azoteas, canalones y complejos de edificios. Fabricada en caucho EPDM con acabado en color negro. Indicada para tuberías de desagüe. La cazoleta cuenta con relieve para facilitar la penetración del betún y su adherencia al soporte, y es compatible con todas las membranas bituminosas mediante soldadura con soplete. Es dúctil y fácilmente manejable, resistente a la llama, a la corrosión y la intemperie. El manguetón tiene forma cónica en la parte inferior y cilíndrica en la superior.   Ref. lp-00257943</t>
  </si>
  <si>
    <t>El sumidero sifonado con descarga lateral garantiza una excelente resistencia a agentes químicos, orgánicos y atmosféricos. Fabricado en copolimero de polipropileno reforzado anti-UV. Color gris. Medidas: 11,5x11,5 cm.   Ref. 00392493.</t>
  </si>
  <si>
    <t>ma-lp-00407505</t>
  </si>
  <si>
    <t>Latiguillo flexible 20 cm M-H 1/2” de ALTECH.   Ref. lp-00407505</t>
  </si>
  <si>
    <t>Latiguillo macho-hembra para la conexión sanitaria flexible con tubo interior de caucho, trenzado y casquillo de acero inoxidable. Racores en latón niquelado. Para instalaciones sanitarias, griferías, calentadores, lavabos, bidets, maquinaria de hostelería, etc.   Ref. lp-00407505.</t>
  </si>
  <si>
    <t>ma-lp-00407506</t>
  </si>
  <si>
    <t>Latiguillo flexible 30 cm M-H 1/2” de ALTECH.   Ref. lp-00407506</t>
  </si>
  <si>
    <t>Latiguillo macho-hembra para la conexión sanitaria flexible con tubo interior de caucho, trenzado y casquillo de acero inoxidable. Racores en latón niquelado. Para instalaciones sanitarias, griferías, calentadores, lavabos, bidets, maquinaria de hostelería, etc.   Ref. lp-00407506.</t>
  </si>
  <si>
    <t>ma-lp-00407507</t>
  </si>
  <si>
    <t>Latiguillo flexible 50 cm M-H 1/2” de ALTECH.   Ref. lp-00407507</t>
  </si>
  <si>
    <t>Latiguillo macho-hembra para la conexión sanitaria flexible con tubo interior de caucho, trenzado y casquillo de acero inoxidable. Racores en latón niquelado. Para instalaciones sanitarias, griferías, calentadores, lavabos, bidets, maquinaria de hostelería, etc.   Ref. lp-00407507.</t>
  </si>
  <si>
    <t>ma-lp-00532427</t>
  </si>
  <si>
    <t>Manguera BASIC de BIGMAT 3/4” y 8 bar (19x25 m/rollo).   Ref. lp-00532427</t>
  </si>
  <si>
    <t>Manguera BASIC de BIGMAT de 4 capas con refuerzo trenzado (3/4” y 8 bar). Revestimiento exterior transparente de color verde con una raya amarilla, capa intermedia amarilla, interior negro antialgas. Anti UV. Temperatura de empleo: -10ºC a +40ºC. Garantía 10 años.   Ref. lp-00532427.</t>
  </si>
  <si>
    <t>Manguera de BIGMAT de 4 capas con refuerzo trenzado (1” y 7 bar). Revestimiento exterior transparente de color verde con una raya amarilla, capa intermedia amarilla, interior negro antialgas. Anti UV. Temperatura de empleo: -10ºC a +40ºC. Garantía 10 años.   Ref. lp-00532429.</t>
  </si>
  <si>
    <t>ma-lp-00532430</t>
  </si>
  <si>
    <t>Manguera BASIC de BIGMAT 5/8” y 8 bar con accesorios (15x15 m/rollo).   Ref. lp-00532430</t>
  </si>
  <si>
    <t>Manguera BASIC de BIGMAT de 4 capas con refuerzo trenzado (5/8” y 8 bar). Revestimiento exterior transparente de color verde con una raya amarilla, capa intermedia amarilla, interior negro antialgas. Anti UV. Temperatura de empleo: -10ºC a +40ºC. Garantía 10 años. Incluye adaptador de grifo, 2 racores y lanza de riego en color rojo-negro.   Ref. lp-00532430.</t>
  </si>
  <si>
    <t>Canalón PVC curvo 250 mm; color gris (3 m/pza).   Ref. om-10510654.
Canalón para evacuación de pluviales de sección circular, con un reborde cerrado (voluta) y un talón reforzado, que le confiere una perfecta rigidez longitudinal, sin queda por ello disminuida su flexibilidad transversal.</t>
  </si>
  <si>
    <t>Unión de canalón PVC curvo 250 mm; color gris.   Ref. om-10510696.</t>
  </si>
  <si>
    <t>Ángulo de canalón de PVC curvo 250 mm; color gris.   Ref. om-10510703.</t>
  </si>
  <si>
    <t>Tapa de canalón de PVC curvo 250 mm; color gris.   Ref. om-10510710.
Tapa universal para canalón, en color gris. Esta tapa, con junta elástica, es apta para instalar en el canalón circular de una voluta de 25cm de desarrollo.</t>
  </si>
  <si>
    <t>Soporte de canalón PVC curvo 250 mm; color gris.   Ref. om-10510724.</t>
  </si>
  <si>
    <t>Bajada central para canalón PVC 250 mm; color gris.   Ref. om-10510843.</t>
  </si>
  <si>
    <t>ma-om-10669512</t>
  </si>
  <si>
    <t>Abrazadera pared simple regulable inoxidable 200-250 mm.   Ref. om-10669512</t>
  </si>
  <si>
    <t>Abrazadera pared regulable simple pared inoxidable 316 para la evacuación de humos de estufas de leña, inserts y hogares. Diámetro simple/doble: 250/200 mm.   Ref. om-10669512.</t>
  </si>
  <si>
    <t>ma-om-10778194</t>
  </si>
  <si>
    <t>Bajante/Cazoleta EPDM 110 mm de ROLLGUM.   Ref. om-10778194</t>
  </si>
  <si>
    <t>Bajante de EPDM con tubo de polietileno de alta densidad termofusionado a un faldón de lámina EPDM indicado para rematar los desagües.   Ref. om-10778194.</t>
  </si>
  <si>
    <t>ma-om-10778201</t>
  </si>
  <si>
    <t>`za</t>
  </si>
  <si>
    <t>Bajante/Cazoleta EPDM 125 mm de ROLLGUM.   Ref. om-10778201</t>
  </si>
  <si>
    <t>Bajante de epdm con tubo de polietileno de alta densidad termofusionado a un faldón de lámina epdm indicado para rematar los desagües.   Ref. om-10778201.</t>
  </si>
  <si>
    <t>ma-proinco-6741308</t>
  </si>
  <si>
    <t>Válvula esfera de polipropileno PPR de AQUATHERM 20 mm (con cierre de latón).   Ref. proinco-6741308</t>
  </si>
  <si>
    <t>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proinco-6741308.</t>
  </si>
  <si>
    <t>ma-proinco-6741312</t>
  </si>
  <si>
    <t>Válvula esfera de polipropileno PPR de AQUATHERM 32 mm (con cierre de latón).   Ref. proinco-6741312</t>
  </si>
  <si>
    <t>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proinco-6741312.</t>
  </si>
  <si>
    <t>ma-proinco-6741314</t>
  </si>
  <si>
    <t>Válvula esfera de polipropileno PPR de AQUATHERM 40 mm (con cierre de latón).   Ref. proinco-6741314</t>
  </si>
  <si>
    <t>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t>
  </si>
  <si>
    <t>ma-proinco-6741388</t>
  </si>
  <si>
    <t>Válvula esfera de polipropileno PPR de AQUATHERM 20 mm.   Ref. proinco-6741388</t>
  </si>
  <si>
    <t>Las válvulas de esfera de PPR son accesorios para sistemas de tuberías plásticas. Fabricado en FUSIOLEN polipropileno y de color verde. Las válvulas son compatibles con los sistemas de tuberías de AQUATHERM: AQUATHERM GREEN PIPE, AQUATHERM BLUE PIPE y AQUATHERM LILAC PIPE.   Ref. proinco-6741388.</t>
  </si>
  <si>
    <t>ma-proinco-6741390</t>
  </si>
  <si>
    <t>Válvula esfera de polipropileno PPR de AQUATHERM 25 mm.   Ref. proinco-6741390</t>
  </si>
  <si>
    <t>Las válvulas de esfera de PPR son accesorios para sistemas de tuberías plásticas. Fabricado en FUSIOLEN polipropileno y de color verde. Las válvulas son compatibles con los sistemas de tuberías de AQUATHERM: AQUATHERM GREEN PIPE, AQUATHERM BLUE PIPE y AQUATHERM LILAC PIPE.   Ref. proinco-6741390.</t>
  </si>
  <si>
    <t>ma-proinco-6741392</t>
  </si>
  <si>
    <t>Válvula esfera de polipropileno PPR de AQUATHERM 32 mm.   Ref. proinco-6741392</t>
  </si>
  <si>
    <t>Las válvulas de esfera de PPR son accesorios para sistemas de tuberías plásticas. Fabricado en FUSIOLEN polipropileno y de color verde. Las válvulas son compatibles con los sistemas de tuberías de AQUATHERM: AQUATHERM GREEN PIPE, AQUATHERM BLUE PIPE y AQUATHERM LILAC PIPE.   Ref. proinco-6741392.</t>
  </si>
  <si>
    <t>ma-proinco-6741394</t>
  </si>
  <si>
    <t>Válvula esfera de polipropileno PPR de AQUATHERM 40 mm.   Ref. proinco-6741394</t>
  </si>
  <si>
    <t>Las válvulas de esfera de PPR son accesorios para sistemas de tuberías plásticas. Fabricado en FUSIOLEN polipropileno y de color verde. Las válvulas son compatibles con los sistemas de tuberías de AQUATHERM: AQUATHERM GREEN PIPE, AQUATHERM BLUE PIPE y AQUATHERM LILAC PIPE.   Ref. proinco-6741394.</t>
  </si>
  <si>
    <t>ma-sc-12000070006</t>
  </si>
  <si>
    <t>Tubo H.G. ISO roscado 1 1/2” (6 m/ tubo).   Ref. sc-12000070006</t>
  </si>
  <si>
    <t>ma-sc-12000070007</t>
  </si>
  <si>
    <t>Tubo H.G. ISO roscado 2” (6 m/ tubo).   Ref. sc-12000070007</t>
  </si>
  <si>
    <t>ma-sc-1200035007</t>
  </si>
  <si>
    <t>Tubo H.G. UNE EN 10255 ranurado 2” (6 m/ tubo).   Ref. sc-12000035007</t>
  </si>
  <si>
    <t>Tubo H.G. ISO ranurado 2” (6 m/ tubo).   Ref. sc-12000035007
A diferencia de las conexiones roscadas o soldadas, el ranurado permite ensamblar tuberías mediante acoplamientos que encajan en ranuras previamente hechas en los extremos de la tubería. Este método no solo facilita una instalación más ágil y menos laboriosa, sino que también proporciona flexibilidad, permitiendo movimientos axiales y de rotación. Además, las conexiones ranuradas ofrecen una solución duradera y resistente, minimizando las fugas y optimizando el rendimiento del sistema. Ya sea en aplicaciones industriales, de calefacción, ventilación, aire acondicionado o contra incendios, el sistema ranurado se ha posicionado como una opción superior por su confiabilidad y facilidad de mantenimiento.</t>
  </si>
  <si>
    <t>ma-sc-1202002090</t>
  </si>
  <si>
    <t>Codo H.G. 90º H-H roscado 1/2”.   Ref. sc-1202002090</t>
  </si>
  <si>
    <t>ma-sc-1202002270</t>
  </si>
  <si>
    <t>Manguito H.G. H-H roscado 1/2”.   Ref. sc-1202002270</t>
  </si>
  <si>
    <t>ma-sc-1202003090</t>
  </si>
  <si>
    <t>Codo H.G. 90º H-H roscado 3/4”.   Ref. sc-1202003090</t>
  </si>
  <si>
    <t>ma-sc-1202003270</t>
  </si>
  <si>
    <t>Manguito H.G. H-H roscado 3/4”.   Ref. sc-1202003270</t>
  </si>
  <si>
    <t>ma-sc-1202004090</t>
  </si>
  <si>
    <t>Codo H.G. 90º H-H roscado 1 1/2”.   Ref. sc-1202004090</t>
  </si>
  <si>
    <t>ma-sc-1202006270</t>
  </si>
  <si>
    <t>Manguito H.G. H-H roscado 1 1/2”.   Ref. sc-1202006270</t>
  </si>
  <si>
    <t>ma-sc-1202007090</t>
  </si>
  <si>
    <t>Codo H.G. 90º H-H roscado 2”.   Ref. sc-1202007090</t>
  </si>
  <si>
    <t>ma-sc-1202007270</t>
  </si>
  <si>
    <t>Manguito H.G. H-H roscado 2”.   Ref. sc-1202007270</t>
  </si>
  <si>
    <t>ma-sc-1202008270</t>
  </si>
  <si>
    <t>Manguito H.G. H-H roscado 2 1/2”.   Ref. sc-1202008270</t>
  </si>
  <si>
    <t>ma-sc-1255098053</t>
  </si>
  <si>
    <t>Doble rosca reducida de latón (32 a 20 mm).   Ref. sc-1255098053</t>
  </si>
  <si>
    <t>ma-sc-1659801066</t>
  </si>
  <si>
    <t>Válvula esfera de polipropileno PPR de AQUATHERM 20 mm (con cierre de latón).   Ref. sc-1659801066</t>
  </si>
  <si>
    <t>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sc-1659801066</t>
  </si>
  <si>
    <t>ma-sc-1659801067</t>
  </si>
  <si>
    <t>Válvula esfera de polipropileno PPR de AQUATHERM 25 mm (con cierre de latón).   Ref. sc-1659801067</t>
  </si>
  <si>
    <t>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sc-1659801067.</t>
  </si>
  <si>
    <t>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sc-1659801068.</t>
  </si>
  <si>
    <t>ma-sc-1659801069</t>
  </si>
  <si>
    <t>Válvula esfera de polipropileno PPR de AQUATHERM 40 mm (con cierre de latón).   Ref. sc-1659801069</t>
  </si>
  <si>
    <t>Las válvulas de esfera de PPR con cierre de latón son accesorios para sistemas de tuberías plásticas. Fabricado en FUSIOLEN polipropileno y latón, estas piezas son compatibles con los sistemas de tuberías de AQUATHERM: AQUATHERM GREEN PIPE, AQUATHERM BLUE PIPE y AQUATHERM LILAC PIPE.   Ref. sc-1659801069.</t>
  </si>
  <si>
    <t>ma-sc-1900216188</t>
  </si>
  <si>
    <t>Derivación encolar simple PVC M-H 89° 160 mm.   Ref. sc-1900216188</t>
  </si>
  <si>
    <t>ma-sc-1900225188</t>
  </si>
  <si>
    <t>Derivación encolar simple PVC M-H 89° 250 mm.   Ref. sc-1900225188</t>
  </si>
  <si>
    <t>ma-sc-2054000004</t>
  </si>
  <si>
    <t>Válvula de retención muelle TULLER TEKNIK YORK rosca H y cuerpo de latón (diámetro 1" o 25 mm).   Ref. sc-2054000004</t>
  </si>
  <si>
    <t>ma-sc-2054000006</t>
  </si>
  <si>
    <t>Válvula de retención muelle TULLER TEKNIK YORK rosca H y cuerpo de latón (diámetro 1 1/2" o 40 mm).   Ref. sc-2054000006</t>
  </si>
  <si>
    <t>ma-sc-2110020170</t>
  </si>
  <si>
    <t>Latiguillo flexible de acero inoxidable ACFLOW MH 50 cm 16 bar para contador de agua (diámetro 3/4” o 20 mm).   Ref. sc-2110020170</t>
  </si>
  <si>
    <t>Latiguillo flexible de acero inoxidable ACFLOW MH 50 cm 16 bar para contador de agua (diámetro 1” o 26 mm).   Ref. sc-2110020171</t>
  </si>
  <si>
    <t>Un grifo de comprobación es otra llave de paso, y sirve como accesorio para comprobar la presión (añadiendo el correspondiente dispositivo medidor) y, en su caso, la exactitud del contador.   Ref. sc-2125000281</t>
  </si>
  <si>
    <t>ma-sk-2126000984</t>
  </si>
  <si>
    <t>Caja/Armario para contador de agua en chapa de acero (660x560 mm/und).   Ref. sk-2126000984</t>
  </si>
  <si>
    <t>Caja/Armario para contador de agua en chapa de acero (660x560 mm/und).   Ref. sk-2126000984.
Fabricado en chapa de acero galvanizada de 1’5 mm de espesor. Sin soldaduras exteriores y con bisagras ocultas. Acabado con pintura de poliéster gofrado 70-100 micras de espesor. Opcionalmente se pueden suministrar con montaje interior para uno, dos y hasta tres
contadores.</t>
  </si>
  <si>
    <t>Parahojas universal de acero inoxidable; diámetro 60-120 mm; compatibles con los desagües verticales en TPE, TPO y PVC.   Ref. zonabrico-1901001.</t>
  </si>
  <si>
    <t>MATERIALES-IMPERMEABILIZACION</t>
  </si>
  <si>
    <t>MATERIALES DE IMPERMEABILIZACIÓN Y CONEXOS</t>
  </si>
  <si>
    <t>CHOVA</t>
  </si>
  <si>
    <t>IMPERMEABILIZANTES PARA SISTEMAS CHOVA</t>
  </si>
  <si>
    <t>ma-manau-POLITABER.COMBI.40.AR</t>
  </si>
  <si>
    <t>Lámina de betún modificado con elastómero POLITABER COMBI 40 ANTI RADÓN de CHOVA (10x1 m/rollo).   Ref. manau-POLITABER.COMBI.40.AR</t>
  </si>
  <si>
    <t>Lámina de betún modificado con elastómeros, con armadura de fieltro de poliéster no tejido y reforzado, acabado interior plástico y exterior plástico. Recomendada para: Lámina en sistema monocapa, bajo protección pesada; Sistema bicapa, bajo protección pesada; lámina base en sistema bicapa, expuesto a la intemperie; Monocapa en cubierta inclinada, bajo tejas; estanquidad de estructuras enterradas o barrera anticapilaridad o barrera contra vapor; Barrera contra gas radón (lámina anti radón). Se recomienda aplicar 2 o 3 capas de pintura con un rendimiento mínimo aconsejado de 400 a 500 gr/m2.   Ref. manau-POLITABER.COMBI.40.AR.</t>
  </si>
  <si>
    <t>ma-lm-11628372</t>
  </si>
  <si>
    <t>Imprimante Impermeabilizante en Emulsión Bituminosa SUPERMUL-N de CHOVA (25 kg/bidón).   Ref. lm-11628372</t>
  </si>
  <si>
    <t>Emulsión viscosa, con un agente emulsionante de carácter aniónico con carga emulsión tipo EB según la norma UNE 104.231. SUPERMUL se recomienda como imprimación y preparación de la superficie a impermeabilizar. Ventajas: Soluble en agua; capaz de mezclarse con arena, gravilla, fibras minerales etc. No contiene disolventes. Rendimiento: 0,3 a 0,5 kg/m2 por capa (según aplicación).   Ref. lm-11628372.
Ideal para aplicar en:
• Sellado de Superficies: Sella carreteras y caminos, protegiendo el pavimento contra el desgaste y la penetración de agua.
• Mejora de la adhesión: Es una buena imprimación que mejora la adhesión entre la base y la capa superior que vayas a poner.
• Micropavimentos: Restaura la superficie de las carreteras agrietadas y rotas.
• Estructuras arquitectónicas: Protege el hormigón que compone pilares estructurales de casas, impermeabilizando estructuras como puentes, túneles, muros de contención.
• Reparación de Grietas: sella grietas y juntas en pavimentos de carreteras, evitando que el agua penetre y cause daños mayores.
• Mantenimiento Preventivo: Empleada en tratamientos de mantenimiento preventivo para extender la vida útil del pavimento, como el tratamiento de superficie bituminosa.
• Cubiertas y Techos: Creando una barrera impermeable que protege contra la lluvia y la humedad.</t>
  </si>
  <si>
    <t>ma-manau-CHOVAPLAST.ALU.30</t>
  </si>
  <si>
    <t>Lámina impermeabilizante autoprotegida de betún aditivado con polímeros CHOVAPLAST ALU 30 de CHOVA.   Ref. manau-CHOVAPLAST.ALU.30</t>
  </si>
  <si>
    <t>Lámina impermeabilizante autoprotegida de betún aditivado con polímeros CHOVAPLAST ALU 30 de CHOVA.   Ref. manau-CHOVAPLAST.ALU.30.
Lámina Auxiliar de 1 m x 12 m y 3 kg/m2 de betún aditivado con polímeros, sin armadura, acabado interior plástico y exterior hoja de aluminio gofrado. Colocar por adhesión mediante soplete en sistemas “Adheridos”. Recomendada para: lámina auxiliar para remates, canalones, barrera contra vapor debajo de aislamiento, etc. No recomendada para: sistema monocapa; lámina inferior en sistema bicapa; cubierta ajardinada.</t>
  </si>
  <si>
    <t>ma-manau-CHOVATERM.XPS-40POLPY30</t>
  </si>
  <si>
    <t>Lámina impermeabilizante con aislante térmico XPS-40 mm CHOVATERM XPS POL PY 30 de CHOVA (6x1 m/rollo).   Ref. Ref. manau-CHOVATERM.XPS-40POLPY30</t>
  </si>
  <si>
    <t>Lámina impermeabilizante con aislante térmico XPS-50 mm CHOVATERM XPS POL PY 30 de CHOVA (5x1 m/rollo).   Ref. Ref. manau-CHOVATERM.XPS-50POLPY30.
CHOVATERM es un producto compuesto formado por un aislamiento térmico, con lamas cortadas de paneles de XPS – CHOVAFOAM, adheridas térmicamente a láminas bituminosas de betún modificado con elastómeros - POLITABER. CHOVATERM se presenta en rollos de dimensiones de 6 a 4 m de largo (según espesor de aislante) y 1 m de ancho. Las lamas del aislamiento tienen un espesor de 4, 5 y 6 cm, y un ancho de unos 4 cm; y un largo de 92 cm, para permitir el solape libre, de 8±1 cm. Las características de los componentes se describen en las Fichas Técnicas de los productos correspondientes, CHOVAFOAM y POLITABER.</t>
  </si>
  <si>
    <t>Lámina?impermeabilizante?de?betún?modificado?(LBM)?con?elastómero?SBS de?elevado?punto?de?reblandecimiento,?con?excelente flexibilidad, elasticidad y extraordinaria adherencia (recomendada como membrana de impermeabilización?para?cubiertas,?muros?y?cimentaciones).   Ref. manau-POLITABER.BANDA.33.</t>
  </si>
  <si>
    <t>ma-manau-POLITABER.NATURE.C.50Gb</t>
  </si>
  <si>
    <t>Lámina impermeabilizante de betún modificado con elastómeros SBS POLITABER NATURE COMBI 50/G de CHOVA; blanco (8x1 m/rollo).   Ref. manau-POLITABER.NATUREC.50Gb</t>
  </si>
  <si>
    <t>La gama de láminas asfálticas POLITABER está compuesta por láminas impermeabilizantes de betún modificado (LBM) con elastómeros SBS, de elevado punto de reblandecimiento, con una excelente flexibilidad, elasticidad y extraordinaria adherencia. Son láminas impermeabilizantes con el acabado superior mineral, especiales para estar en contacto con la intemperie.   Ref. manau-POLITABER.NATURE.C.50Gb
VENTAJAS:
• Alto punto de reblandecimiento y excelente comportamiento frente a bajas y altas temperaturas.
• Ideal para aplicación en verano e invierno.
• Gran elasticidad y adhesividad del mástico. Mayor seguridad.
• Excelente durabilidad y envejecimiento.
• Plegabilidad de -15º C
• Gran adherencia al soporte
RECOMENDADA PARA:
• Lámina superior en sistema bicapa expuesto a la intemperie
• Monocapa en cubierta inclinada, bajo tejas
• Estanqueidad de estructuras enterradas o barrera anticapilaridad
• Barrera contra vapor.</t>
  </si>
  <si>
    <t>La gama de láminas asfálticas POLITABER está compuesta por láminas impermeabilizantes de betún modificado (LBM) con elastómeros SBS, de elevado punto de reblandecimiento, con una excelente flexibilidad, elasticidad y extraordinaria adherencia. Son láminas impermeabilizantes con el acabado superior mineral, especiales para estar en contacto con la intemperie.   Ref. manau-POLITABER.NATURE.C.50Gc
VENTAJAS:
• Alto punto de reblandecimiento y excelente comportamiento frente a bajas y altas temperaturas.
• Ideal para aplicación en verano e invierno.
• Gran elasticidad y adhesividad del mástico. Mayor seguridad.
• Excelente durabilidad y envejecimiento.
• Plegabilidad de -15º C
• Gran adherencia al soporte
RECOMENDADA PARA:
• Lámina superior en sistema bicapa expuesto a la intemperie
• Monocapa en cubierta inclinada, bajo tejas
• Estanqueidad de estructuras enterradas o barrera anticapilaridad
• Barrera contra vapor.</t>
  </si>
  <si>
    <t>Lámina de 1 m x 12 m y 3 kg/m2 de betún modificado con elastómeros, con armadura de fieltro de poliéster no tejido, acabado interior plástico y exterior plástico. En obra nueva o rehabilitación, se utiliza como: lámina en sistema bicapa bajo protección pesada; lámina base en sistema bicapa expuesto a la intemperie; monocapa en cubierta inclinada, bajo tejas; estanquidad de estructuras enterradas o barrera anticapilaridad; barrera contra vapor; lámina en sistemas bicapa para tráfico de vehículos, bajo capa de rodadura. Lámina fijada mecánicamente en sistema bicapa según ETE 06/0064 POLITABER-FM BICAPA de CHOVA.   Ref. manau-POLITABER.POL.PY.30.</t>
  </si>
  <si>
    <t>Lámina de 1 m x 10 m y 4 kg/m2 de betún modificado con elastómeros, con armadura de fieltro de poliéster no tejido, acabado interior plástico y exterior plástico. En obra nueva o rehabilitación, se utiliza como: lámina en sistema bicapa bajo protección pesada; lámina base en sistema bicapa expuesto a la intemperie; monocapa en cubierta inclinada, bajo tejas; estanquidad de estructuras enterradas o barrera anticapilaridad; barrera contra vapor; lámina en sistemas bicapa para tráfico de vehículos, bajo capa de rodadura. Lámina fijada mecánicamente en sistema bicapa según ETE 06/0064 POLITABER-FM BICAPA de CHOVA.   Ref. manau-POLITABER.POL.PY.40.</t>
  </si>
  <si>
    <t>Perfil metálico galvanizado para la entrega de la impermeabilización en paramento vertical en cubierta o en coronación de muro.   Ref. om-10356864.
Los perfiles metálicos se colocarán, siempre mediante elementos de fijación mecánica adecuados y anclados a la pared, separados unos 25cm, como máximo. El borde inferior del perfil deberá solapar unos 4cm, como mínimo, sobre la banda de terminación. Si las fijaciones mecánicas del perfil atraviesan la lámina, deberán aplicarse, como mínimo, a unos 20 cm por arriba del punto más alto de la cubierta. Colocar con la parte de pestaña redondeada en contacto con la lámina para evitar el corte de la lámina. Colocar acompañado de un cordón de masilla de exteriores situado en la parte superior, entre el perfil y el paramento. Colocar el cordón en la parte superior de la cara del perfil en contacto con el paramento vertical o muro, antes de la colocación del perfil sobre el paramento o muro.</t>
  </si>
  <si>
    <t>Masilla bituminosa para aplicación en frío, de poliuretano MASTIC P20 mono componente indicado para el relleno de juntas de dilatación tanto verticales como horizontales, e impermeabilización asfáltica. Forma un sellador duro y elástico.   Ref. om-10387356.</t>
  </si>
  <si>
    <t>SOUDATHERM ROOF 330 es una espuma de poliuretano adhesivo en bombona de 10,4 kg (neto) para una aplicación eficiente del pegado limpio, económico y duradero de paneles aislantes en cubiertas. Las características de este adhesivo de espuma lo hacen también adecuado para superficies irregulares. SOUDATHERM ROOF 330 se puede aplicar de forma eficiente y rápida con la pistola regulable del sistema. Consumo: 1 bombona puede pegar más de 120 m2 de aislamiento.   Ref. pierre.sol-SOU.124159.
APLICACIONES: Pegado de materiales aislantes comunes:
• PIR/PUR cubierto con o Fibra de vidrio con revestimiento mineral. o Fibra de vidrio bituminosa (superficie arenosa o astillado, no en superficies de PP quemables) o Aluminio.
• Poliestireno expandido (EPS).
• Materiales de aislamiento mineral (p. Ej. Perlita, Multipor, Fermacell).
• Poliestireno extruido (XPS) / Fenólico espuma (PF): solo para la fijación temporal del aislamiento en una cubierta con balasto (antes de colocar el lastre).
• Lana mineral: lana de roca, lana de vidrio, (pero en superficies planas, SOUDATHERM ROOF 170 es una mejor solución de unión)
ELIMINACIÓN DEL ENVASE:
• El recipiente es un recipiente desechable y no es adecuado para reutilizarlo o rellenarlo.
• Para estar en condiciones adecuadas para la eliminación, el recipiente debe estar completamente vacío y despresurizado.
• Si es necesario, se debe volver a agitar el recipiente y abrir cuidadosamente la válvula encima de un contenedor de residuos para eliminar cualquier presión residual y/o producto.
• El recipiente vacío, despresurizado y sin limpiar con la válvula abierta se puede desechar y procesar de acuerdo con las reglamentaciones locales y/o nacionales.</t>
  </si>
  <si>
    <t>Banda de impermeabilización para crear puentes flexibles e impermeables en juntas de dilatación y uniones suelo-pared con riesgo de fisuración (aplicable en Sistemas de Impermeabilización ARDEX 7+8, ARDEX 7+9 y ARDEX SK 100W con Membrana Impermeabilizante TRICOM).   Ref. ardex.tarifario.2024-61111.
Datos técnicos: Color: blanco, con dibujo en gris de gotas Apto: para anchos de juntas hasta un máximo de 30 mm. Alargamiento de rotura: 600% con 60 N/15 mm. Espesor: aprox. 0,32 mm. Gramaje: aproximadamente 180 gr/m2. Presión máx: 3,0 bar Movimiento permitido: máx. el 80% del ancho de la junta Resistencia a la temperatura: -35° C hasta +90° C Ensayo de plegado a –20° C: sin fisuración.</t>
  </si>
  <si>
    <t>ma-atebion-MARISEAL.710</t>
  </si>
  <si>
    <t>Imprimante de poliuretano para tapar poros MARISEAL 710 de MARIS POLYMERS (5 kg/envase).   Ref. atebion-MARISEAL.710</t>
  </si>
  <si>
    <t>Imprimación de poliuretano transparente, rígida, de alta penetración y de secado rápido. Se utiliza principalmente como imprimación para membranas impermeabilizantes de poliuretano y selladores de juntas de poliuretano en superficies absorbentes como: • Hormigón, Mortero, Yeso, Madera, etc. Consumo: 0,200 kg/m2 en una capa.   Ref. atebion-MARISEAL.710.
VENTAJAS: Fácil aplicación (rodillo o cepillo). Secado rápido (2-3 horas). Penetración profunda. Excelente anclaje en superficies absorbentes. Resistente al agua estancada. Alta resistencia a la tracción y al impacto, así como al calor y a las heladas</t>
  </si>
  <si>
    <t>ma-decorabalaguer-articrilresin6</t>
  </si>
  <si>
    <t>Resina polivalente en solución acuosa para morteros ARTICRIL RESIN 6 de ARTIC (25 kg/envase).   Ref. decorabalaguer-articrilresin6</t>
  </si>
  <si>
    <t>Resina polivalente en solución acuosa para morteros que actúa como elastificante evitando su tendencia a agrietarse y a la formación de fisuras. Plastifica los morteros, evitando retracciones, mejorando en ellos la fluidificación y dotándolos de mayores resistencias a la compresión y a la abrasión. Puente de unión entre hormigones, estucos o morteros antiguos y nuevos, mejorando su adherencia. Consumo (depende del tipo del soporte y requerimiento de aplicación): como puente de unión: 5 m2/litro (de la mezcla); en mortero convencional (3/1 - Arena/Cemento): 0,6 Kg/m2 aprox. de líquido de amasado, para 1cm de espesor).   Ref. decorabalaguer-articrilresin6.</t>
  </si>
  <si>
    <t>ma-decorabalaguer-artimix3</t>
  </si>
  <si>
    <t>Mortero hidráulico para nivelación y recuperación de volúmenes ARTIMIX 3 de ARTIC (25 kg/envase).   Ref. decorabalaguer-artimix3</t>
  </si>
  <si>
    <t>Mortero hidráulico para nivelación y recuperación de volúmenes ARTIMIX 3 de ARTIC. Rendimiento: 2,125 Kg/m2/mm de grosor; según la rugosidad del suelo (grosor capa: admite desde 0,5 hasta 1 cm (en 2 capas); grosor recomendado 3-4 mm por capa).   Ref. decorabalaguer-artimix3.
USOS: Reparación y nivelado de suelos antes de proceder a la colocación de un pavimento continuo. Pavimentado y capa de rodadura en naves industriales almacenes, plazas públicas, jardines, puentes, autovías, patios, garajes, gasolineras y talleres de reparación. Renovación de pavimentos en industrias de todo tipo, especialmente alimentaria y hospitalaria.</t>
  </si>
  <si>
    <t>ma-dispival-340</t>
  </si>
  <si>
    <t>Barniz poliuretano alifático MARISEAL 400 de MARIS POLYMERS (10 kg/envase).   Ref. dispival-340</t>
  </si>
  <si>
    <t>MARISEAL 400 de MARIS POLYMERS es un barniz de poliuretano alifático monocomponente de aplicación líquida y secado en frío para tránsito de personas, ideal para su aplicación posterior a las membranas de poliuretano. Barniz alifático pigmentado de alta estabilidad a los rayos UV, altamente elástico utilizado para proteger membranas de poliuretano. Consumo: 120-250 gr/m2 en una o dos capas.   Ref. dispival-340.
Se seca por reacción con los suelos y la humedad, protegiendo de forma efectiva. Es utilizado para la impermeabilización de cubiertas, protección de la espuma de poliuretano, impermeabilización y protección de estructuras de hormigón como puentes, etc., así como impermeabilización de superficies de metal. De fácil aplicación, de color estable y acabado brillante para una fácil limpieza, no amarillea, resistente al agua y a las heladas, manteniendo las propiedades mecánicas entre los -30ºC y los +90ºC. Siendo la superficie impermeabilizada transitable por personas.</t>
  </si>
  <si>
    <t>ma-dispival-496</t>
  </si>
  <si>
    <t>Fibra de poliéster MARISEAL FABRIC de MARIS POLYMERS 60 gr (1x100 m/rollo).   Ref. dispival-496</t>
  </si>
  <si>
    <t>MARISEAL FABRIC de MARIS POLYMERS es un geotextil tejido de fibra de poliéster no tejido calandrado al laser de agua de 60 gr de espesor. Se utiliza como tejido de refuerzo en combinación con las membranas impermeables. Puede ser aplicado en juntas de paredes y suelos, en juntas móviles, en grietas, en desagües o chimeneas. Repara grietas antes de la aplicación de la membrana impermeable, realizando un sellado estanco de juntas móviles. De fácil aplicación, altamente resistente, resistente a los rayos UVA. Consigue mantener la elasticidad junto con las membranas de acabado. Rollo de 100 cm de ancho x 100 metros de largo.   Ref. dispival-496.</t>
  </si>
  <si>
    <t>Malla de Refuerzo TNT Macroperforado de Polipropileno MAPETEX SEL de MAPEI para la armadura de membranas impermeables. Gramaje: 80 gr/m2; Espesor: 0,6 mm. Resistencia mecánica a la tracción: 5 KN/m. Deformación con esfuerzo máximo: 90% en sentido longitudinal y 60% en sentido transversal. Presentación: rollos de 25 m x 1 m de altura.   Ref. lechada.es-41625.</t>
  </si>
  <si>
    <t>ma-lm-19285336</t>
  </si>
  <si>
    <t>Emulsión/Impregnación repelente al agua SIKAGARD 703W de SIKA (5 litros/envase).   Ref. lm-19285336</t>
  </si>
  <si>
    <t>SIKAGARD-703 W es una emulsión, lista para su uso, a base de silanos y siloxanos, que actúa como hidrofugante. Se utiliza como impregnación para hidrofugar fachadas y proteger la edificación frente a la penetración del agua.   Ref. lm-19285336.
Permite la transpirabilidad del cerramiento. Normalmente no modifica las condiciones estéticas del paramento (se recomienda realizar una prueba previa). Consumo (depende de la porosidad del soporte): Para mortero u hormigón: 150 a 200 gr/m2; Para otros materiales porosos: 300 a 500 gr/m2 (es conveniente realizar un ensayo previo para conocer el consumo exacto). Se puede aplicar sobre hormigón, mortero, mampostería, ladrillo, piedra natural, fibrocemento,</t>
  </si>
  <si>
    <t>ma-lm-88017236</t>
  </si>
  <si>
    <t>Membrana 100% poliuretano MARISEAL 250 de MARIS POLYMERS; color gris (25 kg/bidón)…Ref. lm-88017236</t>
  </si>
  <si>
    <t>Membrana de poliuretano monocomponente MARISEAL 250 de MARIS POLYMERS de aplicación líquida, altamente elástica de aplicación en frío para la impermeabilización de tejados, balcones y terrazas, zonas húmedas (bajo baldosa), protección de espuma de poliuretano aislante, jardineras, así como impermeabilización y protección de construcciones de hormigón como puentes, túneles, etc. COnsumo: 1,5 a 2,5 kg/m2 aplicado en 2 a 3 capas.   Ref. lm-88017236.
Ideal para la impermeabilización de tejados, balcones y terrazas, zonas húmedas (bajo baldosa), protección de espuma de poliuretano aislante, jardineras, así como impermeabilización y protección de construcciones de hormigón como puentes, túneles, etc. De fácil aplicación, una vez aplicada se convierte en una membrana impermeable sin juntas, resistente a las heladas manteniendo sus propiedades mecánicas entre los -30ºC a +90ºC. Repara grietas de hasta 2 mm, incluso a -10ºC. Permite la transpiración del agua, totalmente adherente a toda la superficie.</t>
  </si>
  <si>
    <t>ma-lm-88456067</t>
  </si>
  <si>
    <t>Adhesivo bituminoso de aplicación en frío para cubiertas COLLE BITUMINEUSE de SOUDAL (4 litros/envase).   Ref. lm-88456067</t>
  </si>
  <si>
    <t>Adhesivo bituminoso de aplicación en frío para cubiertas.   Ref. lm-88456067.
Resistente a los rayos UV, condiciones climáticas y variaciones de temperatura. Alta adherencia. Insensible a las heladas. Para techos con una inclinación máxima del 15 %.
Aplicación: Unión en frío del techo sobre el otro, sobre metal o sobre un soporte poroso; y como capa de adhesión para escamas de pizarra y grava.</t>
  </si>
  <si>
    <t>SIKAFILL-420 EXTREME membrana líquida impermeabilizante para cubiertas, económica y ecológica basada en la CO-TECNOLOGÍA ELÁSTICA (CET) de SIKA. SIKAFILL-420 EXTREME es una membrana líquida impermeabilizante en base agua, de aplicación en frío, monocomponente, libre de disolventes, altamente elástica y resistente a los rayos UV. Tecnología DURALASTIC. Base Química: Dispersión Híbrida de Poliuretano. SIKAFILL-420 EXTREME se aplica en 2 o 3 capas. Consumo total &gt;0.9 - 1.4 kg/m2 (&gt; 0.6 - 1.0 litros/m2).   Ref. lm-90779424.
USOS:
• Para soluciones impermeabilizantes de cubiertas tanto en cubiertas nuevas como en rehabilitaciones.
• Para cubiertas con muchos detalles y con una geometría compleja con accesibilidad limitada.
• Para una ampliación de la vida en servicio económica en rehabilitación de cubiertas.
• Para revestimientos reflectivos que mejoran la eficiencia energética reduciendo los costes de enfriamiento del edificio.</t>
  </si>
  <si>
    <t>Lámina impermeabilizante GISCOLENE de caucho sintético EPDM vulcanizado, se utiliza para impermeabilización de cubiertas, balsas, estanques, canales, niveles freáticos, estructuras enterradas, fachadas. Medidas: espesor 1 mm; ancho: 3 m.   Ref. lp-00181594.
EPDM son las siglas en inglés de ETHYLENE PROPYELENE DIENE METHYLENE. En castellano sería CAUCHO DE ETILENO PROPILENO DIENO. Destaca por su estupenda resistencia al ozono y es resistente al agua caliente y al vapor.</t>
  </si>
  <si>
    <t>ma-lp-00181595</t>
  </si>
  <si>
    <t>Lámina impermeabilizante GISCOLENE 100 de caucho sintético EPDM vulcanizado (ancho: 6,00 m; espesor: 1 mm).   Ref. lp-00181595</t>
  </si>
  <si>
    <t>Lámina impermeabilizante GISCOLENE de caucho sintético EPDM vulcanizado, se utiliza para impermeabilización de cubiertas, balsas, estanques, canales, niveles freáticos, estructuras enterradas, fachadas. Medidas: espesor 1 mm; ancho: 6 m.   Ref. lp-00181595.
EPDM son las siglas en inglés de ETHYLENE PROPYELENE DIENE METHYLENE. En castellano sería CAUCHO DE ETILENO PROPILENO DIENO. Destaca por su estupenda resistencia al ozono y es resistente al agua caliente y al vapor.</t>
  </si>
  <si>
    <t>ma-lp-00181596</t>
  </si>
  <si>
    <t>Lámina impermeabilizante GISCOLENE 100 de caucho sintético EPDM vulcanizado (ancho: 9,00 m; espesor: 1 mm).   Ref. lp-00181596.</t>
  </si>
  <si>
    <t>Lámina impermeabilizante GISCOLENE de caucho sintético EPDM vulcanizado, se utiliza para impermeabilización de cubiertas, balsas, estanques, canales, niveles freáticos, estructuras enterradas, fachadas. Medidas: espesor 1 mm; ancho: 9 m.   Ref. lp-00181596.
EPDM son las siglas en inglés de ETHYLENE PROPYELENE DIENE METHYLENE. En castellano sería CAUCHO DE ETILENO PROPILENO DIENO. Destaca por su estupenda resistencia al ozono y es resistente al agua caliente y al vapor.</t>
  </si>
  <si>
    <t>ma-lp-00201398</t>
  </si>
  <si>
    <t>Adhesivo EPDM SA-008 MAX de ROLLGUM para la unión de láminas impermeabilizantes de EPDM y bandas de butilo (1 litro/envase).   Ref. lp-00201398</t>
  </si>
  <si>
    <t>ROLLGUM SA-008 MAX es un adhesivo de reticulación y contacto, a base de con cauchos sintéticos y base disolvente. Se usa para la unión por solape entre láminas impermeables de EPDM y entre láminas de butilo, así como para la adhesión de estas láminas sobre diversos sustratos y superficies como hormigón, cemento, madera y metal. Muy buena adherencia, resistencia al envejecimiento, frío o calor. Color negro. Envase de 1 litro.   Ref. lp-00201398</t>
  </si>
  <si>
    <t>ROLLGUM SA-008 MAX es un adhesivo de reticulación y contacto, a base de con cauchos sintéticos y base disolvente. Se usa para la unión por solape entre láminas impermeables de EPDM y entre láminas de butilo, así como para la adhesión de estas láminas sobre diversos sustratos y superficies como hormigón, cemento, madera y metal. Muy buena adherencia, resistencia al envejecimiento, frío o calor. Color negro. Envase de 5 litros.   Ref. lp-00201399</t>
  </si>
  <si>
    <t>ma-lp-00224946</t>
  </si>
  <si>
    <t>Lámina impermeable transpirable TYVEK PRO (1,5x50 m/rollo).   Ref. lp-00224946</t>
  </si>
  <si>
    <t>Lámina impermeable y transpirable compuesta de dos capas, una de TYVEK y una capa de protección antideslizamiento. Completamente impermeable al agua, tanto a la presión hidrostática como al impacto dinámico.   Ref. lp-00224946.
Actúa como una barrera contra la lluvia, nieve, viento y evita corrientes de aire. Garantiza el control de circulación del calor, el aire y la humedad dentro del edificio y una eficaz actuación del aislamiento utilizado, lo que reduce las pérdidas de calor y permite un considerable ahorro energético. Los rollos tienen un peso reducido que permite una manipulación sin esfuerzos y libera la cubierta y la fachada de una carga excesiva. La unión entre láminas se realiza fácilmente por el solape entre las mismas. En cada rollo viene perfectamente señalizada la zona de unión. Reforzada, segura y duradera: es muy resistente a la rotura y tolera temperaturas extremas, tanto en épocas de frío como de calor. Fácil de manipular y colocar: al ser muy maleable, su colocación en rincones y superficies irregulares de cualquier cubierta inclinada (ventanas, chimeneas…) y en fachadas y muros de sótanos resulta una operación sencilla. Gramaje: 124 gr/m2.</t>
  </si>
  <si>
    <t>ma-lp-00263817</t>
  </si>
  <si>
    <t>Pintura impermeabilizante TEXCAP FT de SOPREMA; transparente (5 kg/envase).   Ref. lp-00263817</t>
  </si>
  <si>
    <t>TEXCAP FT es un revestimiento de poliuretano alifático transparente monocomponente, estable a los rayos UV, altamente elástico, de aplicación y secado en frío, que se utiliza para la protección de sistemas de impermeabilización líquida de poliuretano. Rendimiento: 0,8 a 0,12 kg/m² en 2 o 3 capas (agitar el producto hasta obtener una masa homogénea).   Ref. lp-00263817.
Posee una excelente resistencia a la intemperie y estabilidad al cambio de color. Se seca por reacción con la humedad del suelo y la del aire. Fácil aplicación (rodillo o airless). Resistente al agua y a las heladas. Mantiene sus propiedades mecánicas en temperaturas de –30ºC a +90ºC. Se puede transitar por encima de la superficie impermeabilizada. Incrementa la resistencia al desgaste. Tráfico no vehicular. Transpirable al vapor de agua. Buena resistencia a las soluciones alcalinas y ácidas (10%), detergentes, agua marina y aceites.</t>
  </si>
  <si>
    <t>Lámina APP BIGMAT PLUS FV 40 (MOPLY N PLUS FV 4 KG de SOPREMA) es una lámina de impermeabilización de betún plastómero aditivado con 4 kg/m2. Armada con velo de vidrio. Film fusible en cara inferior y superior. Rollo 10x1 m x 3 mm de espesor.   Ref. lp-00269977</t>
  </si>
  <si>
    <t>AQUASEAL es una emulsión asfáltica en pasta que se utiliza para la preparación del soporte (hormigón), como primer de impermeabilización. Se aplica para impermeabilización de depósitos de agua y muros, tanques y tuberías; así como embaldosado de terrazas. También es adecuado como adhesivo de aislamiento térmico en muros, y como barrera de vapor. No sustituye a las láminas. Tixotrópica, con resistencia al agua, al escurrimiento y flexible a baja temperatura (evita grietas). Tipo ED según UNE 104-234. Color negro. Envase de 25 kg.   Ref. lp-00274122</t>
  </si>
  <si>
    <t>SBS BIGMAT ELAST FV 40 ((MORTERPLAS SBS FV 4 KG de SOPREMA) es una lámina a base de betún modificado con plastómeros, tipo APP, con autoprotección mineral y armadura de fieltro de fibra de vidrio. Acabado una cara con laminillas de pizarra, excepto una banda de 8 cm para el solape y la otra con antiadherente de plástico. Se utiliza en sistemas de impermeabilización tipo bicapa con protección ligera (autoprotección), de acuerdo con las membranas GA-2, GA-5 y GA-6 de la Norma UNE 104-402, adecuadas para la impermeabilización de cubiertas de edificios. Color pizarra rojo. Rollo de 10x1 m. Espesor: 3 mm. Peso: 40 kg.   Ref. lp-00278899</t>
  </si>
  <si>
    <t>ma-lp-00285538</t>
  </si>
  <si>
    <t>Lámina impermeabilizante GISCOLENE 100 de caucho sintético EPDM vulcanizado (ancho: 4,50 m; espesor: 1 mm).   Ref. lp-00285538</t>
  </si>
  <si>
    <t>Lámina impermeabilizante GISCOLENE de caucho sintético EPDM vulcanizado, se utiliza para impermeabilización de cubiertas, balsas, estanques, canales, niveles freáticos, estructuras enterradas, fachadas. Medidas: espesor 1 mm; ancho: 4,5 m.   Ref. lp-00285538.
EPDM son las siglas en inglés de ETHYLENE PROPYELENE DIENE METHYLENE. En castellano sería CAUCHO DE ETILENO PROPILENO DIENO. Destaca por su estupenda resistencia al ozono y es resistente al agua caliente y al vapor.</t>
  </si>
  <si>
    <t>ma-lp-00285540</t>
  </si>
  <si>
    <t>Lámina impermeabilizante GISCOLENE 100 de caucho sintético EPDM vulcanizado (ancho: 7,50 m; espesor: 1 mm).   Ref. lp-00285540</t>
  </si>
  <si>
    <t>Lámina impermeabilizante GISCOLENE de caucho sintético EPDM vulcanizado, se utiliza para impermeabilización de cubiertas, balsas, estanques, canales, niveles freáticos, estructuras enterradas, fachadas. Medidas: espesor 1 mm; ancho: 7,5 m.   Ref. lp-00285540.
EPDM son las siglas en inglés de ETHYLENE PROPYELENE DIENE METHYLENE. En castellano sería CAUCHO DE ETILENO PROPILENO DIENO. Destaca por su estupenda resistencia al ozono y es resistente al agua caliente y al vapor.</t>
  </si>
  <si>
    <t>Lámina impermeabilizante GISCOLENE de caucho sintético EPDM vulcanizado, se utiliza para impermeabilización de cubiertas, balsas, estanques, canales, niveles freáticos, estructuras enterradas, fachadas. Medidas: espesor 1,2 mm; ancho: 3 m.   Ref. lp-00285541.
EPDM son las siglas en inglés de ETHYLENE PROPYELENE DIENE METHYLENE. En castellano sería CAUCHO DE ETILENO PROPILENO DIENO. Destaca por su estupenda resistencia al ozono y es resistente al agua caliente y al vapor.</t>
  </si>
  <si>
    <t>ma-lp-00291741</t>
  </si>
  <si>
    <t>Pintura impermeabilizante TEXPUR de SOPREMA; color rojo (6 kg/envase).   Ref. lp-00291741</t>
  </si>
  <si>
    <t>TEXPUR es una membrana líquida de poliuretano monocomponente, altamente elástica, de aplicación y secado en frío usada para la impermeabilización. Rendimiento: 1,50 a 2 kg/m2.   Ref. lp-00291741.
TEXPUR presenta muy buena adherencia sobre casi todos los materiales; sin embargo, siempre se recomienda aplicar la imprimación TEXPRIMER (200gr/m2) para maximizar la adhesión de la membrana y bloquear posibles restos de humedad del soporte.</t>
  </si>
  <si>
    <t>TEXPUR es una membrana líquida de poliuretano monocomponente, altamente elástica, de aplicación y secado en frío usada para la impermeabilización. Rendimiento: 1,50 a 2 kg/m2.   Ref. lp-00291743.
TEXPUR presenta muy buena adherencia sobre casi todos los materiales; sin embargo, siempre se recomienda aplicar la imprimación TEXPRIMER (200gr/m2) para maximizar la adhesión de la membrana y bloquear posibles restos de humedad del soporte.</t>
  </si>
  <si>
    <t>EMUFAL PRIMER de SOPREMA es una emulsión asfáltica de consistencia líquida (de base acuosa). Se utiliza para la preparación de soporte (hormigón), como primer de impermeabilización. Se puede usar tanto para la aplicación de las láminas bituminosas a fuego, como para laminas autoadhesivas (especial para sitios cerrados). El producto se aplica en frío, mediante brocha, rodillo o cepillo de pintor. Hay que agitar antes de usarlo. Rendimiento: Depende de la rugosidad del soporte; en general, si no se diluye el producto, puede oscilar entre 150 gr/m² y 350 gr/m².   Ref. lp-00305007.</t>
  </si>
  <si>
    <t>ma-lp-00537399</t>
  </si>
  <si>
    <t>Placa asfáltica ondulada ligera para impermeabilización ONDULINE BT-150 PLUS; color rojo (2000x1050 mm/placa).   Ref. lp-00537399</t>
  </si>
  <si>
    <t>ONDULINE bajo Teja BT-150 PLUS es una placa asfáltica ondulada ligera para la impermeabilización de cubiertas inclinadas(10-70%pdt). Destinada para tejas curvas de ancho de boca mayor de entre 18,5-22 cm y tejas curvas, mixtas, planas, hormigón.   Ref. lp-00537399.</t>
  </si>
  <si>
    <t>MORTERPLAS SBS FP 4KG es una lámina impermeabilizante no auto protegida, de betún elastomérico SBS, con armadura de fieltro de poliéster (FP) de alto gramaje y acabado en film termo fusible por ambas caras. Es una lámina ensayada como barrera contra el gas radón.   Ref. lp-00563154
Ventajas:
a) El mastico elastomérico SBS, que aporta a la lámina una excelente plegabilidad a bajas temperaturas.
b) La armadura de no-tejido de fieltro de poliéster (FP) reforzado y estabilizado, confiere a la lámina las mejores propiedades mecánicas.
c) Elevada resistencia a la tracción.
d) Máxima resistencia al punzonamiento (estático y dinámico).
e) Gran resistencia al desgarro.
f) Buena estabilidad dimensional.
Aplicación: Está especialmente recomendada en aplicaciones donde se requiera una alta resistencia al punzonamiento. MORTERPLAS SBS FP 4 KG se puede aplicar en sistema bicapa en cubiertas no transitables y transitables para uso peatonal y vehicular, con protección pesada. Para sistemas monocapa se utilizará la lámina de masa de 4 kg en sistemas de acuerdo con los DITs y la normativa local de edificación. La MORTERPLAS SBS FP 4 KG se puede aplicar como lámina para asegurar la estanqueidad en estructuras enterradas</t>
  </si>
  <si>
    <t>Revestimiento elástico fibrado con poliuretano destinado a la impermeabilización de cubiertas. Rendimiento Teórico: 1 a 1,5 m2/litro/mano, en función de la absorción y textura del soporte.   Ref. lp-00571314.
PROPIEDADES PRINCIPALES:
• Impermeabilidad al agua de lluvia.
• Apto para tráfico peatonal ocasional.
• Reforzado con fibras y con poliuretano.
• Muy elástico, incluso a cambios bruscos de temperatura.
• Adaptabilidad a todas las formas de la superficie.
• Buena adherencia sobre las superficies habituales de la construcción.
• Inalterable a los álcalis del cemento (insaponificable).
• Fácil aplicación.
• Sin alquitranes, asfaltos ni plastificantes.
• Muy resistente a la intemperie, rayos UV y al ozono.
USOS:
• Impermeabilización de cubiertas o azoteas inclinadas, terrazas o balcones de tránsito peatonal ocasional de diferente naturaleza: hormigón, mortero de cemento, cerámica, metal, teja, etc... 
• Protección de aleros y otros elementos anexos en fachadas o cubiertas.
• Renovación y protección total o parcial de antiguas impermeabilizaciones.
• Sellado en reparaciones realizadas en fachadas o cubiertas.
• Eliminación de humedades y goteras en cubiertas y en paramentos verticales (medias cañas de forjados, petos, paredes medianeras, tabiques pluviales…).
• Impermeabilización de mayores prestaciones y durabilidad incorporando una armadura entre capas.
Colores: Rojo (001), Teja (002), Gris (003), Blanco (004), Negro (005), y Verde (049).</t>
  </si>
  <si>
    <t>Membrana líquida flexible a base de resinas sintéticas; de secado ultra rápido y consistencia pastosa para impermeabilización de superficies internas y externas. Aplicación (lista para usar): rodillo, brocha o espátula. Consumo: 1 kg/m2 para 2 capas de producto (1,3 kg/m2 por mm de espesor).   Ref. manomano-ME7993754.
https://www.leroymerlin.es/productos/mapei-mapelastic-aquadefense-membrana-liquida-lista-para-usar-para-impermeabilizacion-bajo-baldosas-secado-rapido-15-kg-mapelastica-36634640.html</t>
  </si>
  <si>
    <t>La membrana Impermeabilizante revestible ARDEX 8 + 9 es apta para la impermeabilización de paredes y suelos (interiores y exteriores) a revestir con cualquier tipo de pieza cerámica, formación de juntas en esquinas, medias cañas e integración de tuberías y sumideros en baños. Nivelación y gran capacidad de relleno de irregularidades y fisuras en el soporte. Debajo de las baldosas resiste perfectamente la agresión de zonas en contacto permanente con el agua, tal y como sucede en duchas, baños, zonas de duchas por encima de bañeras y locales para sanitarios en zonas públicas y comerciales dotadas de sumideros. Consumos: Con consistencia para aplicar a rodillo (2 capas): aprox. 0,75 kg polvo + 0,75 kg dispersión, Aprox. 1,5 kg de mezcla/m2; Consistencia para aplicar a llana (para capa de 2 mm): Aprox. 1,6 kg polvo + 1,2 kg dispersión, Aprox. 2,8 kg de mezcla/m2.   Ref. pinturas.mata-433739000.
CAMPOS DE APLICACIÓN EN INTERIORES:
ARDEX 8 + 9 es un conjunto de dos componentes: ARDEX 8, una dispersión de acrilato, sin disolventes y con un peso aprox. de 1,0 kg/L y ARDEX 9, polvo en base cemento y con un peso específico de aprox. 1,2 kg/L. Ambos componentes se mezclan entre sí en relación 1:1. Una vez seca, la membrana impermeable ARDEX 8+9 es estanca al agua y sumamente moldeable. No colorea los morteros cementosos aplicados para el sellado de las juntas de las piezas cerámicas.
CAMPOS DE APLICACIÓN EN EXTERIORES:
En terrazas y balcones, impermeabiliza y protege el soporte de la humedad y de las eflorescencias, siempre y cuando el ARDEX 8+9 sea revestido con piezas cerámicas o con un acabado de pintura. ARDEX 8+9 es ideal para la impermeabilización de cubiertas minerales o cerámicas que deban ser revestidas con cerámica sin necesidad de desescombros. ARDEX 8+9 cumple con los requisitos clase B de la clasificación de la Asociación Central de la Industria de la Construcción Alemana (ZDB), siendo apto para la impermeabilización de piscinas en combinación con cerámica. Gracias a su especial formulación, presenta una adherencia excelente sobre hormigón, mortero, cerámica, gres, gres porcelánico, etc.</t>
  </si>
  <si>
    <t>ma-pp-0164002500SJ</t>
  </si>
  <si>
    <t>Pintura brea-acrílica en emulsión acuosa ISAFORT de ISAVAL (15 litros/bidón).   Ref. pp-0164002500SJ</t>
  </si>
  <si>
    <t>Pintura brea-acrílica en emulsión acuosa, especialmente desarrollada para asegurar el anclaje sobre substratos difíciles. Rendimiento: 4 - 6 m2/litro (dependiendo de la absorción del soporte donde se aplique).   Ref. pp-0164002500SJ 
Pintura en base acuosa especialmente desarrollada para asegurar el anclaje sobre substratos difíciles tales como: fachadas de gres, telas asfálticas recubiertas de aluminio, tejados de cinc, aislamientos de poliuretano, y en general en paramentos donde el poro no sea el suficiente para asegurar el posterior agarre de la pintura de acabado. Se puede emplear en el proceso de impermeabilización de zonas húmedas tales como jardineras, zócalos....
PROPIEDADES:
• Impermeable al agua de lluvia.
• Elástico, no cuartea ni fisura con las contracciones y dilataciones del soporte a consecuencia de los cambios de temperatura. Puenteo de grietas y fisuras.
• Buena adherencia sobre los materiales de construcción habituales.
• Repintable.</t>
  </si>
  <si>
    <t>Mortero mineral especialmente diseñado para la realización de enfoscados impermeabilizantes en capa fina en superficies lisas, en suelos, muros o techos de construcciones enterradas como depósitos de agua, balsas, piscinas, sótanos, parkings, fosos de ascensor, túneles, cimentaciones, así como de muros de contención de hormigón. Rendimiento: 3 kg/m2 (3 mm de espesor).   Ref. prolisur-08.</t>
  </si>
  <si>
    <t>El SIKALASTIC 612 es una membrana de poliuretano monocomponente, de aplicación en frío, con tecnología activada por la humedad. Cura formando una membrana impermeabilizante continua y duradera para cubiertas expuestas, así como para terrazas y cubiertas por debajo de las baldosas adheridas con mortero cola.   Ref. s.lucia-01.
USOS:
• Para soluciones de impermeabilización de cubiertas tanto en obra nueva como en proyectos de rehabilitación.
• Para cubiertas que presentan áreas de detalle complejas, incluso cuando la accesibilidad es limitada.
• Para un aumento de la durabilidad de las cubiertas existentes en mal estado.
• Para impermeabilización de balcones y terrazas por debajo de baldosas adheridas con morteros cola.</t>
  </si>
  <si>
    <t>Sika Concrete Primer es una imprimación bicomponente híbrida de poliurea / poliuretano para soportes cementosos. Su rápido curado permite la aplicación de los sistemas de impermeabilización líquida después de 30 minutos. Proporción de la Mezcla: Parte A:Parte B = 3,64:1 (en volumen). Rendimiento: 0,13 kg/m2 por capa.   Ref. s.lucia-02
USOS:
• Imprimación de soportes cementosos para aplicaciones exteriores de los siguientes sistemas: SIKAROOF MTC.
• Sistemas de cubierta SIKALASTIC.
• Sistemas de impermeabilización SIKAFLOOR BALCONY.</t>
  </si>
  <si>
    <t>SIKA LASTIC FLEECE -120 (120 gr/m2) se utiliza como refuerzo con la membrana líquida impermeabilizante aplicada para detalles y todas las instalaciones necesarias para que se ajusten a requisitos ETAG-005.   Ref. vtc-97480.
USOS: Impermeabilización de refuerzo en azoteas, balcones y terrazas requeridos para cumplir con ETAG-005; para detalles generales y demás obras de impermeabilización general obras tanto en construcciones nuevas como en renovaciones; para reparación de antiguas membranas.</t>
  </si>
  <si>
    <t>IMPRIMANTES</t>
  </si>
  <si>
    <t>ma-da-08121</t>
  </si>
  <si>
    <t>Imprimante PREARTIGUM adherente previo al proceso ARTIGUM y ARTIGUM TOP de D’ARTIC (15 litros/bidón).   Ref. da-08121</t>
  </si>
  <si>
    <t>Imprimación del PROCESO ARTIGUM. Polímeros saturados con pigmentos reactivos a la humedad. Imprescindible sobre soportes húmedos (regula la adherencia y transpiración en el proceso de impermeabilización) y sobre superficies cementosa y cerámicas porosas. No aplicar sobre superficies vitrificadas, sin abrir el poro con ACIART o mecánicamente. Neutraliza la humedad del yeso y el cemento. COV 491g / l – 2.010 500g / l.   Ref. da-08121</t>
  </si>
  <si>
    <t>Imprimación sintética antioxidante de Barpimo está indicada para protección y preparación anticorrosiva de superficies y estructuras de hierro y acero. Fácil de aplicar y gran poder de cubrición. Color gris.   Ref. lp-00007314</t>
  </si>
  <si>
    <t>Pintura polivalente para imprimar, proteger y pintar superficies difíciles, aplicable como puente de adherencia multisuperficie sobre metales, plásticos, maderas y cerámicas. Rendimiento Teórico aproximado de 10 a 12,5 m2/litro y por mano.
Imprimación TODO TERRENO de BEISSIER para pintar superficies difíciles actúa como:
• Puente de adherencia que permite el posterior esmaltado o barnizado de metales tales como hierro, zinc, aluminio, cobre, chapa galvanizada, etc.
• Pintura de fondo sobre PVC, poliéster, metacrilato, melamina, poliuretano.
• Sellador y tapaporos sobre madera interior, de sellado rápido.
• Fondo de tuberías de calefacción, ya que resiste el calor (hasta 100ºC).
• Fondo para esmaltar o pintar sobre azulejo, cerámica y vidrio.
Extraordinaria adherencia sobre cualquier superficie. Autonivelante. Secado rápido sin marcas de brocha..</t>
  </si>
  <si>
    <t>PROPAM GRIP+ es un Imprimante promotor de adherencia universal listo al uso, a base de resinas acrílicas en dispersión y áridos silíceos de cuarzo, para aplicación de pavimentos y revestimientos cementosos y adhesivos de cerámica sobre todo tipo de soportes absorbentes y no absorbentes. Adecuado para la colocación de morteros de cemento sobre soportes de yeso o anhidrita. Utilización en pavimentos y revestimientos tanto en interior como en exterior. Colocación de morteros autonivelantes y recrecidos sobre soportes porosos y no porosos. Aplicación de morteros de regularización sobre superficies sin absorción superficial (hormigón liso, cemento, yeso, cal, bloque de hormigón, etc.) Colocación de morteros autonivelantes y recrecidos sobre soportes de anhidrita.   Ref. lp-00540839
Colocación de cerámica y morteros decorativos sobre paredes de yeso. Aplicación por superposición sobre pavimentos cerámicos existentes. Colocación sobre soportes rígidos de madera. Colocación sobre metal.</t>
  </si>
  <si>
    <t>ma-mausa-sikatop10-5kg</t>
  </si>
  <si>
    <t>Imprimante en base agua con cargas minerales SIKATOP-10 de SIKA (5kg/envase).   Ref. mausa-sikatop10-5kg</t>
  </si>
  <si>
    <t>Imprimante en base agua con cargas minerales, SIKATOP-10 es una resina sintética a base de copolímeros estireno acrílicos con cargas minerales, que se utiliza como imprimación tapaporos y promotor de adherencia sobre soportes de naturaleza mineral, revestimientos cementosos y revestimientos cerámicos antiguos. Particularmente indicado para su utilización previa a los morteros de nivelación y decoración de la gama SIKADECOR NATURE. Consumo mínimo: 0,8 kg/m2/capa.   Ref. mausa-sikatop10-5kg.
USOS:
• Sellador de soportes minerales.
• Mejorador de la adherencia de los morteros sobre sustratos porosos.
• Proporciona al soporte una elevada rugosidad, mejorando la puesta en obra y el posterior agarre físico-químico del revestimiento final.</t>
  </si>
  <si>
    <t>Imprimación industrial alquídica uretanada anticorrosiva con efecto antioxidante. Contiene pigmentos activos no tóxicos de fosfato de Zinc. Rendimiento 10 a 12 m2/litro (45 a 55 micras en seco).   Ref. pinturaslagun-X13.
Excelente rendimiento a rodillo y brocha. Imprimación de uso general sobre acero en ambientes de corrosión baja C2 y media C3, según UNE EN ISO 12944. Ideal para la protección de maquinaría, elementos de cerrajería, exterior depósitos y estructuras de acero en general. Reacción al Fuego UNE EN 13501-1:2007+A1:2010: B-s1,d0/sobre sustrato A1.</t>
  </si>
  <si>
    <t>Imprimante sellador incoloro en medio disolvente isoparanínfico, especialmente diseñado para fijar, endurecer y cohesionar los fondos pulverulentos en interiores y exteriores.   Ref. pp-0135002200SJ-B.
De aplicación universal sobre pinturas plásticas, hormigón visto y mortero, cemento, calizas, yeso, antiguas superficies pintadas al silicato o viejas pinturas en emulsión y gres cerámico. Por su falta de olor, su uso está especialmente indicado para interiores. Consumo aproximado: 3 a 6 m2/litro.
PROPIEDADES:
• Sella, endurece y cohesiona los fondos tratados.
• Regulariza la absorción del soporte y logra una excelente adherencia y mayor rendimiento por m2 de los acabados posteriores.
• Mejora la resistencia a la carbonatación del hormigón. No agresivo con pinturas antiguas (vinílicas, acrílicas, etc.).
• Gran poder de penetración.
• Resistente al alcalí. Transpirable.
• Fácil aplicación. Listo al uso.
• Sin olor.</t>
  </si>
  <si>
    <t>Imprimante sellador incoloro en medio disolvente isoparanínfico, especialmente diseñado para fijar, endurecer y cohesionar los fondos pulverulentos en interiores y exteriores.   Ref. pp-0135002200SJ-G.
De aplicación universal sobre pinturas plásticas, hormigón visto y mortero, cemento, calizas, yeso, antiguas superficies pintadas al silicato o viejas pinturas en emulsión y gres cerámico. Por su falta de olor, su uso está especialmente indicado para interiores. Consumo aproximado: 3 a 6 m2/litro.
PROPIEDADES:
• Sella, endurece y cohesiona los fondos tratados.
• Regulariza la absorción del soporte y logra una excelente adherencia y mayor rendimiento por m2 de los acabados posteriores.
• Mejora la resistencia a la carbonatación del hormigón. No agresivo con pinturas antiguas (vinílicas, acrílicas, etc.).
• Gran poder de penetración.
• Resistente al alcalí. Transpirable.
• Fácil aplicación. Listo al uso.
• Sin olor.</t>
  </si>
  <si>
    <t>MAMAMA$</t>
  </si>
  <si>
    <t>bbbbbbbb</t>
  </si>
  <si>
    <t>\ RESISTENCIA (N/mm2) \ 20 \ 30 \ 40 \ # A
\ TAMAÑO MAX (mm)\ 40 \ 20 \ # B
\ CONSISTENCIA \ plástica \ blanda \ fluida \ # C
%T(3,2,3) = 11, 12, 13,
21, 22, 23,
31, 32, 33,
41, 42, 43,
51, 52, 53,
61, 62, 63
::%T (%A,%B,%C)
\ RESUMEN \H $A $C tamaño máximo $B IIa \
\TEXTO \Hormigón preparado de resistencia característica $A N/mm2, de consistencia $C y tamaño máximo del árido $B mm, en ambiente normal IIa, transportado a una distancia máxima de 10 km, contados desde la central suministradora. Se consideran cargas completas de 6 ó 9 m3 y un tiempo máximo de descarga en obra de 45 minutos.\</t>
  </si>
  <si>
    <t>MATERIALES.DE.ACERO.Y.HIERRO</t>
  </si>
  <si>
    <t>MATERIALES DE ACERO</t>
  </si>
  <si>
    <t>ma-bm-10330453</t>
  </si>
  <si>
    <t>Tubo de hierro con sección cuadrada 60x60X1,5 mm (3 m/pza).   Ref. bm-10330453</t>
  </si>
  <si>
    <t>Perfil estructural UPN con sección en forma de U. Indicado como refuerzo estructural, pilares, estructuras para escaleras. 3 m de longitud. Peso = 13,40 kg/m.  Ref. bm-10841901</t>
  </si>
  <si>
    <t>ma-c.vilaseca-0512-L80x8</t>
  </si>
  <si>
    <t>Perfil angular de alas iguales de acero laminado 80x8 mm (9,63 kg/m).   Ref. c.vilaseca-0512-L80x8</t>
  </si>
  <si>
    <t>ma-c.vilaseca-0515-L120x11</t>
  </si>
  <si>
    <t>Perfil angular de alas iguales de acero laminado 120x11 mm (19,90 kg/m).   Ref. c.vilaseca-0515-L120x11</t>
  </si>
  <si>
    <t>ma-c.vilaseca-0527-IPN120</t>
  </si>
  <si>
    <t>Perfil de acero estructural tipo IPN 120 (11,20 kg/m).   Ref. c.vilaseca-0527-IPN120</t>
  </si>
  <si>
    <t>ma-c.vilaseca-0533-IPN180</t>
  </si>
  <si>
    <t>Perfil de acero estructural tipo IPN 180 (21,90 kg/m).   Ref. c.vilaseca-0533-IPN180</t>
  </si>
  <si>
    <t>ma-c.vilaseca-0552-IPN120</t>
  </si>
  <si>
    <t>Perfil de acero estructural tipo UPN 120 (13,40 kg/m).   Ref. c.vilaseca-0552-IPN120</t>
  </si>
  <si>
    <t>ma-c.vilaseca-0555-UPN180</t>
  </si>
  <si>
    <t>Perfil de acero estructural tipo UPN 180 (22,00 kg/m).   Ref. c.vilaseca-0555-IPN180</t>
  </si>
  <si>
    <t>ma-c.vilaseca-05XX-IPN160</t>
  </si>
  <si>
    <t>Perfil de acero estructural tipo IPN 160 (17,90 kg/m).   Ref. c.vilaseca-05XX-IPN160</t>
  </si>
  <si>
    <t>ma-c.vilaseca-IPE120</t>
  </si>
  <si>
    <t>Perfil de acero estructural tipo IPE 120 (10,40 kg/m).   Ref. c.vilaseca-IPE120</t>
  </si>
  <si>
    <t>ma-c.vilaseca-placa.160x100x12</t>
  </si>
  <si>
    <t>Placa de acero para anclaje de estructura metálica 160x100x12 mm   Ref. c.vilaseca-placa.160x100x12</t>
  </si>
  <si>
    <t>ma-c.vilaseca-placa.250x250x10</t>
  </si>
  <si>
    <t>Placa de acero para anclaje de estructura metálica 250x250x10 mm   Ref. c.vilaseca-placa.250x250x10</t>
  </si>
  <si>
    <t>ma-c.vilaseca-placa.250x250x12</t>
  </si>
  <si>
    <t>Placa de acero para anclaje de estructura metálica 250x250x12 mm   Ref. c.vilaseca-placa.250x250x12</t>
  </si>
  <si>
    <t>Placa de acero para anclaje de estructura metálica 250x250x12 mm   Ref. c.vilaseca-placa.250x250x12.</t>
  </si>
  <si>
    <t>ma-c.vilaseca-placa.300x300x10</t>
  </si>
  <si>
    <t>Placa de acero para anclaje de estructura metálica 300x300x10 mm   Ref. c.vilaseca-placa.300x300x10</t>
  </si>
  <si>
    <t>Placa de acero para anclaje de estructura metálica 300x300x10 mm   Ref. c.vilaseca-placa.300x300x10.</t>
  </si>
  <si>
    <t>ma-cv-1038</t>
  </si>
  <si>
    <t>Tubo cuadrado 50x50x2 mm con peso 2,914 kg/m.   Ref. ma-cv-1038</t>
  </si>
  <si>
    <t>ma-etsy-tipo.1</t>
  </si>
  <si>
    <t>Adorno de roseta de acero fundido de ETSY.   Ref. etsy-tipo.1</t>
  </si>
  <si>
    <t>ma-etsy-tipo2-16a30</t>
  </si>
  <si>
    <t>Adorno de roseta de acero fundido de ETSY.   Ref. etsy-tipo2-16a30</t>
  </si>
  <si>
    <t>ma-etsy-tipo2-1a15</t>
  </si>
  <si>
    <t>Adorno de roseta de acero fundido de ETSY.   Ref. etsy-tipo2-1a15</t>
  </si>
  <si>
    <t>ma-hierromiguel-IPN140</t>
  </si>
  <si>
    <t>Perfil de acero estructural tipo IPN 140 mm (14,40 kg/m).   Ref. hierromiguel-IPN140</t>
  </si>
  <si>
    <t>ma-hierromiguel-L120x120x12</t>
  </si>
  <si>
    <t>Perfil ángulo de alas iguales de acero estructural tipo L 120x120x12 mm (21,60 kg/m).   Ref. hierromiguel-L120x120x12</t>
  </si>
  <si>
    <t>Perfil ángulo de alas iguales de acero estructural tipo L 120x120x12 mm.   Ref. hierromiguel-L120x120x12</t>
  </si>
  <si>
    <t>ma-hierromiguel-placa.300x200x20</t>
  </si>
  <si>
    <t>Placa de acero para anclaje de estructura metálica 300x200x20 mm   Ref. hierromiguel-placa.300x200x20</t>
  </si>
  <si>
    <t>ma-hierros.online-chapa.6mm</t>
  </si>
  <si>
    <t>Chapa de acero en calidad S235JR acabado laminado en caliente (2000x1000 mm/placa; espesor 6 mm).   Ref. hierros.online-chapa.6mm</t>
  </si>
  <si>
    <t>Placa de acero para anclaje de estructura metálica 300x200x10 mm   Ref. hierromiguel-placa.300x200x10.</t>
  </si>
  <si>
    <t>ma-hierromiguel-placa.150x150x10</t>
  </si>
  <si>
    <t>Placa de acero para anclaje de estructura metálica 150x150x10 mm   Ref. hierromiguel-placa.150x150x10</t>
  </si>
  <si>
    <t>Placa de acero para anclaje de estructura metálica 150x150x10 mm   Ref. hierromiguel-placa.150x150x10.</t>
  </si>
  <si>
    <t>ma-hierromiguel-placa.250x250x10</t>
  </si>
  <si>
    <t>Placa de acero para anclaje de estructura metálica 250x250x10 mm   Ref. hierromiguel-placa.250x250x10</t>
  </si>
  <si>
    <t>ma-hierromiguel-placa.250x250x12</t>
  </si>
  <si>
    <t>Placa de acero para anclaje de estructura metálica 250x250x12 mm   Ref. hierromiguel-placa.250x250x12</t>
  </si>
  <si>
    <t>ma-hierromiguel-placa.300x200x12</t>
  </si>
  <si>
    <t>Placa de acero para anclaje de estructura metálica 300x200x12 mm   Ref. hierromiguel-placa.300x200x12</t>
  </si>
  <si>
    <t>ma-hierromiguel-placa.300x300x12</t>
  </si>
  <si>
    <t>Placa de acero para anclaje de estructura metálica 300x300x12 mm   Ref. hierromiguel-placa.300x300x12</t>
  </si>
  <si>
    <t>Placa de acero para anclaje de estructura metálica 300x300x12 mm   Ref. hierromiguel-placa.300x300x12Placa de acero para anclaje de estructura metálica 300x300x12 mm   Ref. hierromiguel-placa.300x300x12</t>
  </si>
  <si>
    <t>ma-hierromiguel-placa.350x200x10</t>
  </si>
  <si>
    <t>Placa de acero para anclaje de estructura metálica 350x200x10 mm   Ref. hierromiguel-placa.350x200x10</t>
  </si>
  <si>
    <t>Placa de acero para anclaje de estructura metálica 350x200x10 mm   Ref. hierromiguel-placa.350x200x10.</t>
  </si>
  <si>
    <t>ma-hierromiguel-placa.475x300x12</t>
  </si>
  <si>
    <t>Placa de acero para anclaje de estructura metálica en U (150+175+150)475x300x12 mm   Ref. hierromiguel-placa.475x300x12</t>
  </si>
  <si>
    <t>ma-hierromiguel-03</t>
  </si>
  <si>
    <t>Tubo de hierro con sección cuadrada 50x50x5 mm (6 m/pza).   Ref. hierromiguel-03</t>
  </si>
  <si>
    <t>IPN de 160 mm, acabado laminado en caliente en calidad S275JR.   Ref. hierromiguel-IPN160.</t>
  </si>
  <si>
    <t>ma-hierromiguel-IPN180</t>
  </si>
  <si>
    <t>Perfil de acero estructural tipo IPN 180 mm (21,90 kg/m).   Ref. hierromiguel-IPN180</t>
  </si>
  <si>
    <t>IPN de 180 mm, acabado laminado en caliente en calidad S275JR.   Ref. hierromiguel-IPN180.</t>
  </si>
  <si>
    <t>ma-hierromiguel-UPN160</t>
  </si>
  <si>
    <t>Perfil de acero estructural tipo UPN 160 mm (18,80 kg/m).   Ref. hierromiguel-UPN160</t>
  </si>
  <si>
    <t>ma-hierromiguel-pletina.30x8</t>
  </si>
  <si>
    <t>Pletina de acero acabado laminado en caliente (ancho 30 mm; espesor 8 mm).   Ref. hierromiguel-pletina.30x8</t>
  </si>
  <si>
    <t>ma-lm-13217890</t>
  </si>
  <si>
    <t>Soporte metálico para poste (7x7 cm/pza).   Ref. lm-13217890</t>
  </si>
  <si>
    <t>Soporte o base para poste fabricado en metal galvanizado con pletina formulado para atornillar sobre un suelo de hormigón y ofrecer una completa estabilidad en pérgolas, vallas o cenadores. Su diseño incorpora 12 perforaciones para introducir los tornillos. Está tratado con un proceso de galvanización en caliente que recubre el material mediante su inmersión en un baño de zinc fundido, aportando una protección notable contra la corrosión y la oxidación por motivos de humedad o contaminación ambiental. Medidas: 7 x 7 cm (ancho x largo).   Ref. lm-13217890.</t>
  </si>
  <si>
    <t>ma-lm-13217904</t>
  </si>
  <si>
    <t>Soporte metálico para poste (9x9 cm/pza).   Ref. lm-13217904</t>
  </si>
  <si>
    <t>Soporte o base para poste fabricado en metal galvanizado con pletina formulado para atornillar sobre un suelo de hormigón y ofrecer una completa estabilidad en pérgolas, vallas o cenadores. Su diseño incorpora 12 perforaciones para introducir los tornillos. Está tratado con un proceso de galvanización en caliente que recubre el material mediante su inmersión en un baño de zinc fundido, aportando una protección notable contra la corrosión y la oxidación por motivos de humedad o contaminación ambiental. Medidas: 9 x 9 cm (ancho x largo).   Ref. lm-13217904.</t>
  </si>
  <si>
    <t>ma-lm-89381024</t>
  </si>
  <si>
    <t>Cable de acero galvanizado 3 mm de WURKO (100 m/rollo).   Ref. lm-89381024</t>
  </si>
  <si>
    <t>Cable de acero 3mm galvanizado 6x7x1. Rollo 100 mts trenzado con 6 cables con 7 filamentos y 1 hilo de fibra interior. Alta resistencia a la corrosión.   Ref. lm-89381024.</t>
  </si>
  <si>
    <t>Mallazo es la malla de acero corrugado que se utiliza en construcción para cerramientos fijos y refuerzo de estructuras. Está formada por barras y alambres que se cruzan perpendicularmente. Los puntos de contacto están unidos por soldadura eléctrica. Medidas de la cuadrícula: 20x20 mm. Diámetro de la varilla: 5 mm. Medidas del mallazo: 3x2,5m.   Ref. lp-00001179</t>
  </si>
  <si>
    <t>Tubo cuadrado hueco de acero S235 sin lacar de medida 30x30 mm. Espesor 1,5 mm. Largo: 3 m. Para construcción y cerrajería.   Ref. lp-00001652.</t>
  </si>
  <si>
    <t>Perfil angular macizo con alas iguales de CDL en acero laminado S275 JR+M, indicado para construcción y cerrajería. Medidas: 60x60x6 mm. Longitud de la barra: 3 m. Peso: 16,92 kg.   Ref. lp-00001659.</t>
  </si>
  <si>
    <t>ma-lp-00001662</t>
  </si>
  <si>
    <t>Perfil de acero tipo pletina maciza; 30x5 mm (3 m/pza).   Ref. lp-00001662</t>
  </si>
  <si>
    <t>Redondo de acero corrugado de 10 mm de diámetro B-500-S (0,64 kg/m) que se utiliza como ferralla para construcción. Longitud de la barra: 3 m.   Ref. lp-00001672</t>
  </si>
  <si>
    <t>Redondo de acero corrugado de 12 mm de diámetro B-500-S (0,92 kg/m) que se utiliza como ferralla para construcción. Longitud de la barra: 3 m.   Ref. lp-00001673</t>
  </si>
  <si>
    <t>ma-lp-00001674</t>
  </si>
  <si>
    <t>Redondo acero corrugado diámetro 16 mm (3 m/pza).   Ref. lp-00001674</t>
  </si>
  <si>
    <t>Redondo de acero corrugado de 16 mm de diámetro B-500-S (1,63 kg/m) que se utiliza como ferralla para construcción. Longitud de la barra: 3 m.   Ref. lp-00001674</t>
  </si>
  <si>
    <t>ma-lp-00001675</t>
  </si>
  <si>
    <t>Redondo acero corrugado diámetro 6 mm (3 m/pza).   Ref. lp-00001675</t>
  </si>
  <si>
    <t>Redondo de acero corrugado de 6 mm de diámetro B-500-S (0,23 kg/m) que se utiliza como ferralla para construcción. Longitud de la barra: 3 m.   Ref. lp-00001675</t>
  </si>
  <si>
    <t>ma-lp-00001676</t>
  </si>
  <si>
    <t>Redondo acero corrugado diámetro 8 mm (3 m/pza).   Ref. lp-00001676</t>
  </si>
  <si>
    <t>Redondo de acero corrugado de 8 mm de diámetro B-500-S (0,41 kg/m) que se utiliza como ferralla para construcción. Longitud de la barra: 3 m.   Ref. lp-00001676</t>
  </si>
  <si>
    <t>ma-lp-00016796</t>
  </si>
  <si>
    <t>Tubo de hierro con sección cuadrada 10x10 mm (1 m/pza).   Ref. lp-00016796</t>
  </si>
  <si>
    <t>ma-lp-00020165</t>
  </si>
  <si>
    <t>Tubo de hierro con sección cuadrada 20x20 mm (1 m/pza).   Ref. lp-00020165</t>
  </si>
  <si>
    <t>ma-lp-00120861</t>
  </si>
  <si>
    <t>Tubo de hierro con sección cuadrada 12x12 mm (1 m/pza).   Ref. lp-00120861</t>
  </si>
  <si>
    <t>ma-lp-00120862</t>
  </si>
  <si>
    <t>Tubo de hierro con sección cuadrada 10x10 mm (2 m/pza).   Ref. lp-00120862</t>
  </si>
  <si>
    <t>Barra de acero estirado en frío de sección circular. En elementos de hormigón armado se emplea para fijar las intersecciones de las armaduras y para evitar desplazamientos.   Ref. lp-00124026.</t>
  </si>
  <si>
    <t>Perfil estructural de acero laminado UPN 100 mm, indicado para estructura metálica. Se utilizan en construcción civil o de edificios como vigas en pilares y en soportes. Longitud de la barra: 3 m. Peso = 10,60 kg/m.   Ref. lp-00253726</t>
  </si>
  <si>
    <t>Placa de acero para anclaje de estructuras metálicas en construcción y cerrajería. El anclaje de cualquier pieza estructural metálica desde otra de hormigón lo hace mediante una placa de apoyo. Medidas: 250x250x8 mm.   Ref. lp-00253732</t>
  </si>
  <si>
    <t>ma-lp-00277858</t>
  </si>
  <si>
    <t>Redondo acero corrugado diámetro 6 mm (2 m/pza)   Ref. lp-00277858</t>
  </si>
  <si>
    <t>Redondo de acero corrugado de 6 mm de diámetro B-500-S (0,23 kg/m) que se utiliza como ferralla para construcción. Longitud de la barra: 2 m.   Ref. lp-00277858</t>
  </si>
  <si>
    <t>ma-lp-00277864</t>
  </si>
  <si>
    <t>Redondo acero corrugado diámetro 8 mm (2 m/pza).   Ref. lp-00277864</t>
  </si>
  <si>
    <t>Redondo de acero corrugado de 8 mm de diámetro B-500-S (0,41 kg/m) que se utiliza como ferralla para construcción. Longitud de la barra: 2 m.   Ref. lp-00277864</t>
  </si>
  <si>
    <t>Redondo de acero corrugado de 10 mm de diámetro B-500-S (0,64 kg/m) que se utiliza como ferralla para construcción. Longitud de la barra: 2 m.   Ref. lp-00277865</t>
  </si>
  <si>
    <t>MATERIALES.DE.ALUMINIO</t>
  </si>
  <si>
    <t>MATERIALES DE ALUMINIO</t>
  </si>
  <si>
    <t>ma-bm-0041-a500</t>
  </si>
  <si>
    <t>Chapa de aluminio natural (500x1000 mm/pza; 5 mm espesor).   Ref. bm-0041-a500</t>
  </si>
  <si>
    <t>Chapa lisa de 5 mm de espesor de Aluminio Natural crudo 400x1000 mm, cortada a medida solicitada a partir de chapa lisa de mayores dimensiones mediante corte recto no abrasivo con cizalla/guillotina.   Ref. bm-0041-a500.
Aplicaciones: Revestimientos (exterior e interior), ventanas, puertas, techos, fachadas, decoración, elementos arquitectónicos, vallas, cartelería, cubiertas, manualidades, placas, soportes, mobiliario, etc.
Manipulación:
•    Puede cortarse con sierra de calar con cuchilla adecuada para metal, dremel, sierra circular o amoladora con disco de metal fija o autónoma, cizalla para metal...
• Puede fijarse con remaches, tornillos y adhesivos adecuados (se recomienda remaches y tornillos adecuados en aluminio o acero inoxidable).
• Puede perforarse con taladro y broca o punta para metales.
• Puede pintarse.
• Puede soldarse.
• Admite plegado y curvado.
• Utilizar guantes de protección para su manipulación y gafas de protección para realizar cortes, perforaciones, taladros, etc.</t>
  </si>
  <si>
    <t>ma-bm-0224-480x1000</t>
  </si>
  <si>
    <t>Ángulo de lados desiguales en aluminio natural (480(330+150)x1000 mm/pza; 5 mm espesor).   Ref. bm-0224-480x1000</t>
  </si>
  <si>
    <t>Ángulo lados desiguales de 5 mm de espesor de Aluminio Natural crudo, cortado y plegado a medida solicitado a partir de chapa lisa de mayores dimensiones mediante corte recto no abrasivo con máquina CNC cizalla/guillotina y posterior conformado con máquina CNC plegadora.   Ref. bm-0224-480x1000.
Aplicaciones: Revestimientos (exterior e interior), subestructuras, ventanas, puertas, techos, fachadas, decoración, elementos arquitectónicos, cubiertas, hojalatería, manualidades, etc.
Manipulación:
• Puede cortarse con sierra de calar con cuchilla adecuada para metal, dremel, sierra circular o amoladora con disco de metal fija o autónoma, cizalla para metal...
• Puede fijarse con remaches, tornillos y adhesivos adecuados (se recomienda remaches y tornillos adecuados en aluminio o acero inoxidable).
• Puede perforarse con taladro y broca o punta para metales.
• Puede pintarse.
• Para instalación con el film de protección puesto, se recomienda despegar el film entre 10 y 20 mm (1 y 2 cm) en los extremos para facilitar su posterior retirada. No prolongar en exceso la retirada del film, para evitar que se deteriore y dificulte su retirada. En caso de fijación con adhesivos, esperar a los tiempos de curado para retirar el film.
• Utilizar guantes de protección para su manipulación y gafas de protección para realizar cortes, perforaciones, taladros, etc.</t>
  </si>
  <si>
    <t>ma-chapas.y.perfiles-visera-100</t>
  </si>
  <si>
    <t>Perfil de remate exterior tipo visera en aluminio lacado para protección solar y canalización de aguas de lluvia (100(+20)x1,2x1000 mm/pza).   Ref. chapas.y.perfiles-visera-100</t>
  </si>
  <si>
    <t>Las viseras de aluminio son un componente esencial para la protección solar y la canalización eficiente del agua de lluvia. Fabricadas a medida con aluminio de alta calidad, garantizan una total resistencia a la corrosión además de protección duradera y bajo mantenimiento. Las líneas rectas se integran con cualquier arquitectura existente. El acabado anodizado o lacado le da un aspecto moderno y renovado.   Ref. chapas.y.perfiles-visera-100.</t>
  </si>
  <si>
    <t>ma-chapas.y.perfiles-visera-150</t>
  </si>
  <si>
    <t>Perfil de Remate Exterior tipo Visera en aluminio lacado para protección solar y canalización de aguas de lluvia (150(+20)x1,2x1000 mm/pza).   Ref. chapas.y.perfiles-visera-150</t>
  </si>
  <si>
    <t>Las viseras de aluminio son un componente esencial para la protección solar y la canalización eficiente del agua de lluvia. Fabricadas a medida con aluminio de alta calidad, garantizan una total resistencia a la corrosión además de protección duradera y bajo mantenimiento. Las líneas rectas se integran con cualquier arquitectura existente. El acabado anodizado o lacado le da un aspecto moderno y renovado.   Ref. chapas.y.perfiles-visera-150.</t>
  </si>
  <si>
    <t>ma-chapasyperfiles-T3-20.40</t>
  </si>
  <si>
    <t>Visera de aluminio lacado en chapa plegada-cortada; tipo 3 (A:B::20:40 mm).   Ref. chapasyperfiles-T3-20.40</t>
  </si>
  <si>
    <t>La visera de aluminio es un componente esencial para la protección solar y la canalización eficiente del agua de lluvia. Fabricada con aluminio de alta calidad, garantiza una total resistencia a la corrosión además de protección duradera y bajo mantenimiento.   Ref. chapasyperfiles-T3-20.40.
Las líneas rectas se integran con cualquier arquitectura existente. El acabado anodizado o lacado le da un aspecto moderno y renovado. 15 colores para configurar. Varias aplicaciones: tejadillo para cerramientos, protección de elementos. Aislante perfecto para humedades y filtraciones de agua.</t>
  </si>
  <si>
    <t>ma-construmole-canala0073-UE.100</t>
  </si>
  <si>
    <t>Pisavidrio aluminio anodizado natural (3/8”x 3/8”x6 m/pza; 0,95x0,95x600 cm/pza).   Ref: construmole-canala0073-UE.100</t>
  </si>
  <si>
    <t>Pisavidrio aluminio anodizado natural (3/8”x 3/8”x6 m/pza; 9,5x9,5x600 cm/pza).   Ref: construmole-canala0073-UE.100</t>
  </si>
  <si>
    <t>Pieza de Perfil de Vierteaguas de Aluminio Lacado Blanco de cualquier medida hasta 2 m de longitud por 300mm de ancho para ser colocado en ventanas de aluminio o PVC para tapar la piedra o la cerámica en mal estado o vieja, e impermeabilizar bien las entradas de agua y facilitar la limpieza del alfeizar exterior. Se coloca fácilmente sobre la piedra existente o sobre el cemento (si es obra nueva). Se pega y sella con poliuretano (base caucho).   Ref. eurofinestra-AD461.</t>
  </si>
  <si>
    <t>ma-eurofinestra-AD739</t>
  </si>
  <si>
    <t>Cubremuros de aluminio RAL 7016 mate con goterón (23 x 300 cm/pza).   Ref. eurofinestra-AD739</t>
  </si>
  <si>
    <t>ma-lm-84792698</t>
  </si>
  <si>
    <t>Perfil goterón de aluminio (3 m/pza).   Ref. lm-84792698</t>
  </si>
  <si>
    <t>ma-lm-86303100</t>
  </si>
  <si>
    <t>Base de aluminio para poste HÉRCULES; color verde (125x125 mm/pza).   Ref. lm-86303100</t>
  </si>
  <si>
    <t>Perfil tubo redondo fabricado en aluminio anodizado mate, para Proyectos de Construcción, Reformas y Bricolaje. Medidas 16x16x1000 mm (espesor 1 mm).   Ref. lm-89011750.
Este producto está diseñado y elaborado con materiales de calidad para garantizar su durabilidad y resistencia con el paso del tiempo. Fabricado en aluminio, un material ligero y de larga vida, muy utilizado en cocinas y baños, por su alta resistencia a la corrosión. Es un material reciclable que no merma sus propiedades físicas. Excelente opción para conseguir una relación calidad precio a un precio muy competitivo.</t>
  </si>
  <si>
    <t>ma-lumetal-tub.cuadrado.20x20x3</t>
  </si>
  <si>
    <t>Tubo cuadrado de aluminio (20x20x3 mm/pza de 6 m).   Ref. lumetal-tub.cuadrado.20x20x3</t>
  </si>
  <si>
    <t>Tubo cuadrado de aluminio (20x20x3 mm/pza de 6 m).   Ref. lumetal-tub.cuadrado.20x20x3.
https://www.lumetalplastic.com/productos-metales/tubos-rectangulares-de-aluminio/</t>
  </si>
  <si>
    <t>ma-lumetal-tub.rectang.100x50x3</t>
  </si>
  <si>
    <t>Tubo rectangular de aluminio (100x50x3 mm/pza de 6 m).   Ref. lumetal-tub.rectang.100x50x3</t>
  </si>
  <si>
    <t>Tubo rectangular de aluminio (100x50x3 mm/pza de 6 m).   Ref. lumetal-tub.rectang.100x50x3.
https://www.lumetalplastic.com/productos-metales/tubos-rectangulares-de-aluminio/</t>
  </si>
  <si>
    <t>ma-lumetal-tub.rectangular.80x40</t>
  </si>
  <si>
    <t>Tubo rectangular de aluminio (80x40x3 mm/pza de  6 m).   Ref. lumetal-tub.rectang.80x40x3</t>
  </si>
  <si>
    <t>Tubo rectangular de aluminio (80x40x3 mm/pza de  6 m).   Ref. lumetal-tub.rectang.80x40x3.
https://www.lumetalplastic.com/productos-metales/tubos-rectangulares-de-aluminio/</t>
  </si>
  <si>
    <t>ma-motedis-3783</t>
  </si>
  <si>
    <t>Placa de conexión simple de Aluminio con láser 4 agujeros (20x80x3 mm/pza).   Ref. motedis-3783</t>
  </si>
  <si>
    <t>Placa de conexión simple de Aluminio con láser 4 agujeros (20x80x3 mm/pza).   Ref. motedis-3783.
https://www.motedis.es/es/Placas-de-conexion</t>
  </si>
  <si>
    <t>ma-motedis-3867</t>
  </si>
  <si>
    <t>Placa de conexión L de aluminio con láser 5 agujeros 45s (116x116x5 mm/pza).   Ref. motedis-3867</t>
  </si>
  <si>
    <t>Placa de conexión L de aluminio con láser 5 agujeros 45s (116x116x5 mm/pza).   Ref. motedis-3867.
https://www.motedis.es/es/Placas-de-conexion</t>
  </si>
  <si>
    <t>ma-motedis-3918</t>
  </si>
  <si>
    <t>Placa de conexión doble de Aluminio con láser 8 agujeros (58x118x3 mm/pza).   Ref. motedis-3918</t>
  </si>
  <si>
    <t>Placa de conexión doble de Aluminio con láser 8 agujeros (58x118x3 mm/pza).   Ref. motedis-3918.
https://www.motedis.es/es/Placas-de-conexion</t>
  </si>
  <si>
    <t>ma-motedis-3921</t>
  </si>
  <si>
    <t>Placa de conexión L de aluminio con láser 5 agujeros 30s (88x88x3 mm/pza).   Ref. motedis-3921</t>
  </si>
  <si>
    <t>Placa de conexión L de aluminio con láser 5 agujeros 30s (88x88x3 mm/pza).   Ref. motedis-3921.
https://www.motedis.es/es/Placas-de-conexion</t>
  </si>
  <si>
    <t>ma-motedis-4760</t>
  </si>
  <si>
    <t>Placa de conexión L de aluminio con láser 5 agujeros 45s (129x129x3 mm/pza).   Ref. motedis-4760</t>
  </si>
  <si>
    <t>Placa de conexión L de aluminio con láser 5 agujeros 45s (129x129x3 mm/pza).   Ref. motedis-4760.
https://www.motedis.es/es/Placas-de-conexion</t>
  </si>
  <si>
    <t>ma-motedis-5037</t>
  </si>
  <si>
    <t>Placa de conexión X de aluminio con láser 7 agujeros 45s (120x70x3 mm/pza).   Ref. motedis-5037</t>
  </si>
  <si>
    <t>Placa de conexión X de aluminio con láser 7 agujeros 45s (120x70x3 mm/pza).   Ref. motedis-5037.
https://www.motedis.es/es/Placas-de-conexion</t>
  </si>
  <si>
    <t>ma-motedis-CPL3030</t>
  </si>
  <si>
    <t>Placa de conexión L de aluminio ALU ELOX 3030 con 5 agujeros (90x90x4 mm/pza).   Ref. motedis-CPL3030</t>
  </si>
  <si>
    <t>Placa de conexión L de aluminio ALU ELOX 3030 con 5 agujeros (90x90x4 mm/pza).   Ref. motedis-CPL3030.
https://www.motedis.es/es/Placas-de-conexion</t>
  </si>
  <si>
    <t>ma-motedis-CPL4040</t>
  </si>
  <si>
    <t>Placa de conexión L de aluminio ALU ELOX 4040 con 5 agujeros (118x118x6 mm/pza).   Ref. motedis-CPL4040</t>
  </si>
  <si>
    <t>Placa de conexión L de aluminio ALU ELOX 4040 con 5 agujeros (118x118x6 mm/pza).   Ref. motedis-CPL4040.
https://www.motedis.es/es/Placas-de-conexion</t>
  </si>
  <si>
    <t>ma-motedis-CPT4040</t>
  </si>
  <si>
    <t>Placa de conexión T de Aluminio ALU ELOX 4040 con 5 agujeros (118x118x6 mm/pza).   Ref. motedis-CPT4040</t>
  </si>
  <si>
    <t>Placa de conexión T de Aluminio ALU ELOX 4040 con 5 agujeros (118x118x6 mm/pza).   Ref. motedis-CPT4040.
https://www.motedis.es/es/Placas-de-conexion</t>
  </si>
  <si>
    <t>ma-motedis-CPT4545</t>
  </si>
  <si>
    <t>Placa de conexión T de Aluminio ALU ELOX 4040 con 5 agujeros (133x133x6 mm/pza).   Ref. motedis-CPT4545</t>
  </si>
  <si>
    <t>Placa de conexión T de Aluminio ALU ELOX 4040 con 5 agujeros (133x133x6 mm/pza).   Ref. motedis-CPT4545.
https://www.motedis.es/es/Placas-de-conexion</t>
  </si>
  <si>
    <t>ma-securfix-base.alum.blanco</t>
  </si>
  <si>
    <t>Base de aluminio para poste HÉRCULES; color blanco (125x125 mm/pza).   Ref. securfix-base.alum.blanco</t>
  </si>
  <si>
    <t>MATERIALES.DE.COBRE</t>
  </si>
  <si>
    <t>MATERIALES DE COBRE</t>
  </si>
  <si>
    <t>ma-lp-00010942</t>
  </si>
  <si>
    <t>Codo H-H de cobre para soldar; diámetro 22 mm.   Ref. lp-00010942</t>
  </si>
  <si>
    <t>Codo H-H de cobre para soldar con diámetro 22 mm; homologado por AENOR, DIN 2856, ISO R-2016.   Ref. lp-00010942</t>
  </si>
  <si>
    <t>ma-lp-00010943</t>
  </si>
  <si>
    <t>Codo H-H de cobre para soldar; diámetro 28 mm.   Ref. lp-00010943</t>
  </si>
  <si>
    <t>Codo H-H de cobre para soldar con diámetro 28 mm; homologado por AENOR, DIN 2856, ISO R-2016.   Ref. lp-00010943</t>
  </si>
  <si>
    <t>Codo H-H de cobre para soldar con diámetro 35 mm; homologado por AENOR, DIN 2856, ISO R-2016.   Ref. lp-00010944</t>
  </si>
  <si>
    <t>ma-lp-00011120</t>
  </si>
  <si>
    <t>Curva 90º H-H de cobre para soldar; diámetro 35 mm.   Ref. lp-00011120</t>
  </si>
  <si>
    <t>Curva de 90º Hembra-Hembra de cobre de 35 mm de diámetro. Homologado por AENOR. DIN 2856, ISO R-2016.   Ref. lp-00011120</t>
  </si>
  <si>
    <t>ma-lp-00011568</t>
  </si>
  <si>
    <t>Manguito H-H de cobre para soldar; diámetro 22 mm.   Ref. lp-00011568</t>
  </si>
  <si>
    <t>Manguito H-H de cobre para soldar con diámetro 22 mm; homologado por AENOR, DIN 2856, ISO R-2016.   Ref. lp-00011568</t>
  </si>
  <si>
    <t>ma-lp-00011569</t>
  </si>
  <si>
    <t>Manguito H-H de cobre para soldar; diámetro 28 mm.   Ref. lp-00011569</t>
  </si>
  <si>
    <t>Manguito H-H de cobre para soldar con diámetro 28 mm; homologado por AENOR, DIN 2856, ISO R-2016.   Ref. lp-00011569</t>
  </si>
  <si>
    <t>Manguito H-H de cobre para soldar con diámetro 35 mm; homologado por AENOR, DIN 2856, ISO R-2016.   Ref. lp-00011570</t>
  </si>
  <si>
    <t>ma-lp-00012129</t>
  </si>
  <si>
    <t>Te recta de cobre; diámetro 22 mm.   Ref. lp-00012129</t>
  </si>
  <si>
    <t>Te recta de cobre de 22 mm de diámetro. Homologado por AENOR, DIN 2856, ISO R-2016.   Ref. lp-00012129</t>
  </si>
  <si>
    <t>ma-lp-00012130</t>
  </si>
  <si>
    <t>Te recta de cobre; diámetro 28 mm.   Ref. lp-00012130</t>
  </si>
  <si>
    <t>Te recta de cobre de 28 mm de diámetro. Homologado por AENOR, DIN 2856, ISO R-2016.   Ref. lp-00012130</t>
  </si>
  <si>
    <t>ma-lp-00012131</t>
  </si>
  <si>
    <t>Te recta de cobre; diámetro 35 mm.   Ref. lp-00012131</t>
  </si>
  <si>
    <t>Te recta de cobre de 35 mm de diámetro. Homologado por AENOR, DIN 2856, ISO R-2016.   Ref. lp-00012131</t>
  </si>
  <si>
    <t>ma-lp-00180065</t>
  </si>
  <si>
    <t>Tubo de cobre; diámetro 22 mm y espesor 1 mm (2,5 m/und)   Ref. lp-00180065</t>
  </si>
  <si>
    <t>Tubo de cobre; diámetro 22 mm y espesor 1 mm; homologado por AENOR. Cumple Normas UNE-EN 1057:1996.   Ref. lp- 00180065</t>
  </si>
  <si>
    <t>ma-lp-00180066</t>
  </si>
  <si>
    <t>Tubo de cobre; diámetro 28 mm y espesor 1 mm (2,5 m/und)   Ref. lp-00180066</t>
  </si>
  <si>
    <t>Tubo de cobre; diámetro 28 mm y espesor 1 mm; homologado por AENOR. Cumple Normas UNE-EN 1057:1996.   Ref. lp- 00180066</t>
  </si>
  <si>
    <t>Tubo de cobre; diámetro 35 mm y espesor 1 mm; homologado por AENOR. Cumple Normas UNE-EN 1057:1996.   Ref. lp- 00180067</t>
  </si>
  <si>
    <t>ma-nv-03528000</t>
  </si>
  <si>
    <t>Manguito de reducción HH de cobre P5240 CONEX BANNINGER 35x28 mm.   Ref. nv-03528000</t>
  </si>
  <si>
    <t>Manguito de reducción de cobre hembra-hembra, con diámetros de ø35mm x ø28mm. Este manguito de reducción, con conexiones hembra-hembra, es un accesorio fabricado en cobre que pertenece a la gama para prensar &gt;B&lt; Press, de Conex-Bänninger. Los accesorios de esta gama están disponibles en cobre o bronce, y son rápidos y fáciles de instalar. Para uso con tubo de cobre duro, semiduro y recocido según UNE-EN 1057. El perfil &gt;B&lt; con sus 3 puntos de presión asegura una unión libre de fugas, segura y permanente. El prensado hexagonal, facilita una clara indicación visual de que la unión se ha realizado tanto hidráulica como mecánicamente. Las juntas tóricas de EPDM en color negro hacen de &gt;B&lt; Press un sistema perfectamente apto para aplicaciones de agua potable, agua fría y caliente y sistemas de calefacción. Para rangos de temperatura de -35ºC a 110ºC, y para presiones de agua de hasta 16 bar.   Ref. nv-03528000</t>
  </si>
  <si>
    <t>ma-nv-03535035</t>
  </si>
  <si>
    <t>Te recta HHH de cobre PH5130 CONEX BANNINGER 35 mm.   Ref. nv-03535035</t>
  </si>
  <si>
    <t>Te recta de cobre, con las tres salidas de ø 35mm. Esta Te recta es un accesorio fabricado en cobre que pertenece a la gama para prensar &gt;B&lt; Press, de CONEX-BÄNNINGER. Los accesorios de esta gama están disponibles en cobre o bronce, y son rápidos y fáciles de instalar. Para uso con tubo de cobre duro, semiduro y recocido según UNE-EN 1057. El perfil &gt;B&lt; con sus 3 puntos de presión asegura una unión libre de fugas, segura y permanente. El prensado hexagonal, facilita una clara indicación visual de que la unión se ha realizado tanto hidráulica como mecánicamente. Las juntas tóricas de EPDM en color negro hacen de &gt;B&lt; Press un sistema perfectamente apto para aplicaciones de agua potable, agua fría y caliente y sistemas de calefacción. Para rangos de temperatura de -35ºC a 110ºC, y para presiones de agua de hasta 16 bar.   Ref. nv-03535035</t>
  </si>
  <si>
    <t>ma-nv-3081.22</t>
  </si>
  <si>
    <t>Válvula esfera palanca PN-16 para soldar a tubería de cobre; diámetro 22 mm.   Ref. nv-3081.22</t>
  </si>
  <si>
    <t>Válvula esfera soldar diámetro 22mm. Construcción en latón s/ UNE-EN 12165. Extremos para soldar a tubería de cobre. Accionamiento mediante palanca de acero azul. Temperatura de trabajo desde -20ºC a 180ºC. Presión máxima de trabajo 16bar (PN-16). Asientos PTFE.   Ref. nv-3081.22</t>
  </si>
  <si>
    <t>ma-nv-3081.28</t>
  </si>
  <si>
    <t>Válvula esfera palanca PN-16 para soldar a tubería de cobre; diámetro 28 mm.   Ref. nv-3081.28</t>
  </si>
  <si>
    <t>Válvula esfera soldar diámetro 28mm. Construcción en latón s/ UNE-EN 12165. Extremos para soldar a tubería de cobre. Accionamiento mediante palanca de acero azul. Temperatura de trabajo desde -20ºC a 180ºC. Presión máxima de trabajo 16bar (PN-16). Asientos PTFE.   Ref. nv-3081.28</t>
  </si>
  <si>
    <t>Válvula esfera soldar diámetro 35mm. Construcción en latón s/ UNE-EN 12165. Extremos para soldar a tubería de cobre. Accionamiento mediante palanca de acero azul. Temperatura de trabajo desde -20ºC a 180ºC. Presión máxima de trabajo 16bar (PN-16). Asientos PTFE.   Ref. nv-3081.35</t>
  </si>
  <si>
    <t>ma-nv-3083-15</t>
  </si>
  <si>
    <t>Válvula esfera para empotrar (extremos a soldar hembra-hembra).   Ref. nv-3083-15</t>
  </si>
  <si>
    <t>Válvula esfera para empotrar, paso total diámetro 15 mm. Construcción en latón UNE-EN 12165. Extremos para soldar hembra-hembra. Temperatura de trabajo desde -20ºC a 150 ºC. Adaptable a los mandos P3052, MKalo, MKross, M3054, M3055, M3057 y prolongador K3052. Presión máxima de trabajo 16 bar (PN-16). asientos PTFE.   Ref. nv-3083-15</t>
  </si>
  <si>
    <t>ma-nv-3083-18</t>
  </si>
  <si>
    <t>Válvula esfera para empotrar (extremos a soldar hembra-hembra).   Ref. nv-3083-18</t>
  </si>
  <si>
    <t>Válvula esfera para empotrar, paso total diámetro 22 mm. Construcción en latón UNE-EN 12165. Extremos para soldar hembra-hembra. Temperatura de trabajo desde -20ºC a 150 ºC. Adaptable a los mandos P3052, MKalo, MKross, M3054, M3055, M3057 y prolongador K3052. Presión máxima de trabajo 16 bar (PN-16). asientos PTFE.   Ref. nv-3083-22</t>
  </si>
  <si>
    <t>ma-nv-3083-22</t>
  </si>
  <si>
    <t>Válvula esfera para empotrar (extremos a soldar hembra-hembra).   Ref. nv-3083-22</t>
  </si>
  <si>
    <t>Codo Hembra figura 90º 28 mmx1" soldar/roscar. Gama de accesorios de latón ajustada a los requisitos establecidos para la conducción de aguas y otros fluidos de acuerdo con las prescripciones higiénico-sanitarias vigentes.   Ref. nv-LSR90285</t>
  </si>
  <si>
    <t>ma-nv-CUT-T35X1</t>
  </si>
  <si>
    <t>Tubo de cobre; diámetro 35 mm y espesor 1 mm (5 m/und)   Ref. nv-CUT-T35X1</t>
  </si>
  <si>
    <t>ma-pp-8426106650062</t>
  </si>
  <si>
    <t>Disolvente TIXOVAL D-50 de ISAVAL exento de hidrocarburos aromáticos adecuado para pinturas tixotrópicas TIXOVAL ANTIHUMOS y TIXOVAL ANTIHUMEDAD. Su velocidad de secado permite la mejora de las propiedades de aplicación y acabado tanto en TIXOVAL ANTIHUMOS y TIXOVAL ANTIHUMEDAD, dotándolos de una excelente igualación.   Ref. pp-8426106650062
USOS: Especialmente indicado en todas aquellas pinturas que recomiendan su aplicación como regulador de la viscosidad, permitiendo la dilución de estas para su correcta aplicación tanto a brocha, rodillo o pistola, así como la limpieza de todas las herramientas empleadas en los productos recomendados. Acabado transparente. Formatos: 1 y 5 litros.</t>
  </si>
  <si>
    <t>MATERIALES.DE.MADERA.Y.DERIVADOS</t>
  </si>
  <si>
    <t>MATERIALES DE MADERA Y DERIVADOS</t>
  </si>
  <si>
    <t>ma-bauhaus-28391335</t>
  </si>
  <si>
    <t>Parquet Compact Roble Natural 1.200x145x10 mm.   Ref. bauhaus-28391335</t>
  </si>
  <si>
    <t>Producto de madera auténtica con certificación de origen sostenible. Con variaciones de color propias de la madera de roble. Apto para suelos radiantes según instrucciones de instalación. Rápido y fácil de colocar mediante la unión en clic. 1,74 m2/caja.   Ref. bauhaus-28391335.</t>
  </si>
  <si>
    <t>ma-bauhaus-28441319</t>
  </si>
  <si>
    <t>Zócalo/Rodapié Roble Natural Rústico (2.400x70x15 mm/pza).   Ref. bauhaus-28441319</t>
  </si>
  <si>
    <t>El zócalo roble natural/rústico puede está indicado para la serie de suelos de parquet que llevan el mismo nombre y disponen del mismo tono de color. Te permitirá rematar el suelo con la pared de la habitación dando un acabado final visualmente unificado. Está fabricado con MDF rechapado y mecanizado por la parte interior para el paso de cables. La instalación se puede realizar de manera fácil y sencilla mediante el sistema de clip. Tiene un acabado mate y barnizado.   Ref. bauhaus-28441319.</t>
  </si>
  <si>
    <t>ma-intergard-01</t>
  </si>
  <si>
    <t>Paneles de Madera DOUGLAS (180x180 cm/und).   Ref. intergard-01</t>
  </si>
  <si>
    <t>Paneles de Madera DOUGLAS (180x180 cm/und).   Ref. intergard-01.
Douglas, muy fuerte y duradero (certificada FSC de manejo forestal responsable). Respetuoso con el medio ambiente, no requiere conservación química. 15 lamas de 15 mm de espesor. Acero inoxidable atornillado.
La madera de abeto DOUGLAS, pino DOUGLAS o pino OREGÓN es una madera muy valorada por su gran versatilidad en la fabricación de diversos productos de uso industrial como estructural y en la fabricación de otros productos como chapas decorativas.</t>
  </si>
  <si>
    <t>ma-lm-81876875</t>
  </si>
  <si>
    <t>Parquet Multicapa TRILAMA FORTE Roble Natural Brillo 108x19.8 cm.   Ref. lm-81876875</t>
  </si>
  <si>
    <t>Suelo de madera multicapa de roble con acabado en brillo y soporte en HDF (tablero de fibra de alta densidad). Sus láminas no cuentan con bisel para un efecto uniforme del suelo, más limpio y con textura lisa, observando la veta natural de la madera.   Ref. lm-81876875.
Posee una capa de desgaste de 3,1 mm de espesor para resistir una intensidad de paso alta. Se coloca mediante un sistema flotante clic muy sencillo e intuitivo, sin necesidad de colas o herramientas. El paquete contiene 7 lamas de 19,8 cm de ancho para otorgar a tu vivienda el aspecto cálido y rústico que necesitas. El color del producto puede tener alguna diferencia con el de la imagen al ser un producto de madera natural. Para ver el acabado superficial del producto, mate o satinado es necesario verlo con una muestra física en tienda. Cuenta con el sello FSC, que certifica que la madera proviene de bosques gestionados de forma sostenible y respetuosa con el medioambiente. Producto natural. Exclusivo. Gran aislante térmico. Fácil limpieza. Fabricado con maderas sostenibles.</t>
  </si>
  <si>
    <t>ma-lm-83618798</t>
  </si>
  <si>
    <t>Machihembrado de pared en pino natural con acabado de nudos (0,9x9,5x190 cm/lama; 1,80 m2/caja; 10 lamas/caja).   Ref. lm-83618798</t>
  </si>
  <si>
    <t>Revestimiento de pared de madera de pino con aspecto cepillado liso de calidad con acabado de nudos. Cada paquete contiene 10 lamas que cubren una superficie de 1,80 m2. Medidas totales: 9,5x190x0,9 cm (ancho x largo x espesor).   Ref. lm-83618798.
Confort térmico, confort acústico, material natural</t>
  </si>
  <si>
    <t>ma-lm-88673523</t>
  </si>
  <si>
    <t>Masilla para reparación de madera TOUPRET (1 kg/envase).   Ref. lm-88673523</t>
  </si>
  <si>
    <t>Masilla de reparación para madera TOUPRET fabricada a partir de resinas acrílicas con acabado de color beige y aspecto liso mate. Se aplica fácilmente con una espátula. Indicada tanto para interior como para exterior. Producto fabricado en la Unión Europea con 3 años de garantía.   Ref. lm-88673523.</t>
  </si>
  <si>
    <t>ma-lm-90709827</t>
  </si>
  <si>
    <t>Machihembrado de madera maciza de abeto de flandes de MADERTERRÁNEO (22x115x2100 mm/lama; 10 lamas/pack).   Ref. lm-90709827</t>
  </si>
  <si>
    <t>Machihembrado de madera maciza de abeto de flandes de MADERTERRÁNEO (22x115x2100 mm/lama; 10 lamas/pack).   Ref. lm-90709827
Producto para el revestimiento de interiores y exteriores. Los machihembrados de abeto son un tablero machihembrado de madera maciza ideal para proyectos de interior y exterior en revestimiento de paredes, techos, mobiliario, separación de espacios, etc.
Características: Sin biselado; 2 caras a canto vivo; Sin acabado, ideal para teñir o barnizar.</t>
  </si>
  <si>
    <t>ma-lm-90762157</t>
  </si>
  <si>
    <t>Machihembrado de madera maciza de pino natural sin barnizar de MADERTERRÁNEO (10x90x1500 mm/lama; 20 lamas/pack).   Ref. lm-90762157</t>
  </si>
  <si>
    <t>Machihembrado de madera maciza de pino natural sin barnizar de MADERTERRÁNEO (10x90x1500 mm/lama; 20 lamas/pack).   Ref. lm-90762157.
El revestimiento machihembrado de madera maciza de pino es una opción popular para acabados interiores y, en algunos casos, exteriores, gracias a su belleza natural, durabilidad y facilidad de instalación.
CARACTERÍSTICAS PRINCIPALES:
• Textura y Color: la madera de pino posee una textura fina y homogénea, con un color claro que va desde el blanco amarillento hasta tonalidades ligeramente rosadas. Al aplicar barniz, se realza su veta, dándole profundidad y riqueza visual al acabado.
• Madera de pino: es un material renovable, y cuando se obtiene de fuentes gestionadas de manera sostenible, representa una opción ecológica.
• Propiedades de Aislamiento: la madera tiene buenas propiedades de aislamiento térmico y acústico, contribuyendo a la eficiencia energética y al confort del espacio.
• Usos Múltiples: aunque comúnmente se usa en interiores para paredes y techos, el tratamiento adecuado puede permitir su uso en exteriores. Su estética natural complementa una amplia gama de estilos decorativos, desde rústicos hasta contemporáneos.
• Coste: el revestimiento machihembrado de madera maciza de pino puede ser más costoso inicialmente que otras opciones, pero su durabilidad y bajo mantenimiento compensan el gasto a largo plazo.
• Sensibilidad a Cambios Climáticos: aunque el barniz ofrece protección, la madera sigue siendo susceptible a cambios dimensionales con las variaciones de humedad y temperatura.
En resumen, el revestimiento machihembrado de madera maciza de pino es una opción excelente por su belleza, durabilidad y la calidez natural que aporta a cualquier espacio. Su instalación y mantenimiento son relativamente sencillos, lo que lo convierte en una opción atractiva para muchos propietarios y diseñadores de interiores.</t>
  </si>
  <si>
    <t>Tablero de fibras MDF standard, especialmente indicado para estructuras, decoración y estantes. Densidad: 700/750 kg/m3. Resistencia a flexión: 7-11 N/mm2. Reacción al fuego: Standard Ds2d0 - Ignífugo Bs2d0. Medidas: 2440x1220x10 mm. Certificación PEFC. Peso = 13,4 kg/und.   Ref. lp-00006257</t>
  </si>
  <si>
    <t>Tablero de encofrar con tres capas de madera encoladas entre sí (dos exteriores en sentido longitudinal y una interior en sentido transversa), encolado con cola melamina urea formol (MUF) en condiciones controladas de temperatura y presión, cumpliendo la condición SWP/3 exterior de la norma UNE CEN/TS 13354. Contiene una capa melamínica que protege al tablero de la acción del hormigón, aumentando su durabilidad. Aplicaciones: encofrados reticulares y verticales, cimentaciones, obra civil, elementos de seguridad y cerramiento. Densidad: 400/450 kg/m3. Resistencia a flexión: 7-11 N/mm2. Reacción al fuego: Ds2d0. Medidas: 1970x500x27 mm. Certificación PEFC.   Ref. lp-00222965</t>
  </si>
  <si>
    <t>ma-lp-00535941</t>
  </si>
  <si>
    <t>Tabloncillo de madera para construcción (76x205x3000 mm/pza).   Ref. lp-00535941</t>
  </si>
  <si>
    <t>ma-lp-00535942</t>
  </si>
  <si>
    <t>Tabloncillo de madera para construcción (52x155x2500 mm/pza).   Ref. lp-00535942</t>
  </si>
  <si>
    <t>ma-lp-00535943</t>
  </si>
  <si>
    <t>Tabloncillo de madera para construcción (52x155x4000 mm/pza).   Ref. lp-00535943</t>
  </si>
  <si>
    <t>ma-mausa-Sku.DMH30</t>
  </si>
  <si>
    <t>Tablero MDF hidrófugo 30 mm de KRONOSPAN MDF (2440x1220x30 mm/panel).   Ref. mausa-Sku.DMH30</t>
  </si>
  <si>
    <t>Tablero de fibras de media densidad, cuyo comportamiento a la humedad se ha mejorado, ideal para uso en ambientes húmedos pero sin contacto directo con agua. La manipulación de este tablero hidrófugo DM es excelente debido a sus propiedades de estabilidad dimensional y resistencia al impacto.   Ref. mausa-Sku.DMH30.</t>
  </si>
  <si>
    <t>MATERIALES.ELECTRICOS</t>
  </si>
  <si>
    <t>MATERIALES ELÉCTRICOS</t>
  </si>
  <si>
    <t>ma-bh-22835297</t>
  </si>
  <si>
    <t>Canaleta portacables PVC de 60x40 mm (2 m/pza).   Ref. bh-22835297</t>
  </si>
  <si>
    <t>Canaleta portacables PVC de 60x40 mm (2 m/pza).   Ref. bh-22835297
Esta canaleta es ideal para la instalación discreta de cables. Se caracteriza por su flexibilidad y su resistencia a temperaturas de -5 °C a +60 °C, puntualmente hasta +70 °C. Además, la canaleta no es inflamable, se apaga sola y es resistente a la corrosión.</t>
  </si>
  <si>
    <t>ma-bh-22839697</t>
  </si>
  <si>
    <t>Canaleta portacables PVC de 40x40 mm (2 m/pza).   Ref. bh-22839697</t>
  </si>
  <si>
    <t>Canaleta portacables PVC de 40x40 mm (2 m/pza).   Ref. bh-22839697
Esta canaleta es ideal para la instalación discreta de cables. Se caracteriza por su flexibilidad y su resistencia a temperaturas de -5 °C a +60 °C, puntualmente hasta +70 °C. Además, la canaleta no es inflamable, se apaga sola y es resistente a la corrosión.</t>
  </si>
  <si>
    <t>Canaleta portacables PVC de 110x60 mm (2 m/pza).   Ref. bh-22845737
Esta canaleta es ideal para la instalación discreta de cables. Se caracteriza por su flexibilidad y su resistencia a temperaturas de -5 °C a +60 °C, puntualmente hasta +70 °C. Además, la canaleta no es inflamable, se apaga sola y es resistente a la corrosión.</t>
  </si>
  <si>
    <t>ma-bricoelige-EV111</t>
  </si>
  <si>
    <t>Caja de derivación IP65-IP67 e IK07 de IDE (121x121x68 mm/pza).   Ref. bricoelige-EV111</t>
  </si>
  <si>
    <t>Caja de derivación IP65-IP67 de IDE, Aislamiento Clase II, Resistencia al Impacto IK07 con 7 conos (121x121x68 mm/pza).   Ref. bricoelige-EV111.</t>
  </si>
  <si>
    <t>Downlight led redondo Inspire serie Sanoa fabricado en plástico con acabado en color blanco brillante. Emite una luz blanca variable entre 4.000 K y 6.000 K con 3.600 lúmenes de intensidad. Índice de protección: IP44. Etiqueta energética: D. Garantía de 7 años. Medidas: 30 cm de diámetro.   Ref. lm-84846973.</t>
  </si>
  <si>
    <t>ma-lp-00013298</t>
  </si>
  <si>
    <t>Base 3 tomas 2P+TTL 10-16 A 250 V; color blanco.   Ref. lp-00013298</t>
  </si>
  <si>
    <t>ma-lp-00013570</t>
  </si>
  <si>
    <t>Caja de empalme canaleta en material temoplástico de SOLERA (65x65 mm/pza).   Ref. lp-00013570</t>
  </si>
  <si>
    <t>Registro de empalme y derivación, de material termoplástico libre de halógenos. Entrada para canaletas (central y por esquinas) hasta 10x22. Pack de 3 unidades. Medidas: 65x65x435.   Ref. lp-00013570.</t>
  </si>
  <si>
    <t>Registro de empalme y derivación, de material termoplástico libre de halógenos. Entrada para canaletas (central y por esquinas) hasta 10x22. Pack de 3 unidades. Medidas: 82x82x40.   Ref. lp-00013571.</t>
  </si>
  <si>
    <t>ma-lp-00252049</t>
  </si>
  <si>
    <t>Canaleta portacables adhesiva DLP-S de 16x16mm (2 m/pza).   Ref. lp-00252049</t>
  </si>
  <si>
    <t>Canaleta adhesiva para distribuir los cables eléctricos. Se instala sin herramientas y sin necesidad de otra persona. Se complementa con una amplia variedad de accesorios (ángulos, tapas finales, derivaciones, etc.) para lograr un acabado perfecto. Longitud de 2 metros.   Ref. lp-00252049</t>
  </si>
  <si>
    <t>ma-lp-00252050</t>
  </si>
  <si>
    <t>Canaleta portacables adhesiva DLP-S de 20x12mm (2 m/pza).   Ref. lp-00252050</t>
  </si>
  <si>
    <t>Canaleta adhesiva para distribuir los cables eléctricos. Se instala sin herramientas y sin necesidad de otra persona. Se complementa con una amplia variedad de accesorios (ángulos, tapas finales, derivaciones, etc.) para lograr un acabado perfecto. Longitud de 2 metros.   Ref. lp-00252050.</t>
  </si>
  <si>
    <t>ma-lp-00252051</t>
  </si>
  <si>
    <t>Canaleta portacables adhesiva DLP-S de 32x16mm (2 m/pza).   Ref. lp-00252051</t>
  </si>
  <si>
    <t>Canaleta adhesiva para distribuir los cables eléctricos. Se instala sin herramientas y sin necesidad de otra persona. Se complementa con una amplia variedad de accesorios (ángulos, tapas finales, derivaciones, etc.) para lograr un acabado perfecto. Longitud de 2 metros.   Ref. lp-00252051.</t>
  </si>
  <si>
    <t>Hilo flexible H07V-K indicado para utilización en instalaciones de conductos situados sobre superficies, empotrados y sistemas cerrados análogos.   Ref. lp-00261038.</t>
  </si>
  <si>
    <t>ma-lp-00261111</t>
  </si>
  <si>
    <t>Manguera flexible PVC H05VV-F 3G1,5 CPR de RCT.   Ref. lp-00261111</t>
  </si>
  <si>
    <t>Cinta aislante autovulcanizada de caucho PIB (Poli-Isobutileno) que puede utilizarse como aislante eléctrico y para trabajos de protección e impermeabilización en general para evitar escapes, fugas y filtraciones de agua, aire y vapor, por lo que está indicada para trabajos temporales de bricolaje.   .Ref. lp-00532380.
VENTAJAS: Gran aislamiento y flexibilidad. Fusiona rápidamente bajo tensión. Envoltura homogénea y sin huecos. Altamente resistente al agua y al ozono. Compatible con un amplio rango de plásticos. Formato de fácil manejo y aplicación.</t>
  </si>
  <si>
    <t>Cinta plastificada de PVC MIARCO BRICO con acabado mate, cuenta con una cara cubierta de adhesivo base caucho sensible a la presión. Esta cinta adhesiva está indicada para uso general, en especial para pequeñas reparaciones eléctricas en el ámbito doméstico por debajo de 600V u 80 ºC. Además, al estar disponible en una gran variedad de colores puede utilizarse no solo para la reparación y aislamiento de cables eléctricos, sino también para la codificación de cables. Buena adhesión y elongación.   Ref. lp-00556831.</t>
  </si>
  <si>
    <t>Armario Eléctrico de Superficie 72 módulos IP40 FAMATEL NUOVA 3872 está fabricado en material aislante libre de halógenos, con revolucionario diseño de la colección NUOVA+ te brinda una cerradura ergonómica exclusiva que facilita su apertura, junto con un novedoso sistema de montaje escalonado que te permite ocultar la tapa en la última fase de la instalación, manteniendo intacta su alta calidad.   Ref. manomano-ME85643100.</t>
  </si>
  <si>
    <t>ma-teclisa-1410044</t>
  </si>
  <si>
    <t>Cable F.L.H. ES07Z1-K 1,5; color negro.   Ref. teclisa-1410044</t>
  </si>
  <si>
    <t>Cable libre de halógenos no propagador de la llama ni del incendio y de baja emisión de humos tóxicos, opacos y corrosivos en caso de incendio. H07Z1-K anteriormente se denominaba ES07Z1-K.</t>
  </si>
  <si>
    <t>MATNDK$</t>
  </si>
  <si>
    <t>bbbbbbbbbbbbbbbbb</t>
  </si>
  <si>
    <t>\ ANCHO (mm) \ 100 \ 140 \ 160 \ 180 \
\ codigo \ bm-1 \ bm-2 \ bm-3 \ bm-4 \
%T(4) = 17.22, 19.36, 19.70, 20.55
::%T(%A)+(%B)
\ RESUMEN \ Tendedero plegable de pared AC $A EPOXI de CUNCIAL ($Ax23x71 cm) Ref. $B \
\TEXTO \ Tendedero plegable de pared en acero acabado en color blanco AC $A EPOXI de CUNCIAL medidas desplegado: $Ax23x71 cm) con 5 barras 8 mm espesor \</t>
  </si>
  <si>
    <t>MORTEROS.AGLOMERANTES.Y.EPOXI</t>
  </si>
  <si>
    <t>MORTEROS, AGLOMERANTES Y RESINAS EPÓXICAS</t>
  </si>
  <si>
    <t>ma-amadosalvador-549501270</t>
  </si>
  <si>
    <t>Mortero hidrófugo de enlucido cementoso con textura de fratasado fino PLANITOP 210 de MAPEI (25 kg/saco).   Ref. amadosalvador-549501270</t>
  </si>
  <si>
    <t>Enlucido cementoso hidrófugo con textura de fratasado fino sobre elementos de hormigón, revoques cementosos y de mortero bastardo, viejas pinturas al cuarzo y revestimientos plásticos rayados, en interiores y exteriores. Consumo: +/- 1,3 kg/m2 por mm de espesor (espesor máximo de 3 mm/capa; en total, no mayor de 6 mm (intercalado con malla de fibra de vidrio y antiálcalis MAPENET 150).   Ref. amadosalvador-549501270.
Algunos ejemplos de aplicación:
• Regularización y acabado de paredes de albañilería u hormigón, revoques cementosos o de mortero bastardo, antes del pintado.
• Enlucido de paredes, incluso sobre pinturas existentes tales como pinturas acrílicas lavables, pinturas al cuarzo, revestimientos plásticos, etc., siempre que sean consistentes, que estén limpias y bien fijadas.
• Enlucido de paneles de cartón-yeso (todo emplastecido de yeso entre los paneles deberá tratarse previamente con Primer G).
• Enlucidos de paneles de fibras de madera mineral (tipo Eraclit)
PLANITOP 210 es un mortero de enlucido cementoso, hidrófugo y monocomponente, de granulometría fina, color blanco y gris, de endurecimiento normal, a base de aglomerantes especiales de alta resistencia, áridos seleccionados, aditivos especiales y polímeros sintéticos en polvo, según una fórmula desarrollada en los laboratorios de I+D de MAPEI. Su particular composición confiere al mortero obtenido mezclando PLANITOP 210 solamente con agua, un elevado poder adhesivo, una gran plasticidad para la aplicación con llana lisa y facilita, asimismo, las operaciones de acabado con llana metálica o fratás de esponja. PLANITOP 210 puede ser aplicado en un espesor máximo de 3 mm por capa. Los enlucidos de mayor espesor, aunque no superiores a los 6 mm, deben realizarse en dos capas interponiendo entre ellas MAPENET 150, malla de fibra de vidrio resistente a los álcalis (de conformidad con la guía ETAG 004), con luz de 4 x 4,5 mm. MAPENET 150 debe ser utilizada cuando la superficie a tratar está compuesta por soportes de diferente naturaleza. Si las condiciones climatológicas son buenas, el acabado de color puede ser aplicado 1 semana después de la aplicación de Planitop 210, utilizando uno de los productos de las líneas Silexcolor, Silancolor, Quarzolite, Elastocolor, Colorite o Dursilite. Este último producto se puede utilizar para la decoración de superficies interiores o exteriores que estén parcialmente cubiertas y protegidas de la luz directa del sol y de la lluvia. Planitop 210 cumple los principios de la norma EN 1504-9 (“Productos y sistemas para la protección y la reparación de estructuras de hormigón: definiciones, requisitos, control de calidad y evaluación de la conformidad. Principios generales para el uso de productos y sistemas”), los requisitos mínimos de la norma EN 1504-2 revestimiento (C) según los principios MC y IR (“Sistemas de protección de las superficies de hormigón”) y se clasifica como GP (“Mortero de uso general para revoques interiores/exteriores”), de categoría CS IV, según la EN 998-1.</t>
  </si>
  <si>
    <t>El mortero de impermeabilización SIKATOP SEAL-107 de SIKA es un mortero a base de cemento al cual se le agrega aditivos especiales y polímeros para ser modificado y mejorar sus prestaciones de protección de las superficies y soportes, sobre todo de los efectos que pueda tener la presencia de agua en ellos. Su uso es recomendado tanto en interiores como en exteriores, en trabajos de obra nueva y de renovación, como sellador de pequeñas fisuras, como impermeabilización de depósitos de agua potable, de sótanos, como también de muros y cimientos. Consumo/Dosificación: Depende de la rugosidad del soporte, de la planeidad superficial y del espesor de capa aplicado (como dato orientativo +/- 2 kg/m2/mm (excluyendo pérdidas y sobreconsumos debidos a la porosidad del soporte)); 1 lote de 25 kg ~ 12.5 litros de mortero.   Ref. bauhaus-sikatopseal107.
USOS:
* Impermeabilización exterior e interior de estructuras de hormigón, mortero, bloque de hormigón y ladrillo.
* Protección de estructuras de hormigón contra los efectos de las sales de deshielo y los ciclos hielo-deshielo.
* Impermeabilización rígida de muros de cimentación tanto en obra nueva como en trabajos de reparación.
* Como revestimiento tapaporos.
* Impermeabilización interior de sótanos (no sujetos a presión hidrostática de agua).
* Como sellado de pequeñas fi suras en estructuras de hormigón (no sujetas a movimientos).
* Como mortero de regularización para trabajos de reparación.
* Impermeabilización de depósitos de agua potable.
SIKATOP SEAL-107 puede utilizarse para protección de estructuras de hormigón:
? Adecuado para protección contra la penetración (Principio 1, método 1.3 de la UNE-EN 1504-9).
* Adecuado para control de la humedad (Principio 2, método 2.2 de la UNE-EN 1504-9).
* Adecuado para aumentar la resistencia (Principio 8, método 8.2 de la UNE-EN 1504-9).</t>
  </si>
  <si>
    <t>ma-bauhaus-sikafloor100level</t>
  </si>
  <si>
    <t>Mortero autonivelante cementoso modificado con polímeros para recrecidos de 1 a 10 mm SIKAFLOOR-100 LEVEL de SIKA (25 kg/saco).   Ref. bauhaus-sikafloor100level</t>
  </si>
  <si>
    <t>Mortero autonivelante adecuado para interiores. SIKAFLOOR-100 LEVEL se caracteriza por sus buenas propiedades de aplicación, para una carga media de compuesto de nivelación utilizable. Consumo: 1,55 kg/m2/mm (espesor de capa de 1 a 10 mm).   Ref. bauhaus-sikafloor100level.
Es adecuado para rellenar, alisar y nivelar los soportes antes de aplicar baldosas cerámicas, revestimientos textiles y elásticos (vinilo, linóleo) para zonas residenciales y no industriales interiores y sin presencia de humedad por ascensión capilar.
CARACTERÍSTICAS: Autonivelante; De fácil aplicación; Adecuado para aplicar en sistemas de calefacción por suelo radiante; Bombeable; Con polímeros modificados; Baja generación de polvo; Aplicable en interior y sobre superficies sin humedad por ascensión capilar.</t>
  </si>
  <si>
    <t>Mortero autonivelante adecuado para interiores. SIKAFLOOR-200 LEVEL se caracteriza por sus buenas propiedades de aplicación, para una carga media de muy baja retracción y elevado espesor. Consumo: 1,74 kg/m2/mm (espesor de capa de 3 a 50 mm).   Ref. bauhaus-sikafloor200level.
Es adecuado para rellenar, alisar y nivelar los soportes antes de aplicar parquet, baldosas cerámicas, revestimientos textiles y elásticos (vinilo, linóleo) para zonas residenciales y no industriales interiores y sin presencia de humedad por ascensión capilar.
CARACTERÍSTICAS: Adecuado para construir soleras adheridas bajo baldosas cerámicas sobre soportes cementosos y para aplicar en sistemas de calefacción por suelo radiante; Baja Tensión; Bombeable; Autonivelante.</t>
  </si>
  <si>
    <t>El mortero de reparación MONOTOP-612 de SIKA es un mortero estructural Clase R3 reforzado con fibras y humo de sílice. Su uso es recomendado tanto en interiores como exteriores para la reparación de hormigón, regeneración y regularización de superficies de cementos y morteros. Material listo para su uso con la sola adición de agua. Consumo: 1,835 kg/m2 y mm de espesor (el consumo mínimo de SIKA MONOTOP-612 en polvo, será de 9,175 kg para un espesor de capa de 5 mm; Espesor de Capa: mín. 5 mm / máx. 30 mm).   Ref. bauhaus-sikamonotop612.
USOS:
• Regeneración del hormigón en capa gruesa, tanto en superficies verticales, como techos.
• Regularización de superficies de hormigón o mortero de cemento, previamente a la aplicación de una pintura.
• Reparación de elementos de hormigón.
• Rejuntado de elementos prefabricados.
Adecuado para trabajos de:
• Reparación de hormigón (Principio 3, método 3.1 y 3.3 de la UNE-EN 1504-9). Reparación de desconchones y deterioros del hormigón en edificios, puentes, infraestructuras y superestructuras.
• Refuerzo estructural del hormigón (Principio 4, método 4.4 de UNE-EN 1504-9). Incremento de la capacidad portante de las estructuras de hormigón mediante la adición de mortero.
• Conservación o restauración del pasivazo (Principio 7, método 7.1 y 7.2 de la UNE-EN 1504-9). Incremento del recubrimiento con mortero adicional y restituyendo el hormigón contaminado por carbonatación.</t>
  </si>
  <si>
    <t>Mortero transpirable para tratamiento de humedades por remonte capilar tanto en interior como exterior. Se utiliza como saneamiento de muros afectados por humedades de remonte capilar. Rendimiento: 26 kg/m2 para 2 cm (espesor máximo permisible por capa: 40 mm).   Ref. bm-10388315.
Impide la aparición de manchas de humedad y sales. Se aplica como un mortero tradicional. Idóneo en rehabilitación. Soportes: ladrillo cerámico, piedra natural, bloque de hormigón y hormigón armado.</t>
  </si>
  <si>
    <t>Es un mortero hidráulico formulado a base de cemento, áridos seleccionados, aditivos específicos y resinas impermeabilizantes, de elevada flexibilidad y resistencia al impacto, que actúa como adhesivo y capa de protección impermeabilizante de paneles de EPS, XPS, lana de vidrio, lana de roca, poliuretano, fibra de madera, corcho natural, etc.   Ref. lp-s/c-01
Consumos: a) Fijación de los paneles de aislamiento: 4,5 kg/m2. B) Capa base o de refuerzo: 5,5 kg/m2 (este consumo es aproximado, ya que depende siempre de la planimetría y rugosidad de la superficie de los soportes).
Aplicable en sistemas SATE, para colocación y capa de protección impermeable de paneles de poliestireno expandido (EPS), extrudido (XPS), lana mineral (MW), fibra de madera, o corcho natural. En el sistema PROPAM ANTIFISURAS, como capa armada flexible y de alta resistencia al impacto. También puede utilizarse en estructuras de hormigón como endurecedor y nivelador superficial en aleros, bajo cubiertas, etc, y en bovedillas o casetones de poliestireno expandido, respetando las instrucciones generales de aplicación del producto.</t>
  </si>
  <si>
    <t>ma-bm-25035052</t>
  </si>
  <si>
    <t>Mortero hidrofugado para enlucidos y enfoscados en fachadas WEBEREV HIDRO PLUS de WEBER (25 kg/saco).   Ref. bm-25035052</t>
  </si>
  <si>
    <t>Mortero híbrido tipo AI-CS III-Wc2 para el revestimiento de fachada y muros como base de un revestimiento final o como acabado en fachadas no expuestas a la intemperie. Alta plasticidad adaptable a rehabilitación y obra nueva. Consumo: 18 kg/m2 para 1 cm de espesor.   Ref. bm-25035052
Soportes recomendados: Hormigón, Mortero de cemento, Mortero de cal, Ladrillo, Bloque de hormigón.</t>
  </si>
  <si>
    <t>ma-briconstruccion-2001</t>
  </si>
  <si>
    <t>Mortero R2 de reparación cosmética del hormigón MASTEREMACO N 205 FC de BASF (25 kg/saco).   Ref. briconstruccion-2001</t>
  </si>
  <si>
    <t>Mortero de renovación para reparaciones cosméticas y nivelaciones superficiales. Aplicable en interiores y exteriores. Reparación y nivelación de superficies dañadas de hormigón, en estructuras, pilares, fachadas, etc. Reparación superficial y cosmética de piezas prefabricadas de todo tipo. Revoques finos sobre hormigón, muro de fábrica, mortero, etc. Nivelación de soportes verticales antes de colocar cerámica. Consumo: 1,7 kg de mortero amasado por m2 y mm de espesor (aprox. 1,3 kg de mortero seco por m2 y mm de espesor).   Ref. briconstruccion-2001.</t>
  </si>
  <si>
    <t>ma-calaflores-200575</t>
  </si>
  <si>
    <t>Yeso controlado MORCEM YESO de PUMA (17 kg/saco).   Ref. calaflores-200575</t>
  </si>
  <si>
    <t>Yeso de aplicación manual de fraguado lento, que se utiliza para el revestimiento de techos y paredes interiores, sobre todo tipo de soportes. Rendimiento: 2.2-1.8 m2/saco/cm espesor ±5%.   Ref. calaflores-200575.
Su tiempo de empleo está regulado en fábrica asegurando tiempos de espera reducidos y mayor tiempo de empleo, lo que favorece la consecución de elevadas productividades de la mano de obra y excelente calidad de acabado, con altos valores de resistencia mecánica. Dada su estructura porosa, proporciona un buen aislamiento acústico. Así mismo es un regulador de humedad, proporcionando una confortabilidad óptima en el interior. Tiene un buen comportamiento frente al fuego siendo incombustible.</t>
  </si>
  <si>
    <t>ma-colorsan-keim.restauro-grund</t>
  </si>
  <si>
    <t>Mortero seco mineral para relleno en restauración de piedra natural KEIM RESTAURO GRUND (30 kg/saco).   Ref. colorsan-KEIM.RESTAURO.GRUND</t>
  </si>
  <si>
    <t>Mortero de relleno con ligantes hidráulicos en el marco de la restauración de piedra arenisca, para cavidades de &gt; 2 cm de profundidad, así como para rellenar el núcleo en reproducciones realizadas con moldes abiertos. Consumo: 20 kg/m2 para 1 cm de espesor.   Ref. colorsan-KEIM.RESTAURO.GRUND.</t>
  </si>
  <si>
    <t>ma-colorsan-keim.restauro-top</t>
  </si>
  <si>
    <t>Mortero seco mineral con ligantes hidráulicos para restaurar piedra natural en zonas cercanas a la superficie KEIM RESTAURO-TOP de KEIM (30 kg/saco).   Ref. colorsan-keim.restauro-top</t>
  </si>
  <si>
    <t>KEIM RESTAURO-TOP es un sustitutivo para piedra natural en zonas cercanas a la superficie, para reproducir color y textura de la piedra original en obra, pero también para reproducciones en moldes abiertos. Consumo: aprox. 2 kg/m2 por mm (valor orientativo para soportes lisos (valores exactos sólo pueden determinarse mediante pruebas en obra)).    Ref. colorsan-keim.restauro-top.
PREPARACIÓN DE SOPORTE: El soporte debe estar firme, seco, libre de sales, limpio y libre de sustancias que afecten a la adherencia.
CAJEADO: La piedra dañada que debe ser restaurada con KEIM RESTAURO-TOP, debe ser cajeada con escarpa dentada o herramientas similares, hasta llegar a la base sana. Especialmente en superficies planas de piedra, el vaciado debe realizarse en 2 cm de profundidad y en perpendicular o en forma de cola de milano, para que el mortero de restauración tenga buen anclaje lateral. Si en zonas talladas no pudiera realizarse el cajeado descrito, debe tenerse en cuenta al menos que las zonas a reparar no partan de espesor cero.
LIMPIEZA: El polvo debe eliminarse a conciencia de las zonas a restaurar, con aire comprimido o con agua limpia y cepillo. Humedecer: El mortero de restauración sólo debe aplicarse sobre soporte húmedo. Es imprescindible que el soporte se humedezca suficientemente. El agua sobrante se retirará con esponja.
APLICACIÓN: El mortero reposado se aplicará apretando con paletín en la zona cajeada y humedecida. El espesor de capa máximo debe ser de 30 mm. La reparación debe sobresalir al menos 2 mm sobre la superficie original para poder igualar la textura posteriormente.</t>
  </si>
  <si>
    <t>Resina de unión con cargas minerales y no inflamable, que actúa como puente de adherencia sobre hormigón liso o cerámica previa a la aplicación de revestimientos minerales en zonas residenciales. Consumo: 0,30 kg/m2.</t>
  </si>
  <si>
    <t>BETOPOX 93 de PROPAMSA es un puente de unión bicomponente a base de resinas epoxi sin disolventes, de baja viscosidad, especialmente diseñado para garantizar una perfecta adherencia entre hormigón o mortero fresco y hormigón endurecido.   Ref. lm-17553375
Cumple con los requerimientos de la norma EN 1504-4. Dispone de Marcado CE 2+, para usos en edificación y obras de ingeniería civil de todo tipo. El consumo aproximado de BETOPOX 93 es de 200 a 300 gr/m2, pudiendo variar en función del uso, la porosidad y absorción del soporte. Presentación: Conjuntos de 2 y 5 kg.
Producto Equivalente: SIKADUR 32 FIX.</t>
  </si>
  <si>
    <t>MORCEMSEC CAPA FINA es un mortero seco a base de cemento de alta resistencia, áridos seleccionados y otros aditivos, para terminación de fachadas, patios e interiores. Impermeable al agua de lluvia y permeable al vapor de agua. Para enlucidos y obras de mampostería en general.   Ref. lm-11001634
CARATCTERÍSTICAS Y APLICACIONES:
a) Realización de terminaciones blancas.
b) Aplicación en interiores y exteriores.
c) Revestimiento impermeable.
d) Permeable al vapor de agua, permitiendo que el soporte respire.
e) Excelente adherencia y gran plasticidad.
f) Enlucido sobre enfoscado o aplicación en dos capas.
g) Espesores de hasta 1 cm sin descuelgue.
h) Acabado liso o fratasado.
Soportes convencionales a base de cemento y fábrica de ladrillos.
Rendimiento aproximado: 8 kg/m2 por cada 0,5 cm de espesor.</t>
  </si>
  <si>
    <t>SIKA MONOTOP-910 S es un producto monocomponente a base de cemento, mejorado con resina sintética y humo de sílice, que se utiliza como capa de adherencia y como pasivador para la protección de las armaduras frente a la corrosión; y cumple con los requerimientos de la UNE-EN 1504-4 y de la UNE-EN 1504-7. Consumos: Como capa de adherencia: 2,0 a 2,5 kg de polvo por m2 y por 1 mm de espesor; Como protección de armaduras: 2,0 kg de polvo por m2 y por 1 mm de espesor (se requieren dos capas). Rendimiento: 4 kg de polvo rinde aproximadamente 2.3 litros de mortero.   Ref. lm-sika.monotop.910s.
Proporción de la Mezcla: Para aplicar a brocha 0.84 litros agua (21%) por 4 kg polvo; Para aplicación por proyección 0.8 litros agua (20%) por 4 kg polvo. Espesor de Capa: Como capa de adherencia - suficiente para recubrir la superficie del hormigón en una capa delgada que rellene las irregularidades, y los poros; Como protección de armaduras - 2 mm espesor mínimo.</t>
  </si>
  <si>
    <t>Mortero de revestimiento a base de resina de copolímeros acrílicos, áridos seleccionados y aditivos que proporcionan un acabado de protección de fachadas e interiores. Listo para usar. Recomendado sobre enfoscados de mortero de cemento, yeso y hormigón. Viene en saco de 20 kg y es de color arena. Rendimiento: 2 a 3 kg/m2 (espesor de aplicación 2 a 3 mm).   Ref. lp-00560610.</t>
  </si>
  <si>
    <t>ma-lp-00540809</t>
  </si>
  <si>
    <t>Mortero para revoco PROPAM REVOC color blanco (25 kg/saco)   Ref. lp-00540809</t>
  </si>
  <si>
    <t>PROPAM Revoc es un mortero hidrófugo de revoco indicado para obras de albañilería en general: mampostería, enlucidos, revoques, patios de luces, garajes, etc. Formulado con cemento, áridos siliceos seleccionados y aditivos, muy buena trabajabilidad y gran impermeabilidad. ESpecialmente indicado para proyección mecánica. Color blanco. Saco de 25 kg. Se puede realizar la compra de este producto por palet completo. Tiempo de vida de la mezcla es de 30 min. Para comprarlo por palet completo se tienen que comprar 56 unidades o múltiplos de esta cantidad.   Ref. lp-00540809</t>
  </si>
  <si>
    <t>REVAT CAL BASE de PROPAMSA es un mortero hidrófugo de revoco en base cal especialmente pensados como base para aplicaciones bicapa de morteros acrílicos y pinturas plásticas, así como regularización de soportes y para obras de enlucido, revoques y garajes. Formulado con cal, cemento, áridos seleccionados y aditivos, muy buena trabajabilidad y gran impermeabilidad. Color gris. Tiempo de vida de la mezcla es de 30 min.   Ref. lp-00540811</t>
  </si>
  <si>
    <t>REVAT® FILM de PROPAMSA es un revestimiento a base de resina de copolímeros acrílico-estirénicos, cargas, pigmentos minerales y aditivos que proporcionan un acabado de protección y decoración del edificio. Rendimiento: 3 a 5 m2/kg por mano. Ref. lp-00560609.
CAMPO DE APLICACIÓN: Revestimiento de todo tipo de fachadas e interiores sobre enfoscados de mortero de cemento, yeso, hormigón, y pinturas en buen estado.</t>
  </si>
  <si>
    <t>El hormigón seco H-25 alta resistencia, autocompactable, se utilizan en aplicaciones no estructurales: pavimentos, cimentaciones, rellenos, canalizaciones, pequeñas reparaciones, fábricas de muros y tabiques de interior. Se prepara en hormigonera añadiendo 2,5 litros de agua por saco. Tipo NHE. Saco de 25 kg. Color gris. Densidad: 2000 kg/m3. Resistencia a la compresión: 25 kpa. Elaborado con áridos de mármol y cemento, de granulometría controlada y una plasticidad óptima. Rendimiento: 20 kg/m2/cm de espesor.   Ref. lp-00001159.
El Hormigón seco HA25 es un hormigón de calidad adecuada para trabajos de construcción en general en ambientes de exposición normal, humedad alta. Apto para su uso como hormigón armado estructural y para todo tipo de obras de albañilería; hormigones para aceras, hormigones para bordillos, hormigones de relleno, hormigón impreso, soleras pulidas.</t>
  </si>
  <si>
    <t>El mortero seco M-7,5 se utiliza para aplicaciones en albañilería. Clasificado como M 7,5 según la norma UNE EN 998-2, es un mortero premezclado en seco a base de cemento blanco como conglomerante inorgánico, áridos de granulometría controlada y aditivos químicos. Se utiliza en enfoscados interiores y exteriores. Muros de ladrillos, obra vista, bloque de hormigón, muros de carga, colocación de tejas, solados, pavimentos, nivelación y rellenos, así como soporte de adhesivos. Saco de 25 kg; color blanco. Densidad: 1.600 kg/m3. Resistencia a la compresión: 7,5 kpa.   Ref. lp-00539164</t>
  </si>
  <si>
    <t>El mortero seco M-7,5 se utiliza para aplicaciones en albañilería. Clasificado como M 7,5 según la norma UNE EN 998-2, es un mortero premezclado en seco a base de cemento gris como conglomerante inorgánico, áridos de granulometría controlada y aditivos químicos. Se utiliza en enfoscados interiores y exteriores. Muros de ladrillos, obra vista, bloque de hormigón, muros de carga, colocación de tejas, solados, pavimentos, nivelación y rellenos, así como soporte de adhesivos. Saco de 25 kg; color gris. Densidad: 1.600 kg/m3. Resistencia a la compresión: 7,5 kpa.   Ref. lp-00001603</t>
  </si>
  <si>
    <t>El mortero seco M-5 de VALSEC se utiliza para aplicaciones en albañilería.   Ref. lp-00001604.
Es un mortero premezclado en seco a base de cemento gris como conglomerante inorgánico, árido de granulometría controlada y aditivos químicos. Fabricado según la Norma UNE EN 998-2, destinado a ser utilizado en construcciones interiores o exteriores no sometidas a requisitos estructurales. Está específicamente diseñado para su aplicación en construcciones con ladrillo, colocación de tejas, solados, pavimentos, nivelación y rellenos, así como capa soporte de cementos cola para alicatados. Densidad: 1600 kg/m3. Resistencia a la compresión: 5 kpa.</t>
  </si>
  <si>
    <t>ma-lp-00001697</t>
  </si>
  <si>
    <t>Yeso IBERFINO SN de PLACO para acabado de guarnecidos de yeso controlado (17 kg/saco).   Ref. lp-00001697</t>
  </si>
  <si>
    <t>Yeso IBERFINO SN de PLACO es un yeso de construcción de granulometría fina, de aplicación manual, que se utiliza como acabado o terminación de los guarnecidos de yeso controlado, realizados en divisiones interiores, tanto horizontales como verticales. Tiempo de uso elevado, de alto rendimiento y con acabado de gran finura y blancura.   Ref. lp-00001697.</t>
  </si>
  <si>
    <t>Yeso manual controlado S1 es un producto con base de yeso para guarnecido en revestimientos continuos de interiores, tanto horizontales como verticales. También se usa como elemento ligante a la hora de levantar la tabiquería interior, sustituyendo con ventaja a otros ligantes como el mortero de cemento. Saco de 17 kg. Rendimiento: 2.2-1.8 m2/saco/cm espesor ±5%.   Ref. lp-00095260</t>
  </si>
  <si>
    <t>El Cemento Portland blanco tipo II/A-L R 42,5 de VALSEC es apto para hormigón armado y en masa de uso general con desarrollo de resistencias normales. Norma UNE 80305.   Ref. lp-00179136.
Cemento portland blanco con caliza, de gama alta de clinker, tipo BL II/A-L de resistencia media-alta 42,5 MPa a 28 días con resistencia inicial elevada R. El principal uso de este cemento lo encontramos en la fabricación de terrazos y en todo tipo de prefabricados de tipo ornamental que no sean estructurales. Utilizado también en la elaboración de morteros blancos de resistencias medias-altas.</t>
  </si>
  <si>
    <t>La cal hidráulica natural i.design CALIX NHL 3,5 blanca es un producto de la calcinación de una caliza margosa, posteriormente apagada. i.design CALIX NHL 3,5 blanca tiene la propiedad de fraguar y endurecer con el agua, para continuar carbonatando con el CO2 del aire. Por tanto, este doble comportamiento permite que las prestaciones de i.design CALIX NHL 3,5 blanca no se vean afectadas negativamente por las condiciones climáticas de puesta en obra, endureciendo más rápidamente, con mayor resistencia al deterioro y a los esfuerzos de los soportes. Debido a su color blanco, es el producto más adecuado para obtener morteros de color claro y/o resaltar áridos de características especiales. i.design CALIX NHL 3,5 blanca es conforme a la norma europea EN- 459-1 de Cales de construcción.   Ref. lp-00179979.
CARACTERÍSTICAS:
• Óptimo control de las dosificaciones.
• Máxima facilidad de aplicación al ser un producto muy maleable.
• Absoluto respeto de los elementos constructivos existentes.
• 100% natural: exacta reproducción de los colores locales.
APLICACIONES:
• Enlucidos interiores, exteriores y de piedra vista.
• Rejuntado de ladrillos y piedras antiguas.
• Mampostería en general.
• Pavimentación en terracota o piedra.
• Colocación de tejados (cumbreras, limatesas, limahoyas, aleros).
• Refuerzo de argamasa.</t>
  </si>
  <si>
    <t>ma-lp-00179979-1</t>
  </si>
  <si>
    <t>Cal hidráulica natural i.design CALIX tipo NHL-3,5 de FYM; color blanco (25 kg/saco).   Ref. lp-00179979</t>
  </si>
  <si>
    <t>Mortero de Reparación Geolite 40 de Kerakoll (Clase R4) para la reparación y refuerzo de estructuras de hormigón armado y mampostería (vigas, pilares, losas, balcones, rampas, cornisas). Eco-compatible, idóneo para Greenbuilding. Tixotrópico, de fraguado semi-rápido, 40 minutos, pintable tras 4 horas. Idóneo para usar con andamios móviles. Saco 25 kg.   Ref. lp-00539210</t>
  </si>
  <si>
    <t>Imprimación texturada al agua que actúa como puente de unión sobre soportes faltos de absorción. Ideal para emplearlo como puente adherente para facilitar el anclaje de materiales de base cementosa o impermeabilizantes acrílicos sobre soportes faltos de absorción. El producto no está clasificado como peligroso según el Reglamento (EU) No 1272/2008. Rendimiento Teórico: 350 a 400 gr/m2.   Ref. lp-00540433.</t>
  </si>
  <si>
    <t>ma-lp-00540810A</t>
  </si>
  <si>
    <t>Mortero para revoco a base de cal aérea PROPAM REVAT CAL FINO (                              Ref. lp-00540810</t>
  </si>
  <si>
    <t>PROPAM REVAT CAL FINO (CR-CSI-W0) es un mortero hidrófugo de revoco indicado tanto en paredes como en techos, sobre enfoscado previo de mortero de cemento o sobre fábrica de ladrillo. Consumo aproximado: 0,3 kg/m2 (las deficiencias de planeidad pueden alterar este indicador).   Ref. lp-00540810
Está indicado para la colocación en capa fina como mortero de terminación en revoques de patios de luces, garajes, fachadas, interiores. Formulado con cemento, áridos silíceos seleccionados y aditivos, muy buena trabajabilidad y gran impermeabilidad. Especialmente indicado para proyección mecánica. Color blanco. Saco de 25 kg. Tiempo de vida de la mezcla es de 30 min.
Características Técnicas: Su consumo aproximado de 0,3 kg/m2 y se presenta en cajas que contienen 4 bolsas de 3 kg cada una. Está disponible en 9 colores diferentes por lo que encaja en la mayoría de proyectos de revestimiento de fachadas (blanco, salmón, verde, crema, gris rojo, beige, azul y piedra).</t>
  </si>
  <si>
    <t>PROPAM REVOC es un mortero hidrófugo de revoco indicado para obras de albañilería en general: mampostería, enlucidos, revoques, patios de luces, garajes, etc. Formulado con cemento, áridos siliceos seleccionados y aditivos, muy buena trabajabilidad y gran impermeabilidad. Especialmente indicado para proyección mecánica. Color gris. Saco de 25 kg. Se puede realizar la compra de este producto por palet completo. Tiempo de vida de la mezcla es de 30 min. Para comprarlo por palet completo se tienen que comprar 56 unidades o múltiplos de esta cantidad.   Ref. lp-00540808</t>
  </si>
  <si>
    <t>PROPAM FINO es un mortero hidrófugo de revoco indicado anto en paredes como en techos, sobre enfoscado previo de mortero de cemento o sobre fabrica de ladrillo. Está indicado para la colocación en capa fina como mortero de terminación en revoques de patios de luces, garajes, fachadas, interiores. Formulado con cemento, áridos siliceos seleccionados y aditivos, muy buena trabajabilidad y gran impermeabilidad. ESpecialmente indicado para proyección mecánica. Color blanco. Saco de 25 kg. Se puede realizar la compra de este producto por palet completo. Tiempo de vida de la mezcla es de 30 min. Para comprarlo por palet completo se tienen que comprar 56 unidades o múltiplos de esta cantidad.   Ref. lp-00540810</t>
  </si>
  <si>
    <t>REVAT PIEDRA de PROPAMSA es un mortero monocapa especialmente pensado para el revestimiento decorativo de fachadas, acabado de piedra proyectada. Se aplica directamente sobre el cerramiento. Aplicable hasta 20mm. Es impermeable al agua de lluvia y permeable al vapor de agua. Color blanco. Saco de 25 kg. Rendimiento 16 kg/m2 por cada cm de espesor.   Ref. lp-00540819</t>
  </si>
  <si>
    <t>REVAT CAL BASE de PROPAMSA es un mortero hidrófugo de revoco en base cal especialmente pensados como base para aplicaciones bicapa de morteros acrílicos y pinturas plásticas, así como regularización de soportes y para obras de enlucido, revoques y garajes. Formulado con cal, cemento, áridos seleccionados y aditivos, muy buena trabajabilidad y gran impermeabilidad. Color blanco. Tiempo de vida de la mezcla es de 30 min. Rendimiento: 20 kg/m2 por cm de espesor.   Ref. lp-00540812</t>
  </si>
  <si>
    <t>REVAT CAL ENFOSCADO es un mortero hidrófugo de revoco en base cal está indicado como capa de recubrimiento y rejuntado de mampostería antigua, obra nueva y rehabilitación de edificios. Formulado con cal, cemento, áridos seleccionados y aditivos, muy buena trabajabilidad y gran impermeabilidad. Color blanco. Saco de 25 kg. Se puede realizar la compra de este producto por palet completo. Tiempo de vida de la mezcla es de 30 min.   Ref. lp-00540813</t>
  </si>
  <si>
    <t>REVAT RASPADO de PROPAMSA es un mortero monocapa especialmente pensado para el revestimiento decorativo de fachadas. Acabado altamente decorativo. Se aplica directamente sobre el cerramiento. Es impermeable al agua de lluvia y permeable al vapor de agua. Color blanco. Saco de 25 kg.   Ref. lp-00540814</t>
  </si>
  <si>
    <t>Mortero de reparación estructural R4 del hormigón BIGMAT REPAR TECHNO endurecimiento rápido. Indicado para reconstrucciones en esquinas y cantos dañados, reparación de desconchados y roturas. Color: gris.  Ref. lp-00540827</t>
  </si>
  <si>
    <t>REVAT PIEDRA de PROPAMSA es un mortero monocapa especialmente pensado para el revestimiento decorativo de fachadas, acabado de piedra proyectada. Se aplica directamente sobre el cerramiento. Aplicable hasta 20mm. Es impermeable al agua de lluvia y permeable al vapor de agua. Color gris. Saco de 25 kg. Rendimiento 16 kg/m2 por cada cm de espesor.   Ref. lp-00540820</t>
  </si>
  <si>
    <t>REVAT PIEDRA de PROPAMSA es un mortero monocapa especialmente pensado para el revestimiento decorativo de fachadas, acabado de piedra proyectada. Se aplica directamente sobre el cerramiento. Aplicable hasta 20mm. Es impermeable al agua de lluvia y permeable al vapor de agua. Color marrón. Saco de 25 kg. Rendimiento 16 kg/m2 por cada cm de espesor.   Ref. lp-00540821</t>
  </si>
  <si>
    <t>Mortero de Reparación Estructural R4 PROPAM REPAR 40 de hormigón BigMat Repar 40. Indicado para Reconstrucciones en Esquinas y Cantos dañados, así como para Reparación de Desconchados y Roturas. Color: gris.   Ref. lp-00540825</t>
  </si>
  <si>
    <t>Mortero fluido de reparación PROPAM GROUT para relleno y anclaje. Consistencia fluida y retracción compensada. Está indicado para rellenos de bancadas de maquinaria, nivelación de apoyo de puentes y anclajes en general de maquinaria, pilares, pernos, barras de acero, postes, tubos pasantes, etc Elevado poder autonivelante y de relleno. Color gris. Saco de 25 kg.   Ref. lp-00540841</t>
  </si>
  <si>
    <t>ma-lp-00540828</t>
  </si>
  <si>
    <t>Mortero impermeabilización PROPAM IMPE capa fina hasta 3 mm (25 kg/saco); color gris.   Ref lp-00540828</t>
  </si>
  <si>
    <t>Mortero impermeabilización PROPAM IMPE. Color gris. Envase de 25 kg. Monocomponente de gran adherencia. Capa fina hasta 3 mm. Para impermeabilización de depósitos o tanques destinados a contener agua potable. Piscinas, estructuras enterradas, como sótanos, fosos de ascensores, garajes por encima y por debajo de la capa freática.   Ref lp-00540828</t>
  </si>
  <si>
    <t>Mortero impermeabilización PROPAM IMPE FLEX BIGMAT monocomponente, gran adherencia. Capa fina hasta 3 mm. Color gris. 15 kg/saco. Para impermeabilización interior y exterior de hormigón y albañilería, por encima y por debajo de la capa freática, como sótanos, fosos de ascensores, túneles, piscinas, depósitos de agua. También para recubrir paredes y suelos de duchas y cuartos de baños, antes de colocar los azulejos o baldosas.   Ref. lp-00540829.
El consumo aproximado de BigMat IMPE FLEX es de 1,5 kg/m2 por mm de espesor.</t>
  </si>
  <si>
    <t>ma-lp-00540851</t>
  </si>
  <si>
    <t>Mortero juntas PROPAM BORADA CERÁMICA hasta 4 mm; color blanco polar (5 kg/saco)   Ref. lp-00540851</t>
  </si>
  <si>
    <t>Borada, también conocida como lechada, trata de un producto cementoso de aspecto cremoso con acabado en varios colores, compuesto de compuesto de morteros con base de cemento árido y aditivos que dotan de resistencia e impermeabilidad al producto. Tiene la función de rellenar ranuras entre baldosas y de este modo facilitar la limpieza de las superficies revestidas, así como de mejorar su acabado estético. Se usa en todo tipo de suelo cerámico, en cuartos de baño y también en exteriores; se aplica con espátula o llana y debe tener un espesor variable entre 1,5 y 5 mm. Con el fin de adaptarse a la variedad de acabados y de coloración de la cerámica (o crear un buen contraste), la borada se presenta en variados colores, siendo la de tonalidad blanca la más utilizada.   Ref. lp-00540851</t>
  </si>
  <si>
    <t>Mortero cola PORCELÁNICO FLEX GRIS de BIGMAT es un mortero C2TE de altas prestaciones para colocación de cerámica de baldosas porcelánicas sin absorción en interiores y exteriores, y revestimientos interiores sobre soportes de mortero, hormigón o placas de yeso. Tiempo de ajustabilidad: aprox 30 min. Tiempo de vida de la pasta: 2 horas. Rendimiento de 3 kg/m2 encolado simple y 5 kg/m2 encolado doble.   Ref. lp-00540845
Indicado para:
• Colocación de baldosas de cerámica, gres, mármol, con o sin absorción, en pavimentos exteriores e interiores, y en revestimientos interiores, sobre soportes de mortero de cemento, hormigón o placas de cartón yeso.
• Pavimentos de tráfico intenso. Proporciona una gran adherencia, así como altas resistencias a la compresión y al cizallamiento, para poder soportar las cargas y esfuerzos creados por la circulación de tráfico intenso.
• Aplicación sobre antiguos pavimentos de gres.
• Especialmente indicado para piezas de gran formato y rectificados (&lt;3600 cm2).
• Colocación en pavimentos sobre instalaciones de calefacción radiante.</t>
  </si>
  <si>
    <t>ma-lp-00540846</t>
  </si>
  <si>
    <t>Mortero cola PORCELÁNICO FLEX de BIGMAT; color blanco (25 kg/saco).   Ref. lp-00540846</t>
  </si>
  <si>
    <t>Mortero cola PORCELÁNICO FLEX BLANCO de BIGMAT es un mortero C2TE de altas prestaciones para colocación de cerámica de baldosas porcelánicas sin absorción en interiores y exteriores, y revestimientos interiores sobre soportes de mortero, hormigón o placas de yeso. Tiempo de ajustabilidad: aprox 30 min. Tiempo de vida de la pasta: 2 horas. Rendimiento de 3 kg/m2 encolado simple y 5 kg/m2 encolado doble.   Ref. lp-00540846
Indicado para:
• Colocación de baldosas de cerámica, gres, mármol, con o sin absorción, en pavimentos exteriores e interiores, y en revestimientos interiores, sobre soportes de mortero de cemento, hormigón o placas de cartón yeso.
• Pavimentos de tráfico intenso. Proporciona una gran adherencia, así como altas resistencias a la compresión y al cizallamiento, para poder soportar las cargas y esfuerzos creados por la circulación de tráfico intenso.
• Aplicación sobre antiguos pavimentos de gres.
• Especialmente indicado para piezas de gran formato y rectificados (&lt;3600 cm2).
• Colocación en pavimentos sobre instalaciones de calefacción radiante.</t>
  </si>
  <si>
    <t>Adhesivo cementoso flexible y deformable en consistencia gel, sin polvo, con fibras y con elevado contenido en resinas, de tiempo abierto prolongado y resistente al deslizamiento, aplicable en consistencia fluida o en consistencia tixotrópica, para la colocación de todo tipo de baldosas, incluso de gran formato, absorbentes y no absorbentes, en paredes y suelos interiores y exteriores. Revestimiento de: fachadas; pavimentos con tráfico intenso. Aplicación por superposición sobre antiguos revestimientos y pavimentos de cerámica; Colocación de pavimentos sobre instalaciones de calefacción radiante o sistemas de refrigeración. Colocación de baldosas en zonas húmedas y en piscinas. Saco de 25 kg.   Ref. lp-00540849.</t>
  </si>
  <si>
    <t>ma-lp-00540861</t>
  </si>
  <si>
    <t>Mortero juntas ULTRACOLOR PLUS BIGMAT 1 a 15 mm; color blanco (5 kg/saco).   Ref. lp-00540861</t>
  </si>
  <si>
    <t>Mortero para juntas de 1 a 15 mm (junta fina o ancha) ULTRACOLOR PLUS BIGMAT entre piezas cerámicas interior y exterior. Saco de 5 kg; color blanco.   Ref. lp-00540861</t>
  </si>
  <si>
    <t>Mortero adhesivo PROPAM AISTERM. Color gris. Envase de 25 kg. Está formulado a base de cemento, áridos seleccionados, aditivos específicos, y resinas impermeabilizantes.   Ref. lp-00540868
Indicado para colocación de paneles de poliestireno expandido (EPS), extrudido (XPS) o lana mineral (MW), directamente sobre el cerramiento, se usa a la vez como capa de recubrimiento de la placa, así le da resistencia superficial a la misma. Este mortero se usa como adhesivo y endurecedor de placas aislantes térmicas de un sistema de aislamiento térmico por el exterior (SATE). Gran adherencia, impermeable.
l consumo de PROPAM AISTERM es de 2 a 3 kg/m2 para la fijación de las placas y de 3 a 4 kg/m2 para la superficie.</t>
  </si>
  <si>
    <t>PEGOLAND GEL PORCELÁNICO blanco, mortero cola C2TE para colocación de cerámica de todo tipo en interior y exterior, incluso porcelánico.   Ref. lp-00540875
Mortero cola PEGOLAND GEL PORCELÁNICO blanco, mortero cola C2TE, para la colocación de pavimento nuevo sobre pavimento ya existente y suelos de calefacción radiante. Para el encolado de todo tipo de piezas cerámicas, gres porcelánico, piedra natural, granito y mármol, en interiores y exteriores. Rendimiento de 4 kg/m2 encolado simple y 6 kg/m2 encolado doble.
Adhesivo cementoso de ligantes mixtos con excelente trabajabilidad, alta adherencia, con deslizamiento reducido y tiempo abierto ampliado, para la colocación de pavimentos interiores y exteriores, revestimientos interiores y zócalos exteriores. Alta resistencia. Apto para soportes de yeso o anhidrita. Tiempo de ajustabilidad: aprox. 30 min. Tiempo de vida de la pasta: 2 horas.</t>
  </si>
  <si>
    <t>Mortero antimoho, hidrorepelente y no irritante para rejuntado de altas prestaciones BIGMAT ULTRACOLOR PLUS para piezas cerámicas interior y exterior de 2 a 20 mm. Fraguado y secado rápido.   Ref. lp-00540944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blanco.</t>
  </si>
  <si>
    <t>Mapefer 1K es un mortero monocomponente, a base de conglomerantes cementosos, polímeros en polvo e inhibidores de la corrosión, para aplicar sobre los hierros de la armadura y prevenir la formación de óxido, según una formulación desarrollada en los Laboratorios de Investigación MAPEI.   Ref. lp-00540914
PREPARACIÓN DEL PRODUCTO: En un recipiente limpio que contenga 1,0-1,1 litros de agua limpia, verter lentamente, bajo agitación, 5 kg de Mapefer 1K. Mezclar el producto durante algunos minutos hasta obtener una pasta homogénea, exenta de grumos. Mapefer 1K se debe aplicar antes de que transcurra 1 hora desde su preparación.
APLICACIÓN: Extender Mapefer 1K a brocha, en dos capas. La segunda capa puede aplicarse después de, aproximadamente, 2 horas desde la aplicación de la primera y, preferiblemente, antes de que transcurran 24 horas. Se recomienda cubrir completamente y de manera homogénea la superficie del hierro. El espesor total de las dos capas deberá ser de, aproximadamente, 2 mm. Durante la aplicación del producto, se manchará inevitablemente el hormigón presente alrededor de las armaduras; esto no perjudica en ningún caso la adherencia de los morteros que se empleen en la restauración posterior. La reparación con los productos de la línea Mapegrout debe realizarse sobre Mapefer 1K seco (aproximadamente 6 horas a una
temperatura de +20°C).
CONSUMO: 100 g/m de producto para una barra de 8 mm de diámetro y 200 g/m para una barra de 16 mm (2 mm de producto aplicado). Rendimiento aproximado: 4 kg/m2.</t>
  </si>
  <si>
    <t>Mortero antimoho, hidrorepelente y no irritante para rejuntado de altas prestaciones BIGMAT ULTRACOLOR PLUS para piezas cerámicas interior y exterior de 2 a 20 mm. Fraguado y secado rápido.   Ref. lp-00540946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chocolate.</t>
  </si>
  <si>
    <t>Mortero antimoho, hidrorepelente y no irritante para rejuntado de altas prestaciones BIGMAT ULTRACOLOR PLUS para piezas cerámicas interior y exterior de 2 a 20 mm. Fraguado y secado rápido.   Ref. lp-00540947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grafito.</t>
  </si>
  <si>
    <t>ma-lp-00540950</t>
  </si>
  <si>
    <t>Mortero juntas ULTRACOLOR PLUS BIGMAT 2 a 20 mm; color marfil (5 kg/saco).   Ref. lp-00540950</t>
  </si>
  <si>
    <t>Mortero antimoho, hidrorepelente y no irritante para rejuntado de altas prestaciones BIGMAT ULTRACOLOR PLUS para piezas cerámicas interior y exterior de 2 a 20 mm. Fraguado y secado rápido.   Ref. lp-00540950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MARFIL.</t>
  </si>
  <si>
    <t>ma-lp-00559951</t>
  </si>
  <si>
    <t>Mortero de reparación estructural R4 PROPAM REPAR TECHNO 40 (25 kg/saco).   Ref. lp-00559951</t>
  </si>
  <si>
    <t>PROPAM REPAR TECHNO 40 es un mortero de reparación tixotrópico de alta adherencia monocomponente sin retracción, de muy altas resistencias mecánicas y reforzado con fibras, especialmente formulado para la reparación estructural del hormigón bajo ambientes agresivos. Cumple con los requerimientos de las normas EN 1504-3 clase R4, EN 1504-2 y EN 1504-7. Dispone de Marcado CE 2+, para usos en edificación y obras de ingeniería civil de todo tipo. Consumo: 18 kg/m2 por cm de espesor.   Ref. lp-00559951
Permite la ejecución de la reparación estructural con un solo producto y en un solo paso. Resistente a sulfatos. Alta tixotropía, aplicable en espesores de 2 a 50 mm, manualmente o por proyección. Elevadas resistencias mecánicas. Sin retracción y reforzado con fibras, no fisura. Su cuidada granulometría le proporciona un acabado cosmético similar al del hormigón original No contiene cloruros, su alto pH protege contra la corrosión a los elementos metálicos como armaduras, anclajes, etc. Excelente adherencia al hormigón, incluso sobre soportes poco porosos. Impermeable. Aplicable en interiores y exteriores. Alta resistencia a la carbonatación y a los ciclos hielo-deshielo. Aplicable por proyección. Soporta temperaturas entre -50ºC y +500ºC. Excelente trabajabilidad. Protege la armadura de la corrosión inhibiendo su oxidación.</t>
  </si>
  <si>
    <t>ma-lp-00561381</t>
  </si>
  <si>
    <t>Mortero para enfoscados PROPAM REVAT CAL FONDO (25 kg/saco). Ref. lp-00561381</t>
  </si>
  <si>
    <t>El mortero PROPAM REVAT CAL FONDO está indicado como revestimiento capa de agarre sobre muros de difícil adherencia, como los de piedra o mixtos, previo a la realización de revocos.   Ref. lp-00561381
Facilidad de aplicación y excelente adherencia. Adecuado para proyección mecánica o manual. Contiene una adición de ligante hidráulico inferior al 5% que confiere al mortero de una resistencia inicial mayor y una mejor adherencia al soporte. Espesor mínimo aplicación 5mm. Elevada transpirabilidad. Apto para interiores y exteriores. El consumo aproximado es de 15,5 Kg/m2 por cada cm de espesor (las deficiencias de planeidad pueden alterar este indicador).</t>
  </si>
  <si>
    <t>PROPAM REVAT CAL TRADICIONAL es un mortero en base a cal aérea, áridos seleccionados, fibras especiales y diferentes aditivos que proporcionan un acabado decorativo al edificio (fachada e interiores). Indicado para obras de restauración y rehabilitación en las que se requieren morteros con características tradicionales. El consumo aproximado de REVAT CAL TRADICIONAL es de 13 Kg/m2 por cada cm de espesor (las deficiencias de planeidad pueden alterar este indicador).Colores: Blanco, Hueso, Marfil, Paja, Piedra, Beige, Tostado, Gamuza, Amarillo, Ocre, Teja, Rubí.   Ref. lp-00561384</t>
  </si>
  <si>
    <t>ma-lp-00561424</t>
  </si>
  <si>
    <t>Mortero de reparación estructural R4 PROPAM REPAR 910 R (25 kg/saco).   Ref. lp-00561424</t>
  </si>
  <si>
    <t>PROPAM REPAR 910 R es un mortero de reparación tixotrópico, de fraguado rápido y de alta adherencia, monocomponente sin retracción, de alta resistencia mecánica y reforzado con fibras, especialmente formulado para la reparación estructural del hormigón. Cumple con los requerimientos de la clase R3 de la norma EN 1504-3. Dispone de Marcado CE 2+, para usos en edificación y obras de ingeniería civil de todo tipo.   Ref. lp-00561424
Alta tixotropía, aplicable en espesores de 3 a 30 mm. Fraguado y endurecimiento rápido, permite una rápida puesta en servicio. Elevadas resistencias mecánicas. Sin retracción y reforzado con fibras, no fisura. Su cuidada granulometría proporciona un acabado similar al del hormigón original. No contiene cloruros, su alto pH protege contra la corrosión a los elementos metálicos como armaduras, anclajes, etc. Excelente adherencia al hormigón, incluso sobre soportes poco porosos. Impermeable. Aplicable en interiores y exteriores. Alta resistencia a la carbonatación y a los ciclos hielo-deshielo. Soporta temperaturas entre -50ºC y +500ºC. Excelente trabajabilidad. Consumo: 19 kg/m2 por cm de espesor.</t>
  </si>
  <si>
    <t>ma-lp-00563052</t>
  </si>
  <si>
    <t>Mortero juntas ULTRACOLOR PLUS BIGMAT 2 a 20 mm; color marrón (5 kg/saco).   Ref. lp-00563052</t>
  </si>
  <si>
    <t>Mortero antimoho, hidrorepelente y no irritante para rejuntado de altas prestaciones BIGMAT ULTRACOLOR PLUS para piezas cerámicas interior y exterior de 2 a 20 mm. Fraguado y secado rápido. ULTRACOLOR PLUS es un mortero cementoso (C) para juntas (G) mejorado (2), con reducida absorción de agua (W) y elevada resistencia a la abrasión (A), de clase CG2WA. Sirve para Rejuntado, en interior y exterior, de pavimentos y revestimientos de cerámica de cualquier tipo (bicocción, monococción, gres porcelánico, clínker, etc.), terracota, material pétreo (piedras naturales, mármol, granito, aglomerados, etc.) y mosaico vítreo y de mármol. Duración de la mezcla: 20-25 min. Saco de 5 kg; color marrón.   Ref. lp-00563052</t>
  </si>
  <si>
    <t>MORCEMSEC Enlucido con Cal GP CSIII W2 Mortero de revestimiento en base cal aérea. Para enlucir en capa gruesa, sobre fábricas de ladrillo cerámico, bloque de hormigón o soportes similares. Impermeable al agua de lluvia y muy permeable al vapor de agua. Producto a base de cal aérea y conglomerantes hidráulicos, áridos seleccionados y aditivos.   Ref. lp-00564971
Características y aplicaciones En interior y exterior. Buena opción tanto para obra nueva como para rehabilitación. Elevada permeabilidad al vapor de agua e impermeabilidad frente a la lluvia. Mejora de la habitabilidad. Aplicación manual o mecánica. Acabado raspado fino y fratasado. Gran adherencia. Excelente trabajabilidad, su elevada plasticidad facilita la ejecución del trabajo en todo momento. Espesores de aplicación de hasta 20 mm sin descuelgue.</t>
  </si>
  <si>
    <t>ma-lp-00565011</t>
  </si>
  <si>
    <t>Mortero para enlucido MORCEM ESTUCO FINO (25 kg/saco).   Ref. lp-00565011</t>
  </si>
  <si>
    <t>Mortero MORCEM ESTUCO FINO a base de cal aérea para revestimiento y decoración. Para enlucidos de acabado raspado fino, fratasado o liso, tanto sobre enfoscados de morteros de cemento como directamente sobre el cerramiento. Color blanco. Saco de 25 kg.   Ref. lp-00565011</t>
  </si>
  <si>
    <t>Mortero de revestimiento en base cal aérea, para enlucidos de acabado raspado fino, fratasado o liso, tanto sobre enfoscados de morteros de cemento como directamente sobre el cerramiento. Impermeable al agua de lluvia y muy permeable al vapor de agua. Rendimiento: 16 kg/m por cm de espesor.   Ref. lp-00568965</t>
  </si>
  <si>
    <t>ma-lp-00568997</t>
  </si>
  <si>
    <t>Mortero aligerado y aislante LATERMIX CEM MINI de LATERLITE (50 litros/saco).   Ref. lp-99999999</t>
  </si>
  <si>
    <t>LATERMIX CEM MINI es un hormigón ligero y aislante predosificado en saco, para recrecidos, soleras, nivelados, pendientes de cubierta, a base de arcilla expandida especial hidrófoba LATERLITE PLUS. El amasado de LATERMIX CEM MINI con agua permite obtener un hormigón ligero aislante, compacto y multiuso, para interiores y exteriores, ideal para recrecer suelos y crear pendientes en forjados y cubiertas. Su resistencia y terminación cerrada permiten la aplicación directa de solados, adheridos o flotantes, e impermeabilizaciones, sin capas de regularización previas.   Ref. lp-99999999
LATERMIX CEM MINI (marcado CE según UNE EN 13813 – Mortero para Recrecidos y Acabados de Suelos) es el hormigón ligero ideal para recrecidos, soleras, nivelados, y pendientes de cubierta, porque gracias a su bajo peso, su resistencia, su capacidad aislante, su terminación y su facilidad de puesta en obra, permite reducir las cargas sobre los forjados y cubiertas, con una buena resistencia mecánica, combinados con un buen aislamiento térmico y una excelente durabilidad. LATERMIX CEM MINI es un soporte idóneo tanto para la colocación del pavimento final en obras de rehabilitación, como para formación de pendientes y soporte de la impermeabilización en cubiertas, por la combinación de todas estas propiedades. Rendimiento Aprox.: 0,21 sacos/m2 por cada cm de espesor (en función de la compactación).</t>
  </si>
  <si>
    <t>LONGIPS PREMIUM SAN MARTÍN de PLACO es un producto con base yeso y fraguado controlado con una nueva fórmula que mejora la trabajabilidad y optimiza los tiempos de empleo, además de ofrecer una imagen totalmente innovadora. Su aplicación es manual, y se utiliza como revestimiento de guarnecidos interiores tanto verticales como horizontales.   Ref. lp-00579020.
Aplicación de guarnecidos interiores en paramentos horizontales y verticales. Puede ser lucido con nuestro fino manual Iberfino. Acabados listos para pintar También se usa como elemento ligante en el levantado de la tabiquería interior Temperatura de aplicación recomendada de 5ºC a 40ºC Rango de espesores recomendados entre 1-2 cm Apto para: Rehabilitación o nueva construcción.</t>
  </si>
  <si>
    <t>ma-lp-00580313</t>
  </si>
  <si>
    <t>Cemento portland gris Ultra CEM II/A-V 52,5R de REZOLA (25 kg/saco).   Ref. lp-00580313</t>
  </si>
  <si>
    <t>Cemento portland gris Ultra CEM II/A-V 52,5R de REZOLA es un cemento de muy altas resistencias mecánicas iniciales y finales con endurecimiento rápido, según la norma UNE EN 197-1.   Ref. lp-00580313.
El cemento CEM II/A-V 52,5 R está especialmente recomendado para las siguientes aplicaciones:
• Prefabricados estructurales de muy altas resistencias mecánicas con o sin tratamiento higrotérmico.
• Hormigones fabricados en central y en obra.
• Hormigones armados y pretensados de muy altas resistencias mecánicas.
• Hormigonado en tiempo frío, o en ambiente seco y sometido viento.
• Hormigón proyectado.
• Hormigones que se deban desencofrar o descimbrar a edades tempranas.
• Morteros técnicos, de albañilería y cementos cola.
VENTAJAS:
• El rápido desarrollo de las resistencias iniciales de CEM II/A-V 52,5 R lo hacen especialmente apto para aquellos trabajos que requieran una rápida puesta en obra.
• CEM II/A-V 52,5 R permite un alto rendimiento en plantas de prefabricados al poder desmoldar las piezas a edades más tempranas.
• El rápido desarrollo de las resistencias de CEM II/A-V 52,5 R permite el hormigonado en condiciones climatológicas adversas (tiempo frío, o en ambiente seco y sometido viento).
PUESTA EN OBRA: Durante la puesta en obra de CEM II/A-V 52,5 R se deben considerar los siguientes aspectos:
• Curar y proteger adecuadamente el hormigón.
• En climas fríos o con temperaturas bajas, proteger la superficie del hormigón.
• En circunstancias de ambiente seco, caluroso o con viento, resulta determinante tomar, durante el proceso de ejecución o puesta en obra, las medidas adecuadas especificadas en la reglamentación correspondiente y, en su caso, en el Código Estructural.
• Es responsabilidad del usuario el verificar la idoneidad de uso de los distintos aditivos de hormigón.</t>
  </si>
  <si>
    <t>ma-lp-propamtherm50</t>
  </si>
  <si>
    <t>Mortero monocomponente de cal con muy baja densidad aislante térmico continuo PROPAM THERM 50 de PROPAMSA (5 kg/saco).   Ref. lp-propamtherm50</t>
  </si>
  <si>
    <t>PROPAM THERM 50 (antes PROPAM TERM 50) es un mortero monocomponente de cal de muy baja densidad que actúa como aislamiento térmico continuo por el exterior en fachadas y bajo cubiertas, tanto en obra nueva como en rehabilitación. Rendimiento: 1,80 kg/m2 por cm de espesor.   Ref. lp-propamtherm50.
Está formulado a base de aglomerantes hidráulicos, áridos seleccionados y aditivos específicos. Especialmente efectivo en la resolución de puentes térmicos donde el soporte no es uniforme en planimetría. Solución rápida, económica y eficaz, para conseguir ambientes climáticamente bien protegidos, con el consiguiente ahorro energético.</t>
  </si>
  <si>
    <t>ma-manau-320463-sikagrout212.FLU</t>
  </si>
  <si>
    <t>Mortero (Grout) SIKAGROUT-212 FLUID de SIKA (30 kg/saco).   Ref. manau-320463</t>
  </si>
  <si>
    <t>El SIKAGROUT-212 FLUID es un grout cementoso monocomponente, preparado para mezclar con la adición de agua, de retracción compensada, de alto rendimiento, autonivelante y bombeable. Adecuado para bases de máquinas, rellenos de huecos y anclajes. Espesores: 12 a 100 mm. Consumo Teórico: 30 kg de polvo generan aproximadamente 14,8 litros de mortero.   Ref. manau-320463.
El grout es un mortero muy fluido, autonivelante y sin retracción utilizado para rellenar bases, anclajes y pequeños espacios.</t>
  </si>
  <si>
    <t>ma-manau-33506-sikarepcosmetic</t>
  </si>
  <si>
    <t>Mortero cosmético a base de cemento, áridos y resinas SIKAREP COSMETIC de SIKA; color gris claro (23 kg/saco).   Ref. manau-33506</t>
  </si>
  <si>
    <t>SIKAREP COSMETIC es un mortero para reparaciones superficiales cosméticas, monocomponente, a base de cemento, áridos finos y mejorado con resinas sintéticas que se aplica en capa fina. Consumo: 1.9 kg/m2/mm de mezcla seca; 1.63 kg/m2/mm SIKAREP COSMETIC (consumo mínimo por capa será de 0.9 kg/m2 para un espesor de 0,5 mm; espesor de capa min. 0,5 mm / max. 2 mm).   Ref. manau-33506.
USOS: Es adecuado para su aplicación sobre hormigón, mortero o piedra, en los siguientes casos:
COMO MORTERO DE REPARACIÓN COSMÉTICO PARA EL TRATAMIENTO DE DEFECTOS POR:
• Desprendimiento de la lechada superficial durante el desencofrado.
• Porosidad, pequeñas irregularidades o finos nidos de grava.
• Rotura de aristas.
• Pequeñas fisuras.
COMO MORTERO DE NIVELACIÓN:
• Para elementos prefabricados.
• Para la realización de revocos.
• Para soportes irregulares antes de la colocación de piezas cerámicas.
COMO MORTERO DE MONTAJE:
• Para la obturación de juntas pequeñas sin movimiento.
• Para el relleno de pequeños huecos que dejen tapones, anclajes o tirantes en el hormigón.</t>
  </si>
  <si>
    <t>SIKATOP-209 ES es un mortero bicomponente predosificado, flexible de impermeabilización a base de cemento, áridos seleccionados y polímeros modificados, con módulo de elasticidad bajo, con lo que se consigue una buena flexibilidad, se reduce el riesgo de fisuración y se mejora la capacidad de puentear fisuras de retracción y microfisuras.   Ref. manau-49189.
Consumo: 1,7 kg/m2/mm. Dependerá de la rugosidad del soporte.. En caso de irregularidad del soporte, se regularizará primero con un mortero de la gama Sika Monotop adecuado.
Es impermeable al agua y permeable al vapor de agua. Adecuado tanto a presión positiva como negativa. Excelente adherencia sobre soportes sanos de hormigón, mortero, piedra, ladrillo, etc. Elevada resistencia al hielo y a las sales de deshielo. Frena la progresión de la carbonatación
USOS:
Puede utilizarse para realizar revestimientos de impermeabilización y protección de superficies en los cuales se requiera flexibilidad, con objeto de puentear pequeñas fisuras. Algunos de los sitios más habituales donde se puede utilizar son:
• Depósitos, piscinas, canales u otros elementos destinados a contener agua, sean éstos enterrados o no enterrados.
• Impermeabilización interior de sótanos.
• Impermeabilización exterior de muros enterrados.
• Reparación y protección de superficies expuestas a la acción del hielo y de las sales de deshielo: pretiles de puentes, voladizos de terrazas y azoteas, cornisas, etc..
• Protección de estructuras de hormigón en ambientes marinos.
• Impermeabilización en contacto con agua potable.
Envases: Lotes predosificados de 32 kg (8 kg de comp. A (líquido blanco) y 24 kg de comp. B (polvo gris)).</t>
  </si>
  <si>
    <t>Resina epoxi de inyección bicomponente de baja viscosidad SIKADUR-52 INJECTION LP de SIKA (1 kg/kit A+B en proporción 2:1). Consumo: 1 kg de SIKADUR-52 INJECTION LP es equivalente a 1 litro de resina de inyección.   Ref. mausa-SKDUR52INJ-sikadur52.
SIKADUR-52 INJECTION LP es un producto líquido bicomponente de baja viscosidad para inyecciones, a base de resinas epoxi de altas resistencias, sin disolventes.
Resina de inyección con buena adherencia a hormigón, mortero, piedra, acero y madera. SIKADUR-52 INJECTION LP se usa para rellenar y sellar huecos y fisuras en estructuras tales como puentes y otro tipo de construcciones civiles e industriales incluyendo pilares, vigas, cimentaciones, muros, soleras y depósitos. No sólo forma una barrera efectiva frente a las filtraciones de agua y el avance de la corrosión, también pega o une las secciones de hormigón existentes.
https://www.youtube.com/watch?v=MCKlwg7rqvY
https://www.youtube.com/watch?v=ukwvq0flzxc
https://www.youtube.com/watch?v=tgZ3D8bO3PA
https://www.youtube.com/watch?v=iW0nE-At5Lo
https://www.youtube.com/watch?v=m907DITUbno</t>
  </si>
  <si>
    <t>PROPAM® REPAR 30 es un mortero de reparación tixotrópico, proyectable, de alta adherencia, monocomponente, sin retracción, sulforesistente, de altas resistencias mecánicas y reforzado con fibras. Especialmente formulado para la reparación estructural del hormigón. Cumple con los requerimientos de la clase R3 de la norma EN 1504-3. Dispone de Marcado CE 2+, para usos en edificación y obras de ingeniería civil de todo tipo.Consumo: 19,5 Kg/m2 y cm de espesor.   Ref. prolisur-P1631
Equivalente a SIKA MONOTOP 612.</t>
  </si>
  <si>
    <t>ma-nazza-01</t>
  </si>
  <si>
    <t>Resina epoxídica para estratificados de NAZZA (35,2 kg/pack A+B).   Ref. nazza-01</t>
  </si>
  <si>
    <t>Resina epoxi autonivelante transparente de usos generales con elevada viscosidad para la realización de estratificados, laminados junto a fibra de vidrio, carbono, etc. Totalmente pigmentable. Presenta gran adhesión y resistencia química. Rendimiento: Resina 100% sólidos: 1 mm ? 1 kg/m2; Límite de espesor máximo: 1 cm ? 10 kg/m2.   Ref. nazza-01.
USOS y CARACTERÍSTICAS: Resina epoxi idónea para sistemas estratificados o composites con fibra de vidrio, carbono, aramida; Apta para todo tipo de reparaciones con o sin fibra de vidrio; Por su elevada viscosidad permite aplicar capas finas en superficies verticales sin que descuelgue; Compatible con todas las espumas del mercado: PVC, poliestireno, AIREX y poliuretano; Elevada dureza y resistencia a golpes.</t>
  </si>
  <si>
    <t>Mortero mineral monocapa coloreado, impermeable y transpirable para el revestimiento y decoración de fachadas, indicado para obtener un acabado de raspado o rústico. Consumo 1,500 kg/m2/mm de espesor (espesor de aplicación debe ser mayor a 10 mm).   Ref. om-10484964.
RECOMENDACIONES:
• Aplicar la imprimación WEBERPRIM FX15 sobre hormigones lisos o soportes sin absorción.
• En las uniones entre soportes de diferente naturaleza y puntos singulares, armar el mortero con WEBERTHERM MALLA 200.
• Utilizar junquillos para delimitar los paños de trabajo.
• En caso de colores intensos, aplicar en dos manos para obtener un color homogéneo.
• Espesor de aplicación: 12 a 15 mm por capa (máximo 30 mm en dos capas). Si se aplica sobre enfoscado no superar los 30 mm de espesor entre enfoscado + WEBERPRAL PRISMA.
• Tiempo de raspado: 3 a 10 horas.
• Evitar la escorrentía de agua en la fachada con los elementos constructivos diseñados para tal fin.</t>
  </si>
  <si>
    <t>Mortero reparador R4 de hormigón estructural HORMIPLUS NEO de WEBER con inhibidores de corrosión. Sin descuelgue de elevadas prestaciones mecánicas con protección contra la corrosión de armaduras y armado con fibras. Usos: reparación de hormigones degradados en interiores y exteriores con inhibidores de corrosión. Adecuado para su uso en ambientes marinos. Rendimiento: 18 kg/m2 para 1 cm de espesor (espesor de aplicación 10 a 50 mm).   Ref: om-10764054.
Enlace: https://www.obramat.es/mortero-reparador-r4-weberep-hormiprotec-plus-25-kg-10764054.html</t>
  </si>
  <si>
    <t>ma-pintasalfaz-8412131662217</t>
  </si>
  <si>
    <t>Mortero reperfilado de reparación R2 no estructural de hormigón BMB 6012 de BEISSIER (20 kg/saco).   Ref. pintasalfaz-8412131662217</t>
  </si>
  <si>
    <t>Mortero de reparación R2 no estructural diseñado para su aplicación sobre soportes de hormigón, cemento y similares, para la reconstrucción de perfiles de balcones, escaleras, parcheos en muros, paneles y prefabricados. Para reparaciones en general, no estructurales en las que se necesite unas rápidas resistencias. Consumo aproximado de 1,5 kg/m2 (espesor mín. 3 mm; espesor máx. 10 cm).   Ref. pintasalfaz-8412131662217.
Mortero impermeable en capa superior a 3 mm y permeable al vapor de agua. Buena adhesión, no necesita puentes de adherencia.</t>
  </si>
  <si>
    <t>ma-pintasalfaz-8412131662286</t>
  </si>
  <si>
    <t>Mortero flexible impermeabilizante bicomponente BME 18002/180L de BEISSIER (20 kg/saco).   Ref. pintasalfaz-8412131662286</t>
  </si>
  <si>
    <t>Mortero flexible bicomponente para impermeabilizar terrazas, bases y cubiertas de edificios y depósitos de agua. Membrana líquida de impermeabilización para su uso bajo baldosas de cerámica. Rendimiento aproximado de 1,8 kg/m2 y mm de espesor (espesor final: mínimo 2 mm y máximo 4 mm; 2,5 mm para depósitos de agua).   Ref. pintasalfaz-8412131662286.</t>
  </si>
  <si>
    <t>Revoco decorativo exterior especial para fachadas basado en ligante orgánico modificado con siloxano, esencialmente diseñado para conseguir acabados de diferentes texturas decorativas; acabado ligeramente texturado, imitación de ladrillo caravista, fratasado; de aplicación universal sobre revocos cementíceos, hormigón no hidrófugo, placas de cemento reforzadas, superficies pintadas.Rendimiento: 2 a 3 kg/m2 en 2 mm de espesor (espesor por capa: 1,5 a 2 mm; espesor de aplicación de hasta 5 mm sin fisurar).   Ref. pp-GRANOCRYL.BRS.SL03-C1.
Revestimiento pétreo formulado siguiendo los criterios y recomendaciones de la norma UNE-EN 15824:2010. Resistente al agua y a la humedad. Repele el agua y la suciedad. Permeable al vapor de agua e impermeable al agua. Resistente a la flexión por cambios bruscos de temperatura y a los ataques biológicos.</t>
  </si>
  <si>
    <t>ma-pp-GRANOCRYL.BRS.SL03-C2</t>
  </si>
  <si>
    <t>Mortero al siloxano para revoco decorativo GRANOCRYL BRS SL03 de BEISSIER; color C2 (20 kg/bidón).   Ref. pp-GRANOCRYL.BRS.SL03-C2</t>
  </si>
  <si>
    <t>Revoco decorativo exterior especial para fachadas basado en ligante orgánico modificado con siloxano, esencialmente diseñado para conseguir acabados de diferentes texturas decorativas; acabado ligeramente texturado, imitación de ladrillo caravista, fratasado; de aplicación universal sobre revocos cementíceos, hormigón no hidrófugo, placas de cemento reforzadas, superficies pintadas. Rendimiento: 2 a 3 kg/m2 en 2 mm de espesor (espesor por capa: 1,5 a 2 mm; espesor de aplicación de hasta 5 mm sin fisurar).   Ref. pp-GRANOCRYL.BRS.SL03-C2.
Revestimiento pétreo formulado siguiendo los criterios y recomendaciones de la norma UNE-EN 15824:2010. Resistente al agua y a la humedad. Repele el agua y la suciedad. Permeable al vapor de agua e impermeable al agua. Resistente a la flexión por cambios bruscos de temperatura y a los ataques biológicos.</t>
  </si>
  <si>
    <t>ma-pp-GRANOCRYL.BRS.SL03-C3</t>
  </si>
  <si>
    <t>Mortero al siloxano para revoco decorativo GRANOCRYL BRS SL03 de BEISSIER; color C3 (20 kg/bidón).   Ref. pp-GRANOCRYL.BRS.SL03-C3</t>
  </si>
  <si>
    <t>Revoco decorativo exterior especial para fachadas basado en ligante orgánico modificado con siloxano, esencialmente diseñado para conseguir acabados de diferentes texturas decorativas; acabado ligeramente texturado, imitación de ladrillo caravista, fratasado; de aplicación universal sobre revocos cementíceos, hormigón no hidrófugo, placas de cemento reforzadas, superficies pintadas. Rendimiento: 2 a 3 kg/m2 en 2 mm de espesor (espesor por capa: 1,5 a 2 mm; espesor de aplicación de hasta 5 mm sin fisurar).   Ref. pp-GRANOCRYL.BRS.SL03-C3.
Revestimiento pétreo formulado siguiendo los criterios y recomendaciones de la norma UNE-EN 15824:2010. Resistente al agua y a la humedad. Repele el agua y la suciedad. Permeable al vapor de agua e impermeable al agua. Resistente a la flexión por cambios bruscos de temperatura y a los ataques biológicos.</t>
  </si>
  <si>
    <t>ma-pp-GRANOCRYL.BRS.SL03-blanco</t>
  </si>
  <si>
    <t>Mortero al siloxano para revoco decorativo GRANOCRYL BRS SL03 de BEISSIER; color blanco (20 kg/bidón).   Ref. pp-GRANOCRYL.BRS.SL03-blanco</t>
  </si>
  <si>
    <t>Revoco decorativo exterior especial para fachadas basado en ligante orgánico modificado con siloxano, esencialmente diseñado para conseguir acabados de diferentes texturas decorativas; acabado ligeramente texturado, imitación de ladrillo caravista, fratasado; de aplicación universal sobre revocos cementíceos, hormigón no hidrófugo, placas de cemento reforzadas, superficies pintadas. Rendimiento: 2 a 3 kg/m2 en 2 mm de espesor (espesor por capa: 1,5 a 2 mm; espesor de aplicación de hasta 5 mm sin fisurar).   Ref. pp-GRANOCRYL.BRS.SL03-blanco.
Revestimiento pétreo formulado siguiendo los criterios y recomendaciones de la norma UNE-EN 15824:2010. Resistente al agua y a la humedad. Repele el agua y la suciedad. Permeable al vapor de agua e impermeable al agua. Resistente a la flexión por cambios bruscos de temperatura y a los ataques biológicos.</t>
  </si>
  <si>
    <t>BETOPRIM de PROPAMSA es un recubrimiento a base de cemento, arena de cuarzo, resinas acrílicas e inhibidores de la corrosión, que actúa contra la corrosión, pasivando el acero y presentando una superficie rugosa. Puede emplearse como puente de unión para mejorar la adhesión de hormigón viejo con hormigón nuevo o con morteros de reparación. Constituye un medio altamente alcalino y electroquímicamente activo, que actúa contra la corrosión, pasivando el acero y presentando una superficie rugosa.   Ref. prolisur-01
BETOPRIM es un recubrimiento a base de cemento, arena de cuarzo, resinas acrílicas e inhibidores de la corrosión. Puede emplearse como puente de unión previo a la aplicación de morteros de reparación. 
BETOPRIM cumple con los requerimientos de la norma EN 1504-7, y se utiliza como pasivante del acero de las armaduras para protegerlas de la corrosión en:
• Trabajos de rehabilitación del hormigón afectado por la corrosión de las armaduras debido a la carbonatación, ciclos hielo-deshielo, contaminación ambiental, etc.
• Nuevas obras sometidas a ambientes agresivos.
• Plantas industriales químicas, torres de refrigeración, etc.
• Obras marinas, pantalanes, emisarios, etc.
• Depuradoras de aguas residuales.
• Como medida preventiva en obras de hormigón armado con poco recubrimiento y con riesgo de corrosión de las armaduras o contaminado por cloruros.
CONSUMO: Con 1 kg de BETOPRIM se puede tratar de 0,8 a 1 m2. Dependiendo de la rugosidad del soporte, cada aplicación origina un espesor de capa seca de 0,5 a 1 mm. Se recomienda siempre para la protección de armaduras la aplicación de 2 capas; no obstante, el consumo final dependerá en gran medida del estado y porosidad del soporte.</t>
  </si>
  <si>
    <t>Revoco de cal coloreado en capa fina para acabados lisos en la decoración de interiores, exteriores, fachadas y techos. Rendimiento: 1,70 kg/m² por mm de espesor.   Ref. prolisur-05.
SOPORTES: Hormigón, Mortero de cemento, Mortero de cal, WEBERCAL BASIC, WEBEREV HIDRO.</t>
  </si>
  <si>
    <t>Mortero mineral de cal con conglomerantes hidráulicos, diseñado para el uso como base de enfoscado de todo tipo de soluciones bicapa y especialmente indicado para soluciones bicapa en base cal con revestimientos de acabado como revocos o estucos. Rendimiento: 1,6 kg/m2 por mm de espesor.   Ref. prolisur-06.
SOPORTES: Cerramientos de ladrillo; Bloque de termoarcilla; Bloque de hormigón; Enfoscados de mortero tradicional tipo M-7,5.</t>
  </si>
  <si>
    <t>Mortero mineral de cal aérea con conglomerantes hidráulicos áridos de granulometría compensada y aditivosorgánicos e inorgánicos, diseñado para el uso como base de enfoscado de todo tipo de soluciones bicapa y especialmente indicado para soluciones bicapa en base cal con revestimientos de acabado como revocos o estucos. Consumo: 1,6 kg/m2 por mm de espesor (espesor de aplicación: 10 a 15 mm por capa (máximo 30 mm en 2 capas)).   Ref. prolisur-07.
SOPORTES: Cerramientos de ladrillo; Bloque de termoarcilla; Bloque de hormigón; Enfoscados de mortero tradicional tipo M-7,5. Aplicar la imprimación WEBERPRIM FX15 sobre hormigones lisos o soportes sin absorción. En las uniones entre soportes de diferente naturaleza y puntos singulares, armar el mortero con WEBERTHERM MALLA 200.</t>
  </si>
  <si>
    <t>DESCRIPCION DEL PRODUCTO SIKATOP ARMATEC-110 EPOCEM en un revestimiento cementoso con resinas epoxi modificadas, de tres componentes y con inhibidor de corrosión usado para la protección de las armaduras del hormigón frente a la corrosión y como capa de adherencia. Consumo: Como capa de adherencia ~1,5 a 2,0 kg/m2/mm, dependiendo de la rugosidad del soporte; Como revestimiento anticorrosión ~ 2,0 kg/m2 y capa (~ 1 mm de espesor); en total mínimo dos capas aplicadas (~ 2 mm de espesor).   Ref. s.lucia-sika.armatec110epocem.
Adecuado para: Control de las áreas anódicas (Principio 11, método 11.1 de la UNE-EN 1504-9); Reparación de hormigón armado como protección frente a la corrosión de las armaduras; su uso como puente de adherencia en hormigón y mortero.
CARACTERISTICAS / VENTAJAS:
• Contiene Tecnología EPOCEM – agente de adherencia mejorado.
• Tiempo abierto ampliado para los morteros de reparación.
• Compatible con la mayoría de los morteros de reparación Sika MonoTop.
• Excelente adherencia al acero y al hormigón
• Contiene inhibidores de corrosión. Certificado para la aplicación bajo condiciones de carga dinámica.</t>
  </si>
  <si>
    <t>ma-s.lucia-sikadur31-06</t>
  </si>
  <si>
    <t>Adhesivo Epoxi Bicomponente para Adhesión Estructural y Reparación del Hormigón SIKADUR-31+ de SIKA (6 kg/pack A +B).   Ref. s.lucia-sikadur31-06</t>
  </si>
  <si>
    <t>Sikadur-31+ es un adhesivo estructural de 2 componentes, de bajas emisiones (low COV), en base epoxi, tolerante a la humedad, tixotrópico, que se adhiere a la mayoría de los materiales de construcción. Consumo 2.0 kg/m2 por mm de espesor. Nota: Los datos de consumo son teóricos y no tienen en cuenta ningún material adicional debido a la porosidad de la superficie, el perfil de la superficie, las variaciones de nivel, las mermas o cualquier otra variación. Ref. s.lucia-sikadur31-06.
Tiene una elevada resistencia mecánica y también puede utilizarse para reparaciones estructurales de hormigón, relleno de juntas y sellado de fisuras. Sikadur-31+ puede utilizarse en aplicaciones de bricolaje (DIY), además de en las aplicaciones profesionales tradicionales.
Aplique el producto en una zona de prueba para calcular el consumo exacto para las condiciones específicas del soporte y el equipo de aplicación propuesto. Espesor de Capa 30 mm máx. Como adhesivo no estructural u otras aplicaciones, si se requieren espesores de capa superiores a 30 mm, se deberá aplicar en capas sucesivas de 30 mm una vez que la capa anterior haya endurecido. Las superficies de las capas recién aplicadas deberán ser rayadas para crear rugosidad para las capas posteriores. Si la aplicación de las capas sucesivas se realizase pasados 2 días, el nuevo adhesivo debe ser saturado con arena de cuarzo inmediatamente después de la aplicación.</t>
  </si>
  <si>
    <t>ma-s.lucia-sikadur31-30</t>
  </si>
  <si>
    <t>Adhesivo Epoxi Bicomponente para Adhesión Estructural y Reparación del Hormigón SIKADUR-31+ de SIKA (30 kg/pack A +B).   Ref. s.lucia-sikadur31-30</t>
  </si>
  <si>
    <t>Sikadur-31+ es un adhesivo estructural de 2 componentes, de bajas emisiones (low COV), en base epoxi, tolerante a la humedad, tixotrópico, que se adhiere a la mayoría de los materiales de construcción. Consumo 2.0 kg/m2 por mm de espesor. Nota: Los datos de consumo son teóricos y no tienen en cuenta ningún material adicional debido a la porosidad de la superficie, el perfil de la superficie, las variaciones de nivel, las mermas o cualquier otra variación. Ref. s.lucia-sikadur31-30.
Tiene una elevada resistencia mecánica y también puede utilizarse para reparaciones estructurales de hormigón, relleno de juntas y sellado de fisuras. Sikadur-31+ puede utilizarse en aplicaciones de bricolaje (DIY), además de en las aplicaciones profesionales tradicionales.
Aplique el producto en una zona de prueba para calcular el consumo exacto para las condiciones específicas del soporte y el equipo de aplicación propuesto. Espesor de Capa 30 mm máx. Como adhesivo no estructural u otras aplicaciones, si se requieren espesores de capa superiores a 30 mm, se deberá aplicar en capas sucesivas de 30 mm una vez que la capa anterior haya endurecido. Las superficies de las capas recién aplicadas deberán ser rayadas para crear rugosidad para las capas posteriores. Si la aplicación de las capas sucesivas se realizase pasados 2 días, el nuevo adhesivo debe ser saturado con arena de cuarzo inmediatamente después de la aplicación.</t>
  </si>
  <si>
    <t>ma-s.lucia-sikadur42sp-05</t>
  </si>
  <si>
    <t>Mortero Autonivelante y Tricomponente a base de Resina Epoxi SIKADUR 42 SP de SIKA (5 kg/pack).   Ref. s.lucia-sikadur42sp-05</t>
  </si>
  <si>
    <t>Mortero de altas resistencias mecánicas y sin retracción, de tres componentes, a base de resinas epoxi sin disolventes y cargas de granulometría especial, para colocar por vertido, dada su fluidez y facilidad de colocación. Espesor de Capa: 6 a 50 mm/capa. Consumo: 1,9 kg/litro de mezcla.   Ref. s.lucia-sikadur42sp-05.
Recomendable para: Fijación de pernos y anclajes en superficies horizontales; Anclajes de armaduras en el hormigón en superficies horizontales (taladro vertical); Relleno bajo placas de apoyo en puentes o bancadas de máquinas; Relleno de grandes grietas y oquedades en el hormigón.
Resistencia a Compresión: 80-90 N/mm2 (EN 196/1); Módulo de Elasticidad a Compresión; 19000 N/mm2 (UNE EN ISO 527); Resistencia a Flexión: 30-40 N/mm2 (EN 196/1); Adherencia bajo Tracción: &gt; 3 N/mm2 sobre hormigón, y 17,5 N/mm2 sobre acero.</t>
  </si>
  <si>
    <t>ma-s.lucia-sikadur42sp-20</t>
  </si>
  <si>
    <t>Mortero Autonivelante y Tricomponente a base de Resina Epoxi SIKADUR 42 SP de SIKA (20 kg/pack).   Ref. s.lucia-sikadur42sp-20</t>
  </si>
  <si>
    <t>Mortero de altas resistencias mecánicas y sin retracción, de tres componentes, a base de resinas epoxi sin disolventes y cargas de granulometría especial, para colocar por vertido, dada su fluidez y facilidad de colocación. Espesor de Capa: 6 a 50 mm/capa. Consumo: 1,9 kg/litro de mezcla.   Ref. s.lucia-sikadur42sp-20.
Recomendable para: Fijación de pernos y anclajes en superficies horizontales; Anclajes de armaduras en el hormigón en superficies horizontales (taladro vertical); Relleno bajo placas de apoyo en puentes o bancadas de máquinas; Relleno de grandes grietas y oquedades en el hormigón.
Resistencia a Compresión: 80-90 N/mm2 (EN 196/1); Módulo de Elasticidad a Compresión; 19000 N/mm2 (UNE EN ISO 527); Resistencia a Flexión: 30-40 N/mm2 (EN 196/1); Adherencia bajo Tracción: &gt; 3 N/mm2 sobre hormigón, y 17,5 N/mm2 sobre acero.</t>
  </si>
  <si>
    <t>ma-s.lucia-sikadurprimer.eg</t>
  </si>
  <si>
    <t>Imprimante anticorrosivo bicomponente a base de resinas epoxi y fosfato de zinc SIKADUR PRIMER EG (PHOSPHATE) de SIKA (5 kg/kit).   Ref. s.lucia-sikadurprimer.eg</t>
  </si>
  <si>
    <t>SIKADUR PRIMER EG (PHOSPHATE) Imprimación anticorrosiva a base de resinas epoxi y fosfato de zinc. Imprimación anticorrosiva de dos componentes, a base de resinas epoxi curadas con poliamidas, y fosfato de zinc, de color rojo óxido y con disolventes. Consumo/Dosificación Aprox. 0,250 a 0,300 kg/m2 para un espesor teórico de película seca de 80-100 micras (Proporciones de mezcla en peso: Componente A =9 partes; Componente B = 1 parte).   Ref. s.lucia-sikadurprimer.eg.
USOS: Protección anticorrosiva sobre acero, metales ferrosos y aluminio, previamente a la aplicación de pinturas de resinas epoxi (SIKAGUARD) en: Tuberías, conducciones metálicas; Puentes; Contenedores; Construcciones metálicas en ambientes agresivos; Plantas depuradoras de aguas residuales, etc.; Capa de adherencia sobre galvanizado, previa a la aplicación de un revestimiento a base de resinas epoxi.</t>
  </si>
  <si>
    <t>SIKAFLOOR-156 es una resina epoxi bicomponente de baja viscosidad y libre de disolventes. Resina epoxi con un 100% de contenido en sólidos. Consumos: Ver Tabla de Consumos en imagen anexa.   Ref. s.lucia-sikafloor156-10kg.
USOS:
• Para imprimar hormigón, soportes cementosos y morteros epoxi.
• Para superficies de normal a muy alta absorción.
• Como ligante para capas de nivelación y capas base.
• Para su uso tanto en interiores como en exteriores.</t>
  </si>
  <si>
    <t>SIKAFLOOR 420 es un revestimiento monocomponente de alta elasticidad, de poliuretano con disolventes, resistente a los rayos UV, coloreado y que cura con la humedad ambiental. Producto equivalente: SIKAFLOOR 400 N ELASTIC. Consumo: 0,3 a 1,2 kg/m2 (dependiendo de la aplicación).   Ref. s.lucia-sikafloor420-15lt.
USOS: Revestimiento para soportes de hormigón y cementosos, lisos o antideslizantes, con resistencia a los rayos UV y abrasión e impermeable.
• Para exposición mecánica ligera a media.
• Para balcones, terrazas, pasarelas peatonales, escaleras etc.
CARACTERÍSTICAS/VENTAJAS: Formulación con bajo olor Alto contenido de sólidos.
• Murado por humedad.
• Buena resistencia a UV y amarilleamiento.
• Resistente a la intemperie.
• Resistente a la abrasión bajo uso normal.
• Son posibles superficies antideslizantes.
• Una gama de diferentes acabados disponible.</t>
  </si>
  <si>
    <t>ma-s.lucia-sikamonotop-620-blanc</t>
  </si>
  <si>
    <t>Mortero de Reparación R3 en Capa Fina, Alisado y Regularización de Superficies de Hormigón SIKA MONOTOP-620 de SIKA (25 kg/saco).   Ref. s.lucia-sikamonotop-620-blanco</t>
  </si>
  <si>
    <t>SIKA MONOTOP-620 es un mortero de reparación estructural en capa fina, monocomponente (predosificado, solamente necesita la adición de agua) a base de cemento, áridos seleccionados, humo de sílice y resinas sintéticas, que cumple con los requerimientos de la clase R3 de la UNE EN 1504-3. Consumo 2,02 kg de mezcla fresca por m2 y mm. de espesor. Aprox. 1,74 kg de SIKA MONOTOP-620 por m2 y mm. de espesor (espesor de capa: Gris: mín. 1,5 mm / máx. 5,0 mm; Blanco: mín. 1,0 mm / máx.3,0 mm).   Ref. s.lucia-sikamonotop-620-blanco
Excelente adherencia al soporte, sin imprimación. Baja retracción. Proyectable mecánicamente por vía húmeda. No es corrosivo ni tóxico. Clasificación al fuego: A1 para el SIKA MONOTOP-620 Gris; y A2 para el SIKA MONOTOP-620 blanco.
USOS: Puede aplicarse con armadura o sin ella, sobre superficies de hormigón, mortero de obra o morteros de la gama SIKA TOP / SIKAMONOTOP, y está indicado para:
• Sellado de poros, sobre soporte de hormigón o mortero.
• Revestimiento en capa delgada de elementos estructurales verticales u horizontales en Edificación e Ingeniería Civil.
• Regularización de superficies de hormigón.
• Reparaciones de pequeño espesor: relleno de coqueras, nidos de grava en el hormigón, etc.
• Trabajos de reparación de aristas, reperfilado de labios de juntas, etc.
• Adecuado para trabajos de reparación de hormigón (Principio 3, método 3. y 3.3 de la UNE-EN 1504-9). Reparación de desconchones y deterioros del hormigón en edificios, puentes, infraestructuras y superestructuras.</t>
  </si>
  <si>
    <t>SIKA MONOTOP-620 es un mortero de reparación estructural en capa fina, monocomponente (predosificado, solamente necesita la adición de agua) a base de cemento, áridos seleccionados, humo de sílice y resinas sintéticas, que cumple con los requerimientos de la clase R3 de la UNE EN 1504-3. Consumo 2,02 kg de mezcla fresca por m2 y mm. de espesor. Aprox. 1,74 kg de SIKA MONOTOP-620 por m2 y mm. de espesor (espesor de capa: Gris: mín. 1,5 mm / máx. 5,0 mm; Blanco: mín. 1,0 mm / máx.3,0 mm).   Ref. s.lucia-sikamonotop-620-gris
Excelente adherencia al soporte, sin imprimación. Baja retracción. Proyectable mecánicamente por vía húmeda. No es corrosivo ni tóxico. Clasificación al fuego: A1 para el SIKA MONOTOP-620 Gris; y A2 para el SIKA MONOTOP-620 Blanco.
USOS: Puede aplicarse con armadura o sin ella, sobre superficies de hormigón, mortero de obra o morteros de la gama SIKA TOP / SIKAMONOTOP, y está indicado para:
• Sellado de poros, sobre soporte de hormigón o mortero.
• Revestimiento en capa delgada de elementos estructurales verticales u horizontales en Edificación e Ingeniería Civil.
• Regularización de superficies de hormigón.
• Reparaciones de pequeño espesor: relleno de coqueras, nidos de grava en el hormigón, etc.
• Trabajos de reparación de aristas, reperfilado de labios de juntas, etc.
• Adecuado para trabajos de reparación de hormigón (Principio 3, método 3. y 3.3 de la UNE-EN 1504-9). Reparación de desconchones y deterioros del hormigón en edificios, puentes, infraestructuras y superestructuras.</t>
  </si>
  <si>
    <t>ma-s.lucia-sikamonotop.412.SFG</t>
  </si>
  <si>
    <t>Mortero monocomponente de reparación estructural R4 con inhibidores de corrosión SIKA MONOTOP 412 SFG (25 kg/saco).   Ref. s.lucia-sikamonotop.412.SFG</t>
  </si>
  <si>
    <t>SIKA MONOTOP 412 SFG es un mortero de reparación estructural de 1 componente con inhibidores de corrosión, polímero modificado, de baja retracción, reforzado con fibras que cumple con los requisitos de la clase R4 de la UNE-EN 1504-3. No requiere puente de unión, incluso cuando se aplica manualmente. Consumo: Depende de la rugosidad del soporte y el espesor de capa aplicada; como aproximación, se utilizan 19 kg/m2 de polvo por cm de espesor (1 saco rinde aproximadamente 13,9 litros de mortero).   Ref. s.lucia-sikamonotop.412.SFG.
ADECUADO PARA:
• Trabajos de reparación de hormigón (Principio 3, método 3.1 y 3.3 de la UNE-EN 1504-9). Reparación de desconchones y daños del hormigón en edificios, puentes, infraestructuras y superestructuras.
• Trabajos de refuerzo estructural del hormigón (Principio 4, método 4.4 de la UNE-EN 1504-9). Incremento de la capacidad portante de las estructuras de hormigón mediante la adición de mortero.
• Conservación o restauración del pasivado (Principio 7, método 7.1 y 7.2 de la UNE-EN 1504-9). Incremento del recubrimiento con mortero adicional y sustitución del hormigón contaminado o carbonatado.
ESTRUCTURA DEL SISTEMA:
Mortero de reparación: SIKA MONOTOP 412 SFG Mortero de reparación estructural para aplicación a mano o por proyección (Tipo R4)
Capa de acabado: SIKA MONOTOP 620 Mortero tapaporos y de acabado en capa fina
Detalles de Aplicación:
Consumo: Depende de la rugosidad del soporte y el espesor de capa aplicada. Como aproximación, se utilizan 19 kg de polvo por cm de espesor y m2. 1 saco rinde aproximadamente 13,9 litros de mortero.
Calidad del soporte Hormigón:
El hormigón debe estar completamente limpio, libre de polvo, material suelto o mal adherido, contaminantes superficiales y materiales que puedan reducir la adherencia o prevenir la succión o mojado de los materiales de reparación.
Armaduras de acero:
Se deben eliminar restos de óxido, mortero, hormigón, polvo y otros materiales que puedan impedir la adherencia o que contribuyan a la corrosión. También se deben contemplar los requisitos específicos de la EN1504-10.
Preparación del soporte/Imprimación:
Hormigón: Se debe eliminar el hormigón débil, dañado y deteriorado y, donde sea necesario, el hormigón sano, por medios mecánicos adecuados.
Armadura: Las superficies se deben preparar utilizando técnicas de chorro abrasivo o agua a alta presión.
Imprimación de adherencia: Normalmente no se necesita imprimación sobre una superficie preparada con la rugosidad adecuada. Cuando no se requiera imprimación es necesaria una humectación superficial previa del soporte. No se debe dejar que la superficie se seque antes de aplicar el mortero de reparación. La superficie debe adquirir una apariencia mate oscura, sin brillos ni encharcamientos y los poros superficiales no deben contener agua. Cuando sea necesario un puente de adherencia, aplicar SIKA MONOTOP 910 S (consultar su Hoja de Datos de Producto) o con el mismo producto - SIKAMONOTOP 412 SFG - preparar una lechada y aplicar con una brocha dura presionando sobre el soporte prehumedecido. En ambos casos la aplicación posterior del mortero se debe hacer “fresco sobre fresco”, cuando el Puente de adherencia todavía no haya endurecido.
Revestimiento de la armadura: Donde se requiera un revestimiento de la armadura como barrera (por ejemplo, en caso de recubrimiento del hormigón insuficiente), aplicar en todo el perímetro de la armadura dos capas de SIKA MONOTOP 10 S (consultar su Hoja de Datos de Producto).</t>
  </si>
  <si>
    <t>ma-s.lucia-sikamonotop1010ES</t>
  </si>
  <si>
    <t>Mortero pasivador de armaduras e imprimante de adherencia SIKA MONOTOP 1010 ES (4kg/envase).   Ref. s.lucia-sikamonotop1010ES</t>
  </si>
  <si>
    <t>SIKA MONOTOP 1010 (antes SIKA MONOTOP 910) es un pasivador de armaduras e imprimación de adherencia en base cementosa que incorpora materias primas recicladas e inhibidores de la corrosión en su composición.   Ref. s.lucia-sikamonotop1010ES.
Consumo Imprimación Suficiente para cubrir la superficie de hormigón en una capa fina rellenando poros y huecos (2,0 kg de polvo por m2 por 1 mm de espesor de capa como estimación). Protección frente a la corrosión 2 mm de espesor mínimo (1 a 1,5 kg de polvo por m2 por capa de 1 mm de espesor como estimación). Nota: Los datos de consumo son teóricos y no tienen en cuenta ningún material adicional debido a la porosidad de la superficie, el perfil de la superficie, las variaciones de nivel, mermas o cualquier otra variación. Rendimiento 4 kg de polvo ~2.0 L de mortero.
SIKA MONOTOP 1010 ES es un pasivador de armaduras, cementoso, monocomponente, modificado con polímeros. Se utiliza como imprimación de adherencia y como protección anticorrosión de la armadura previo al empleo de morteros de reparación. Contiene inhibidores de corrosión y materias primas recicladas en su composición, lo que supone una menor huella de carbono frente a un mortero de iguales prestaciones.
Ventajas: Fácil de usar, sólo requiere mezclar con agua; Buena adherencia al hormigón y al acero; Buena resistencia a la penetración de agua y cloruros; Se aplica con brocha o mediante proyección húmeda.</t>
  </si>
  <si>
    <t>SIKATOP-122 es un mortero cementoso modificado con resina acrílica, bicomponente, de consistencia pastosa, con altas resistencias mecánicas y gran adherencia al soporte, especialmente diseñado para reparaciones en elementos estructurales de concreto. Consumo: 6,6 kg/m2 para el espesor mínimo de 3 mm (+/-2,2 kg/litro de relleno).   Ref. s.lucia-sikatop122.
USOS:
• Como mortero de reparación o nivelación en estructuras de concreto, tales como: vigas, columnas, postes, graderías, pilotes, tuberías, etc.
• Especialmente indicado para reparaciones de gran espesor, en superficies verticales o sobre cabeza.
• Como recubrimiento de gran adherencia, impermeable, resistente al desgaste y con altas resistencias mecánicas para la protección, reparación y mantenimiento de obras hidráulicas, galerías y túneles. Para la reparación de pisos con altas exigencias mecánicas.
• Para juntas de albañilería de gran resistencia y relleno de hormigueros.</t>
  </si>
  <si>
    <t>Imprimación acrílica pigmentada al agua, de aplicación exterior e interior, especialmente diseñada para consolidar, impermeabilizar, asegurar la consistencia y regularizar el fondo antes de aplicar revestimientos como el Mortero Acrílico Granocryl u otros revestimientos pétreos. Rendimiento Teórico: 6 a 8 m2/kg, según porosidad del soporte.   Ref. stockpinturas-70248-001.
Resistente a la intemperie. Impermeable al agua de lluvia. Transpirable. Permeable al vapor de agua y CO2.</t>
  </si>
  <si>
    <t>Cal grasa en pasta (Hidróxido cálcico CL-90-S), cal envejecida o grasello de cal son sinónimos que definen a esta pasta de cal reposada, madurada y envejecida, muy trabada, fluida y untuosa, de color muy blanco y que es el producto resultante del apagado controlado y consiguiente hidratación de cales vivas seleccionadas y procedentes de la descomposición por calcinación de rocas calizas muy puras.   Ref. todocal-calgrasa.pasta-CL90SPL.
APLICACIONES HABITUALES: Rehabilitaciones (muros, cubiertas y pavimentos); Obra nueva (muros, cubiertas y pavimentos).
PROPIEDADES DEL PRODUCTO
• Cal aérea (carece de fraguado, se carbonata por la presión del anhídrido carbónico).
• Debido a su lenta carbonatación, que puede durar siglos, posee una elasticidad que no se puede conseguir con cales hidráulicas o cementos.
• Enlaza los cuerpos sólidos, por lo cual se emplea como aglomerante.
• Producto natural, sin añadidos ni conservantes, solamente cal y agua.
• Propiedades fungicidas y bactericidas.
• Muy adherente, alta tixotropía.
• Elevada resistencia térmica.
• Permeable al vapor de agua.
• Transpirable.
• Facilidad para extender y trabajar; con esta pasta se obtienen morteros plásticos, grasos y untuosos.
• Muy cremosa, excelente blancura y finura.
• Hidrato en pasta, reposado, madurado y envejecido, el cual puede permanecer en estado amorfo durante años.
• Materia prima para la realización de morteros para enfoscados, revocos y enlucidos, pinturas a la cal, estucos y cualquier tipo de trabajos y acabados para restauraciones de edificios históricos y alta decoración.
https://elcalsinar.com/accesorios/507-1052-cal-en-pasta-lista-al-uso.html#/146-tamanos-15_lt</t>
  </si>
  <si>
    <t>ma-vadequimica-319A5T-00.S02</t>
  </si>
  <si>
    <t>Cal viva / óxido cálcico (20 kg/saco).   Ref. vadequimica-319A5T-00.S02</t>
  </si>
  <si>
    <t>El óxido cálcico micronizado, también conocido con el nombre de Cal Viva, es producto inorgánico, en forma de polvo de color blanco muy fino. El óxido cálcico se puede disolver fácilmente en agua. La solución genera una reacción fuertemente exotérmica y alcalina. Se obtiene por calcinación de la piedra caliza seleccionada por su pureza, en grandes hornos y a altas temperaturas.   Ref.  vadequimica-319A5T-00.S02.
Es producto alcalino, lo que permite regular multitud de procesos industriales y sus propiedades dependen principalmente de su composición química y del tratamiento térmico al que ha sido sometido el mineral, determinando su grado de reactividad.
Se puede utilizar cumpliendo muy diversas funciones tales como:
- Neutralizante.
- Floculante.
- Fundente.
- Lubricante.
- Aglutinante.
- Esterilizante, debido a su elevado PH que le confiere este poder microbiocida y antiparasitario.
- Absorbente.
- Secante (por su reacción exotérmica con el agua).
- Alcalinizante.
- Estabilizante de suelos.</t>
  </si>
  <si>
    <t>MT3456$</t>
  </si>
  <si>
    <t>HORMIGÓN ARMADO</t>
  </si>
  <si>
    <t># M3 Hormigón HA $A $C $B
# Sentencias de Rótulos de Parámetros
\ RESISTENCIA (N/mm2) \ 20 \ 30 \ 40 \ # A
\ TAMAÑO MAX (mm)\ 40 \ 20 \ # B
\ CONSISTENCIA \ plástica \ blanda \ fluida \ # C
# El derivado MT3456aaa sería: Hormigón HA 20 plástica 40
# Sentencias de Asignaciones a variables (Precios)
# Dependen de $C plástica blanda fluida $A $B = a
%T(2,3,3) = 11, 12, 13, #a
21, 22, 23, #b
31, 32, 33, #c
# Dependen de $B = b tamaño máximo del árido
41, 42, 43, #a
51, 52, 53, #b
61, 62, 63 #c
# Sentencia de Precio Simple
::%T(%B,%A,%C)
# Sentencias de Sustitución de Textos
\ RESUMEN \H $A $C tamaño máximo $B IIa \
\TEXTO \Hormigón preparado de resistencia característica $A N/mm2, de consistencia $C y tamaño máximo del árido $B mm, en ambiente normal IIa, transportado a una distancia máxima de 10 km, contados desde la central suministradora. Se consideran cargas completas de 6 ó 9 m3 y un tiempo máximo de descarga en obra de 45 minutos.\</t>
  </si>
  <si>
    <t>MTTNDD$</t>
  </si>
  <si>
    <t>Tendedero plegable de pared en acero acabado en color blanco EPOXI de CUNCIAL</t>
  </si>
  <si>
    <t>\ ANCHO (mm) \ 100 \ 140 \ 160 \ 180 \
%T(4) = 17.22, 19.36, 19.70, 20.55
::%T(%A)
\ RESUMEN \ Tendedero plegable de pared AC $A EPOXI de CUNCIAL ($Ax23x71 cm) \
\TEXTO \ Tendedero plegable de pared en acero acabado en color blanco AC $A EPOXI de CUNCIAL medidas desplegado: $Ax23x71 cm) con 5 barras 8 mm espesor \</t>
  </si>
  <si>
    <t>PINTURAS.Y.CONEXOS</t>
  </si>
  <si>
    <t>MATERIALES DE PINTURAS Y CONEXOS</t>
  </si>
  <si>
    <t>https://pinturasamodeco.com/es/acabado-rugoso/902-4953-reveton-liso-revestimiento-rugoso-100-acrilico-para-fachadas-exteriores.html#/77-tamano-15l/155-color-blanco
Revestimiento 100% acrílico puro en capa gruesa de máxima protección y durabilidad para fachadas sometidas a condiciones exigentes. Acabado rugoso mate sedoso. Ofrece una máxima impermeabilidad al agua además de una alta transpirabilidad. Rendimiento Teórico: 1 a 2 m2/litro, en función de la absorción y textura del soporte.   Ref. amodeco-reveton.acrilico.
Su máxima resistencia a los rayos U.V. y capacidad autolimpiable permite una lavabilidad y resistencia al exterior. Contiene conservante antimoho.
APLICACIONES
• Protección y decoración de fachadas y paramentos verticales en exterior de mortero de cemento, ladrillo, piedra, pintura plástica, etc.
• Especialmente indicado para el pintado de fachadas sometidas a condiciones exigentes o para el pintado de soportes exteriores que requieran disimular defectos de planimetría o reparaciones en fachada.
• Aplicación para decoración y protección de paramentos interiores en edificios y locales de uso intensivo
PROPIEDADES:
• Máxima impermeabilidad al agua de lluvia: evita la filtración de agua en el interior del soporte.
• Transpirable al vapor de agua: facilita la evacuación de la humedad contribuyendo a mantener la pared seca.
• Máxima resistencia a los rayos U.V y uso de pigmentos estables: contribuye a una mayor durabilidad del color en el exterior.
• Máximo poder de cubrición: permite ganar opacidad en menor número de manos.
• Capacidad de relleno de microfisuras presentes en el soporte.
• Buena adherencia sobre las superficies habituales de la construcción por su composición y capacidad de penetración en el soporte.
• Resistente a los microorganismos: contiene conservante antimoho que evita la formación de moho, algas y verdín.
• Inalterable a los álcalis del cemento (insaponificable).
• Producto al agua: sin olor a disolvente, de aplicación cómoda y segura y más respetuosa con el medioambiente.</t>
  </si>
  <si>
    <t>Imprimación fijadora acrílica para la preparación de soportes a pintar en interior o exterior. Recomendado para fijar y regularizar la absorción de todo tipo de superficies con porosidad tanto en interior como en exterior, actuando como puente de adherencia del producto de acabado. Rendimiento Teórico: 6 a 8 m2/litro, en función de la absorción y textura del soporte.   Ref. amodeco-reveton.imprim.acril.
PROPIEDADES PRINCIPALES:
• Gran capacidad de penetración y sellado de la superficie.
• Cohesiona la capa superficial del soporte.
• Excelente puente de adherencia entre el producto acabado (pinturas en base acuosa) y el soporte.
• Transpirable al vapor de agua: facilita la evacuación de la humedad contribuyendo a mantener la pared seca.
• Su opción en color blanco contribuye a ganar opacidad en el sistema de pintado.
• Inalterable a los álcalis del cemento (insaponificable).</t>
  </si>
  <si>
    <t>Imprimación epoxi-poliamida anticorrosiva con fosfato de zinc de uso general para acero y galvanizado, que contiene pigmentos inhibidores de la corrosión no tóxicos. Posee elevadas prestaciones anticorrosivas, de dureza, tenacidad y adherencia sobre diversas superficies. Para estructuras metálicas diversas en ambientes industriales y marinos de corrosión C4 Alta y C5 Muy alta, según norma UNE EN ISO 12944. Excelente adherencia sobre latón, aluminio y galvanizado. Rendimiento: 6 a 10 m2/litro (40 - 60 µ secas).   Ref. villares-titantech-sxb-200.</t>
  </si>
  <si>
    <t>Disolvente basado en una mezcla de hidrocarburos aromáticos y ésteres con una curva de evaporación media para la dilución de pinturas epoxi. Adecuado para un amplio campo de usos. Alto poder disolvente. Diluyente indicado para productos epoxi y en aplicaciones a pistola a temperaturas altas (antivelo).   Ref. anidia-8414800430509.</t>
  </si>
  <si>
    <t>GEOLITE MICROSILICATO es una geopintura transpirable cubriente con efecto mate y con grano fino, para la protección monolítica de hormigones, nuevos o reparados, contra la carbonatación, resistente a los agentes atmosféricos, a algas y mohos. Aplicable pasadas 4 horas sobre las reparaciones realizadas con los geomorteros GEOLITE 10 o GEOLITE 40. Rendimiento sobre soporte acabado fratasado grano fino 0,35 litros/m2 en 2 manos.   Ref. banoidea-K05816.</t>
  </si>
  <si>
    <t>Resina epoxi bicomponente en base acuosa para suelos MAKE INDUSTRIALE (4 litros/envase). Colores: Azul, Gris Claro, Gris Noche, Gris Oscuro y Rojo. RENDIMIENTO TEÓRICO: 3,8 m2/kg por capa al espesor de 100 µ secos (APLICACIÓN: Rodillo pelo raso, Brocha. DILUCIÓN: 1° capa 20% con agua de grifo, 2° capa 15% con agua de grifo. ESPESOR HÚMEDO POR CAPA: 181 µ; ESPESOR SECO POR CAPA: 100 µ; N° CAPAS: 2 capas hasta obtener el espesor total necesario. ESPESOR SECO TOTAL: 180 µ CONSUMO MEDIO TEÓRICO: 265 g/m2.   Ref. bauhaus-30656835.
CARACTERÍSTICAS TÉCNICAS: Esmalte epoxi al agua semibrillante, específico como revestimiento antipolvo para pavimentos industriales de hormigón. La superficie tratada es a prueba de polvo e impermeable a aceites y grasas. También es resistente a la gasolina y a los ácidos y bases. El producto se caracteriza por una excelente distensión, aspecto liso y saturado y sobre todo alta adherencia al soporte cementoso gracias a los resultados positivos de las pruebas de pull-off necesarias para identificar la tracción y resistencia de la película.
CAMPOS DE APLICACIÓN: Esmalte epoxi al agua ideal como capa de acabado para suelos de concreto. Apto para suelos en almacenes, garajes, industria alimentaria y mecánica, talleres. El producto también es adecuado para aplicación vertical sobre materiales cerámicos. Es el producto ideal donde se requiere una alta dureza superficial y un efecto body estructurado. Este producto también se puede aplicar directamente sobre el sustrato de cemento siempre que se comprueben las condiciones preexistentes del suelo. En los casos en que la superficie del hormigón requiera el uso de una imprimación adecuada, recomendamos la aplicación previa de una primera capa de impregnantes fijadores em base agua y disolvente previstos en la gama de productos para suelos. En virtud de la certificación Haccp es el producto ideal para pintar ambientes y suelos en los que se realiza el depósito, almacenamiento, procesamiento, administración de sustancias alimenticias al consumidor, es decir, comedores, industrias alimentarias, cocinas industriales, almacenes y laboratorios de alimentos, bares, restaurantes y queserías. Finalmente, en base al rendimiento de adherencia, definido por el método de cross cut y midiendo la tensión pull-off, el producto es aplicable también en baldosas verticales de gres porcelánico fino y esmaltado, en revestimiento monoporoso, en mosaico de fibra de vidrio, simple y doble fuego.</t>
  </si>
  <si>
    <t>El esmalte de poliuretano TITANLAK de TITAN es sintético, satinado y está basado en tecnología de altos sólidos. Es especial para lacar y esmaltar. Es de fácil aplicación obteniendo acabados satinados de gran finura, suavidad al tacto e inmejorable aspecto lacado. Rendimiento: 12 a 14 m2/litro.   Ref. bh-24148548-G.
Características: Se puede aplicar en exteriores e interiores. Alta resistencia y durabilidad. Muy lavable. Resistente a roces, rayados, jabones, manchas de licor, zumos, aceites, etc. Protege y embellece toda clase de superficies de madera y metálicas (muebles, estanterías, puertas, ventanas, radiadores, etc.). Hay que tener en cuenta que las superficies a pintar deben estar limpias, secas e imprimadas adecuadamente. Disponible en varios colores.</t>
  </si>
  <si>
    <t>La pintura LIME PAINT de FLEUR es una pintura a la cal de tradición italiana fabricada con tecnologías modernas para ofrecer un producto de alta calidad y bajo contenido de COV. La pintura LIME PAINT es una pintura mineral para paredes de interior con aglutinantes y aditivos naturales. Consumo: 0,125 a 0,170 litros/m2 por capa (Tinta llena).   Ref. bh-30227277.
Otorga a las superficies un aspecto mate y matizado. Es una pintura a base de agua compuesta por materiales orgánicos tradicionales y mejorada para ofrecer un producto de mayor rendimiento y fácil aplicación. Es altamente transpirable y reduce considerablemente la humedad del sustrato, esto evita descamaciones y desprendimientos. Su composición mineral evita la proliferación de mohos y microorganismos, de forma natural, sin el uso de aditivos químicos nocivos. Su acción es eficaz siempre que los factores externos no modifiquen su pH.
APLICACIÓN: Debe asegurarse de que la superficie esté sana, seca y limpia. Se recomienda aplicar 2 capas con rodillo o brocha espacial para cal. Asegúrese de que la capa anterior esté completamente seca antes de aplicar la segunda capa. El tiempo de repintado es 2 - 4 horas.</t>
  </si>
  <si>
    <t>La Imprimación FONDO LIME PAINT de FLEUR es una imprimación acrílica al agua para superficies en interiores. Reduce la absorbencia de la superficie y garantiza un buen anclaje de las pinturas de base.   Ref. bh-30285813.
Se caracteriza por un gran desempeño de relleno, alta resistencia y buen poder consolidante.
CAMPOS DE USO: Se aplica tanto en superficies de interior, sobre yeso, hormigón, cartón yeso, estuco, piedra y todos los materiales de construcción que tengan un buen grado de absorción y porosidad. Se utiliza como imprimación para la aplicación de acabados decorativos y como imprimación de unión para acabados minerales. Solo es adecuado como fondo de base y no como acabado. Está disponible en formato de 750 ml o 2,5 litros.</t>
  </si>
  <si>
    <t>Revestimiento acrilsiloxánico de acabado mate mineral, especialmente diseñado para la protección y decoración de fachadas sometidas a condiciones exigentes. Rendimiento Teórico: 8 - 10 m2/litro/mano, en función de la absorción y textura del soporte. Imprimación: Utilizar como imprimación una mano de ÁBSYDE diluido al 15 - 20 % con agua.   Ref. bricosyl-01.
APLICACIONES:
• Protección y decoración de fachadas y paramentos verticales en exterior de hormigón, mortero de cemento, ladrillo, piedra, pintura plástica, etc.
• Especialmente indicado para el pintado de fachadas sometidas a condiciones exigentes, soportes exteriores que requieran el máximo nivel de transpirabilidad o para repintados sobre superficies caleadas.
• Apto para el pintado de soportes exteriores en los que se prescriba una protección impermeabilizante a la vez que transpirable con un acabado mineral.
• Recomendado para la restauración de edificios históricos respetando los acabados estéticos tradicionales, confiriéndoles una excelente resistencia en el tiempo.
• Aplicación para decoración y protección de paramentos interiores en edificios y locales de uso intensivo.
PROPIEDADES:
• Máxima impermeabilidad al agua de lluvia: evita la filtración de agua en el interior del soporte.
• Máxima transpirabilidad al vapor de agua: facilita la evacuación de la humedad contribuyendo a mantener la pared seca.
• Producto de bajo impacto ambiental: producto con etiqueta ecológica comunitaria Ecolabel.
• Máxima resistencia a los rayos U.V y uso de pigmentos estables: contribuye a una mayor durabilidad del color en el exterior.
• Alto poder de cubrición: permite ganar opacidad en menor número de manos.
• Máxima capacidad "autolimpiable": su efecto perla hidrofugante permite repeler en mayor medida la suciedad y eliminarla con el agua de lluvia.
• Excelente adherencia sobre las superficies habituales de la construcción por su composición y capacidad de penetración en el soporte.
• Baja tensión superficial: garantiza una buena adherencia en el repintado de fachadas con pintura viejas caleadas.
• Resistente a los microorganismos: contiene conservante antimoho que evita la formación de moho, algas y verdín.
• Inalterable a los álcalis del cemento (insaponificable).
• Producto al agua: sin olor a disolvente, de aplicación cómoda y segura y más respetuosa con el medioambiente.</t>
  </si>
  <si>
    <t>Pintura de capa fina a base de sol-silicato KEIM RESTAURO-LASUR, veladura mineral hidrófuga especialmente adecuada para la aplicación de veladuras y pátinas en superficies de piedra arenisca, p.ej. para igualar el tono de las reparaciones con la piedra original.   Ref. colorsan-01-B.
Cumple con los requisitos de la DIN 18363, 2.4.1. Consumo: para 2 manos de veladura, aprox. 0,1 a 0,2 litros/m2 de KEIM RESTAURO-LASUR + 0,1 a 0,4 litros/m2 de KEIM RESTAURO-FIXATIV.</t>
  </si>
  <si>
    <t>ma-colorsan-01-G</t>
  </si>
  <si>
    <t>Pintura de capa fina a base de sol-silicato KEIM RESTAURO-LASUR (5 litros/envase).   Ref. colorsan-01-G</t>
  </si>
  <si>
    <t>Pintura de capa fina a base de sol-silicato KEIM RESTAURO-LASUR, veladura mineral hidrófuga especialmente adecuada para la aplicación de veladuras y pátinas en superficies de piedra arenisca, p.ej. para igualar el tono de las reparaciones con la piedra original.   Ref. colorsan-01-G.
Cumple con los requisitos de la DIN 18363, 2.4.1. Consumo: para 2 manos de veladura, aprox. 0,1 a 0,2 litros/m2 de KEIM RESTAURO-LASUR + 0,1 a 0,4 litros/m2 de KEIM RESTAURO-FIXATIV.</t>
  </si>
  <si>
    <t>La imprimación KEIM RESTAURO-FIXATIV, en combinación con KEIM RESTAURO-LASUR, es especialmente adecuada para la decoración en veladura de superficies de piedra arenisca, p.ej. para igualar cromáticamente las reparaciones con la piedra original. Ref. colorsan-02-B.
Las superficies a tratar deben ser porosas (absorbentes). KEIM RESTAURO-FIXATIV puede mezclarse con RESTAURO-LASUR en cualquier proporción, según el grado de transparencia deseado. KEIM RESTAURO-FIXATIV también sirve como imprimación o para la fijación previa.
Consumo:
• Fijación previa: aprox. 0,2 litros/m2 RESTAURO-FIXATIV.
• Para 2 manos de veladura: 0,1 a 0,2 litros/m2 de KEIM RESTAURO-LASUR y 0,1 a 0,4 litros/m2 de KEIM RESTAURO-FIXATIV.</t>
  </si>
  <si>
    <t>ma-colorsan-02-G</t>
  </si>
  <si>
    <t>Imprimante y diluyente KEIM RESTAURO-FIXATIV – ALTERMAT (5 litros/envase).   Ref. colorsan-02-G</t>
  </si>
  <si>
    <t>La imprimación KEIM RESTAURO-FIXATIV, en combinación con KEIM RESTAURO-LASUR, es especialmente adecuada para la decoración en veladura de superficies de piedra arenisca, p.ej. para igualar cromáticamente las reparaciones con la piedra original.   Ref. colorsan-02-G.
Las superficies a tratar deben ser porosas (absorbentes). KEIM RESTAURO-FIXATIV puede mezclarse con RESTAURO-LASUR en cualquier proporción, según el grado de transparencia deseado. KEIM RESTAURO-FIXATIV también sirve como imprimación o para la fijación previa.
Consumo:
• Fijación previa: aprox. 0,2 litros/m2 RESTAURO-FIXATIV
• Para 2 manos de veladura: 0,1 a 0,2 litros/m2 de KEIM RESTAURO-LASUR y 0,1 a 0,4 litros/m2 de KEIM RESTAURO-FIXATIV.</t>
  </si>
  <si>
    <t>Pintura universal para fachadas a base de silicato con aglutinante de sol-silicato (combinación de sol de sílice y vidrio soluble) para sustratos orgánicos, minerales y mixtos, así como SATE. Consumo: 0,35 a 0,45 kg/m2 para dos capas.   Ref. colorsan-03-GC1aGC3-G.
KEIM SOLDALIT es repelente al agua, altamente difuso, resistente a la luz, estable a los rayos UV y extremadamente resistente a la intemperie con una tendencia mínima a la suciedad. Contenido orgánico &lt; 5%.KEIM SOLDALIT obtiene el Cradle to Cradle Certified Silver y el C2C Certified Material Health Certificate Gold. Tonos de blanco y color. Se puede teñir con KEIM PPF-TECHNOLOGY según todas las colecciones de colores habituales. Tonos monocromáticos 9001S-9012S disponibles.</t>
  </si>
  <si>
    <t>ma-colorsan-03-blanco-B</t>
  </si>
  <si>
    <t>Pintura de fachadas universal de sol-silicato SOLDALIT de KEIM; color blanco (18 kg/bidón).   Ref. colorsan-03-blanco-B</t>
  </si>
  <si>
    <t>Pintura universal para fachadas a base de silicato con aglutinante de sol-silicato (combinación de sol de sílice y vidrio soluble) para sustratos orgánicos, minerales y mixtos, así como SATE. Consumo: 0,35 a 0,45 kg/m2 para dos capas.   Ref. colorsan-03-blanco-B.
KEIM SOLDALIT es repelente al agua, altamente difuso, resistente a la luz, estable a los rayos UV y extremadamente resistente a la intemperie con una tendencia mínima a la suciedad. Contenido orgánico &lt; 5%.KEIM SOLDALIT obtiene el Cradle to Cradle Certified Silver y el C2C Certified Material Health Certificate Gold. Tonos de blanco y color. Se puede teñir con KEIM PPF-TECHNOLOGY según todas las colecciones de colores habituales. Tonos monocromáticos 9001S-9012S disponibles.</t>
  </si>
  <si>
    <t>ma-colorsan-03-blanco-G</t>
  </si>
  <si>
    <t>Pintura de fachadas universal de sol-silicato SOLDALIT de KEIM; color blanco (5 kg/envase).   Ref. colorsan-03-blanco-G</t>
  </si>
  <si>
    <t>Pintura universal para fachadas a base de silicato con aglutinante de sol-silicato (combinación de sol de sílice y vidrio soluble) para sustratos orgánicos, minerales y mixtos, así como SATE. Consumo: 0,35 a 0,45 kg/m2 para dos capas.   Ref. colorsan-03-blanco-G.
KEIM SOLDALIT es repelente al agua, altamente difuso, resistente a la luz, estable a los rayos UV y extremadamente resistente a la intemperie con una tendencia mínima a la suciedad. Contenido orgánico &lt; 5%.KEIM SOLDALIT obtiene el Cradle to Cradle Certified Silver y el C2C Certified Material Health Certificate Gold. Tonos de blanco y color. Se puede teñir con KEIM PPF-TECHNOLOGY según todas las colecciones de colores habituales. Tonos monocromáticos 9001S-9012S disponibles.</t>
  </si>
  <si>
    <t>SOLDALIT-FIXATIV de la marca KEIM es una imprimación y diluyente a base de sol-silicato (combinación de sol de sílice y silicato potásico). Sirve de imprimación en soportes o zonas parciales muy absorbentes, y como diluyente para KEIM SOLDALIT y KEIM SOLDALIT-GROB en la mano de fondo en soportes muy absorbentes. CONSUMO: +/- 0,15 litros/m2 como imprimación. (consumo orientativo para soportes lisos).   Ref. colorsan-04-B.</t>
  </si>
  <si>
    <t>ma-colorsan-04-G</t>
  </si>
  <si>
    <t>Imprimante y diluyente al sol-silicato SOLDALIT-FIXATIV de KEIM (5 litros/envase).   Ref. colorsan-04-G</t>
  </si>
  <si>
    <t>SOLDALIT-FIXATIV de la marca KEIM es una imprimación y diluyente a base de sol-silicato (combinación de sol de sílice y silicato potásico). Sirve de imprimación en soportes o zonas parciales muy absorbentes, y como diluyente para KEIM SOLDALIT y KEIM SOLDALIT-GROB en la mano de fondo en soportes muy absorbentes. CONSUMO: +/- 0,15 litros/m2 como imprimación. (consumo orientativo para soportes lisos).   Ref. colorsan-04-G.</t>
  </si>
  <si>
    <t>ma-colorsan-laca.nitro.brillo-G</t>
  </si>
  <si>
    <t>Laca nitrocelulosa línea ebanistería de TITÁN; acabado brillante (4 litros/envase).   Ref. colorsan-laca.nitrocelulosa.brillo-G</t>
  </si>
  <si>
    <t>Laca nitrocelulósica incolora con un amplio campo de utilización como acabado para madera. Buena retención de brillo y transparencia. Facilidad en la aplicación. Secado rápido. Buen comportamiento al repintado. Rendimiento: 7 a 11 m2/litro.   Ref. colorsan-laca.nitro.brillo-G.</t>
  </si>
  <si>
    <t>ma-colorsan-laca.nitro.tapaporos</t>
  </si>
  <si>
    <t>Laca nitrocelulosa tapaporos línea ebanistería de TITÁN; acabado satinado (4 litros/envase).   Ref. colorsan-laca.nitro.tapaporos</t>
  </si>
  <si>
    <t>Laca nitrocelulósica tapaporos incolora satinada, con un amplio campo de utilización. Buen lijado, transparencia y facilidad para el matizado. Secado rápido. Buen comportamiento al repintado. Puede ser usado como fondo y acabado. Campos de aplicación Como fondo y acabado tapaporos para madera: Piezas macizas, chapadas y contrachapadas. Rendimiento: como acabado: 7 a 11 m2/litro; como fondo: 3 a 4m2/litro. Ref. colorsan-laca.nitro.tapaporos.</t>
  </si>
  <si>
    <t>Imprimación sintética grasa para hierro y madera. De ligera acción antioxidante, para trabajos corrientes en estructuras metálicas en ambientes de corrosión baja. También puede utilizarse como primera mano para madera. Rendimiento (UNE 48282): 9 a 11 m2/litro.   Ref. colorsan-minio.titan-g.</t>
  </si>
  <si>
    <t>Revestimiento liso, 100% acrílico, para protección y decoración de fachadas y muros al exterior. Alta capacidad de relleno, para pintar paredes con fisuras y pequeñas grietas de fraguado, fondos absorbentes o muy porosos. Rellena fisuras y poros dando un acabado uniforme. Rendimiento: 6 a 10 m2/litro por mano.   Ref. cuidadodelhogar-502983.103.12.
De elevada durabilidad y resistencia: luz solar (UV), Tº extremas, agua de lluvia, suciedad ambiental, microorganismos y moho, caleos, degradación de color, carbonatación del hormigón, envejecimiento pintura. Ideal para la aplicación profesional: alta cubrición, rendimiento, bajo brillo y rapidez de ejecución.</t>
  </si>
  <si>
    <t>Fijador acrílico de gran penetración. Duro y resistente. Sella pinturas plásticas antiguas, de cal, temple y monocapas degradados con microfisuras. Ligero aumento del tono del soporte. Incrementa el rendimiento de los acabados con pinturas plásticas. Uniforma absorciones y evita diferencias de color en las capas de acabado. Se presenta en un estado muy puro. Dilución 1 p + 3- 4 p. agua en peso (según absorción). Evitar la aplicación al uso para evitar exceso de film. COV 2g / l – 2010 30g / l.   Ref. da-01031-G.</t>
  </si>
  <si>
    <t>Pintura plástica siliconada mate. Multiuso. Su mínima retracción durante el secado la hace ideal para trabajar sobre superficies difíciles, soportes alcalinos, cal, cemento, pinturas viejas, temple… sin arrancarlos. Compatible con yesos proyectados y cartón yeso (pladur). En superficies muy degradadas imprimar con NEW TEC FIXO o FIXOART. Se puede utilizar como primera mano de revestimientos más gruesos. Impermeabilización vertical y buena transpirabilidad. Para decoraciones de interiores y para la rehabilitación de fachadas y patios de luz. Lavable, resistente al frote húmedo. No salpica, fácil aplicación, muy buena cubrición y elevado rendimiento. Blanco y colores. Disponible también en SILART EXTRA BLANCO 04042. COV 22g / l – 2010 40g / l.   Ref. da-04041B-B
Certificación UNE 48243: 2007. Pintura plástica en dispersión acuosa, mate, en conservación y estabilidad en el a envase, brillo especular, resistencia álcalis y al frote húmedo, repintabilidad, poder de cobertura.</t>
  </si>
  <si>
    <t>ma-da-04041B-G</t>
  </si>
  <si>
    <t>Pintura plástica siliconada mate multiuso SILART de D’ARTIC; blanco (5 litros/envase).   Ref. da-04041B-G</t>
  </si>
  <si>
    <t>Pintura plástica siliconada mate. Multiuso. Su mínima retracción durante el secado la hace ideal para trabajar sobre superficies difíciles, soportes alcalinos, cal, cemento, pinturas viejas, temple… sin arrancarlos. Compatible con yesos proyectados y cartón yeso (pladur). En superficies muy degradadas imprimar con NEW TEC FIXO o FIXOART. Se puede utilizar como primera mano de revestimientos más gruesos. Impermeabilización vertical y buena transpirabilidad. Para decoraciones de interiores y para la rehabilitación de fachadas y patios de luz. Lavable, resistente al frote húmedo. No salpica, fácil aplicación, muy buena cubrición y elevado rendimiento. Blanco y colores. Disponible también en SILART EXTRA BLANCO 04042. COV 22g / l – 2010 40g / l.   Ref. da-04041B-G
Certificación UNE 48243: 2007. Pintura plástica en dispersión acuosa, mate, en conservación y estabilidad en el a envase, brillo especular, resistencia álcalis y al frote húmedo, repintabilidad, poder de cobertura.</t>
  </si>
  <si>
    <t>ma-da-04041BP-B</t>
  </si>
  <si>
    <t>Pintura plástica siliconada mate multiuso SILART de D’ARTIC; base pastel 148-arcilla (15 litros/bidón).   Ref. da-04041BP-B</t>
  </si>
  <si>
    <t>Pintura plástica siliconada mate. Multiuso. Su mínima retracción durante el secado la hace ideal para trabajar sobre superficies difíciles, soportes alcalinos, cal, cemento, pinturas viejas, temple… sin arrancarlos. Compatible con yesos proyectados y cartón yeso (pladur). En superficies muy degradadas imprimar con NEW TEC FIXO o FIXOART. Se puede utilizar como primera mano de revestimientos más gruesos. Impermeabilización vertical y buena transpirabilidad. Para decoraciones de interiores y para la rehabilitación de fachadas y patios de luz. Lavable, resistente al frote húmedo. No salpica, fácil aplicación, muy buena cubrición y elevado rendimiento. Blanco y colores. Disponible también en SILART EXTRA BLANCO 04042. COV 22g / l – 2010 40g / l.   Ref. da-04041BP-B
Certificación UNE 48243: 2007. Pintura plástica en dispersión acuosa, mate, en conservación y estabilidad en el a envase, brillo especular, resistencia álcalis y al frote húmedo, repintabilidad, poder de cobertura.</t>
  </si>
  <si>
    <t>ma-da-04041BP-G</t>
  </si>
  <si>
    <t>Pintura plástica siliconada mate multiuso SILART de D’ARTIC; base pastel 148-arcilla (5 litros/envase).   Ref. da-04041BP-G</t>
  </si>
  <si>
    <t>Pintura plástica siliconada mate. Multiuso. Su mínima retracción durante el secado la hace ideal para trabajar sobre superficies difíciles, soportes alcalinos, cal, cemento, pinturas viejas, temple… sin arrancarlos. Compatible con yesos proyectados y cartón yeso (pladur). En superficies muy degradadas imprimar con NEW TEC FIXO o FIXOART. Se puede utilizar como primera mano de revestimientos más gruesos. Impermeabilización vertical y buena transpirabilidad. Para decoraciones de interiores y para la rehabilitación de fachadas y patios de luz. Lavable, resistente al frote húmedo. No salpica, fácil aplicación, muy buena cubrición y elevado rendimiento. Blanco y colores. Disponible también en SILART EXTRA BLANCO 04042. COV 22g / l – 2010 40g / l.   Ref. da-04041BP-G
Certificación UNE 48243: 2007. Pintura plástica en dispersión acuosa, mate, en conservación y estabilidad en el a envase, brillo especular, resistencia álcalis y al frote húmedo, repintabilidad, poder de cobertura.</t>
  </si>
  <si>
    <t>Barniz de poliuretano de 2 componente alifático de acabado brillante de alta resistencia química, mecánica, a la abrasión y al desgaste. No amarillea. Para aplicación en el exterior e interior. Rendimiento: 12 a 14 m2/litro/capa; Consumo: 0,080 litros/m2/mano. Densidad: 1.00± 0.02 kg/litro (A+B), 1.00 ± 0.02 kg/litro (A).   Ref. dispival-barniz.PU-4kg.
PROPIEDADES: Resistencia mecánica a la abrasión y al impacto derivados del tráfico. • Resistencia química moderada a posibles salpicados y a detergentes de limpieza. • Secado rápido que agiliza la aplicación entre capas y la puesta en servicio. • Buena adherencia sobre hormigón y pinturas de dos componentes • Alta resistencia a los rayos UV. • Excelente resistencia de brillo. • Alta resistencia física: abrasión, dureza y elasticidad. • Endurecedor superficial del hormigón y barniz antipolvo. • Fácil preparación (bicomponente pre-dosificado) • Fácil limpieza y desinfección: resistente al frote húmedo.</t>
  </si>
  <si>
    <t>https://dispivalonline.es/fachadas-y-exteriores/7500-reveton-liso-anticarbonatacion-blanco-15-lt-8435051716785
Revestimiento acrílico anticarbonatación de alta protección y durabilidad para superficies de hormigón de acabado liso mate. Solución protectora y preventiva de las patologías en estructuras de hormigón visto encofrado in situ, pilares, cantos de forjado, piezas de piedra artificial y estructuras de hormigón prefabricado que se derivan de la falta de impermeabilización y exposición del mismo a los gases CO2 y SO2 del aire. Rendimiento Teórico: 8 a 10 m2/litro/mano (número de capas: 2).   Ref. dispival-rev.anticarbonato-15
Tratamiento anticarbonatación que evita el descenso progresivo de la alcalinidad del hormigón y la consecuente oxidación del armado, evitando que se produzca la reacción de carbonatación. Alta impermeabilidad al agua de lluvia: evita la filtración de agua en el interior del soporte. Alta transpirabilidad al vapor de agua: facilita la evacuación de la humedad contribuyendo a mantener la pared seca. Alta resistencia a los rayos U.V y uso de pigmentos estables: contribuye a una mayor durabilidad del color en el exterior. Alto poder de cubrición: permite ganar opacidad en menor número de manos.</t>
  </si>
  <si>
    <t>NOVOLACK es un esmalte sintético de primera calidad sin pigmentos tóxicos, diseñado para la protección y decoración tanto de elementos exteriores como interiores. Posee una excelente cubrición y brochabilidad. Alto Rendimiento: 12 a 13 m2/litro.   Ref. epinturas-01.
APLICACIONES:
* Por ser un esmalte sintético con acción antioxidante, y la protección y el aspecto de acabado, son factores que permiten el pintado directo sobre superficies de acero y en condiciones muy específicas.
* Es adecuado para proteger y decorar todo tipo de superficies metálicas, minerales o de madera como puertas, ventanas, paredes, muebles, mobiliario de jardín, etc.., tanto en interiores como en exteriores.
* Apto para la protección y mantenimiento de maquinaria e instalaciones, tanto industriales como domésticas.
* Por su rápido secado y escasez de olor se puede emplear en lugares cuya ocupación haya de ser inmediata como centros hospitalarios, públicos, hosteleros.
* Producto listo al uso. No es necesario diluir, excepto cuando sea necesario por las condiciones de aplicación.</t>
  </si>
  <si>
    <t>Revestimiento acrílico-estirenado con silicona, adecuado para el recubrimiento de superficies de albañilería en exteriores (especialmente en fachadas de cal).   Ref. imcasa-01-B
PROPIEDADES:
• Especialmente indicado para superficies a la cal. 
• Excelente adherencia.
• Con conservante antimoho.
• Buena impermeabilidad al agua W2.
• Buena transpirabilidad al vapor del agua V2.
• Alta resistencia a la alcalinidad.
• Buena resistencia a la intemperie.
• Fácil aplicación, no salpica.
• Buena cubrición y rendimiento (Consumo Teórico: 8 a 10 m2/litro; el rendimiento práctico varía en función del tipo y estado de la superficie, de la absorción del soporte, así como del modo de aplicación y del grado de dilución).
• Garantía hasta 5 años.</t>
  </si>
  <si>
    <t>ma-imcasa-01-G</t>
  </si>
  <si>
    <t>Pintura acrílica siliconada PROEXIL LISO MATE de PROCOLOR (4 litros/envase).   Ref. imcasa-01-G</t>
  </si>
  <si>
    <t>Revestimiento acrílico-estirenado con silicona, adecuado para el recubrimiento de superficies de albañilería en exteriores (especialmente en fachadas de cal).   Ref. imcasa-01-G
PROPIEDADES:
• Especialmente indicado para superficies a la cal. 
• Excelente adherencia.
• Con conservante antimoho.
• Buena impermeabilidad al agua W2.
• Buena transpirabilidad al vapor del agua V2.
• Alta resistencia a la alcalinidad.
• Buena resistencia a la intemperie.
• Fácil aplicación, no salpica.
• Buena cubrición y rendimiento (Consumo Teórico: 8 a 10 m2/litro; el rendimiento práctico varía en función del tipo y estado de la superficie, de la absorción del soporte, así como del modo de aplicación y del grado de dilución).
• Garantía hasta 5 años.</t>
  </si>
  <si>
    <t>RUBBOL BL SATURA (acabado satinado) es un esmalte en base agua con resina de poliuretano. Su formulación innovadora le confiere una dureza extrema y una excelente resistencia a los roces y la abrasión. De secado rápido, está especialmente formulado para facilitar su aplicación, dejando un tiempo suficientemente largo como para trabajar sin que se noten los retoques. Rendimiento: 10 a 14 m2/litro.   Ref. imcasa-rubbol.bl-satura.
USOS: Como capa de acabado, en combinación con RUBBOL BL PRIMER, sobre superficies de madera y hierro galvanizado para exterior. PVC, cemento y yeso para interiores. También se puede aplicar sobre antiguas capas de esmaltes sintéticos, limpias y lijadas.</t>
  </si>
  <si>
    <t>ma-lacasadelpintor-002429</t>
  </si>
  <si>
    <t>Pintura tixotrópica antimanchas al disolvente TIXOMAN de GUADIEL (4 litros/envase).   Ref. lacasadelpintor-002429</t>
  </si>
  <si>
    <t>Pintura tixotrópica mate sin olor para techos y paredes, diseñada para aislar y cubrir manchas de nicotina, hollín, café, humo, aceites, grasas, manchas de humedad seca Rendimiento: 8 a 10 m2/litro.   Ref. lacasadelpintor-002429.
Aplicar 1 o 2 capas (sin sellado previo sobre superficies coherentes y secas) según el estado del soporte. Aunque pueda aplicarse la 2ª capa tan pronto como la 1ª se vuelva mate, es aconsejable aplicarla al transcurrir al menos 12 horas desde la 1ª.</t>
  </si>
  <si>
    <t>ma-lacasadelpintor-5093248</t>
  </si>
  <si>
    <t>Esmalte directo sobre hierro y óxido de HAMMERITE (2,5 litros/envase).   Ref. lacasadelpintor-5093248</t>
  </si>
  <si>
    <t>Esmalte directo sobre hierro y óxido. Sin imprimación. Protección antióxido hasta 8 años. Impide la entrada de humedad. Bloquea el proceso de oxidación. Alto brillo. Rendimiento: 5 m2/litro (recomendable 2 manos).   Ref. lacasadelpintor-5093248.
Recomendado para la protección y decoración de barandillas, rejas, verjas, y otros objetos de metal expuestos a la intemperie y al sol. Colores: blanco, negro, gris plata, gris perla, verde, verde oscuro, azul, rojo, rojo carruajes, marrón, amarillo, magnolia, azul oscuro y cobre. No es recomendable mezclar colores.
Una vez curado, es resistente a:
• Las salpicaduras de ácidos y álcalis con concentración máxima del 10%. También, resiste a la gasolina, gasoil, grasa, etc.
• Las Temperaturas comprendidas entre 20ºC a 150ºC. De forma continuada, la película puede soportar hasta 80ºC.
• Los daños causados por rayos UV del sol (permaneciendo brillante por 3 años mínimo).</t>
  </si>
  <si>
    <t>ma-lagun-226ID</t>
  </si>
  <si>
    <t>Imprimante al disolvente IMPRIDERME de SEIGNEURIE (15 litros/bidón).   Ref. lagun-226ID</t>
  </si>
  <si>
    <t>Imprimación fijadora con resinas acrílicas en solución. Para soportes de tipo hormigón y enlucido de aglutinante hidráulico. Penetra en el soporte. Excelente fijador de fondos absorbentes y polvorientos. Regula la absorción de los soportes. Se adapta a los soportes especiales tipo hormigón celular y fibra de vidrio. Posible aplicación sobre soporte cerámico. Color blanco roto. Rendimiento: 5 a 7 m2/litro.   Ref. lagun-226ID.</t>
  </si>
  <si>
    <t>ma-lagun-269M</t>
  </si>
  <si>
    <t>Revestimiento acrílico en dispersión acuosa de aspecto mate profundo PANTIFILM OS de SEIGNEURIE (15 litros/bidón).   Ref. lagun-269M</t>
  </si>
  <si>
    <t>Revestimiento acrílico en dispersión acuosa de aspecto mate profundo y excelente elasticidad (incluso a bajas temperaturas), con especial aplicación en fachadas pintadas. Resiste inclemencias meteorológicas. Contiene un agente anti criptógamo. Permite respirar el soporte y atenúa sus imperfecciones. Rendimiento: 2,7 m2/litro.   Ref. lagun-269M.</t>
  </si>
  <si>
    <t>ma-lagun-429D2A-15L.</t>
  </si>
  <si>
    <t>Revestimiento pliolite en dispersión acuosa PANCRYTEX D2 AERO MATE HIDROPLIOLITE de SEIGNEURIE (15 litros/bidón).   Ref. lagun-429D2A-15L.</t>
  </si>
  <si>
    <t>Pintura de aspecto mate profundo a base de resina Hidro Pliolite en dispersión acuosa. Excelente agarre. Muy microporosa. Notable resistencia a las inclemencias meteorológicas. Contiene una protección anticriptógama. Secado rápido. Rendimiento: 6 a 8 m2/litro (Imprimación PANCRYTEX diluido al 10%; IMPRITEX, PANTIPRIM o IMPRIDERME).   Ref. lagun-429D2A-15L.
Presenta olor débil y provoca poca proyección lo que permite una gran comodidad de aplicación. Adherencia excelente sobre todos fondos usuales. Producto muy indicado para acabado en interiores de bajos, sótanos, bodegas, etc., que tengan problemas de humedades por capilaridad y que estén tratados con morteros transpirables, ya que permite el paso del vapor de agua. Se puede realizar en cualquiera tono de la carta de colores. La tecnología Light &amp; Easy de cargas huecas le disminuye un 30% el peso con el mismo rendimiento.</t>
  </si>
  <si>
    <t>ma-lagun-429D2A-5L.</t>
  </si>
  <si>
    <t>Revestimiento pliolite en dispersión acuosa PANCRYTEX D2 AERO MATE HIDROPLIOLITE de SEIGNEURIE (5 litros/envase).   Ref. lagun-429D2A-5L.</t>
  </si>
  <si>
    <t>Pintura de aspecto mate profundo a base de resina Hidro Pliolite en dispersión acuosa. Excelente agarre. Muy microporosa. Notable resistencia a las inclemencias meteorológicas. Contiene una protección anticriptógama. Secado rápido. Rendimiento: 6 a 8 m2/litro (Imprimación PANCRYTEX diluido al 10%; IMPRITEX, PANTIPRIM o IMPRIDERME).   Ref. lagun-429D2A-5L.
Presenta olor débil y provoca poca proyección lo que permite una gran comodidad de aplicación. Adherencia excelente sobre todos fondos usuales. Producto muy indicado para acabado en interiores de bajos, sótanos, bodegas, etc., que tengan problemas de humedades por capilaridad y que estén tratados con morteros transpirables, ya que permite el paso del vapor de agua. Se puede realizar en cualquiera tono de la carta de colores. La tecnología Light &amp; Easy de cargas huecas le disminuye un 30% el peso con el mismo rendimiento.</t>
  </si>
  <si>
    <t>ma-lm-13307070</t>
  </si>
  <si>
    <t>Pintura plástica ecológica al agua para cubrir manchas ISOLFIX de BEISSIER; color blanco (4 litros/envase).   Ref. lm-13307070</t>
  </si>
  <si>
    <t>Pintura apta para el sellado de manchas de humo, nicotina, hollín, café, taninos, aceite, grasas, rotuladores; entre otros. Adecuada para baños y cocinas. Rendimiento Teórico: 6 a 10 m2/litro y mano (según el tipo de soporte).   Ref. lm-13307070.
Excelente cubrición de lignina en placas de yeso laminado. Aplicable sobre soportes minerales, yeso, escayola, cartón-yeso, cemento, fibrocemento, ladrillo, placas de cemento, soportes orgánicos, pinturas plásticas, revocos.
No aplicar sobre superficies sometidas a humedad permanente o capilar. No aplicar sobre soportes tratados que sigan húmedos o que no hayan fraguado y secado completamente. Se pueden provocar desperfectos como formación de bolsas de aire o grietas en los revestimientos posteriores. No aplicar sobre plástico o metal.</t>
  </si>
  <si>
    <t>ma-lm-82069827</t>
  </si>
  <si>
    <t>Pintura elástica antifisuras para fachadas de MONTÓ; color blanco  (4 litros/envase).   Ref. lm-85069827</t>
  </si>
  <si>
    <t>Pintura elástica antifisuras para fachadas de MONTÓ; color blanco  (4 litros/envase).   Ref. lm-85069827
Pintura para fachadas antifisuras de color blanco y aspecto mate de gran elasticidad. Perfecta para soportes con tendencia a la fisuración. Su barrera protectora es resistente frente al agua y las inclemencias atmosféricas. Como impermeabilizante, sirve en superficies horizontales y verticales.</t>
  </si>
  <si>
    <t>ma-lm-82201478</t>
  </si>
  <si>
    <t>Impregnante protector de soportes porosos SIKAGARD-790 ALL-IN-ONE PROTECT de SIKA (5 litros/envase).   Ref. lm-82201478</t>
  </si>
  <si>
    <t>SIKAGARD-790 ALL-IN-ONE PROTECT es una impregnación diseñada para la protección de todo tipo de soportes porosos minerales contra la penetración de líquidos en base agua y aceites, y para prevenir o reducir significativamente la tendencia a la aparición de manchas en estos materiales. Consumo (dependerá del tipo y porosidad del soporte): normalmente en soportes muy porosos, de 300 a 600 gr/m2 por capa; y en soportes con muy baja porosidad, de 50 a 200 gr/m2 por capa.   Ref. lm-82201478.
No forma película sobre la superficie y es completamente invisible. Es permeable al vapor de agua y, como resultado, las estructuras y superficies tratadas mantienen el mismo comportamiento hidrotérmico e hídrico. Además, facilita la eliminación de grafitis que se hayan aplicado sobre estas superficies (con los limpiadores adecuados).
Se puede utilizar para la protección de fachadas, pavimentos y cubiertas fabricadas a partir de los materiales minerales comunes en construcción tales como: Piedra natural como granito, caliza, mármol, etc., así como piedra artificial y reconstituida; Baldosas de terracota, a base de arcilla/cemento, tejas; Hormigón, enfoscados de cemento y yeso, etc.
Rendimiento (dependerá de la porosidad y del tipo de material), orientativamente, el rendimiento habitual que se puede conseguir: 3 a 6 m2/litro en Hormigón y Adoquines; 4 a 6 m2/litro en Terracota y Revoco de Cemento; 6 a 8 m2/litro en Teja; 1 a 2 m2/litro en Piedra Caliza; 0,50 a 2 m2/litro en Piedra Caliza o Piedra muy Porosa.</t>
  </si>
  <si>
    <t>Pintura multisuperficies LUXENS para pintar madera, metal y PVC en acabado satinado, resistente al sol y a la lluvia. Sin disolventes y resistente a la intemperie. Rendimiento: 12 m2/litro.   Ref. lm-82422643.
Se aplica en forma directa y fácilmente con un rodillo. Protección hasta 6 años. Disponible en varios colores y formatos. Dispone de la etiqueta ECOLABEL, que certifica que es un producto respetuoso con la salud de las personas y el medioambiente (proporciona una muy buena calidad del aire interior: A+).</t>
  </si>
  <si>
    <t>ma-lm-82422649</t>
  </si>
  <si>
    <t>Pintura multisuperficie al agua de LUXENS para madera, metal y PVC; color blanco (Oyster White), acabado satinado (2 litros/envase).   Ref. lm-82422649</t>
  </si>
  <si>
    <t>Pintura multisuperficies LUXENS para pintar madera, metal y PVC en acabado satinado, resistente al sol y a la lluvia. Sin disolventes y resistente a la intemperie. Rendimiento:12 m2/litro.   Ref. lm-82422649.
Se aplica en forma directa y fácilmente con un rodillo. Protección hasta 6 años. Disponible en varios colores y formatos. Dispone de la etiqueta ECOLABEL, que certifica que es un producto respetuoso con la salud de las personas y el medioambiente (proporciona una muy buena calidad del aire interior: A+).</t>
  </si>
  <si>
    <t>ma-lm-86668550</t>
  </si>
  <si>
    <t>Esmalte ecológico al agua de TITANLUX; color blanco (4 litros/envase).   Ref. lm-86668550</t>
  </si>
  <si>
    <t>Esmalte multisuperficies al agua de máxima calidad y uso universal. Decora y protege con una sola capa. Con conservante antimoho. Blanco inalterable, no amarillea y conserva los colores y el brillo. Respetuoso con las personas y el medio ambiente. Rendimiento: 10 a 14 m2/litro.   Ref. lm-86668550.
Fácil de aplicar, sin olor, secado-repintado muy rápidos con acabados profesionales, lo que permite puestas en servicio a las pocas horas de pintado. Gran resistencia a productos de limpieza domésticos, manchas (café, vino, salsas, aceite...), roces, golpes y a la intemperie. No deja marcas de pincel. 0% disolventes alifáticos y aromáticos, 0% metil etil cetoxima y 0% metales pesados. Nueva tecnología que garantiza las prestaciones premium de resistencia, dureza, durabilidad, flexibilidad y lavabilidad del producto.</t>
  </si>
  <si>
    <t>Pintura intumescente monocomponente al agua para la protección de estructuras metálicas y estructuras de hormigón contra el fuego. Pintura tixotrópica de color blanco que en caso de incendio crea una espuma aislante protectora. Rendimiento Teórico: 2 kg/m2 para 1 mm de espesor seco (espesor mínimo por mano: hasta 700 micras de película seca).   Ref. lm-89565281.
Apta para su uso en interior y exterior con protección. Ensayada para pefiles de todo tipo, incluidos los perfiles metálicos de sección hueca. La pintura PROMAPAINT SC4 está diseñada para proporcionar resistencias al fuego de hasta 90 minutos en estructura metálica y hasta 120 minutos en estructuras y forjados de hormigón.</t>
  </si>
  <si>
    <t>Pintura CLOROCAUCHO SUELOS de BARPIMO indicada para pintar para suelos de hormigón, morteros de cemento, otros derivados. Rendimiento Teórico: 9 a 12 m2/litro por mano (según el estado y estructura de la superficie).   Ref. lp-00007525
Aplicable en garajes, pistas deportivas, señalizaciones, lavaderos, naves industriales y parkings. De fácil aplicación, poder de cubrición y relleno, facilita la limpieza posterior proporcionando acabados decorativos y resistentes a la abrasión, agentes químicos, suciedad y desgaste. Colores: blanco, gris, rojo inglés, amarillo verde cromo y verde.</t>
  </si>
  <si>
    <t>ma-lp-00007530</t>
  </si>
  <si>
    <t>Pintura CLOROCAUCHO SUELOS de BARPIMO, color rojo inglés (4 litros/envase).   Ref. lp-00007530</t>
  </si>
  <si>
    <t>Pintura CLOROCAUCHO de BARPIMO indicada para pintar para suelos de hormigón, morteros de cemento, otros derivados. Rendimiento Teórico: 9 a 12 m2/litro por mano (según el estado y estructura de la superficie).   Ref. lp-00007530
Aplicable en garajes, pistas deportivas, señalizaciones, lavaderos, naves industriales y parkings. De fácil aplicación, poder de cubrición y relleno, facilita la limpieza posterior proporcionando acabados decorativos y resistentes a la abrasión, agentes químicos, suciedad y desgaste. Colores: blanco, gris, rojo inglés, amarillo verde cromo y verde.</t>
  </si>
  <si>
    <t>ma-lp-00383508</t>
  </si>
  <si>
    <t>Esmalte antioxidante metálico de altos sólidos OXIRÓN FORJA de TITANLUX; color marrón (750 ml/envase).   Ref. lp-00383508</t>
  </si>
  <si>
    <t>Esmalte antioxidante metálico de altos sólidos, de gran adherencia, elasticidad y resistencia a la intemperie, de aplicación directa sobre acero y óxido sin necesidad de preparación previa.   Ref.   lp-00383508
Excelente protección y decoración de cualquier superficie de hierro, a las que confiere un acabado metálico natural tipo forja. Excelente aplicación a brocha y rodillo, amplio tiempo abierto, que facilita los retoques. Colores entremezclables y altamente sólidos a la luz. Campos Aplicación: Exteriores e interiores. Indicado para verjas, farolas, barandas, postes eléctricos, grúas, puentes, etc.</t>
  </si>
  <si>
    <t>Esmalte antioxidante metálico de altos sólidos, de gran adherencia, elasticidad y resistencia a la intemperie, de aplicación directa sobre acero y óxido sin necesidad de preparación previa.   Ref.   lp-00383509
Excelente protección y decoración de cualquier superficie de hierro, a las que confiere un acabado metálico natural tipo forja. Excelente aplicación a brocha y rodillo, amplio tiempo abierto, que facilita los retoques. Colores entremezclables y altamente sólidos a la luz. Campos Aplicación: Exteriores e interiores. Indicado para verjas, farolas, barandas, postes eléctricos, grúas, puentes, etc.</t>
  </si>
  <si>
    <t>ma-lp-00533724</t>
  </si>
  <si>
    <t>Pintura plástica para fachadas TITÀN BIGMAT (15 litros/bidón).   Ref. lp-00533724</t>
  </si>
  <si>
    <t>Pintura plástica revestimiento para fachadas TITÁN BIGMAT. Color blanco mate. Envase 15 litros. Para la protección de fachadas y morteros monocapa. Alto poder cubriente, impermeable, transpirable. Buena resistencia a la intemperie, con conservante antimoho. Rendimiento: 3 a 8 m2/litro.   Ref. lp-00533724.</t>
  </si>
  <si>
    <t>Pintura plástica acrílica de buena lavabilidad y cubrición, resistente a los U.V. En interior apto para todo tipo de materiales de obra como el yeso, el cemento, el revoco, el hormigón o el ladrillo. En exterior apto en superficies blancas y colores claros. Rendimiento aproximado: 8 a 12 m2/litro/mano, en función de la absorción y textura del soporte.   Ref. lp-00538880.</t>
  </si>
  <si>
    <t>Revestimiento acrílico liso para fachadas impermeable, transpirable y conservante antimoho. Fácil aplicación. No salpica ni gotea. Protección y decoración de fachadas y paramentos verticales en exterior de hormigón, mortero de cemento, ladrillo, piedra, pintura plástica, etc. Rendimiento aproximado: 8 a 12 m2/litro.   Ref. lp-00538890.</t>
  </si>
  <si>
    <t>ma-lp-00539135</t>
  </si>
  <si>
    <t>Spray esmalte anticorrosivo blanco (400 ml/envase).   Ref. lp-00539135</t>
  </si>
  <si>
    <t>Revestimiento para fachadas y paramentos verticales en exterior de mortero de cemento, ladrillo, piedra, pintura plástica, etc. Revestimiento acrílico, liso, duradero y de alta protección. Acabado texturado fino color blanco mate. Rendimiento aproximado: 8 a 12 m2/litro/mano, en función de la absorción y textura del soporte (número de capas necesarias: 2).   Ref. lp-00539797.
Alta resistencia a lluvias y al vapor de agua. No amarillea. Resistente a microorganismos y antimoho. Garantía hasta 10 años. Evita la filtración de agua de lluvia, transpirable, limita el fuego (clasificación esuroclases), Alta resistencia a los rayos U.V., alta cubrición, buena adherencia, resistente a los microorganismos, insaponificable, producto al agua: sin olor a disolvente, cómoda aplicación, respetuosa con el medioambiente.</t>
  </si>
  <si>
    <t>ANTIPLUVIOL W de MAPEI. Hidrorrepelente silicónico en solución acuosa para impermeabilización de muros externos y con altísimas prestaciones. Tiempo de secado: 1-2 horas. Limpieza: agua. Aplicación con rodillo, brocha o pulverizador. Consumo: 0,1 a 0,5 kg/m2/mano (según la porosidad del soporte).   Ref. lp-00540897.
Es una dispersión lechosa a base de silanos y siloxanos en emulsión acuosa, caracterizada por una elevada capacidad para impregnar todos los materiales minerales absorbentes utilizados en la construcción volviéndolos hidrorrepelentes. Aplicado sobre un soporte poroso, ANTIPLUVIOL W penetra en profundidad y reacciona con la humedad natural presente en el interior de éste, para formar una capa hidrófoba en el interior de los poros y de los capilares, que rechaza el agua. Por esta propiedad, ANTIPLUVIOL W es un eficaz protector contra los agentes agresivos presentes en la atmósfera, transportados al interior de los materiales porosos por el agua de lluvia. El tratamiento hidrorrepelente con ANTIPLUVIOL W mejora además el efecto auto-limpieza de la fachada y reduce la adhesión de musgos y algas. No forma película, por lo que no modifica la permeabilidad al vapor de agua y no altera de modo visible el aspecto estético del material. Posee óptima resistencia a la alcalinidad, a las radiaciones ultravioletas y mantiene todas sus características de hidrorrepelencia inalteradas en el tiempo.
El consumo está fuertemente influenciado por el poder absorbente del soporte y puede variar entre 0,20 a 1 kg/m2. Detallamos a continuación algunos materiales con consumos relativos de manera indicativa: ladrillos cara vista: 0,50 a 0,75 kg/m2; revoques tradicionales: 0,50 a 0,80 kg/m2; piedra tipo tufo: 0,50 a 1,00 kg/m2; enlucido cementoso: 0,20 a 0,40 kg/m2; mármol: 0,20 a 0,50 kg/m2.</t>
  </si>
  <si>
    <t>Esmalte-laca satinado a base de resinas de poliuretano con propiedades anticorrosivas, de altas prestaciones y secado rápido para interior y exterior. Al contener poliuretanos y ceras permite obtener acabados de tacto sedoso y excepcional resistencia a golpes y rayadas. Rendimiento Teórico: 14 a 16 m2/litro (aproximado y según soporte).   Ref. lp-00564203.
APLICACIONES: En interior y exterior sobre todo tipo de superficies metálicas, madera, yeso, cemento. Yeso: Paredes techos de cocinas, baños, escaleras, etc. Madera: Carpintería de obra, muebles, bancos de jardín, embarcaciones, etc. Hierro: Muebles, puertas, rejas, estructuras, maquinaria agrícola, etc.</t>
  </si>
  <si>
    <t>Imprimante fijador al disolvente de máxima penetración en superficies porosas, pintadas o de obra nueva. Antihumedad. Máxima adherencia. Evita salitres y veladuras. Endurece y fija fondos porosos en mal estado. Rendimiento: 7 a 15 m2/litro por mano.   Ref. malagasol-5023609004.</t>
  </si>
  <si>
    <t>Preparación anticorrosiva de secado rápido para todo tipo de superficies. Extraordinaria adherencia sobre un gran número de soportes. Protección contra el óxido en superficies de hierro. Rendimiento: 8 a 12 m2/litro.   Ref. multipinturas-06A.</t>
  </si>
  <si>
    <t>Imprimación fijadora acrílica para la preparación de soportes a pintar. Producto recomendado para fijar y regularizar la absorción de todo tipo de superficies con porosidad tanto en interior como en exterior, actuando como puente de adherencia del producto de acabado. Rendimiento: 6 a 8 m2/litro en función de la absorción y textura del soporte.   Ref. multipinturas-1358.
PROPIEDADES: Gran capacidad de penetración y sellado de la superficie; Cohesiona la capa superficial del soporte; Excelente puente de adherencia entre el producto acabado (pinturas en base acuosa) y el soporte; Transpirable al vapor de agua: facilita la evacuación de la humedad contribuyendo a mantener la pared seca; Su opción en color blanco contribuye a ganar opacidad en el sistema de pintado; Inalterable a los álcalis del cemento (insaponificable).</t>
  </si>
  <si>
    <t>ma-pinturasalejo-kilate.brillo.g</t>
  </si>
  <si>
    <t>Esmalte sintético de altos sólidos con acabado brillante KILATE de PROCOLOR (4 litros/envase).   Ref. pinturasalejo-kilate.brillo.g</t>
  </si>
  <si>
    <t>Para la decoración y protección de toda clase de superficies de madera, yeso, hierro, acero, aluminio, zinc, cobre, PVC, etc. tanto en interior como en exterior. Rendimiento teórico: 12 a 14 m2/litro/mano.   Ref. pinturasalejo-kilate.brillo.g.</t>
  </si>
  <si>
    <t>Para la decoración y protección de toda clase de superficies de madera, yeso, hierro, acero, aluminio, zinc, cobre, PVC, etc. tanto en interior como en exterior. Rendimiento teórico: 9 a 11 m2/litro/mano.   Ref. pinturasalejo-kilate.satin.g.</t>
  </si>
  <si>
    <t>Esmalte antioxidante y decorativo hierro forjado directo al metal/óxido. Adecuado para la decoración y protección de hierro y acero sin necesidad de imprimación previa. Rendimiento teórico: 9 a 11 m2/litro (recomendable 2 manos para superficies nuevas). Colores: gris y negro.   Ref. pinturasalejo-procofer.forja.</t>
  </si>
  <si>
    <t>ma-pinturasalejo-prosilox.liso.m</t>
  </si>
  <si>
    <t>Pintura al siloxano para fachadas PROSILOX LISO MIX de PROCOLOR (15 litros/bidón).   Ref. pinturasalejo-prosilox.liso.mix-15</t>
  </si>
  <si>
    <t>Revestimiento PROSILOX LISO MIX de PROCOLOR al siloxano para fachadas es ideal para decorar y proteger superficies de hormigón, hormigón celular y albañilería tanto en interiores como en exteriores. Rendimiento: 4 a 5 m2/litro/mano (si la superficie está pulverulenta o degradada, imprimar con PROCOLITE FONDO PENETRANTE; y si está en buen estado, imprimar con PROCOFIX).   Ref. pinturasalejo-prosilox.liso.mix-15.</t>
  </si>
  <si>
    <t>Imprimación multisuperficies RUBBOL BL PRIMER al agua basada en resinas acrílicas y de poliuretano adecuada para el pintado de superficies de madera, metal, galvanizado, aluminio, pvc, melamina, etc. Su formulación en base de poliuretano le confiere una fácil aplicación y excelente nivelación. En superficies de madera, su microporosidad le permite respirar y controlar la humedad obteniéndose una larga durabilidad. Rendimiento: 12 a 14 m2/litro.   Ref. pinturasalejo-rubbol.blprimer.</t>
  </si>
  <si>
    <t>Imprimante incoloro al disolvente con máxima adherencia y poder de penetración en soportes degradados, está especialmente indicado para imprimar materiales de construcción degradados por el transcurrir del tiempo (morteros de cementos, ladrillos, hormigón, etc.).   Ref. pinturasmata-008696015.
Rendimiento Teórico: 8 a 12 m2/litro y mano (El Rendimiento Práctico vari?a en funcio?n del tipo y estado de la superficie, de la absorcio?n del soporte asi? como del modo de aplicacio?n y del grado de dilucio?n la variabilidad depende de la porosidad de la superficie.</t>
  </si>
  <si>
    <t>Pintura de revestimiento de excepcional calidad para la protección y decoración de fachadas, o bien su utilización en interiores. Buena adherencia sobre los materiales de construcción habituales. Buena resistencia a la abrasión y al frote húmedo. Película resistente a la intemperie y a los rayos ultravioleta. Pigmentos inorgánicos estables a la luz y la intemperie. Buena resistencia a la alcalinidad del soporte como morteros de cemento, hormigón, ladrillo. Impermeable al agua de la lluvia y permeable al vapor de agua, permitiendo la transpiración del soporte.   Ref. pp-0120100600ML.</t>
  </si>
  <si>
    <t>Emulsión al agua para el sellado de superficies nuevas, viejas o en mal estado. Imprimación acuosa acrílica consolidante y reguladora de absorción, de partícula fina y muy penetrante.   Ref. pp-0135001400SJ-B
Usos: Preparación y fijación para pinturas acuosas. Interior-Exterior.
Dilución: Diluir con agua en relacion 1:4 (1 de isacrílico por 4 de agua).
Tiempo de secado: Al tacto 30min. / Repintado 2 horas / Total 10 a 15 días.
Limpieza de utensilios: Agua, antes del secado.
Acabado: Transparente.
Rendimiento: Hormigón: 30-60 m²/L Morteros: 15-20 m²/L Fibrocemento:15-20m²/L</t>
  </si>
  <si>
    <t>Emulsión al agua para el sellado de superficies nuevas, viejas o en mal estado. Imprimación acuosa acrílica consolidante y reguladora de absorción, de partícula fina y muy penetrante.   Ref. pp-0135001400SJ-G
Usos: Preparación y fijación para pinturas acuosas. Interior-Exterior.
Dilución: Diluir con agua en relacion 1:4 (1 de isacrílico por 4 de agua).
Tiempo de secado: Al tacto 30min. / Repintado 2 horas / Total 10 a 15 días.
Limpieza de utensilios: Agua, antes del secado.
Acabado: Transparente.
Rendimiento: Hormigón: 30-60 m²/L Morteros: 15-20 m²/L Fibrocemento:15-20m²/L</t>
  </si>
  <si>
    <t>Pintura tixotrópica con bajo olor especial para el pintado de paredes con humedad. Excepcional adherencia, no amarillea. Usos: Interior. Paredes con problemas de hu- medad por capilaridad.
Fondear con Tixoval antihumedad diluido o fijador al disolvente Fixacril ((dilución: Disolvente Tixoval D-50. Aplicación: brocha 0-10%, rodillo 0-10%, pistola 0-10%). Formatos: 0,75 litros; 4 litros; 16 litros. Rendimiento: 6 a 8 m2/litro.   Ref. pp-8426106541056</t>
  </si>
  <si>
    <t>Pintura de revestimiento de excepcional calidad para la protección y decoración de fachadas, o bien su utilización en interiores. Buena adherencia sobre los materiales de construcción habituales. Buena resistencia a la abrasión y al frote húmedo. Película resistente a la intemperie y a los rayos ultravioleta. Pigmentos inorgánicos estables a la luz y la intemperie. Buena resistencia a la alcalinidad del soporte como morteros de cemento, hormigón, ladrillo. Impermeable al agua de la lluvia y permeable al vapor de agua, permitiendo la transpiración del soporte.   Ref. pp-s/c-01</t>
  </si>
  <si>
    <t>ma-pp-0130018800ML</t>
  </si>
  <si>
    <t>Pintura al siloxano BIXOLAN de ISAVAL (15 litros/bidón).   Ref. pp-0130018800ML</t>
  </si>
  <si>
    <t>Revestimiento de exteriores en base de silicona. Hidrofugante e impermeable al agua de lluvia. Permeable al vapor de agua, permite la transpiración del soporte. Rendimiento: 6 a 8 m²/litro y mano (aprox.) según soporte.   Ref. pp-0130018800ML
Es el revestimiento ideal para la restauración y renovación de fachadas. Resistente a la alcalinidad del soporte, como morteros de cemento, hormigón, ladrillo … Resistente a los nocivos efectos de la intemperie. Alta barrera anticarbonatación, elevada resistencia a la difusión de CO2. Evita la aparición de manchas de hongos y algas en su superficie.
Debido al efecto perlado es autolimpiable por la lluvia. Pensado especialmente para evitar los nocivos efectos que la humedad produce en los muros orientados hacia el norte/noroeste o en zonas muy húmedas. Su repelencia al agua esta combinada con una alta permeabilidad al vapor de agua, lo que permite “respirar” al muro evitando la formación de ampollas y el desprendimiento de la pintura.</t>
  </si>
  <si>
    <t>ma-pp-0135001450SJ</t>
  </si>
  <si>
    <t>Imprimante acuoso a base de copolímeros acrílico-siloxánicos FIXENOL CONSOLIDANTE de ISAVAL (15 litros/bidón).   Ref. pp-0135001450SJ</t>
  </si>
  <si>
    <t>Imprimación para pinturas al agua, especialmente indicada para la fijación y sellado de substratos minerales (mortero de cemento, hormigón, baldosín catalán, etc.). Rendimientos en m2/litro: Hormigón y Superficies Pintadas: 15 a 20; Morteros y Fibrocemento: 10 a 15; Yeso y Escayola: 5 a 15.   Ref. pp-0135001450SJ
Altamente recomendable su utilización con nuestros productos para fachadas BIXOLÁN y REVIFLEX. Acción consolidante en soportes de baja consistencia previo a la aplicación de sistema SATE RHONATHERM.</t>
  </si>
  <si>
    <t>Revestimiento elástico liso al siloxano para protección, impermeabilización y decoración de fachadas y muros exteriores. Clasificado según UNE-EN 1062: Materiales de recubrimiento y sistemas de recubrimiento para albañilería exterior y hormigón. Rendimiento aproximado de 4 a 6 m2/litro por mano.   Ref. pp-0137006000SL.
Está especialmente diseñado para la decoración y protección de fachadas con grietas y fisuras. Por su resistencia al envejecimiento y a la intemperie su aplicación es ideal en aquellos edificios que se encuentran en zonas propensas a polución.
De aplicación universal sobres los siguientes soportes:
• Enfoscados de cemento y hormigón no hidrófugo.
• Pinturas plásticas bien adheridas.
• Enlucidos de yeso.</t>
  </si>
  <si>
    <t>Permite la fijación de superficies minerales y regula la absorción de las diferentes superficies a pintar.   Ref. pp-8426106221507.
Regulador de la absorción de los morteros de cal y superficies en general que presenten una elevada porosidad. Igualmente, empleándolo como diluyente para la pintura al silicato aumenta la dureza y cohesión de la capa, obteniéndose resultados excepcionales. Dilución: 1:4 (1 de fijador y 4 partes de agua). Rendimiento: 12 a 15 m2/litro.</t>
  </si>
  <si>
    <t>ma-pp-8426106434570</t>
  </si>
  <si>
    <t>Pintura a base de silicato potásico para obtener efectos “veladura” en exteriores e interiores SILVEL VELADURA SILICATO de ISAVAL; color C-F2.10.70 (4 litros/envase).   Ref. pp-8426106434570</t>
  </si>
  <si>
    <t>Pintura a base de silicato, preparada para obtener efectos “veladura” en exteriores e interiores, que contiene silicato potásico como aglomerantes y estabilizadores orgánicos. SILVEL VELADURA SILICATO.   Ref. pp-8426106434570.</t>
  </si>
  <si>
    <t>ma-pp-8426106480775</t>
  </si>
  <si>
    <t>Pintura mineral de fachadas con ligantes de sol de sílice y silicato potásico SILTOP SOL SILICATO de ISAVAL (5 litros/envase).   Ref. pp-8426106480775</t>
  </si>
  <si>
    <t>Pintura mineral de fachadas con ligantes de sol de sílice y silicato potásico SILTOP SOL SILICATO de ISAVAL. USOS: renovación y aplicación sobre pinturas, revocos modificados orgánicamente, así como soportes minerales. Fondear con SILTOP SOL SILICATO concentrado. Rendimiento 6 a 8 m2/litro.   Ref. pp-8426106480775.</t>
  </si>
  <si>
    <t>ma-pp-8426106480782</t>
  </si>
  <si>
    <t>Pintura mineral de fachadas con ligantes de sol de sílice y silicato potásico SILTOP SOL SILICATO de ISAVAL (15 litros/bidón).   Ref. pp-8426106480782</t>
  </si>
  <si>
    <t>Pintura mineral de fachadas con ligantes de sol de sílice y silicato potásico SILTOP SOL SILICATO de ISAVAL. USOS: renovación y aplicación sobre pinturas, revocos modificados orgánicamente, así como soportes minerales. Fondear con SILTOP SOL SILICATO concentrado. Rendimiento 6 a 8 m2/litro.   Ref. pp-8426106480782.</t>
  </si>
  <si>
    <t>ma-pp-8426106541056-B</t>
  </si>
  <si>
    <t>Pintura tixotrópica TIXOVAL ANTIHUMEDAD RESINA PLIOWAY de ISAVAL (16 litros/envase).   Ref. pp-8426106541056-B</t>
  </si>
  <si>
    <t>Pintura tixotrópica con bajo olor especial para el pintado de paredes con humedad. Excepcional adherencia, no amarillea. Usos: Interior. Paredes con problemas de hu- medad por capilaridad.
Fondear con Tixoval antihumedad diluido o fijador al disolvente Fixacril ((dilución: Disolvente Tixoval D-50. Aplicación: brocha 0-10%, rodillo 0-10%, pistola 0-10%). Formatos: 0,75 litros; 4 litros; 16 litros. Rendimiento: 6 a 8 m2/litro.   Ref. pp-8426106541056-B.</t>
  </si>
  <si>
    <t>ma-pp-8436563360107-B</t>
  </si>
  <si>
    <t>Pintura int&amp;ext PALAS P-500 CUBREX; color blanco (14 litros/bidón).   Ref. pp-8436563360107-B</t>
  </si>
  <si>
    <t>Pintura int&amp;ext PALAS P-500 CUBREX; color blanco (14 litros/bidón).   Ref. pp-8436563360107-B
Pintura extra mate de muy alta cubrición, para paredes y techos, tanto en interior como en exterior, donde se requieren acabados de buena calidad.
Especialmente indicada para el pintado de paredes y techos, tanto en interior como en exterior, donde se requieren acabados de buena calidad.
PROPIEDADES:
- Elevado poder de cubrición.
- Bajo salpicado.
- No amarillea.
- Buena resistencia al frote húmedo.
- Buena adherencia sobre los materiales de construcción habituales.
- Bajo nivel de olor
- Excelente nivelación y facilidad de aplicación.
- Con conservante antimoho (para película).</t>
  </si>
  <si>
    <t>Pintura int&amp;ext PALAS P-500 CUBREX; color blanco (5 litros/envase).   Ref. pp-8436563360107-G
Pintura extra mate de muy alta cubrición, para paredes y techos, tanto en interior como en exterior, donde se requieren acabados de buena calidad.
Especialmente indicada para el pintado de paredes y techos, tanto en interior como en exterior, donde se requieren acabados de buena calidad.
PROPIEDADES:
- Elevado poder de cubrición.
- Bajo salpicado.
- No amarillea.
- Buena resistencia al frote húmedo.
- Buena adherencia sobre los materiales de construcción habituales.
- Bajo nivel de olor
- Excelente nivelación y facilidad de aplicación.
- Con conservante antimoho (para película).</t>
  </si>
  <si>
    <t>Pintura a base de silicato, preparada para obtener efectos “veladura” en exteriores e interiores, que contiene silicato potásico como aglomerantes y estabilizadores orgánicos. SILVEL VELADURA SILICATO.   Ref. pp-E8.15.55.</t>
  </si>
  <si>
    <t>ma-pp-F2.10.70</t>
  </si>
  <si>
    <t>Pintura a base de silicato potásico para obtener efectos “veladura” en exteriores e interiores SILVEL VELADURA SILICATO de ISAVAL; color C (15 litros/bidón).   Ref. pp-F2.10.70</t>
  </si>
  <si>
    <t>Pintura a base de silicato, preparada para obtener efectos “veladura” en exteriores e interiores, que contiene silicato potásico como aglomerantes y estabilizadores orgánicos. SILVEL VELADURA SILICATO.   Ref. pp-F2.10.70.</t>
  </si>
  <si>
    <t>ma-pp-barniz.ignifugo-B88-20</t>
  </si>
  <si>
    <t>Barniz ignífugo B-88 de CEDRIA (20 litros/bidón).   Ref. pp-barniz.ignifugo-B88-20</t>
  </si>
  <si>
    <t>Barniz Ignífugo incoloro y transparente para la madera en base agua, apto para interiores y exteriores, certificado con la máxima clasificación posible en baja emisión de humos. Acabado: Satinado sedoso. Rendimiento: 3m2/litro, dependiendo del soporte y tipo de madera. Secado: 60 minutos (al tacto); Repintado: 2 horas.   Ref. pp-barniz.ignifugo-B88-20.
Indicado para interiores y para exteriores. Para frisos, revestimientos, tarimas, pavimentos de madera, vigas, techos, cubiertas… que precisen de un comportamiento ignífugo.
Propiedades:
• Clasificado Bs1d0 según sistema de EUROCLASES para la aplicación como recubrimiento de PAREDES Y TECHOS según la Norma Europea UNE-EN-13501-1.
• Clasificado BFLs1 según sistema de EUROCLASES para la aplicación como recubrimiento de SUELOS según la Norma Europea UNE-EN-13501-1.
• Clasificado BROOF(t1) según sistema de EUROCLASES para la aplicación como recubrimiento de CUBIERTAS EXTERIORES según la Norma Europea UNE-EN-13501-5
• Clasificación A+ (Más baja emisión de VOC) otorgada por laboratorio acreditado Eurofins.</t>
  </si>
  <si>
    <t>ma-pp-hidroprotect.antigraffiti</t>
  </si>
  <si>
    <t>Protector Antigraffiti HIDROPROTECT ANTIGRAFFITI de QUIMIBASE (25 litros/bidón).   Ref. pp-hidroprotect.antigraffiti</t>
  </si>
  <si>
    <t>Protector antigraffiti apto para toda clase de superficies minerales, porosas absorbentes (piedra, hormigón revestimientos pétreos, estucados, etc.), que impide la penetración de la pintura en el soporte. Rendimiento: 5 a 6 m2/litro (según absorción del sustrato).   Ref. pp-hidroprotect.antigraffiti.</t>
  </si>
  <si>
    <t>ma-pp-isaldux-G</t>
  </si>
  <si>
    <t>Esmalte industrial altas prestaciones para decorar y proteger superficies variadas ISALDUX de ISAVAL (4 litros/envase).   Ref. pp-isaldux-G</t>
  </si>
  <si>
    <t>Esmalte industrial altas prestaciones para decorar y proteger superficies variadas (acero, madera y todo tipo de soportes adecuadamente tratados, sellados e imprimados). Rendimiento: 12 a 16 m2/litro (35 a 45 micras secas); Repintado: 24 horas.   Ref. pp-isaldux-G.</t>
  </si>
  <si>
    <t>ma-pp-isalnox-G</t>
  </si>
  <si>
    <t>Imprimante multiadherente polivalente antioxidante ISALNOX de ISAVAL (4 litros/envase).   Ref. pp-isalnox-G</t>
  </si>
  <si>
    <t>Imprimación polivalente monocomponente antioxidante con adherencia excepcional sobre gran variedad de soportes. Protección anticorrosiva de metales ferrosos y no ferrosos con adherencia muy buena sobre: acero. acero galvanizado, latón, PVC. Rendimiento: 10 a 12 m2/litro (40 a 50 micras por capa); Repintado: 3 a 4 horas (esperar 24 horas cuando se repinte con productos bicomponentes).   Ref. pp-isalnox-G.</t>
  </si>
  <si>
    <t>Imprimación epoxi-poliamida polivalente, multiadherente y anticorrosiva. Bicomponente con endurecedor 0,66 litros. Rendimiento: 10 a 12 m2/litro.   Ref. pp-s/c-07.
PROPIEDADES: Protege el metal a la corrosión; Buenas resistencias físicas y químicas; Adherencia excepcional sobre gran variedad de soportes metálicos y no metálicos; Polivalente. Elevada dureza.</t>
  </si>
  <si>
    <t>ma-pp-s/c-02-B</t>
  </si>
  <si>
    <t>Pintura a base de siloxano para fachadas REVIFLEX de ISAVAL; blanco (15 litros/bidón).   Ref. pp-s/c-02-B</t>
  </si>
  <si>
    <t>REVIFLEX de ISAVAL es un revestimiento liso a base de resinas de siloxano en fase acuosa muy resistente a la alcalinidad y a los agentes atmosféricos.   Ref. pp-s/c-02-B
Por sus excepcionales características de calidad se puede emplear tanto en interiores como en exteriores. Destaca por su perfecta adherencia a los distintos materiales de construcción, especialmente antiguas pinturas a la cal, su elevada permeabilidad al vapor de agua y su excelente repintabilidad.
PROPIEDADES:
• Rendimiento: 8 – 12 m2/litro.
• Permeable al vapor de agua, permitiendo la transpiración del soporte.
• Resistente a los nocivos efectos de la intemperie.
• Alta opacidad.
• Resistencia a la alcalinidad del soporte, como morteros de cemento, hormigón, ladrillo …
• Buena adherencia sobre los materiales de construcción habituales.
• Clasificación: según NF T 36005: Familia I Clase 7b2; según NF DTU 59.1: D2; según NF EN 1062-1: E3 V2 W3 A0.</t>
  </si>
  <si>
    <t>ma-pp-s/c-03-B</t>
  </si>
  <si>
    <t>Revestimiento elástico impermeabilizante de poliuretano en capa gruesa IMPER PU ANTIGOTERAS de ISAVAL (15 litros/bidón).   Ref. pp-s/c-03-B</t>
  </si>
  <si>
    <t>Revestimiento elástico impermeabilizante de poliuretano en capas gruesa, destinado a evitar filtraciones de agua presentando una excelente resistencia al exterior. Contribuye a las certificaciones LEED y BREEAM.   Ref. pp-s/c-03-B
Rendimiento 1 a 1,5 litros/m2 (tratamiento completo); no obstante, para su uso en cubiertas transitables el consumo debe ser superior a 2.5 litros/m2. Fondear con IMPER PU diluido 40% con agua.
Está especialmente indicado para la impermeabilización y protección de superficies del tipo como terrazas, fachadas, medianeras (cuchillos), y todos aquellos tendidos de mortero donde aparecen grietas finas, repartidas en una orientación determinada, que son casi estáticas, es decir tienen muy poco movimiento de contracción o dilatación con los cambios climáticos, debido a una desequilibrada composición del mortero, de su granulometría, o a condiciones anómalas de secado.
USOS: Terrazas, fachadas, medianeras (cuchillos), y todos aquellos tendidos de mortero donde aparecen grietas finas, repartidas en una orientación determinada, que son casi estáticas.</t>
  </si>
  <si>
    <t>ma-pp-s/c-04-B</t>
  </si>
  <si>
    <t>Revestimiento acrílico a base de resinas Pliolite al disolvente PLIOVAL de ISAVAL; color blanco (15 litros/bidón).   Ref.. pp-s/c-04-B</t>
  </si>
  <si>
    <t>Revestimiento acrílico liso al disolvente para fachadas a base de resinas Pliolite. Adherencia excepcional sobre todo tipo de materiales de construcción, incluso sobre soportes húmedos o en las condiciones más desfavorables. Impermeabiliza del agua de lluvia y es totalmente transpirable. Rendimiento: 10 a 12 m2/litro.   Ref.. pp-s/c-04-B
USOS: Restauración de edificios, protección de fachadas. Paramentos conflictivos.
IMPRIMACIONES: FIXACRIL Fijador acrílico al disolvente (soportes absorbentes no consolidados); PLIOVAL PRIMER Imprimación acrílica en solución a base de resinas Pliolite muy penetrante (consolidación y sellado de superficies porosas o en muy mal estado).</t>
  </si>
  <si>
    <t>Revestimiento acrílico liso al disolvente para fachadas a base de resinas Pliolite. Adherencia excepcional sobre todo tipo de materiales de construcción, incluso sobre soportes húmedos o en las condiciones más desfavorables. Impermeabiliza del agua de lluvia y es totalmente transpirable. Rendimiento: 10 a 12 m2/litro.   Ref.. pp-s/c-04-G
USOS: Restauración de edificios, protección de fachadas. Paramentos conflictivos.
IMPRIMACIONES: FIXACRIL Fijador acrílico al disolvente (soportes absorbentes no consolidados); PLIOVAL PRIMER Imprimación acrílica en solución a base de resinas Pliolite muy penetrante (consolidación y sellado de superficies porosas o en muy mal estado).</t>
  </si>
  <si>
    <t>ma-pp-s/c-05-G</t>
  </si>
  <si>
    <t>Barniz sintético interior-exterior resistente a agentes atmosféricos BRISA de ISAVAL; acabado satinado (4 litros/envase).   Ref. pp-s/c-05-G</t>
  </si>
  <si>
    <t>Barniz interior-exterior sintético (sin poliuretano) de gran resistencia a los agentes atmosféricos. Protección ultravioleta. Destaca por su elevada flexibilidad. Rendimiento: 10 a 14 m2/litro.
USOS: Interior-exterior. Madera. Ideal para la decoración y protección de todo tipo de soportes de madera tales como suelos, puertas, muebles, barandillas, marcos, etc.
Fondear con XANOL TAPAPOROS o BRISA BARNIZ Interior-Exterior diluido (Dilución: Disolvente para sintéticos (D-90). Aplicación: brocha 0-5%, rodillo 0-5% con D10, pistola 0-10%).</t>
  </si>
  <si>
    <t>ma-pp-s/c-05-L</t>
  </si>
  <si>
    <t>Barniz sintético interior-exterior resistente a agentes atmosféricos BRISA de ISAVAL; acabado satinado (750 ml/envase).   Ref. pp-s/c-05-L</t>
  </si>
  <si>
    <t>Barniz interior-exterior sintético (sin poliuretano) de gran resistencia a los agentes atmosféricos. Protección ultravioleta. Destaca por su elevada flexibilidad. Rendimiento: 10 a 14 m2/litro.
USOS: Interior-exterior. Madera. Ideal para la decoración y protección de todo tipo de soportes de madera tales como suelos, puertas, muebles, barandillas, marcos, etc.   Ref. pp-s/c-05-L
Fondear con XANOL TAPAPOROS o BRISA BARNIZ Interior-Exterior diluido (Dilución: Disolvente para sintéticos (D-90). Aplicación: brocha 0-5%, rodillo 0-5% con D10, pistola 0-10%).</t>
  </si>
  <si>
    <t>Barniz exterior sintético con poliuretano YATE PU de ISAVAL; acabado brillante (4 litrosl/envase).   Ref. pp-s/c-06-G</t>
  </si>
  <si>
    <t>ma-pp-s/c-06-L</t>
  </si>
  <si>
    <t>Barniz exterior sintético POLIURETANO TITÁN YATE; acabado brillante (750 ml/envase).   Ref. pp-s/c-06-L</t>
  </si>
  <si>
    <t>Barniz exterior sintético con poliuretano YATE PU de ISAVAL; acabado brillante (750 ml/envase).   Ref. pp-s/c-06-L</t>
  </si>
  <si>
    <t>Esmalte poliuretano acrílico curado con isocianato alifático de elevada dureza y muy buena adherencia sobre gran variedad de superficies metálicas o no metálicas. Rendimiento: 10 a 13 m2/litro (40 a 50 micras secas).   Ref. pp-s/c-08
PROPIEDADES
• No amarillea.
• Excelente retención de color y brillo.
• Resistente a los nocivos efectos de la intemperie.
• Indicado para ambientes agresivos como son las zonas industriales y marinas.
• Alta opacidad y nivelación.
• Buena adherencia sobre soportes difíciles.
• Después de seco al tacto, horneando 20-30 minutos a 70-80º C se consigue un curado instantáneo.
• Aplicación en interior y exterior.
USOS: Pensado especialmente para el pintado de gran variedad de sustratos tanto metálicos (hierro, acero, galvanizado, latón, aluminio, etc.) como no metálicos (madera, hormigón, yeso, etc.) cuando se requiera un acabado de calidad y resistencia.</t>
  </si>
  <si>
    <t>ma-pp-titanlux.ecologico.sat-2.5</t>
  </si>
  <si>
    <t>Esmalte ecológico al agua de TITANLUX; color 549 Gris Medio (2,5 litros/envase).   Ref. pp-titanlux.ecologico.sat-2.5</t>
  </si>
  <si>
    <t>Esmalte multisuperficies al agua de máxima calidad y uso universal. Decora y protege con una sola capa. Con conservante antimoho. Blanco inalterable, no amarillea y conserva los colores y el brillo. Respetuoso con las personas y el medio ambiente. Rendimiento: 10 a 14 m2/litro.   Ref. pp-titanlux.ecologico.sat-2.5.
Fácil de aplicar, sin olor, secado-repintado muy rápidos con acabados profesionales, lo que permite puestas en servicio a las pocas horas de pintado. Gran resistencia a productos de limpieza domésticos, manchas (café, vino, salsas, aceite...), roces, golpes y a la intemperie. No deja marcas de pincel. 0% disolventes alifáticos y aromáticos, 0% metil etil cetoxima y 0% metales pesados. Nueva tecnología que garantiza las prestaciones premium de resistencia, dureza, durabilidad, flexibilidad y lavabilidad del producto.</t>
  </si>
  <si>
    <t>ma-prolisur-C8196-B</t>
  </si>
  <si>
    <t>Pintura anticarbonatación para morteros y hormigones BETOPAINT de PROPAMSA (20 kg/bidón).   Ref. prolisur-C8196-B</t>
  </si>
  <si>
    <t>BETOPAINT es un revestimiento para la protección de hormigones y morteros frente a la carbonatación, desarrollado en base copolímeros acrílicos en dispersión acuosa, de un solo componente, impermeable, con acabado decorativo y resistente a los agentes atmosféricos. Cumple con los requerimientos de la norma EN 1504-2.   Ref. prolisur-C8196-G.
CAMPOS DE APLICACIÓN:
• Impermeabilización de todo tipo de cubiertas y terrazas.
• Tratamiento e impermeabilización de encuentros en chimeneas, petos, etc.
• Tratamiento e impermeabilización de juntas en fachadas y cubiertas.
• Protección y reparación sobre tejas, cubiertas de fibrocemento o canalones.
• Protección de aislamientos térmicos de espuma de poliuretano proyectado frente a la radiación ultravioleta.
CONSUMO: Para la impermeabilización de terrazas y cubiertas se aplicarán como mínimo 2 capas (aparte de la imprimación) con un consumo mínimo total de 2 kg/m2. En el caso de impermeabilización de fachadas o paramentos verticales, se deben aplicar como mínimo 1 Kg/m2. Disponible en blanco, gris, verde, rubí y rojo teja.</t>
  </si>
  <si>
    <t>ma-prolisur-C8196-G</t>
  </si>
  <si>
    <t>Pintura anticarbonatación para morteros y hormigones BETOPAINT de PROPAMSA (5 kg/envase).   Ref. prolisur-C8196-G</t>
  </si>
  <si>
    <t>Revestimiento exterior formulado con copolímeros acrílicos aditivados con polímeros de polisiloxano modificados con resinas de silicona, de gran resistencia a la intemperie y al salitre e incorporando agentes altamente resistentes a la formación de moho y algas. Rendimiento Teórico: 5 a 9 m2/litro por mano.   Ref. ralpe-SKU1005.
USOS / AMBITO DE ACTUACIÓN: Fachadas; Patios de luz; Pintado de obra nueva o rehabilitación; Paredes y techos tanto interior como exterior.
CARACTERÍSTICAS / VENTAJAS: Buena Cubrición; Excelente transpirabilidad; Impermeable al agua de lluvia; Alta durabilidad; Fácil Aplicación; No marca recortes ni empalmes; Certificado respecto a la reacción al fuego; Marcado CE; • Resistente a la alcalinidad de los materiales habituales en la construcción</t>
  </si>
  <si>
    <t>Imprimante incoloro a base de copolímeros acrílicos especiales con alto poder de penetración para fijar y endurecer superficies en mal estado. Rendimiento Teórico: 10 a 20 m2/litro por mano.   Ref. ralpe-SKU1065.
Usos: Endurecer soportes viejos de cemento, mortero, hormigón. Regular la absorción en soportes muy porosos. Fijar soportes pulverulentos. Aplicable tanto en interior como exterior. Características: Partícula extrafina para aumentar la penetración, permeable al vapor de agua, permitiendo así la transpiración de edificio. Regulación de la absorción en paredes viejas o en mal estado, controlando el consumo y absorción de la pintura aplicada como acabado.</t>
  </si>
  <si>
    <t>Esmalte sintético alquídico liso y acabado satinado de gran protección anticorrosiva. No hace falta realizar una imprimación antes de aplicar este esmalte y esta se realiza muy fácilmente. Sobre el hierro limpio u oxidado. Se puede utilizar tanto para superficies interiores y exteriores, de gran adherencia y dureza. Aplicable con rodillo, brocha y pistola. Rendimiento: 8 a 10 m2/litro/capa.   Ref. reyplast-D0601-0047.007.</t>
  </si>
  <si>
    <t>ma-reyplast-D0602-0048.001</t>
  </si>
  <si>
    <t>Esmalte sintético alquídico con textura tipo gel y efecto de hierro forjado DIRECTO AL METAL FORJA de VALENTINE D0602 (4 litros/envase).   Ref. reyplast-D0602-0048.001</t>
  </si>
  <si>
    <t>Esmalte sintético alquídico con textura tipo gel y efecto de hierro forjado. Gran protección anticorrosiva. Se aplica muy fácilmente y no es necesaria realizar una imprimación antes de aplicarlo. Sobre hierro limpio u oxidado. Gran adherencia y dureza. Es posible aplicarlo tanto para superficies interiores como exteriores. Aplicable con rodillo, brocha y pistola. Rendimiento: 6 a 8 m2/litro/capa.   Ref. reyplast-D0602-0048.001.</t>
  </si>
  <si>
    <t>SIKAGARD-670 W ELASTOCOLOR es una pintura de protección frente a la carbonatación, la humedad o los cloruros, a base de resinas acrílicas en dispersión acuosa, que produce una superficie de acabado mate.   Ref. s.lucia-sikagard.670.w.elastr
CARACTERÍSTICAS: Elevada resistencia a la difusión del CO2 (reduciendo la velocidad de carbonatación); Permeable al vapor de agua (permitiendo la transpiración del soporte); Excelente resistencia a la intemperie y al envejecimiento; Puenteo de fisuras. Consumo: 0,175 – 0,225 kg/m2 (Espesores de Capa: Mín. 60 micras; Máx. 120 micras). Condiciones Normales de Aplicación: 2 manos de producto sin imprimación (soportes muy absorbentes: Imprimación SIKAGARD-670 W ELASTOCOLOR diluido en un 5% de agua).</t>
  </si>
  <si>
    <t>Fondo de poliuretano monocomponente en base acuosa de rápido secado y fácil lijado. Contribuye a las certificaciones LEED y BREEAM. Apto para la preparación de todo tipo de superficies de madera, incluido suelos. Rendimiento: 10 a 12 m2/litro.   Ref. servicolor-690510-MG</t>
  </si>
  <si>
    <t>Imprimación acrílica en solución muy penetrante destinada a la consolidación y sellado de superficies porosas o en muy mal estado y con problemas de caleo.   Ref. servicolor-700108-G
Especialmente indicado para la fijación y sellado de fondos en mal estado y superficies porosas. Altamente recomendable su utilización junto con nuestros productos para fachadas.
Cabe destacar su empleo como MEMBRANA DE CURADO DE HORMIGÓN; esto es posible debido a una de sus propiedades fundamentales (evitar la salida rápida del agua de fraguado, asegurando la hidratación máxima del óxido de calcio (CaO) en su pase a hidróxido cálcico Ca (OH)2 con esta salida lenta del agua sobrante, por difusión, a través de la microporosidad de la resina se logra disminuir el tamaño de los poros capilares, con la consecuente mejora de la calidad de hormigón).
RENDIMIENTO: Es muy variable dependiendo del tipo de sustrato y del estado de conservación en que se encuentre (Hormigón: 15 - 20 m2/l; Morteros: 10 - 15 m2/l; Fibrocemento: 10 - 15 m2/l; Yeso - escayola: 5 - 15 m2/l; Superficies pintadas: 15 - 20 m2/l.</t>
  </si>
  <si>
    <t>Esmalte poliuretano alifático bicomponentes no amarilleante de ISAVAL. Con gran resistencia a la abrasión, está pensado especialmente para el pintado de gran variedad de sustratos tanto metálicos (hierro, acero, galvanizado, latón, aluminio, etc…) como no metálicos (madera, hormigón, yeso, etc…), cuando se requiera un acabado de gran calidad y resistencia. Rendimiento: 10 a 13 m2/litro, para aplicación de 40-50 micras secas.   Ref. servicolor-801318.</t>
  </si>
  <si>
    <t>ma-servicolor-801319</t>
  </si>
  <si>
    <t>Esmalte alifático 2kR + catalizador de ISAVAL; color blanco con acabado mate (4 litros/envase).   Ref. servicolor-801319</t>
  </si>
  <si>
    <t>Esmalte poliuretano alifático bicomponentes no amarilleante de ISAVAL. Con gran resistencia a la abrasión, está pensado especialmente para el pintado de gran variedad de sustratos tanto metálicos (hierro, acero, galvanizado, latón, aluminio, etc…) como no metálicos (madera, hormigón, yeso, etc…), cuando se requiera un acabado de gran calidad y resistencia. Rendimiento: 10 a 13 m2/litro, para aplicación de 40-50 micras secas.   Ref. servicolor-801319.</t>
  </si>
  <si>
    <t>ma-servicolor-801722</t>
  </si>
  <si>
    <t>Esmalte alifático 2kR + catalizador de ISAVAL; color blanco con acabado brillante (4 litros/envase).   Ref. servicolor-801722</t>
  </si>
  <si>
    <t>Esmalte poliuretano alifático bicomponentes no amarilleante de ISAVAL. Con gran resistencia a la abrasión, está pensado especialmente para el pintado de gran variedad de sustratos tanto metálicos (hierro, acero, galvanizado, latón, aluminio, etc…) como no metálicos (madera, hormigón, yeso, etc…), cuando se requiera un acabado de gran calidad y resistencia. Rendimiento: 10 a 13 m2/litro, para aplicación de 40-50 micras secas.   Ref. servicolor-801722.</t>
  </si>
  <si>
    <t>ma-teais-214688213</t>
  </si>
  <si>
    <t>Pintura EXTRACALÓRICA SUPER de TEAIS (0,75 litros/envase).   Ref. teais-214688213</t>
  </si>
  <si>
    <t>Pintura a base de resinas de silicona con pigmentos de aluminio metálicos ó negro cerámico, de gran resistencia al calor sin mermar sus cualidades inherentes. Rendimiento: 5 m2/litro.   Ref. teais-214688213.
En la industria de fundición de metales, siderúrgicas, acerías, etc. donde las superficies metálicas están sometidas a temperaturas de hasta 600ºC y esporádicamente 650ºC. En tuberías ó maquinarias sometidas a dichas temperaturas. Tiene buena adherencia sobre metales limpios, únicamente es necesario un chorreo cuando la superficie presenta oxidación. No obstante, la superficie siempre debe estar limpia, libre de polvo, grasas, aceites y otros agentes contaminantes.</t>
  </si>
  <si>
    <t>TABIQUES.Y.FALSOS.TECHOS</t>
  </si>
  <si>
    <t>MATERIALES PARA TECHOS FALSOS Y TABIQUES TIPO PLADUR</t>
  </si>
  <si>
    <t>La placa para techo con vinilo de THU es una placa de yeso laminado tipo BV, revestida con una lámina de policloruro de vinilo color blanco que le otorga cualidades especiales de impermeabilidad y limpieza. Incluye una lámina impermeable color aluminio en su cara posterior que actúa como barrera de vapor y evita la aparición de condensaciones que pudieran afectar a la placa. Las placas de vinilo se montan apoyadas sobre una estructura en forma de cuadrícula en módulos de 600x600 mm y de 1200x600 mm.   Ref. bauhaus-26159528.
Es muy práctica por las características que ofrece en cuanto a rápido montaje, fácil limpieza y agradable estética que brinda el vinilo, el cual a su vez aporta impermeabilidad, limpieza y alta luminosidad. Su aplicación es ideal para aquellos lugares donde se requiera un alto nivel de higiene (cocinas industriales, talleres, gimnasios, baños, guarderías, colegios) ya que permite ser desmontado y acceder al falso techo.</t>
  </si>
  <si>
    <t>Placa ignífuga de Yeso Laminado KNAUF especialmente diseñada para garantizar una resistencia total frente al fuego. Gracias a sus aditivos, la placa Cortafuegos KNAUF es un standard en las soluciones de protección pasiva contra incendios. Borde afinado.   Ref. diaterm-yeso.cortafuego-25mm.</t>
  </si>
  <si>
    <t>Placa de yeso laminado formada por un alma de yeso 100% natural íntimamente ligada a dos láminas de celulosa. Esta placa, por sus características, está catalogada como tipo A según la norma EN-520:2004 +A1 2009, es decir, es una placa de yeso laminado en una de cuyas caras se puede aplicar un enlucido a base de yeso apropiado o un acabado decorativo. Se identifica por su color frontal gris claro. Medidas: 13 x 1200 x 2600 mm. Esta placa tiene sus bordes longitudinales recubiertos de cartón y configurados como Bordes Afinados (BA).   Ref. lp-00539301.</t>
  </si>
  <si>
    <t>La Cinta Guardavivos microperforada es de papel kraft con tratamiento antihumedad. Se usa para proteger las uniones de las placas de yeso laminado con pastas de secado o fraguado, para dar un acabado continuo y liso en las esquinas y cantos. Rollo de 30 m.   Ref. lp-00001361</t>
  </si>
  <si>
    <t>El perfil angular de acero prelacado sirve para la instalación rápida y segura, en un clic, de techos registrables. Escuadra perfecta, conexión enrasada y sin holguras. Color gris. Medidas: 22x22x3000 mm.   Ref. lp-00001778.</t>
  </si>
  <si>
    <t>El perfil primario Quick Lock de acero prelacado sirve para la instalación rápida y segura, en un clic, de techos registrables. Escuadra perfecta, conexión enrasada y sin holguras. Color gris. Medidas: 24x38x3600 mm. ALA24. Ref. lp-00001779.</t>
  </si>
  <si>
    <t>El perfil secundario Quick Lock de acero prelacado sirve para la instalación rápida y segura, en un clic, de techos registrables. Escuadra perfecta, conexión enrasada y sin holguras. Color gris. Medidas: 24x38x1200 mm. ALA24. Ref. lp-00001781.</t>
  </si>
  <si>
    <t>El perfil secundario Quick Lock de acero prelacado sirve para la instalación rápida y segura, en un clic, de techos registrables. Escuadra perfecta, conexión enrasada y sin holguras. Color gris. Medidas: 24x32x600 mm. ALA24. Ref. lp-00001783.</t>
  </si>
  <si>
    <t>Tornillos autoperforantes con punta de clavo y cabeza de trompeta para la fijación de placas a los perfiles metálicos (hasta 0,75 mm de espesor) en acero de cementación, fosfatado e aceitado. Dimensiones 3.5 x 45 mm.   Ref. lp-00002028</t>
  </si>
  <si>
    <t>ma-lp-00002031</t>
  </si>
  <si>
    <t>Tornillo PLADUR PM 3,9x55 mm (500 pzas/caja).   Ref. lp-00002031</t>
  </si>
  <si>
    <t>Tornillos autoperforantes con punta de clavo y cabeza de trompeta para la fijación de placas a los perfiles metálicos (hasta 0,75 mm de espesor) en acero de cementación, fosfatado e aceitado. Dimensiones 3.9 x 55 mm.   Ref. lp-00002031</t>
  </si>
  <si>
    <t>Tornillos autoperforantes con punta de clavo y cabeza de trompeta para la fijación de placas a los perfiles metálicos (hasta 0,75 mm de espesor) en acero de cementación, fosfatado e aceitado. Dimensiones 4.2 x 70 mm.   Ref. lp-00002032</t>
  </si>
  <si>
    <t>ma-lp-00106501</t>
  </si>
  <si>
    <t>Placa para falso techo Celenit AB de MAYDISA (1200x600x25 mm/placa; 8,64 kg/pza).   Ref. lp-00106501</t>
  </si>
  <si>
    <t>Celenit AB es un panel acústico de fibras de madera de abeto, aglomerado con cemento Portland blanco. Del resultado de la combinación de la madera y del cemento blanco resulta un producto fonoabsorbente, transpirable, resistente al fuego y altamente decorativo, de tonalidad muy neutra, que encaja en cualquier proyecto de arquitectura, garantizando una óptima protección térmica y acústica. Celenit AB es un producto natural, puede presentar cambios de tonalidad propios de la madera. Usos: falsos techos y revestimientos naturales, fonoabsorbentes, transpirables y resistentes al fuego. Medidas: 120x60 cm y 25 mm de espesor.   Ref. lp-00106501.</t>
  </si>
  <si>
    <t>ma-lp-00106507</t>
  </si>
  <si>
    <t>Placa para falso techo Celenit AB de MAYDISA (600x600x15 mm/placa; 2,5 kg/pza).   Ref. lp-00106507</t>
  </si>
  <si>
    <t>Celenit AB es un panel acústico de fibras de madera de abeto, aglomerado con cemento Portland blanco. Del resultado de la combinación de la madera y del cemento blanco resulta un producto fonoabsorbente, transpirable, resistente al fuego y altamente decorativo, de tonalidad muy neutra, que encaja en cualquier proyecto de arquitectura, garantizando una óptima protección térmica y acústica. Celenit AB es un producto natural, puede presentar cambios de tonalidad propios de la madera. Usos: falsos techos y revestimientos naturales, fonoabsorbentes, transpirables y resistentes al fuego. Medidas: 60x60 cm y 15 mm de espesor.   Ref. lp-00106507.</t>
  </si>
  <si>
    <t>ma-lp-00117317</t>
  </si>
  <si>
    <t>Placa para techo registrable de escayola fisurada con canto escalonado E-24 (600x600 mm/placa; 2,16 m2/caja).   Ref. lp-00117317</t>
  </si>
  <si>
    <t>El techo registrable de escayola con canto escalonado E-24, modelo Fisurada blanco se utiliza para instalación de techos suspendidos, registrables que se pueden desmontar para acceder al interior del falso techo. Es duradero y funcional. Se aplica en edificios comerciales, colegios, oficinas. Es fácil y rápido de instalar, aséptico y permite repintado posterior. Medidas: 600x600 mm/placa. Espesor: 20 mm.  Ref. lp-00117317.</t>
  </si>
  <si>
    <t>PLAKIST CE 78 PERFECT JOINT es una pasta para juntas lista para su uso especialmente formulada para cubrir las uniones entre placas de escayola y yeso laminado con bordes rebajados, en combinación con una cinta de rejuntado. Se caracteriza por: Resistencia al fuego; Mejores acabados; Facilidad de decoración; Poco peso; Sostenibilidad.   Ref. lp-00262494.</t>
  </si>
  <si>
    <t>ma-lp-00262607</t>
  </si>
  <si>
    <t>Taco golpe 6x37 mm (800 tacos/bote).   Ref. lp-00262607</t>
  </si>
  <si>
    <t>ote de 600 tacos de golpe de nylon indicados para ladrillo hueco, ladrillo macizo, prefabricado, piedra y hormigón.   Ref. lp-00262607.</t>
  </si>
  <si>
    <t>Bote de 600 tacos de golpe de nylon indicados para ladrillo hueco, ladrillo macizo, prefabricado, piedra y hormigón.   Ref. lp-00262608.</t>
  </si>
  <si>
    <t>Horquilla niveladora con rotura de puente térmico para cogidas de perfiles T16, T24 y T35 especialmente de falsos techos. Gracias al casquillo del que viene provisto facilita la tarea de nivelar a través de la varilla, además aporta un aislamiento térmico e impide el paso de humedades o corriente eléctrica. Gracias a la horquilla metálica permite un perfecto y rápido acoplamiento al perfil con lo facilitará el trabajo además de ahorrar tiempo. Métrica: M4. Bolsa de 20 unidades.   Ref. lp-00470215.</t>
  </si>
  <si>
    <t>ma-lp-00515513</t>
  </si>
  <si>
    <t>Placa de fibra mineral para techo registrable Armstrong Sahara Board; color blanco (600x600x15 mm/placa; 5,76 m2/caja).   Ref. lp-00515513</t>
  </si>
  <si>
    <t>Techo de fibra mineral modelo Sahara Board con acabado granulado. Suspensión tipo board, canto recto, sobre perfil T24. Medidas: 600x600x15 mm/placa).   Ref. lp-00515513.</t>
  </si>
  <si>
    <t>Techo de fibra mineral modelo Tatra Board con acabado fisurado. Suspensión tipo board, canto recto, sobre perfil T24. Color blanco. Medidas: 600x600x15 mm.   Ref. lp-00515520.</t>
  </si>
  <si>
    <t>El tornillo placa-metal (tornillo autoperforante con cabeza de trompeta punta de clavo) es de acero fosfatado y permite la fijación de las placas de yeso en el armazón, simplemente atornillando. Medidas: 3,5x25mm. Caja de 1000 unidades.   Ref. lp-00533869.</t>
  </si>
  <si>
    <t>ma-lp-00539103</t>
  </si>
  <si>
    <t>Horquilla de cuelgue perfil PLADUR TC60 M6 (50 pzas/caja).   Ref. lp-00539103</t>
  </si>
  <si>
    <t>Horquilla de cuelgue perfil TC60 M6 para la instalación de techos suspendidos. Es de chapa de acero galvanizado. Caja 50 ud.   Ref. lp-00539103.</t>
  </si>
  <si>
    <t>Horquilla de cuelgue perfil TC47 M6 para la instalación de techos suspendidos. Es de chapa de acero galvanizado. Caja 100 ud.   Ref. lp-00539104.</t>
  </si>
  <si>
    <t>Placa PLADUR de yeso laminado formada por un alma de yeso 100% natural íntimamente ligada a dos láminas de celulosa. Esta placa, por sus características, está catalogada como tipo A según la norma EN-520:2004 +A1 2009, es decir, es una placa de yeso laminado en una de cuyas caras se puede aplicar un enlucido a base de yeso apropiado o un acabado decorativo. Se identifica por su color frontal gris claro. Medidas: 13 x 1200 x 2000 mm. Esta placa tiene sus bordes longitudinales recubiertos de cartón y configurados como Bordes Afinados (BA).   Ref. lp-00539298</t>
  </si>
  <si>
    <t>Placa de yeso laminado formada por un alma de yeso 100% natural ligada a dos láminas de celulosa. Esta placa, por sus características, está catalogada como tipo A según la norma EN-520:2004 +A1 2009, es decir, es una placa de yeso laminado en una de cuyas caras se puede aplicar un enlucido a base de yeso apropiado o un acabado decorativo. Se identifica por su color frontal gris claro. Medidas: 15 x 1200 x 2600 mm. Esta placa tiene sus bordes longitudinales recubiertos de cartón y configurados como Bordes Afinados (BA).   Ref. 00539310.</t>
  </si>
  <si>
    <t>Placa de yeso laminado formada por un alma de yeso 100% natural íntimamente ligada a dos láminas de celulosa. Esta placa, por sus características, está catalogada como tipo A según la norma EN-520:2004 +A1 2009, es decir, es una placa de yeso laminado en una de cuyas caras se puede aplicar un enlucido a base de yeso apropiado o un acabado decorativo. Se identifica por su color frontal gris claro. Se caracteriza por tener un espesor nominal de 15 mm, por poseer un ancho nominal de 1200 mm y una longitud nominal de 2500 mm. Esta placa tiene sus bordes longitudinales recubiertos de cartón y configurados como Bordes Afinados (BA).   Ref. lp-00539311.</t>
  </si>
  <si>
    <t>Placa de yeso laminado formada por un alma de yeso 100% natural íntimamente ligada a dos láminas de celulosa. Esta placa, por sus características, está catalogada como tipo H1 según la norma EN-520:2004 +A1 2009. Este tipo de placas llevan aditivos para reducir la capacidad de absorción de agua. Pueden ser adecuadas para aplicaciones especiales en las que se requieran propiedades de absorción reducidas para mejorar las prestaciones de la placa. Se identifica por su color frontal verde. Medidas: 13 x 1200 x 3000 mm. Esta placa tiene sus bordes longitudinales recubiertos de cartón y configurados como Bordes Afinados (BA).   Ref. lp-00539322</t>
  </si>
  <si>
    <t>Placa de yeso laminado formada por un alma de yeso 100% natural íntimamente ligada a dos láminas de celulosa. Esta placa, por sus características, está catalogada como tipo I, D, F, R, H1 según la norma EN-520:2004 +A1 2009. Este tipo de placas llevan aditivos para reducir la capacidad de absorción de agua. Se utiliza en aplicaciones en las que se requiere una mayor dureza superficial, una resistencia más elevada a cargas de rotura, y mejor comportamiento al fuego gracias la incorporación de fibras minerales y/u otros aditivos en el alma de yeso para mejorar su cohesión a temperaturas. Su especial formulación y alta densidad le proporcionan una mayor resistencia a impactos, resistencia al fuego, un mayor aislamiento frente al ruido aéreo y un buen comportamiento frente a la humedad en locales húmedos. Medidas: 15 x 1200 x 2500 mm. Esta placa tiene sus bordes longitudinales recubiertos de cartón y configurados como Bordes Afinados (BA).   Ref. lp-00539365.</t>
  </si>
  <si>
    <t>Perfil PLADUR para sistemas de placa de yeso, en forma de C, utilizado como elemento portante en trasdosados, tabiques y techos. El alma presenta perforaciones rebordeadas que facilitan el paso de las instalaciones. Dimensiones nominales 48 x 35 mm. Están fabricados con chapa de acero de espesor 0.62 mm y galvanizado Z140. El alma del perfil se encuentra estampada con la P de PLADUR, facilitando el control y reconocimiento en obra. De fábrica están embalados por paquetes de 10 ud y en un palet van 480 ud. Se vende por unidad.   Ref. lp-00539587</t>
  </si>
  <si>
    <t>ma-lp-00539590</t>
  </si>
  <si>
    <t>Perfil PLADUR en C galvanizado Z140 (48x35x2600 mm/perfil).   Ref. lp-00539590</t>
  </si>
  <si>
    <t>Perfil PLADUR para sistemas de placa de yeso, en forma de C, utilizado como elemento portante en trasdosados, tabiques y techos. El alma presenta perforaciones rebordeadas que facilitan el paso de las instalaciones. Dimensiones nominales 48 x 35 mm. Están fabricados con chapa de acero de espesor 0.62 mm y galvanizado Z140. El alma del perfil se encuentra estampada con la P de PLADUR, facilitando el control y reconocimiento en obra.   Ref. lp-00539590</t>
  </si>
  <si>
    <t>Perfil para sistemas de placa de yeso, en forma de C, utilizado como elemento portante en trasdosados, tabiques y techos. El alma presenta perforaciones rebordeadas que facilitan el paso de instalaciones. Dimensiones nominales 70 x 35 mm. Están fabricados con chapa de acero de espesor 0.62 mm y galvanizado Z140. El alma del perfil se encuentra estampada con la P de Pladur, facilitando el control y reconocimiento en obra.   Ref. lp-00539605.</t>
  </si>
  <si>
    <t>Perfil para sistemas de placa de yeso, en forma de U, utilizado en estructura perimetral de trasdosados, tabiques y techos. Dimensiones nominales 70 x 30 mm. Están fabricados con chapa de acero de espesor 0.55 mm y galvanizado Z140.   Ref. lp-00539624.</t>
  </si>
  <si>
    <t>Perfil para sistemas de placa de yeso, en forma de C, utilizado como estructura de techos y trasdosados autoportantes. Dimensiones: ancho nominal de 45 mm, alas de 18.3 y longitud 3000 mm. Están fabricados con chapa de acero de espesor 0.6 mm y galvanizado Z140.   Ref. lp-00539636</t>
  </si>
  <si>
    <t>ma-lp-00539638</t>
  </si>
  <si>
    <t>Perfil sierra PLADUR PH-45 galvanizado Z140 (33,5x43,5x3000 mm/perfil).   Ref. lp-00539638</t>
  </si>
  <si>
    <t>Perfil para sistemas de placa de yeso, en forma de V invertida con taladros en la parte superior (métricas 6 y 8 mm) alternativos cada 10 cm y zona inferior troquelada con horquillas cada 10 cm donde encajan los perfiles T-45 formando la estructura portante del falso techo. Dimensiones: ancho nominal de 33.5 mm, alto de 43.5 y longitud 3000 mm. Están fabricados con chapa de acero de espesor 0.8 mm y galvanizado Z140.   Ref. lp-00539638.</t>
  </si>
  <si>
    <t>Horquilla PLADUR es una pieza pivotante y de encaje diseñada para suspensión del perfil T-45 mediante la varilla roscada en los techos de perfil continuo.   Ref. lp-00539641</t>
  </si>
  <si>
    <t>Pieza en forma de U diseñada para unir longitudinalmente los perfiles continuos T-45.   Ref. lp-00539642.</t>
  </si>
  <si>
    <t>ma-lp-00539650</t>
  </si>
  <si>
    <t>Horquilla de cuelgue PLADUR para perfil T-60 (100 pzas/caja).   Ref. lp-00539650</t>
  </si>
  <si>
    <t>Horquilla PLADUR es una pieza pivotante y de encaje diseñada para suspensión del perfil T-60 mediante la varilla roscada en los techos de perfil continuo.   Ref. lp-00539650.</t>
  </si>
  <si>
    <t>ma-lp-00539651</t>
  </si>
  <si>
    <t>Pieza de empalme perfil T-60 de PLADUR (100 pzas/caja).   Ref. lp-00539651</t>
  </si>
  <si>
    <t>Pieza en forma de U diseñada para unir longitudinalmente los perfiles continuos T-60.   Ref. lp-00539651.</t>
  </si>
  <si>
    <t>Perfil para sistemas de placa de yeso, en forma de L, utilizado en estructura perimetral de techos y trasdosados. Dimensiones: ancho nominal 24 mm, alto 24 mm y longitud 3000 mm. Están fabricados con chapa de acero de espesor 0.6 mm y galvanizado Z140.   Ref. lp-00539654.</t>
  </si>
  <si>
    <t>Perfil PLADUR para sistemas de placa de yeso, en forma de U con alas desiguales, en cuyo interior encaja a presión el perfil T-45. Forma la estructura perimetral en trasdosados autoportantes y en los techos continuos en los que se usa el perfil T-45. Dimensiones: ancho nominal de 20 mm, alas de 30 mm y longitud 3000 mm. Están fabricados con chapa de acero de espesor 0.55 mm y galvanizado Z140.   Ref. lp-00539656</t>
  </si>
  <si>
    <t>ma-lp-00539658</t>
  </si>
  <si>
    <t>Perfil PLADUR en U 30 galvanizado Z140 (30x25x3000 mm/perfil).   Ref. lp-00539658</t>
  </si>
  <si>
    <t>Perfil para sistemas de placa de yeso, en forma de U, utilizado en estanterías y mobiliario con paneles PLADUR ALVEO o como estructura perimetral en techos. Se caracteriza por tener un ancho nominal de 30 mm, por poseer unas alas de 25 x 3000 mm. Están fabricados con chapa de acero de espesor 0.55 mm y galvanizado Z140.   Ref. lp-00539658.</t>
  </si>
  <si>
    <t>ma-lp-00539665</t>
  </si>
  <si>
    <t>Pasta para juntas PLADUR JN (18 kg/saco).   Ref. lp-00539665</t>
  </si>
  <si>
    <t>Pasta PLADUR para placa de yeso laminado. Material en polvo para juntas de aplicación en sistemas de placas de yeso laminado. La pasta resultante endurece mediante secado por contacto con el aire. El tiempo de secado varía en función de las condiciones climatológicas en las que se aplique, pudiendo oscilar entre 12 y 48 horas (a mayor temperatura y menor humedad, los tiempos de secado resultantes serán más cortos). Se presenta en saco de 18 kg.   Ref. lp-00539665
Rendimiento aproximado: Nivel de Acabado Q1: 0,25 kg/m2; Nivel de Acabado Q2: 0,30 kg/m2; Nivel de Acabado Q3: 0,33 kg/m2.</t>
  </si>
  <si>
    <t>Pasta PLADUR para placa de yeso laminado. Material en polvo para juntas de aplicación en sistemas de placas de yeso laminado. La pasta resultante endurece mediante secado por contacto con el aire. El tiempo de secado varía en función de las condiciones climatológicas en las que se aplique, pudiendo oscilar entre 12 y 48 horas (a mayor temperatura y menor humedad, los tiempos de secado resultantes serán más cortos). Se presenta en saco de 18 kg.   Ref. lp-00539666
Rendimiento aproximado: Nivel de Acabado Q1: 0,09 kg/m2; Nivel de Acabado Q2: 0,15 kg/m2; Nivel de Acabado Q3: 0,19 kg/m2.</t>
  </si>
  <si>
    <t>Pasta para placa de yeso laminado. Material en polvo destinado principalmente a la sujeción de las placas de yeso de los sistemas PLADUR sobre diferentes muros soportes, en la ejecución de trasdosados directos. Está debidamente aditivado para mezclar con agua previamente a su puesta en obra.   Ref. lp-00539675.</t>
  </si>
  <si>
    <t>Cinta de papel de celulosa rugosa con microperforaciones para ser utilizada con la gama de pastas para juntas Pladur en el tratamiento de juntas de los sistemas de placa de yeso laminado.   Ref. lp-00539685.</t>
  </si>
  <si>
    <t>PRODUCTOS-PU.PP.PE.PS</t>
  </si>
  <si>
    <t>PRODUCTOS PLÁSTICOS: POLIURETANO (PU), POLIPROPILENO (PP), POLIETILENO (PE), POLIESTIRENO (PS</t>
  </si>
  <si>
    <t>PRODUCTOS.QUIMICOS</t>
  </si>
  <si>
    <t>PRODUCTOS QUÍMICOS</t>
  </si>
  <si>
    <t>DECAPANTES-QUITAPINTURAS</t>
  </si>
  <si>
    <t>DECAPANTES Y QUITAPINTURAS</t>
  </si>
  <si>
    <t>Decapante biodegradable KEIM (DISPERSIONSENTFERNER). Decapante libre de disolventes aromáticos; para eliminar pinturas plásticas y revocos sintéticos. Aplicación: Cepillo, rodillo, pistola. Consumos aproximados: 0,4 kg/m² en pinturas plásticas y 0,9 kg/m² en revocos sintéticos.   Ref. S/C
Enlace:
https://www.atebion.es/index.php?id_product=1173&amp;id_product_attribute=29638&amp;rewrite=keim-decapante-biodegradable-dispersionsentferner&amp;controller=product&amp;id_lang=1#/101-presentacion-25kg</t>
  </si>
  <si>
    <t>Decapante Gel Express especial para Madera V33 (500 ml/envase). Rendimiento: 3 a 4 m2/litro.   Ref. lm-11471460</t>
  </si>
  <si>
    <t>ma-lm-85796322</t>
  </si>
  <si>
    <t>Decapante gel para tubos de cobre, latón y bronce TOT-FLUX de COLLAK (100 gr/envase).   Ref. lm-85796322</t>
  </si>
  <si>
    <t>Decapante gel para tubos y accesorios de cobre, latón y bronce para soldar con aleaciones de estaño. Aplicable en metales envejecidos sin limpieza previa. Contiene cloruro de zinc. Se suministra con pincel aplicador adosado al tapón.   Ref. lm-85796322.</t>
  </si>
  <si>
    <t>Super decapante de BARPIMO es un producto especial muy eficaz como quitapinturas, adecuado para eliminación de pinturas, barnices, ceras y colas viejas y deterioradas de diferente composición, sin afectar la madera o el metal. Indicado para ablandar y desprender todo tipo de pinturas a eliminar. Fácil de aplicar, de acción rápida, profunda y eficaz. Dada su viscosidad, se puede aplicar incluso en vertical. Ref. lp-00107760.</t>
  </si>
  <si>
    <t>El decapante universal Paso elimina y decapa suciedad persistente de grasa, cera y acabados anteriores respetando la naturaleza de cada material en pavimentos de interior y exterior. Su fórmula concentrada, penetra en profundidad y limpia el poro desde el interior. Es de acción potente, sin dañar la superficie.Se puede aplicar sobre todos los tipos de suelos, tanto no porosos como porosos, parquets y madera barnizada. Después de aplicar, se recomienda usar algún protector de superficies para conseguir un acabado perfecto. Rendimiento: hasta 25 m2 sin diluir el producto.   Ref. lp-00195801</t>
  </si>
  <si>
    <t>Gel tixotrópico, decapante de pinturas en base acuosa, eliminador de gotelé, temples plastificados, revestimientos, etc. Consumo (según preguntas y respuestas): 20 a 30 m/envase de 4 litros.   Ref. pint.valderas-SKU.084900033.
El gotelé es una técnica decorativa que consiste en aplicar una capa gruesa y texturizada de pintura con pequeñas gotas similares al agua en la superficie de la pared.</t>
  </si>
  <si>
    <t>Decapante Biodegradable de PLX COATS ECODECAGRAFI para pinturas y grafitis. Ideal para interiores por su bajo olor y exento de solventes. Decapante base agua, no se evapora y mantiene sus propiedades. Al ser biodegradable, se puede limpiar en la calle y limpiar al alcantarillado. No contiene Cloruro de Metileno. Excelente resultado sobre superficies porosas. Rendimiento: 3 a 6 m2/litro.   Ref. pp-00600000988J</t>
  </si>
  <si>
    <t>Decapante tipo gel de acción rápida, muy enérgico y eficaz, exento de disolventes clorados, para la eliminación de cualquier tipo de pintura, barniz, adhesivo, cola, etc.; dejando la superficie preparada para la restauración o el repintado. Rendimiento: 3 a 6 m2/litro.   Ref. servicolor-848016.</t>
  </si>
  <si>
    <t>MASILLAS.Y.SELLADORES</t>
  </si>
  <si>
    <t>MASILLAS Y SELLADORES</t>
  </si>
  <si>
    <t>Imprimación incolora al agua para consolidar y sellar superficies de obra nueva o deterioradas y repintable con pintura y esmalte al agua. Para el tratamiento de superficies porosas como yeso, mortero, hormigón, ladrillo. Interior/ Exterior. Rendimiento Teórico: 10 a 12 m2/litro/mano.   Ref. dispival-imprimante.acrilico4.</t>
  </si>
  <si>
    <t>Masilla a base de poliuretano monocomponente que polimeriza con la humedad ambiente transformándose en un caucho elástico especialmente indicado para juntas de gran movimiento. Ideal para el sellado de juntas de dilatación estructurales, en hormigón, ladrillo, prefabricados de hormigón, canales, depósitos de agua, etc   Ref. dispival-masilla.PU
Posee una buena aplicabilidad siendo repintable con pintura en base agua o disolvente con excelentes resistencias al ozono, rayos ultravioletas, agua y atmósferas corrosivas.
APLICACIÓN Y CONSUMOS: Las juntas a sellar deben de estar secas y exentas de materias extrañas: polvo, grasas, etc. La profundidad del sellado depende de la anchura de la junta. Para anchos superiores a 20 milímetros, la profundidad de sellado será de 10 milímetros. Para anchos inferiores a 20 milímetros, la profundidad será igual o menor al ancho, pero nunca inferior a 6 milímetros.</t>
  </si>
  <si>
    <t>Masilla 2 en 1 (selladora de juntas de plástico y adhesivo multiusos) de poliuretano de color marrón con acabado mate, aunque una vez se ha secado la podrás pintar a tu gusto con pinturas elásticas (no resiste alcoholes, ni ácidos orgánicos o concentrados). Para interior y exterior. Consumo por cartucho de 290 ml: +/- 100 puntos (diámetro 30 mm; espesor 4 mm); y +/- 15 m de cordón (diámetro de boquilla 5 mm (aprox. 20 ml por metro lineal)).   Ref. lm-339080.
Se debe aplicar con una pistola de masilla para utilizar como sellador de juntas tanto verticales como horizontales, como amortiguador acústico entre hormigón y perforaciones de tuberías. Adecuado también para el sellado de particiones, sellador de juntas, sellado de construcciones de madera y metal y para conductos de ventilación. Cuenta con una muy buena adherencia a la mayoría de los materiales de construcción y con buena resistencia a la intemperie y absorbe vibraciones e impacto. Garantía de 3 años sobre la estanqueidad, la adherencia y la blancura de la junta.</t>
  </si>
  <si>
    <t>Masilla 2 en 1 (selladora de juntas de plástico y adhesivo multiusos) de poliuretano de color marrón con acabado mate, aunque una vez se ha secado la podrás pintar a tu gusto con pinturas elásticas (no resiste alcoholes, ni ácidos orgánicos o concentrados). Para interior y exterior. Consumo: Ver imágen adjunta.   Ref. lm-339080.
Se debe aplicar con una pistola de masilla para utilizar como sellador de juntas tanto verticales como horizontales, como amortiguador acústico entre hormigón y perforaciones de tuberías. Adecuado también para el sellado de particiones, sellador de juntas, sellado de construcciones de madera y metal y para conductos de ventilación. Cuenta con una muy buena adherencia a la mayoría de los materiales de construcción y con buena resistencia a la intemperie y absorbe vibraciones e impacto. Garantía de 3 años sobre la estanqueidad, la adherencia y la blancura de la junta.</t>
  </si>
  <si>
    <t>ma-lm-91795529</t>
  </si>
  <si>
    <t>Masilla epoxi bicomponente para relleno y sellador multiusos de IDROLESS (128 gr/barrita; 12 barritas/pack).   Ref. lm-91795529</t>
  </si>
  <si>
    <t>Barritas ReparaTodo, Masilla Epoxi Bicomponente arregla todo para rellenar y reparar de forma rápida y duradera. La Masilla Epoxi Bicomponente ArreglaTodo de Idroless es un producto que rellena, pega y sella sobre multitud de superficies. Esta masilla arregla todo es una solución rápida y duradera, para todo tipo de reparaciones de emergencia en industrias, talleres, construcción naval, automoción o para uso doméstico. Preparada para aplicarse sobre diversos materiales, incluso sobre superficies húmedas. Esta masilla epoxi es muy fácil de utilizar y permite el rellenado, pegado o sellado en múltiples superficies, solucionando de forma rápida y duradera cualquier emergencia que se pueda tener. Este producto de IDROLESS es ideal para el relleno, pegado y sellado de superficies.   Ref. lm-91795529.</t>
  </si>
  <si>
    <t>Silicona de alta calidad que evita filtraciones de agua y humedad y conserva las juntas blancas e impecables durante más tiempo. Gracias a la incorporación de la exclusiva e innovadora tecnología antimoho (de liberación controlada), la silicona se mantiene blanca hasta 5 veces más que en las otras siliconas. Excelente adherencia y resistencia al moho. Se puede utilizar en múltiples materiales: gres, azulejos, mármol, aluminio, madera, conglomerado, melamina, mármol, silestone, cerámica, porcelana, PVC, vidrio. NO aplicable en espejos. Translúcida. Cartucho de 280 ml.   Ref. lp-00114066</t>
  </si>
  <si>
    <t>BOSTIK P795 SEAL'N'FLEX PREMIUM es un sellador monocomponente de curado rápido, bajo MDI y fácil de usar. Desarrollado específicamente como sellador universal para sellar juntas de construcción y expansión en fachadas y vías peatonales. Puede usarse también en zonas de manipulación de alimentos (no en contacto directo) ya que dispone de certificación ISEGA. No forma burbujas durante el proceso de curado. Color marrón. Rendimiento aproximado: metros lineales por envase = 300/sección de la junta en mm2).   Ref. lp-00529764.</t>
  </si>
  <si>
    <t>Masilla de poliuretano BIGMAT (300 ml/envase); color blanco.   Ref. lp-00541253
Adhesivo y sellador monocomponente de alto rendimiento de color blanco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300 ml.</t>
  </si>
  <si>
    <t>Masilla de poliuretano BIGMAT (600 ml/envase); color blanco.   Ref. lp-00541254
Adhesivo y sellador monocomponente de alto rendimiento de color blanco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600 ml.</t>
  </si>
  <si>
    <t>ma-lp-00541255</t>
  </si>
  <si>
    <t>Masilla de poliuretano BIGMAT (300 ml/envase); color gris.   Ref. lp-00541255</t>
  </si>
  <si>
    <t>Masilla de poliuretano BIGMAT (300 ml/envase); color gris.   Ref. lp-00541255
Adhesivo y sellador monocomponente de alto rendimiento de color gris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300 ml.</t>
  </si>
  <si>
    <t>Masilla de poliuretano BIGMAT (300 ml/envase); color marrón.   Ref. lp-00541256
Adhesivo y sellador monocomponente de alto rendimiento de color marrón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300 ml.</t>
  </si>
  <si>
    <t>ma-lp-00541258</t>
  </si>
  <si>
    <t>Masilla de poliuretano BIGMAT (600 ml/envase); color gris.   Ref. lp-00541258</t>
  </si>
  <si>
    <t>Masilla de poliuretano BIGMAT (600 ml/envase); color gris.   Ref. lp-00541258
Adhesivo y sellador monocomponente de alto rendimiento de color gris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600 ml.</t>
  </si>
  <si>
    <t>Masilla de poliuretano BIGMAT (600 ml/envase); color marrón.   Ref. lp-00541259
Adhesivo y sellador monocomponente de alto rendimiento de color marrón con un gran agarre inicial para su empleo en interior y exterior. Enfocado en facilitar la adhesión de piezas sin una sujeción inicial y con capacidad elástica para exteriores. Potente agarre inicial, rápido curado, fijación sin clavos. Permite una excelente adherencia sobre muchos sustratos, con gran capacidad de carga, sin olor, fácil trabajabilidad y puede emplearse en hormigón húmedo. Perfecta rotura de hilo para evitar manchar en lugares delicados en interior. Indicado para pegar en interior y exterior de diversos elementos tales como cables, baldosas acústicas, marcos de puertas, materiales de construcción, sellados en cubiertas, revestimientos de paredes y placas de cubierta, etc. El producto tiene buena adherencia sobre hormigón, mortero, clinker, fibrocemento, piedra natural, cerámicas, madera, metal (acero inoxidable y galvanizado, aluminio). Se debe aplicar con una pistola de masilla y tarda en secarse 24 horas. Contenido: 600 ml.</t>
  </si>
  <si>
    <t>Líquido Incoloro, formulado a base de resinas de Polialquilsiloxano de la máxima calidad y disolventes orgánicos de gran pureza, que dan como resultado final un producto totalmente transparente con un gran poder de penetración en los soportes a tratar y un gran efecto hidrorepelente. Rendimiento: 3 a 6 m2/litro como término medio (dependiendo de la absorción de los soportes).   Ref. acnorte-SKU.ACNHX05.
No forma películas continuas que impidan el paso del vapor de agua ni la transpiración manteniendo de ésta forma los soportes, prácticamente inalterables sus coeficientes iniciales. Presenta una buena resistencia a la alcalinidad de los materiales a tratar. Evita la aparición de eflorescencias, hongos, musgos, líquenes, etc. contribuyendo a mantener las fachadas y materiales en buen estado. Impide que los soportes se agrieten por efecto de las heladas sobre la humedad contenida en los micro-poros de los materiales. No provoca cambios en los colores de los materiales a tratar, ni alteraciones en la intensidad de los mismos. No obstante, es conveniente realizar ensayos previos al tratamiento debido a la gran cantidad de materiales existentes en el mercado.
Cuando el hormigón está debidamente hidrofugado retrasa el proceso de carbonatación en el mismo al no dejar pasar el agua que disuelve el CO2 y los bicarbonatos de calcio, responsables de dicho proceso.
MODO DE EMPLEO:
• Su efecto hidrorepelente solo es efectivo en planos verticales, ó con fuerte inclinación. Nunca en horizontal.
• Puede aplicarse a brocha, rodillo ó por pulverización, siendo esta última forma la más recomendable.
• Dependiendo de la absorción del soporte han de aplicarse, una ó varias manos seguidas (humedo sobre humedo) sin dejar secar la mano anterior, hasta la saturación.
• No debe aplicarse con temperaturas extremadamente altas, ni sobre soportes calientes (30 – 40 ºC) puesto que en éstos casos se produce muy rápidamente la evaporación de los disolventes presentes en la composición, evitando de ésta manera la correcta penetración.
• El efecto perlescente (aparición de gotas) se produce a las pocas horas de su aplicación, y el desarrollo total de su poder hidrofugante, transcurridas 48 horas.
• La aplicación ha de realizarse sobre soportes limpios y secos, si presentan grietas o defectos en la estructura, han de repararse antes del tratamiento.
• Aplicar sin mezclar con otros productos ni diluir.</t>
  </si>
  <si>
    <t>ma-acnorte-SKU.ACNHX25</t>
  </si>
  <si>
    <t>Hidrofugante PREMIUM a base de Polialquilsiloxano HX-05 de DITOSA (25 litros/bidón).   Ref. acnorte-SKU.ACNHX25</t>
  </si>
  <si>
    <t>Líquido Incoloro, formulado a base de resinas de Polialquilsiloxano de la máxima calidad y disolventes orgánicos de gran pureza, que dan como resultado final un producto totalmente transparente con un gran poder de penetración en los soportes a tratar y un gran efecto hidrorepelente. Rendimiento: 3 a 6 m2/litro como término medio (dependiendo de la absorción de los soportes).   Ref. acnorte-SKU.ACNHX25.
No forma películas continuas que impidan el paso del vapor de agua ni la transpiración manteniendo de ésta forma los soportes, prácticamente inalterables sus coeficientes iniciales. Presenta una buena resistencia a la alcalinidad de los materiales a tratar. Evita la aparición de eflorescencias, hongos, musgos, líquenes, etc. contribuyendo a mantener las fachadas y materiales en buen estado. Impide que los soportes se agrieten por efecto de las heladas sobre la humedad contenida en los micro-poros de los materiales. No provoca cambios en los colores de los materiales a tratar, ni alteraciones en la intensidad de los mismos. No obstante, es conveniente realizar ensayos previos al tratamiento debido a la gran cantidad de materiales existentes en el mercado.
Cuando el hormigón está debidamente hidrofugado retrasa el proceso de carbonatación en el mismo al no dejar pasar el agua que disuelve el CO2 y los bicarbonatos de calcio, responsables de dicho proceso.
MODO DE EMPLEO:
• Su efecto hidrorepelente solo es efectivo en planos verticales, ó con fuerte inclinación. Nunca en horizontal.
• Puede aplicarse a brocha, rodillo ó por pulverización, siendo esta última forma la más recomendable.
• Dependiendo de la absorción del soporte han de aplicarse, una ó varias manos seguidas (humedo sobre humedo) sin dejar secar la mano anterior, hasta la saturación.
• No debe aplicarse con temperaturas extremadamente altas, ni sobre soportes calientes (30 – 40 ºC) puesto que en éstos casos se produce muy rápidamente la evaporación de los disolventes presentes en la composición, evitando de ésta manera la correcta penetración.
• El efecto perlescente (aparición de gotas) se produce a las pocas horas de su aplicación, y el desarrollo total de su poder hidrofugante, transcurridas 48 horas.
• La aplicación ha de realizarse sobre soportes limpios y secos, si presentan grietas o defectos en la estructura, han de repararse antes del tratamiento.
• Aplicar sin mezclar con otros productos ni diluir.</t>
  </si>
  <si>
    <t>El limpiador de piedra natural de KEIM es un producto concentrado especialmente diseñado para satisfacer las necesidades de los equipos de limpieza con vapor a presión. Gracias a su amplio espectro de aplicación, es un producto de uso universal. El consumo debe ser determinado mediante pruebas.  Ref. altermat-01330LP.
CARACTERÍSTICAS Y BENEFICIOS:
• Adaptado para equipos de vapor a presión: Eficiencia garantizada para una limpieza profunda.
• Uso universal: Ideal para diversas superficies, incluyendo fachadas de piedra natural, hormigón y obra vista.
• Limpieza suave: Efectivo contra suciedades de polvo, grasas, aceites y hollín muy adheridos sin dañar las superficies.
Si buscas un limpiador concentrado y versátil para limpiar suavemente fachadas de piedra natural, hormigón y obra vista, el limpiador de piedra natural de KEIM es la solución ideal para obtener resultados impecables utilizando equipos de vapor a presión.
https://materialessostenibles.es/producto/limpiador-piedra-natural-keim-altermat/</t>
  </si>
  <si>
    <t>ma-bh-24138035</t>
  </si>
  <si>
    <t>Aditivo higienizante polvo con conservante antimoho de MONTO (200 ml/envase).   Ref. bh-24138035</t>
  </si>
  <si>
    <t>Aditivo con conservante antimoho. Producto empleado para la conservación de recubrimientos al agua, mediante el control microbiano, con el fin de proteger la superficie. Específico para su adición a revestimientos de fachada y pinturas plásticas.   Ref. bh-24138035
USOS Exterior/Interior: Yeso, Fachadas, Hormigón, Mortero de cemento, Madera.</t>
  </si>
  <si>
    <t>ma-bm-25046411</t>
  </si>
  <si>
    <t>Limpiador de superficies de obra oxidadas y manchadas de cal AGUA FUERTE SALFUMANT de MPL (5 litros/envase).   Ref. bm-25046411</t>
  </si>
  <si>
    <t>Producto indicado para la limpieza de obra, superficies oxidadas y manchas de cal (elimina restos de mortero o lechada del ladrillo o los azulejos). Solución muy efectiva para quitar el cemento de superficies duras y fibrosas. Ideal para limpiar las manchas de cal del fregadero o de la mámpara de la ducha.   Ref. bm-25046411.</t>
  </si>
  <si>
    <t>Producto indicado para la limpieza y desinfección de superficies. Para cuartos de baño e inodoros, y para blanquear y desinfectar la ropa.   Ref. bm-25046417.
La Organización Mundial de la Salud recomienda una concentración del 0,5% lo que corresponde a mezclar 130 ml de lejía en 870ml de agua. Finalmente, y para asegurase de no correr ningún riesgo, recuerda utilizar guantes para evitar irritaciones y ventilar la casa mientras limpias.</t>
  </si>
  <si>
    <t>Imprimación PU promotora de adherencia que forma un anclaje químico sobre el soporte que facilita la adherencia de membranas de poliuretano, especialmente en soportes no porosos.   Ref. ep-s/c
Imprimación desarrollada para obtener una excelente adherencia de productos en base poliuretano sobre soportes silíceos no porosos, especialmente aquellos de base inorgánica como pueden ser vidrio, terrazo, azulejos esmaltados, gresite... La Imprimación Activadora PU permite, tanto en el caso de impermeabilizantes y pavimentos como adhesivos, crear un puente de unión de gran adherencia de naturaleza química entre ambos. Se recomienda realizar un pequeño lijado para las superficies más difíciles. No mezclar con la pintura a aplicar. Se debe aplicar una mano como imprimación sobre superficie lisa y seca con un tiempo abierto entre 15 y 45 min según condiciones ambientales, tiempo en el que habrá que aplicar la capa de recubrimiento (poliuretano). No recomendado para pinturas base inorgánica. Rendimiento estimado: 50 a 100 gr/m2 (1 mano).
ep = epinturas</t>
  </si>
  <si>
    <t>ma-farcosa-02050032</t>
  </si>
  <si>
    <t>Limpiacristales ECOFLASH-ECOLABEL SORO (5 litros/bidón).   Ref. farcosa-02050032</t>
  </si>
  <si>
    <t>Seca rápidamente sin dejar rastros. Producto transparente para la limpieza de todo tipo de superficies acristaladas y lisas: espejos, ventanas; respetuoso con medio ambiente, y sin sustancias peligrosas (no tóxico. no inflamable, no corrosivo y no irritante). Efecto limitado en el crecimiento de las algas acuáticas.   Ref. farcosa-02050032.
Modo de empleo: Pulverizar directamente el producto sobre la superficie a sanear, y limpiar con un paño limpio y seco. Una dosificación correcta permite realizar economías y reducir el impacto del producto sobre el medio ambiente.</t>
  </si>
  <si>
    <t>Producto concentrado a base de agentes fungicidas ultrapotentes, está especialmente diseñado para eliminar todos los depósitos verdes y moho en todos los soportes de construcción, sin dejar rastro ni película sobre los materiales y sin cambiar el color ni la apariencia.   Ref. ferberpainting-01
Es el mejor producto del mercado para destruir por completo todo tipo de microorganismos comunes, y se recomienda aplicarlo antes de cualquier trabajo de impermeabilización. Rendimiento (aplicación única): 50 a 250 m2/litro; y Tiempo de secado: 2 horas.
PROPIEDADES:
• Eliminación rápida y eficaz de depósitos verdes, algas, líquenes, mohos, hongos.
• Tratamiento curativo y preventivo de muy larga duración.
• Apto para todos los soportes y todos los materiales.
• No agresivo, no ataca los metales.
• Activo en unos días.
• Secado rápido, repintable.
• Muy económico.
DESTINO:
• Todas las superficies: cubiertas, paredes y fachadas, suelos y terrazas.
• Materiales subvencionables: teja, hormigón, yeso, ladrillo, materiales de revestimiento, fachadas de yeso de cemento, pizarra...
RECOMENDACIONES:
• Para superficies con depósitos verdes muy pesados, raspe o cepille primero para una mejor aplicación.
• Respetar cuidadosamente las dosis de dilución.
• En presencia de especies particularmente resistentes, renovar la aplicación.
• Aplicación con brocha, brocha o pulverizador.
DILUCIÓN DEL PRODUCTO:
• 1 litro de concentrado en 50 litros de agua para superficies poco contaminadas, para tratar 250 m².
• 1 litro de concentrado en 20 litros de agua para superficies moderadamente contaminadas, para tratar 100 m².
• 1 litro de concentrado en 10 litros de agua para superficies muy contaminadas, para tratar 50 m².
SOLICITUD:
• Aplicar mediante brocha o pulverización el producto diluido hasta saturación, impregnando bien la superficie a tratar.
• Dejar actuar de 3 a 4 días, luego cepillar los depósitos verdes, algas, hongos residuales y enjuagar con agua.
• Las superficies destinadas a permanecer en su estado bruto serán tratadas tan pronto como aparezca un color.</t>
  </si>
  <si>
    <t>ma-lm-17553333</t>
  </si>
  <si>
    <t>Emulsión adherente de resina acrílica PROPAM LÁTEX (5 litros/envase).   Ref. lm-17553333</t>
  </si>
  <si>
    <t>PROPAM LÁTEX es un aditivo líquido a base de polímeros acrílicos en dispersión, estables en medio alcalino, para la mejora de morteros en obra y para la confección de lechadas de imprimación y puentes de unión.   Ref. lm-17553333.
CAMPOS DE APLICACIÓN:
Mejora de morteros de albañilería, cementos cola, morteros de rejuntado, morteros de recrecido, etc. Preparación de puentes de unión e imprimaciones para la colocación de mortero fresco sobre hormigón endurecido. Confección de morteros para reparaciones no estructurales en hormigón, pavimentos, desconches, revocos. Confección de morteros de cemento para revocos sobre muros de hormigón y mampostería.
PROPIEDADES:
Aumenta la compacidad y la impermeabilidad de los morteros. Uniformiza la absorción y la porosidad de los soportes. Plastifica la masa y permite reducir agua de amasado. Reduce el riesgo de fisuración de los morteros aditivados. Mejora la adherencia de los morteros especialmente sobre soportes absorbentes. Mejora las resistencias mecánicas y a la abrasión de los morteros. Resistente al medio alcalino.
CONSUMO:
El consumo de PROPAM® LÁTEX, es aproximadamente de 150-250 g/m2 cuando se utiliza para la confección de puentes de unión y de aproximadamente 0,5 -1,5 litros por saco de 25 Kg de mortero cuando se utiliza para mejorar morteros predosificados. Estos consumos son aproximados pudiendo variar en función del uso, la porosidad y absorción del soporte.</t>
  </si>
  <si>
    <t>ma-lm-19316563</t>
  </si>
  <si>
    <t>Parafina TOYOTOMI CLEAR (10 litros/envase).   Ref. lm-19316563</t>
  </si>
  <si>
    <t>Parafina para utilizar como combustible en estufas portátiles de parafina. Produce una combustión de alta calidad y gran pureza y no produce olores en la combustión.   Ref. lm-19316563.</t>
  </si>
  <si>
    <t>ma-lm-81124844</t>
  </si>
  <si>
    <t>Quita-Cementos de MPL (5 litros/bidón).   Ref. lm-81124844</t>
  </si>
  <si>
    <t>Limpiador líquido indicado para eliminar con facilidad las manchas de cemento de pavimentos cerámicos o suelos. Elimina sin dificultad los restos de cemento, cal, manchas de óxido y manchas blanquecinas que se encuentren en fachadas de ladrillo a cara vista, en piscinas, pizarras y granito.   Ref. lm-81124844.
Para una correcta eficacia del producto deberás mojar con abundante agua la superficie, aplicar el producto y dejarlo actuar durante pocos minutos sin dejar que se seque. No tiene perfume. No se recomienda el uso en suelos porosos. Elimina restos de cemento, cal, manchas de óxido y manchas blanquecinas en: Fachadas de ladrillo cara vista, piscinas, pizarras y granito.</t>
  </si>
  <si>
    <t>ma-lm-82520305</t>
  </si>
  <si>
    <t>Líquido para tratamiento carcomas al agua XYLAZEL (750 ml/envase).   Ref. lm-82520305</t>
  </si>
  <si>
    <t>Tratamiento de carcomas al agua para todo tipo de maderas de interior o exterior. Para conseguir un acabado perfecto se recomienda aplicar 2 capas con un pincel o rodillo. Fungicida e insecticida. Rendimientos: Preventido.200 ml/m2 (1 litro por cada 5 m2) y Preventivo 300 ml/m2 (1 litro por cada 3,30 m2).   Ref. lm-82520305.</t>
  </si>
  <si>
    <t>ma-lm-87100142</t>
  </si>
  <si>
    <t>Protector antimanchas FOB XTREME de FILA (5 litros/envase).   Ref. lm-87100142</t>
  </si>
  <si>
    <t>FOB XTREME es un protector antimanchas de FILA SOLUTIONS. Protege contra las manchas sin cambiarle el tono ni la textura, ni el color del material. Rendimiento: 10 a 20 m2/litro en piedra; 5 a 25 m2/litro en barro). No se diluye: listo para el uso.   Ref. lm-87100142.
Está indicado para todo tipo de superficies interiores y exteriores de piedra natural, mármol, granito, mosaico hidráulico, gres extrusionado, barro y todo tipo de derivados del cemento (piedra artificial).
No altera ni el color ni la tonalidad ni la textura del material. No crea películas superficiales. No altera la resistencia a las heladas en materiales exteriores. Ideal para encimeras. Protege contra todo tipo de manchas orgánicas (grasas, comidas, bebidas, etc.).</t>
  </si>
  <si>
    <t>SIKAGARD-711 ES trata de un producto líquido incoloro, monocomponente, base silano-siloxano, tratado con fungicidas. El consumo depende de la calidad y porosidad del soporte (mortero u hormigón: de 200 a 250 gr/m2; material poroso: de 300 a 500 gr/m2 (se necesita un ensayo previo para determinar el consumo exacto)). Ref. lm-87907803
USOS:
Para conseguir sobre las fachadas un efecto hidrofugante y fungicida. Protege a los materiales de la penetración del agua y del crecimiento de microorganismos. Sikaguard-710 se puede aplicar sobre soportes de hormigón, mortero, mampostería, ladrillo, piedra y fibrocemento.
CARACTERÍSTICAS/VENTAJAS:
• Elimina algas, líquenes y musgo de las fachadas y cubiertas.
• Elimina los microorganismos y retrasa su crecimiento al menos 3 años.
• Mejora la resistencia de la fachada al paso del agua.
• Tiene efecto repelente, mientras transpira, protege los materiales del agua de lluvia.
• No modifica el aspecto del soporte.
• Reduce la penetración de polvo.
• No modifica la porosidad del soporte.
• Se puede recubrir por diferentes tipos de pinturas.</t>
  </si>
  <si>
    <t>ma-lm-88876532</t>
  </si>
  <si>
    <t>Eliminador de adhesivos MONESTIR (500 ml/envase).   Ref. lm-88876532</t>
  </si>
  <si>
    <t>Eliminador de adhesivos con pincel aplicador incorporado al tapón. Elimina eficazmente restos de adhesivos, pegamentos, siliconas, gomas de etiquetas, precinto y cinta adhesiva. También resulta eficaz para eliminar rayas de goma producidas por los zapatos. Rendimiento teórico: 2 a 5 m2/litro.   Ref. lm-88876532.
Uso directo, se aplica sin diluir. Es aconsejable realizar una prueba en una zona poco visible antes de realizar toda la limpieza, para asegurarnos de que no daña la superficie. Para quitar una etiqueta completa, hay que levantar una esquina y aplicar el producto entre la etiqueta y el adhesivo. Se utiliza empapando la superficie con Eliminador de Adhesivos, dejamos que actúe unos minutos y frotamos con un estropajo suave o rasqueta. Para eliminar pequeños restos de etiquetas, adhesivos, colas y pegamento, humedecemos la superficie con Eliminador de Adhesivos, dejamos actuar un instante y frotamos.</t>
  </si>
  <si>
    <t>ma-lp-00007179</t>
  </si>
  <si>
    <t>Espuma expansiva multiusos de poliuretano de BOSTIK (750 ml/envase).   Ref. lp-00007179</t>
  </si>
  <si>
    <t>Espuma expansiva de poliuretano de BOSTIK con cánula manual para la fijación, relleno, sellado y aislamiento en construcción. Indicada para la fijación de marcos de puertas y ventanas, paneles y planchas aislantes; relleno y sellado de cavidades en tabiques y muros; aislamiento térmico y acústico (fondo de bañeras, climatización y ventilación), puente térmico en edificación y carpintería metálica. Puede cortarse, pintarse y recubrirse una vez seca. Resiste al envejecimiento. Con resistencia térmica (de -40ºC a +80ºC) y gran adherencia a la mayoría de los materiales de construcción.   Ref. lp-00007179.</t>
  </si>
  <si>
    <t>Spray aflojatodo WD-40 ideal para cerraduras o mecanismos atascados por el óxido o por el frío. Lubrica y limpia herramientas y armas. Elimina cualquier tipo de cera, alquitrán, grasa o adhesivos. Evita cortocircuitos y limpia cuadros eléctricos. Envase de 200 ml.   Ref. lp-00016978.</t>
  </si>
  <si>
    <t>ma-lp-00016979</t>
  </si>
  <si>
    <t>Aflojatodo en Spray WD-40 (400 ml/envase).   Ref. lp-00016979</t>
  </si>
  <si>
    <t>Spray aflojatodo WD-40 ideal para cerraduras o mecanismos atascados por el óxido o por el frío. Lubrica y limpia herramientas y armas. Elimina cualquier tipo de cera, alquitrán, grasa o adhesivos. Evita cortocircuitos y limpia cuadros eléctricos. Envase de 400 ml.   Ref. lp-00016979</t>
  </si>
  <si>
    <t>Spray aflojatodo WD-40 ideal para cerraduras o mecanismos atascados por el óxido o por el frío. Lubrica y limpia herramientas y armas. Elimina cualquier tipo de cera, alquitrán, grasa o adhesivos. Evita cortocircuitos y limpia cuadros eléctricos. Envase de 500 ml.   Ref. lp-00016980</t>
  </si>
  <si>
    <t>ma-lp-00136727</t>
  </si>
  <si>
    <t>Convertidor de óxido CONVERTÓXIDO de BARPIMO (500ml/envase).   Ref. lp-00136727</t>
  </si>
  <si>
    <t>Convertidor de óxido a base de resinas especiales que, en contacto con el óxido, crea una capa protectora neutra que evita que el óxido evolucione. Indicado para preparación desoxidante de superficies oxidadas de acero y hierro; tratamiento anticorrosivo de piezas, elementos, estructuras, pequeñas reparaciones en máquinas, electrodomésticos, vehículos. Rendimiento: 9 a 12 m2/litro por mano.   Ref. lp-00136727.</t>
  </si>
  <si>
    <t>Convertidor de óxido a base de resinas especiales que, en contacto con el óxido, crea una capa protectora neutra que evita que el óxido evolucione. Indicado para preparación desoxidante de superficies oxidadas de acero y hierro; tratamiento anticorrosivo de piezas, elementos, estructuras, pequeñas reparaciones en máquinas, electrodomésticos, vehículos. Rendimiento: 9 a 12 m2/litro por mano.   Ref. lp-00136728.</t>
  </si>
  <si>
    <t>El abrillantador protector terracota PASO tiene fórmula con Complejo Protector Poliuretano que consigue mayor resistencia a las rayadas, mayor resistencia al desgaste en general, mayor protección contra manchas de aceite u otros productos orgánicos por más tiempo y mayor brillo. Aplicable sobre suelos porosos de terracota, gres, barro cocido, coto, azulejos, ladrillo, piedra natural no caliza.   Ref. lp-00195803</t>
  </si>
  <si>
    <t>El abrillantador protector mármol Paso tiene fórmula con Complejo Protector Poliuretano que consigue mayor resistencia a las rayadas y al desgaste en general, así como mayor protección contra manchas de aceite u otros productos orgánicos por más tiempo y mayor brillo. Aplicable sobre suelos no porosos de interior como mármol, gres porcelánico, travertinos, pizarras, basalto, piedra calcárea, terrazo. Un envase de PASO Protector Abrillantador Mármol tiene un rendimiento aproximado de 40 a 60 m2 (dependiendo de la dilución a realizar).   Ref. lp-00195806.</t>
  </si>
  <si>
    <t>El abrillantador protector PASO de la madera barnizada y el parquet tiene una fórmula con Complejo Protector Poliuretano consigue mayor resistencia a las rayadas y mayor protección por más tiempo. Renueva y abrillanta el color natural. Evita y difumina las rayadas. Secado rápido. Antideslizante.   Ref. lp-00195808</t>
  </si>
  <si>
    <t>ma-lp-00195816</t>
  </si>
  <si>
    <t>Elimina-Grasa intensivo PASO (500 ml/envase con spray).   Ref. lp-00195816</t>
  </si>
  <si>
    <t>Elimina-grasa intensivo con disolventes eficaces de alto poder desengrasante para quitar la grasa en cocinas y talleres. Aplicable en encimeras, baldosas, acero inoxidable, muebles de cocina, barbacoas, rejillas, llantas de coche, bicicletas, manchas rebeldes en suelos, tejidos, etc. NO USAR sobre superficies barnizadas o pintadas.   Ref. lp-00195816.Elimina-grasa intensivo con disolventes eficaces de alto poder desengrasante para quitar la grasa en cocinas y talleres. Aplicable en encimeras, baldosas, acero inoxidable, muebles de cocina, barbacoas, rejillas, llantas de coche, bicicletas, manchas rebeldes en suelos, tejidos, etc. NO USAR sobre superficies barnizadas o pintadas.   Ref. lp-00195816</t>
  </si>
  <si>
    <t>ma-lp-00394133</t>
  </si>
  <si>
    <t>Detergente quitacemento DETERDEK de FILA (1 litro/envase).   Ref. lp-00394133</t>
  </si>
  <si>
    <t>El detergente quitacemento DETERDEK de FILA elimina la suciedad provocada por la colocación del material y la suciedad de la obra. Limpia y desincrusta. Respeta la cerámica y los metales. No despide gases tóxicos.   Ref. lp-00394133.
RENDIMIENTO INDICATIVO (1 Galón o 3,78 litros)
Porcelánico: Dilución 1:5 (150 m2)
Piedra resistente al ácido: Dilución 1:5 a 1:10 (76 a 132 m2)
Barro: Dilución 1:5 (38 a 76 m2)
PROPIEDADES:
* Elimina residuos de lechada de cemento, eflorescencias salinas, depósitos de calcio y manchas calcáreas.
* Remueve manchas de jabón, óxido, pintura y suciedad de obra
* Se puede usar en interiores y exteriores en pisos revestimientos, cabinas de ducha, accesorios de baño, y fachadas.
* Seguro para piedra resistente al ácido porcelánico, cerámica y barro.
* Ideal para la limpieza final de obra: limpia a fondo la suciedad inorgánica de la construcción.
* Se puede utilizar como limpiador o eliminador de cal, según la dilución.
* Contiene ingredientes biodegradables.</t>
  </si>
  <si>
    <t>El detergente quitacemento DETERDEK de FILA elimina la suciedad provocada por la colocación del material y la suciedad de la obra. Limpia y desincrusta. Respeta la cerámica y los metales. No despide gases tóxicos.   Ref. lp-00394135.
RENDIMIENTO INDICATIVO (1 Galón o 3,78 litros)
Porcelánico: Dilución 1:5 (150 m2)
Piedra resistente al ácido: Dilución 1:5 a 1:10 (76 a 132 m2)
Barro: Dilución 1:5 (38 a 76 m2)
PROPIEDADES:
* Elimina residuos de lechada de cemento, eflorescencias salinas, depósitos de calcio y manchas calcáreas.
* Remueve manchas de jabón, óxido, pintura y suciedad de obra
* Se puede usar en interiores y exteriores en pisos revestimientos, cabinas de ducha, accesorios de baño, y fachadas.
* Seguro para piedra resistente al ácido porcelánico, cerámica y barro.
* Ideal para la limpieza final de obra: limpia a fondo la suciedad inorgánica de la construcción.
* Se puede utilizar como limpiador o eliminador de cal, según la dilución.
* Contiene ingredientes biodegradables.</t>
  </si>
  <si>
    <t>FILACLEANER es un detergente neutro concentrado de agradable aroma, adecuado para limpiar delicadamente todo tipo de pavimentos y revestimientos. Respeta las superficies tratadas y delicadas. Ideal para la limpieza final de obra de pavimentos en piedra natural con acabado pulido así como las sensibles a detergentes fuertes. Rendimiento: Mantenimiento ordinario (1:200) 1500 m2/litro; Limpieza inicial (1:30) 50 m2/litro.   Ref. lp-00394142.
VENTAJAS: 
• Limpia sin atacar el material.
• Con elevadas diluciones (1:200) no es necesario aclarar ya que no deja residuos.
• Muy concentrado, puede ser utilizado en varias diluciones.
• Ideal para Gres Porcelánico, Cerámica y Gres Esmaltado, Barro, Gres Extrusionado, Cemento, Madera, Piedra y Terrazos, Laminados Plásticos, Linoleo, Goma y PVC, así como para el mantenimiento ordinario de todas las superficies enceradas.
• Se puede utilizar con máquina limpia y seca con diluciones elevadas (desde 1:200).</t>
  </si>
  <si>
    <t>Protector hidrorepelente ecológico en base acuosa con efecto natural. Protege los materiales porosos contra humedad y agentes atmosféricos (verdín, musgo, moho, etc.). Obstaculiza el crecimiento de algas, moho y líquenes. No crea película y no altera el aspecto de los materiales. Impermeabiliza el material en profundidad conservando su transpiración. Transpirable y transitable. Rendimiento con 1 litro de producto y a capas individuales: 10 a 20 m2 para terracota, paredes de ladrillo visto, baldosas de cantera, piedra, yeso; 8 a 10 m2 para hormigón).   Ref. lp-00394158.</t>
  </si>
  <si>
    <t>ma-lp-00538910</t>
  </si>
  <si>
    <t>Adhesivo de montaje FIXFORTE de QUILOSA (350 gr/cartucho).   Ref. lp00538910</t>
  </si>
  <si>
    <t>Adhesivo de montaje extrafuerte y a base de disolvente, recomendado para pegar los materiales de construcción más utilizados durante trabajos de acabado y remodelación. Adecuado para pegar materiales de construcción. Hormigón, yeso, aglomerado, madera, tableros de yeso, yeso, piedra, etc. Pegado de conductos de cables, marcos, listones, zócalos, aislamiento, señales, accesorios de baño y cocina, puntos de iluminación y alarmas.   Ref. lp00538910.</t>
  </si>
  <si>
    <t>Mezcla de hidrocarburos, esteres, cetonas y alcoholes adecuada para la disolución de todos los tipos de productos nitrocelulósicos (pinturas, barnices, fondos tapaporos, etc). También se utiliza como diluyente de algunas pinturas sintéticas cuando se aplican con pistola y se desea una evaporación muy rápida del disolvente.   Ref. lp-00539029</t>
  </si>
  <si>
    <t>Adhesivo especial para tuberías y accesorios de PVC rígido y para los sistemas de presión de nueva generación. Se puede utilizar en tuberías que lleven agua potable. Adhesivo libre de THF. Caducidad: 2 años. Tixotrópico. Contenido: 500 ml.   Ref. lp-00540063</t>
  </si>
  <si>
    <t>Disolvente que pule y activa las superficies de PVC rígido y flexible (permitiendo desarrollar la máxima fuerza a los adhesivos utilizados), y limpia los utensilios manipulados en la aplicación de dichos pegamentos. Envase de 500 ml.   Ref. lp-00564064</t>
  </si>
  <si>
    <t>ma-ma-quivacolor-01</t>
  </si>
  <si>
    <t>Líquido ALGATROL WALL para tratamiento limpiador antimoho en paredes (5 litros/envase).   Ref. ma-quivacolor-01</t>
  </si>
  <si>
    <t>Tratamiento limpiador antimoho para paredes y fachadas.
Naturaleza Química: Mezcla de compuestos fungicidas en disolución acuosa. Biodegradable. Presentación en envases de polietileno de 30, 60 y 210 litros.
APLICACIONES:
• Producto especialmente indicado para el tratamiento antimoho-fungicida de paredes y fachadas.
• Eficaz en la eliminación de hongos, musgos y algas.
• Lava y destruye las esporas antes del pintado.
• Elimina y previene la aparición de musgo en zonas muy húmedas.
MODO DE EMPLEO / LIMPIEZA:
•  Emplear puro o diluido hasta el 50%.
• Aplicar ALGATROL sobre la superficie a tratar con pulverizador, esponja o brocha. Para situaciones difíciles, emplear cepillo. Dejar actuar (20 min. aprox.) Aclarar.
• Dejar secar y aplicar el recubrimiento deseado.
• Temperatura de aplicación: 5-35ºC.
• Secado de 1-2 horas.
MODO DE EMPLEO PREVENTIVO:  Aplicar ALGATROL diluido al 10 %. Dejar secar y aplicar el recubrimiento deseado.</t>
  </si>
  <si>
    <t>ma-notermite-antitermite-01</t>
  </si>
  <si>
    <t>Tratamiento Antitermitas de NO TERMITE (1 litro/envase).   Ref. notermite-antitermite-01</t>
  </si>
  <si>
    <t>Tratamiento Antitermitas de NO TERMITE (1 litro/envase).   Ref. notermite-antitermite-01
CONSUMO POTratamiento Antitermitas de NO TERMITE (1 litro/envase).   Ref. notermite-antitermite-01R LITRO Y DILUCIÓN:
• Para uso preventivo: 20 metros lineales de zanja (10 m2 por riego) para 1 litro de producto concentrado. Dilución de 1 litro de producto concentrado en 49 litros de agua o 50 litros de producto listo para usar.
• Para uso curativo: 4 metros lineales de zanja (2 m2 por riego) para 1 litro de producto concentrado. Dilución de 1 litro de producto concentrado en 9 litros de agua o 10 litros de producto listo para usar.
• Aplicación mediante pulverización: 20m2/litro de producto concentrado. Aplicación pura.
NORMAS DE USO:
• Para un uso preventivo, diluir 1 litro de producto concentrado en 49 litros de agua. Obtendrá 50 litros de producto listo para usar y podrá llenar 20 metros lineales de zanja o regar 10m2.
• Para un uso curativo, diluir 1 litro de producto concentrado en 9 litros de agua. Obtendrá 10 litros de producto listo para usar y podrá llenar 4 metros lineales de zanja o regar 2m2.
• Para el tratamiento previo a la construcción:
Eche de 4 a 5 litros de producto diluido con una regadera por toda la superficie del futuro edificio, sin olvidar los cimientos y las zanjas.
• Para el tratamiento posterior a la construcción:
  * Tratamiento de madera y estructuras: Aplicación del producto diluido (o directamente puro) pulverizando toda la superficie y sobre las termitas. Estas distribuyen el producto entre sí, lo que asegura la eliminación de termitas que no están presentes en las superficies. Esto también evita la perforación de la madera posiblemente debilitada por las termitas.
   * Tratamiento de suelos exteriores: Para suelos naturales, abrir una zanja de 40x40 cm alrededor de la casa y llenarla con producto diluido; Para suelos de mampostería, realizar una línea de inyección perforando pozos verticales cada 15 a 20 cm. Inyectar 1 litro de producto diluido por orificio.
   * Tratamiento de suelos interiores: Para suelos de mampostería, realizar una línea de inyección perforando pozos verticales cada 15 a 20 cm. Inyectar 1 litro de producto diluido por orificio; Para suelos arcillosos, echar de 4 a 5 litros de producto diluido con una regadera por toda la superficie.</t>
  </si>
  <si>
    <t>ma-notermite-antitermite-05</t>
  </si>
  <si>
    <t>Tratamiento Antitermitas de NO TERMITE (5 litros/envase).   Ref. notermite-antitermite-05</t>
  </si>
  <si>
    <t>Tratamiento Antitermitas de NO TERMITE (5 litros/envase).   Ref. notermite-antitermite-05
CONSUMO POTratamiento Antitermitas de NO TERMITE (1 litro/envase).   Ref. notermite-antitermite-01R LITRO Y DILUCIÓN:
• Para uso preventivo: 20 metros lineales de zanja (10 m2 por riego) para 1 litro de producto concentrado. Dilución de 1 litro de producto concentrado en 49 litros de agua o 50 litros de producto listo para usar.
• Para uso curativo: 4 metros lineales de zanja (2 m2 por riego) para 1 litro de producto concentrado. Dilución de 1 litro de producto concentrado en 9 litros de agua o 10 litros de producto listo para usar.
• Aplicación mediante pulverización: 20m2/litro de producto concentrado. Aplicación pura.
NORMAS DE USO:
• Para un uso preventivo, diluir 1 litro de producto concentrado en 49 litros de agua. Obtendrá 50 litros de producto listo para usar y podrá llenar 20 metros lineales de zanja o regar 10m2.
• Para un uso curativo, diluir 1 litro de producto concentrado en 9 litros de agua. Obtendrá 10 litros de producto listo para usar y podrá llenar 4 metros lineales de zanja o regar 2m2.
• Para el tratamiento previo a la construcción:
Eche de 4 a 5 litros de producto diluido con una regadera por toda la superficie del futuro edificio, sin olvidar los cimientos y las zanjas.
• Para el tratamiento posterior a la construcción:
  * Tratamiento de madera y estructuras: Aplicación del producto diluido (o directamente puro) pulverizando toda la superficie y sobre las termitas. Estas distribuyen el producto entre sí, lo que asegura la eliminación de termitas que no están presentes en las superficies. Esto también evita la perforación de la madera posiblemente debilitada por las termitas.
   * Tratamiento de suelos exteriores: Para suelos naturales, abrir una zanja de 40x40 cm alrededor de la casa y llenarla con producto diluido; Para suelos de mampostería, realizar una línea de inyección perforando pozos verticales cada 15 a 20 cm. Inyectar 1 litro de producto diluido por orificio.
   * Tratamiento de suelos interiores: Para suelos de mampostería, realizar una línea de inyección perforando pozos verticales cada 15 a 20 cm. Inyectar 1 litro de producto diluido por orificio; Para suelos arcillosos, echar de 4 a 5 litros de producto diluido con una regadera por toda la superficie.</t>
  </si>
  <si>
    <t>ma-notermite-antitermite-25</t>
  </si>
  <si>
    <t>Tratamiento Antitermitas de NO TERMITE (25 litros/bidón).   Ref. notermite-antitermite-25</t>
  </si>
  <si>
    <t>Tratamiento Antitermitas de NO TERMITE (25 litros/bidón).   Ref. notermite-antitermite-25
CONSUMO POTratamiento Antitermitas de NO TERMITE (1 litro/envase).   Ref. notermite-antitermite-01R LITRO Y DILUCIÓN:
• Para uso preventivo: 20 metros lineales de zanja (10 m2 por riego) para 1 litro de producto concentrado. Dilución de 1 litro de producto concentrado en 49 litros de agua o 50 litros de producto listo para usar.
• Para uso curativo: 4 metros lineales de zanja (2 m2 por riego) para 1 litro de producto concentrado. Dilución de 1 litro de producto concentrado en 9 litros de agua o 10 litros de producto listo para usar.
• Aplicación mediante pulverización: 20m2/litro de producto concentrado. Aplicación pura.
NORMAS DE USO:
• Para un uso preventivo, diluir 1 litro de producto concentrado en 49 litros de agua. Obtendrá 50 litros de producto listo para usar y podrá llenar 20 metros lineales de zanja o regar 10m2.
• Para un uso curativo, diluir 1 litro de producto concentrado en 9 litros de agua. Obtendrá 10 litros de producto listo para usar y podrá llenar 4 metros lineales de zanja o regar 2m2.
• Para el tratamiento previo a la construcción:
Eche de 4 a 5 litros de producto diluido con una regadera por toda la superficie del futuro edificio, sin olvidar los cimientos y las zanjas.
• Para el tratamiento posterior a la construcción:
  * Tratamiento de madera y estructuras: Aplicación del producto diluido (o directamente puro) pulverizando toda la superficie y sobre las termitas. Estas distribuyen el producto entre sí, lo que asegura la eliminación de termitas que no están presentes en las superficies. Esto también evita la perforación de la madera posiblemente debilitada por las termitas.
   * Tratamiento de suelos exteriores: Para suelos naturales, abrir una zanja de 40x40 cm alrededor de la casa y llenarla con producto diluido; Para suelos de mampostería, realizar una línea de inyección perforando pozos verticales cada 15 a 20 cm. Inyectar 1 litro de producto diluido por orificio.
   * Tratamiento de suelos interiores: Para suelos de mampostería, realizar una línea de inyección perforando pozos verticales cada 15 a 20 cm. Inyectar 1 litro de producto diluido por orificio; Para suelos arcillosos, echar de 4 a 5 litros de producto diluido con una regadera por toda la superficie.</t>
  </si>
  <si>
    <t>ma-palfaz-841054973752</t>
  </si>
  <si>
    <t>Aditivo reforzante antimoho y antialga de REVETÓN (130 ml/envase).   Ref. palfaz-841054973752</t>
  </si>
  <si>
    <t>Aditivo concentrado antimoho y antialga para pinturas y revestimientos en dispersión acuosa, que refuerza significativamente la protección fungicida y alguicida de la película superficial. Indicado para pinturas y revestimientos acrílicos en base agua destinadas a soportes donde fácilmente se desarrollan mohos, verdín, hongos, algas etc. Rendimiento Teórico: 100 gr = dosis para bidón de 15 litros.   Ref. palfaz-841054973752.</t>
  </si>
  <si>
    <t>Ácido acético en solución al 80% de PEQUINSA (5 litros/envase).   Ref. pequinsa-acido.acetico-5.</t>
  </si>
  <si>
    <t>RESUMEN DE PRODUCTO: Limpiador detergente concentrado al agua, libre de cloro y formaldehido, biodegradable y compatible con la humedad. Amplio espectro de aplicaciones y sectores, de uso tanto en interiores como en exteriores, en superficies horizontales y verticales.
Para limpiar daños causados por la humedad en superficies de diversos materiales; florecimientos de salitre, de cal, daños causados en superficies por la acción de microorganismos como el moho, el verdín, bacterias y matriz de biofilm, así como la polución de grado medio. De uso principal en industria en general, industria alimentaria, sector sanitario, establecimientos en general, restauración de fachadas y patrimonio, obra civil.
Presenta un notorio poder de penetración desincrustante, dejando el poro de la base, limpio, abierto y receptivo para posteriores tratamientos; consolidantes, protectores, impregnaciones hidrofugantes, imprimaciones, pinturas y revestimientos, protecciones anti-graffiti, etc... Sus componentes tensoactivos facilitan que se neutralice la base, tras su aclarado con agua. Con Declaración de Conformidad.
MODO DE APLICACIÓN: Aplicación desde concentrado hasta disuelto 1:4 en agua como norma general. Adaptar la disolución según las necesidades y afecciones de cada superficie. A mayor concentración, mayor rapidez de acción, y mayor capacidad de limpieza de daños. Especialmente para eliminar cal y microorganismos en madera se aplicará sin diluir.
Realizada la disolución, aplicar preferentemente desde la zona superior, con brocha, esponja, fregona, pulverizador, según convenga en cada caso:
• Insistir donde se detone reacción y frotar con cepillos en la zona afectada.
• Aclarar con agua antes de que seque el producto y la suciedad disuelta.
• Dejar secar antes de proceder con otros tratamientos.
CONSUMO – RENDIMIENTO: Es muy variable, en función de la disolución empleada, tipo y absorción de la superficie, método de aplicación, tipo y grado de suciedad o afección, por lo que su rendimiento medio puede oscilar entre los 4 m² y 15 m² por litro de concentrado.</t>
  </si>
  <si>
    <t>PROPIEDADES:
Excelente conservación de materiales de construcción debido a la acción prolongada del producto, indicado para la conservación de materiales de construcción, evitando la formación de hongos, musgos, mohos y algas. De muy fácil aplicación y repintable con las pinturas y revestimientos al agua sin interferir en ninguna de sus propiedades.
APLICACIONES:
Es un producto de pre-tratamiento reparador de superficies de construcción previo al pintado, sobre todo en las superficies con formación de hongos, musgos, mohos y algas. Sobre este producto debemos aplicar una pintura o revestimiento de acabado con conservante antimoho.
CARACTERÍSTICAS TECNICAS:
• Color: Incoloro.
• Acabado: Transparente.
• Uso: Interior/Exterior.
• Densidad (UNE-EN-ISO 2811-1): 1,00 ± 0,05 gr/cc.
• Rendimiento: 4-6 m2 /litro.
• Secado: 30 minutos.
• Repintado: mínimo 2-4 horas; óptimo 24 horas.
PREPARACION DE SUPERFICIES:
Nuevas: No es necesario realizar ninguna preparación especial. Para el pintado posterior realizar la preparación de superficie que indique la Ficha Técnica de la pintura o revestimiento a utilizar. Pintadas: Eliminar las partes en mal estado, mal adheridas o de baja calidad y proceder como en las superficies nuevas.
MODO DE EMPLEO:
Si la superficie presenta a simple vista manchas negras importantes, se deben rascar con un cepillo de cerdas duras o algo similar antes de aplicar el producto. El producto se emplea sin diluir, empapando la superficie mediante cualquiera de los sistemas de aplicación (brocha, rodillo o pistola). Después de estar totalmente seco el producto, se debe aplicar preferentemente como acabado una pintura o revestimiento con conservante antimoho.</t>
  </si>
  <si>
    <t>Emulsión de copolímeros acrílicos de muy pequeño tamaño de partícula, en suspensión acuosa e internamente estabilizada, modificada con productos de alto poder algicida y fungicida. Rendimiento 15/20m² por litro y mano (aplicándolo preferentemente a rodillo o brocha). Aunque es disolvente en agua, se recomienda su uso tal y como se suministra).   Ref. pinturas.es-01
EXTERIORES E INTERIORES:
Por su pequeño tamaño de partícula presenta un elevado poder de penetración en paramentos porosos, que se traduce en una alta adherencia al soporte y entre capas, ejerciendo una función de puente entre el paramento y el revestido final. Primera mano de plástico antiverdin y antimoho Debido a su naturaleza acrílica, presenta una excelente resistencia al agua, a los álcalis (Cemento, uralita, cal, etc.) y una ausencia total de amarilleo.
No ataca no daña la piedra natural ni los materiales de construcción.
En zonas umbrías de fachadas que puedan ser susceptibles de aparición de líquenes, algas, etc. para prevenirlo antes del pintado definitivo o en habitaciones húmedas con propensión a formar moho.
También apta para zonas con problemas ya existentes de musgo, una vez eliminado éste por medios mecánicos, rascado de paredes, lavado a presión o por lavado previo a fondo hasta total eliminación.
Actúa también como fijador, para favorecer el anclaje de las posteriores pinturas o en paramentos antiguos y ya pintados donde sean de prever caleos, desconchados y en general falta de adherencia al soporte motivada por problemas de envejecimiento.</t>
  </si>
  <si>
    <t>MINOXIL de BEISSIER, también denominado “LIJA LÍQUIDA”, se aplica para desincrustar, eliminar y frenar la aparición de óxido y cal sobre superficies metálicas tales como: muebles de jardín, balcones, verjas, barandillas, enrejados, bisagras, lámparas, embarcaciones, etc.   Ref. pp-s/c-07</t>
  </si>
  <si>
    <t>ma-s.lucia-sika.wt-120.L</t>
  </si>
  <si>
    <t>Aditivo hidrófugo en masa para hormigón y mortero SIKA WT-120 L (25 kg/bidón).   Ref. s.lucia-sika.wt-120.L</t>
  </si>
  <si>
    <t>SIKA WT-120 L es un aditivo hidrófugo en masa usado para conseguir una alta impermeabilidad en los hormigones y morteros. En combinación con tecnología de aditivos de la gama de SIKA, se consiguen valores de penetración de agua por debajo de los valores establecidos en la EHE-08, en función de la tipología de la estructura. USOS: SIKA WT-120 L has sido específicamente formulado para conseguir hormigones impermeables de alta calidad en Cimentaciones de edificación y en Cimentaciones en obras de ingeniería. Dosificación Recomendada: 0,5 a 2% del peso del cemento (para mayores consumos, se recomienda la realización de pruebas previas con los materiales y las condiciones especificadas para la obra).   Ref. s.lucia-sika.wt-120.L.</t>
  </si>
  <si>
    <t>SIKAFLEX-117 METAL FORCE es un adhesivo de construcción monocomponente especialmente formulado para el sellado y el pegado de metales. Rendimiento 1 Cartucho (290 ml): +/- 100 puntos (diámetro= 30 mm, espesor = 4 mm);  +/- 5 m cordón (diámetro de la boquilla = 5 mm (+/- 60 ml/m)).   Ref. s.lucia-sikaflex117metalforce.</t>
  </si>
  <si>
    <t>SISTEMA-SATE</t>
  </si>
  <si>
    <t>MATERIALES Y ACCESORIOS DEL SISTEMA SATE</t>
  </si>
  <si>
    <t>BAUMIT</t>
  </si>
  <si>
    <t>MATERIALES Y ACCESORIOS BAUMIT</t>
  </si>
  <si>
    <t>Pintura de imprimación con ligantes orgánicos, lista al uso. Composición: Ligantes orgánicos, aditivos con contenido en silicona, sustancias minerales de relleno, otros aditivos, agua. Propiedades: Agente adhesivo y regulador de absorción que hace posible la coloración uniforme del revestimiento final y permite una protección hidrófoba adicional en la superficie de aplicación. Uso: Imprimación universal para exteriores e interiores, para el posterior revestimiento con revocos BAUMIT. Rendimiento aprox. por calculadora de BAUMIT: 1 a 2,5 kg/m2.   Ref. indulak-009802UNIP25.</t>
  </si>
  <si>
    <t>Revoco de acabado de capa fina con resina de silicona, pastoso y listo para aplicar. Revoco de acabado fratasado para exterior. Transpirable, extremadamente hidrófugo, resistente a la suciedad y de uso universal. Consumo: aprox. 2,5 kg/m2; Rendimiento: aprox. 10 m2/cubo.   Ref. indulak-009803SIKTOPK16789025.</t>
  </si>
  <si>
    <t>Malla de fibra de vidrio alcalinorresistente como capa de refuerzo para enfoscados y para el sistema de aislamiento térmico exterior BAUMIT. Composición: Fibra de vidrio recubiertos de material sintético de alta calidad para protegerlo de los álcalis. Tamaño de malla: 4 mm x 4.5 mm; Masa por unidad: aprox. 145 gr/m2.   Ref. indulak-009804STTX50.</t>
  </si>
  <si>
    <t>Cinta selladora precomprimida y autoadhesiva de espuma blanda de poliuretano con superficies laterales impregnadas, resistente a la intemperie y al agua de lluvia, para un ancho de junta de 2 a 6 mm.   Ref. indulak-009809CINTSELL15.2-6.</t>
  </si>
  <si>
    <t>Mortero adhesivo y de enfoscado de base en polvo mineral de gran fuerza adhesiva para exterior o interior. Hidrófobo y de muy buena aplicación. Consumo aprox.: 4,5 a 5,5 kg/m2 como Adhesivo; 4 a 5 kg/m2 como Refuerzo.   Ref. socel-027767.
Mortero adhesivo mineral en polvo con tecnología gel, para paneles STARTHERM gris o blanco, XPS, MINERALTHERM, RESOLUTION, para adhesión y refuerzo, así como para el refuerzo con malla BAUMIT STARTEX. También como mortero tapaporos sobre hormigón.
USOS: Como mortero adhesivo y de refuerzo en los Sistemas de Aislamiento Térmico por el exterior BAUMIT; y, Como enfoscado de capa fina sobre bases minerales. Composición: Cemento, ligantes orgánicos, áridos, aditivos.</t>
  </si>
  <si>
    <t>Malla de fibra de vidrio alcalinorresistente como capa de refuerzo para enfoscados y para el sistema de aislamiento térmico exterior BAUMIT. Composición: Fibra de vidrio recubiertos de material sintético de alta calidad para protegerlo de los álcalis. Tamaño de malla: 3,5 mm x 3,8 mm; Masa por unidad: aprox. 160 gr/m2.   Ref. socel-040452.</t>
  </si>
  <si>
    <t>STOTHERM</t>
  </si>
  <si>
    <t>MATERIALES Y ACCESORIOS STOTHERM</t>
  </si>
  <si>
    <t>ma-STOTHERM-00130-001</t>
  </si>
  <si>
    <t>Mortero de revoco exterior STOLIT K 1.0 (blanco) de Serie STOLIT K/R/MP de STOTHERM (25 kg/cubo).   Ref. STOTHERM-00130-001</t>
  </si>
  <si>
    <t>Mortero de revoco exterior según EN 15824 (sobre mampostería, fachadas aisladas y fachadas ventiladas con mortero base; sobre soportes minerales y orgánicos, no apto para superficies horizontales o inclinadas expuestas a la intemperie). Consumo para STOLIT K 1.0: 1,8 kg/m2 (dependiendo del tipo de aplicación, el soporte y la consistencia).   Ref. STOTHERM-00130-001.
Máxima seguridad de aplicación, mantiene valor, color y estabilidad, A2-s1, d0 según EN 13501-1, con película de protección encapsulada, alta protección contra grietas, golpes y granizo usado con STOTHERM CLASSIC, muy permeable al vapor de agua, altamente hidrófugo, resistente contra las inclemencias climáticas, diluible en agua, con grano de mármol de alta calidad procedente de yacimientos naturales.
Aspecto: en textura de revoco rugosa (K) o acanalada (R) o como revoco para modelar (MP).</t>
  </si>
  <si>
    <t>Mortero de revoco exterior según EN 15824 (sobre mampostería, fachadas aisladas y fachadas ventiladas con mortero base; sobre soportes minerales y orgánicos, no apto para superficies horizontales o inclinadas expuestas a la intemperie). Consumo para STOLIT K 1.5: 2,3 kg/m2 (dependiendo del tipo de aplicación, el soporte y la consistencia).   Ref. STOTHERM-00131-001.
Máxima seguridad de aplicación, mantiene valor, color y estabilidad, A2-s1, d0 según EN 13501-1, con película de protección encapsulada, alta protección contra grietas, golpes y granizo usado con STOTHERM CLASSIC, muy permeable al vapor de agua, altamente hidrófugo, resistente contra las inclemencias climáticas, diluible en agua, con grano de mármol de alta calidad procedente de yacimientos naturales.
Aspecto: en textura de revoco rugosa (K) o acanalada (R) o como revoco para modelar (MP).</t>
  </si>
  <si>
    <t>ma-STOTHERM-00132-001</t>
  </si>
  <si>
    <t>Mortero de revoco exterior STOLIT K 2.0 (blanco) de Serie STOLIT K/R/MP de STOTHERM (25 kg/cubo).   Ref. STOTHERM-00132-001</t>
  </si>
  <si>
    <t>Mortero de revoco exterior según EN 15824 (sobre mampostería, fachadas aisladas y fachadas ventiladas con mortero base; sobre soportes minerales y orgánicos, no apto para superficies horizontales o inclinadas expuestas a la intemperie). Consumo para STOLIT K 2.0: 3,0 kg/m2 (dependiendo del tipo de aplicación, el soporte y la consistencia).   Ref. STOTHERM-00132-001.
Máxima seguridad de aplicación, mantiene valor, color y estabilidad, A2-s1, d0 según EN 13501-1, con película de protección encapsulada, alta protección contra grietas, golpes y granizo usado con STOTHERM CLASSIC, muy permeable al vapor de agua, altamente hidrófugo, resistente contra las inclemencias climáticas, diluible en agua, con grano de mármol de alta calidad procedente de yacimientos naturales.
Aspecto: en textura de revoco rugosa (K) o acanalada (R) o como revoco para modelar (MP).</t>
  </si>
  <si>
    <t>ma-STOTHERM-00217-079</t>
  </si>
  <si>
    <t>Pintura pura de fachada con resina de silicona STOCOLOR SILCO de STOTHERM (15 litros/bidón).   Ref. STOTHERM-00217-079</t>
  </si>
  <si>
    <t>Pintura pura de fachada con resina de silicona, de resultados especialmente seguros. Mantiene la textura. Pintura de enlace con resina de silicona pura según la norma francesa FD T30-808, muy buen poder de recubrimiento. Altamente hidrófugo, muy permeable al vapor de agua y al CO2. Baja tendencia a ensuciarse. Secado homogéneo con tensiones internas mínimas. Consumo aproximado: 0,36 a 0,40 litros/m2/mano (el consumo de material, entre otros, depende del tipo de aplicación, el soporte y la consistencia. las cantidades de consumo indicadas son valores exclusivamente orientativos).   Ref. STOTHERM-00217-079.</t>
  </si>
  <si>
    <t>Mortero de armadura base orgánico (libre de cemento) STOARMAT CLASSIC PLUS F/M/G para sistema STOTHERM.   Ref. STOTHERM-00250-091.
El consumo de material, depende del tipo de aplicación, el soporte y la consistencia las cantidades de consumo indicadas son valores exclusivamente orientativos. Si es necesario, debe determinarse el consumo exacto en cada caso concreto. No obstante, seguidamente se indican algunos rendimientos estimados:
• Como mortero de armadura sobre paneles de espuma rígida de EPS 3,50 a 9,50 kg/m2.
• Como mortero de armadura sobre paneles aislantes de lana mineral 4,50 a 10,00 kg/m2.
Aplicación a máquina y manual
A: empleo como mortero de armadura sobre paneles aislantes de EPS
A.1.    Aplicar el producto manualmente, con una llana de acero inoxidable, o mecánicamente.
A.2.    Embeber la malla completamente en la mitad superior de la capa de armadura aún húmeda. Las juntas de la malla deben solaparse 10 cm.
B: empleo como mortero de armadura sobre paneles aislantes de lana mineral
B.1.    Aplicar el producto de forma mecánica o manual, con una llana de acero inoxidable, dando una capa delgada, aplicar bien el producto en el panel aislante y, posteriormente, extender bien.
B.2.    Dejar que se seque.
B.3.    Aplicar el producto manualmente, con una llana de acero inoxidable, o mecánicamente.
B.4.    Embeber la malla completamente en la mitad superior de la capa de armadura aún húmeda. Las juntas de la malla deben solaparse 10 cm.</t>
  </si>
  <si>
    <t>Espuma de relleno de poliuretano STO-ESPUMA PISTOLA SE de STOTHERM. Libre de CFC, aislante térmico, endurecedor por humedad. Resistente al calor, al agua y a distintos productos químicos. Clase de material B1 según DIN 4102. 750 ml/cartucho.   Ref. STOTHERM-00506-006.
Área de aplicación: exterior, para tapar con espuma juntas y agujeros en paneles aislantes de hasta 5 mm de anchura, para relleno de agujeros y otros huecos.</t>
  </si>
  <si>
    <t>Mortero como material adhesivo para sistema STOTHERM CLASSIC, STOTHERM VARIO, STOTHERM MINERAL y STOTHERM WOOD, con poder adhesivo y adherencia muy elevados en el soporte, de alta durabilidad y muy permeable al vapor de agua. Aplicación a mano o máquina para la fijación de paneles aislantes sobre soportes minerales y orgánicos, en interiores y exteriores.   Ref. STOTHERM-00728-002
El consumo de material, entre otros, depende del tipo de aplicación, el soporte y la consistencia. las cantidades de consumo indicadas son valores exclusivamente orientativos. Si es necesario, debe determinarse el consumo exacto en cada caso concreto. No obstante, seguidamente se indican algunos rendimientos estimados:
• Fijación de paneles de espuma rígida EPS: 4,00 a 4,50 kg/m2
• Fijación con adhesivo de paneles de lana mineral: 5,00 a 6,00 kg/m2
• Aplicación de adhesivo sobre la pared con paneles de espuma rígida de EPS y SPEEDLAMELA: 6,00 a 8,00 kg/m2
• Fijación adicional de paneles aislantes en el caso de fijación mecánica: 2,00 a 2,50 kg/m2
• Fijación de paneles aislantes RESOL: 4,00 kg/m2 por mm de espesor de capa 1,33 kg/m2</t>
  </si>
  <si>
    <t>ma-STOTHERM-00801-122</t>
  </si>
  <si>
    <t>Imprimante puente de unión de origen orgánico STO-PUTZGRUND TINTADO de STOTHERM (23 kg/cubo).   Ref. STOTHERM-00801-122</t>
  </si>
  <si>
    <t>Imprimante puente de unión de origen orgánico STO-PUTZGRUND TINTADO de STOTHERM (23 kg/cubo). Consumo como capa intermedia 0,30 kg/m2 (dependiendo del tipo de aplicación, el soporte y la consistencia).   Ref. STOTHERM-00801-122.
Imprimante regulador de la capacidad de absorción, cargado y pigmentado. Prolonga el tiempo libre del revoco de acabado durante la aplicación. Resistente a los álcalis, permeable al vapor de agua y al CO2.
ÁREAS DE APLICACIÓN:
Exterior, sobre soportes minerales y orgánicos, para revoco orgánico y de resina de silicona, para modificar revocos minerales, para revocos de silicato de dispersión, para revocos de acabado con LOTUS-EFFECT TECHNOLOGY.</t>
  </si>
  <si>
    <t>ma-STOTHERM-00861-002.</t>
  </si>
  <si>
    <t>Imprimante universal acuoso con siloxano y base acrilato STOPLEX W de STOTHERM (20 litros/bidón).   Ref. STOTHERM-00861-002</t>
  </si>
  <si>
    <t>Consolidante de superficies, con carga de siloxano, altamente hidrófugo, alta capacidad de penetración, reguladora de la capacidad de absorción, imprimante, diluible en agua. Consumo: 0,10 a 0,40 litros/m2 (dependiendo del tipo de aplicación, el soporte y la consistencia).   Ref. STOTHERM-00861-002.
Área de aplicación: Exterior, sobre soportes minerales y orgánicos, sobre revestimientos antiguos resistentes expuestos a la intemperie, para la consolidación de capas de pintura viejas escamadas que aún tienen la capacidad de soportar cargas, y para la consolidación de revocos que se desagregan, para la reducción de la absorción de revocos exteriores nuevos o expuestos a la intemperie y de componentes similares.</t>
  </si>
  <si>
    <t>Malla de armadura antiálcalis a prueba de desplazamientos, de elevada resistencia a la tracción, y de absorción optimizada de los esfuerzos para una mayor seguridad y para evitar grietas. Trama 6x6 mm.   Ref. STOTHERM-00920-003.</t>
  </si>
  <si>
    <t>Perfil cantonera de plástico con malla de fibra de vidrio integrada; en los siguientes formatos: trama: 4 x 4 mm, lateral de malla, indicado en cm, 11/13, 11/22, 10/35 (otros formatos bajo pedido). Área de aplicación: exterior, para la formación de esquinas en sistemas de aislamiento exterior para fachadas.   Ref.  STOTHERM-00961-013.</t>
  </si>
  <si>
    <t>Distanciador plástico 30x30x8 mm con hendidura central STO-ARANDELAS DISTANCIADORAS de STOTHERM, para perfiles de arranque de zócalos como soporte compensatorio de distancia en caso de irregularidades en el soporte.   STOTHERM-01004-001.</t>
  </si>
  <si>
    <t>Distanciador plástico 30x30x3 mm con hendidura central STO-ARANDELAS DISTANCIADORAS de STOTHERM, para perfiles de arranque de zócalos como soporte compensatorio de distancia en caso de irregularidades en el soporte.   STOTHERM-01070-001.</t>
  </si>
  <si>
    <t>Conector plástico para zócalo STO-PERFIL DE ZÓCALO CONEXIÓN S 30 mm de STOTHERM (100 pzas/cubo). Área de aplicación: para conectar el STO-PERFIL ZÓCALO UNIVERSAL en la zona de contacto. Longitud 30 mm.   Ref. STOTHERM-01077-017.</t>
  </si>
  <si>
    <t>ma-STOTHERM-01220-024</t>
  </si>
  <si>
    <t>Revoque de acabado de resina de silicona con textura de rascado STOSILCO K 1.0 TINTADO de STOTHERM (25 kg/cubo).   Ref. STOTHERM-01220-024</t>
  </si>
  <si>
    <t>Revoque de acabado de resina de silicona con textura de rascado STOSILCO K 1.0 TINTADO de STOTHERM (25 kg/cubo). Rendimiento: +/- 2 kg/m2 (dependiendo del tipo de aplicación, el soporte y la consistencia).   Ref. STOTHERM-01220-024.
Revoco exterior según EN 15824, revoco de enlace con resina de silicona puro para una aplicación segura y fachadas duraderas, A2-s1, d0 según EN 13501-1, con película de protección encapsulada, altamente permeable al CO2 y al vapor de agua, muy resistente contra las inclemencias climáticas, hidrófugo capilar, altamente hidrófugo, diluible en agua, con grano de mármol de alta calidad procedente de yacimientos naturales.
ASPECTOS:
En textura de revoco rugosa (K) o acanalada (R) o como revoco para modelar (MP).
ÁREAS DE APLICACIÓN:
Exterior, sobre mampostería, fachadas aisladas y fachadas ventiladas con mortero base, sobre soportes minerales y orgánicos. No apto para superficies horizontales o inclinadas expuestas a la intemperie.</t>
  </si>
  <si>
    <t>ma-STOTHERM-01373-029</t>
  </si>
  <si>
    <t>Mortero adhesivo y armado/mortero base mineral STOLEVELL DUO PLUS de STOTHERM (25 kg/saco).   Ref. STOTHERM-01373-029</t>
  </si>
  <si>
    <t>Muy buena aplicación mecánica, poder adhesivo y adherencia elevados en el soporte, muy permeable al vapor de agua, altamente hidrófugo, resistente contra las inclemencias climáticas. Rendimiento: según Tabla de Consumos anexa en imagen adjunta.   Ref. STOTHERM-01373-029.
Área de aplicación: exterior e interior, para la preparación de revocos minerales antiguos o de obras de mampostería, para la fijación con adhesivo de paneles aislantes sobre soportes minerales, para capas de armadura finas, como mortero adhesivo y mortero de armadura para STOTHERM VARIO y STOTHERM MINERAL.</t>
  </si>
  <si>
    <t>Fijador de paneles aislantes STO-ESPIGA Martillada T UEZ—K-01 8/60 115 mm para sistema STOTHERM.   Ref. STOTHERM-01802-035
Fijador de paneles aislantes con homologación técnica europea (diámetro del vástago de la espiga: 8 mm diámetro del plato: 60 mm).
Entrada de disco definida, rápido montaje con alcayatas premontadas. Riesgo mínimo, ya que los clavos se rompen debido al material compuesto reforzado con fibras. Sin puente térmico. Área de aplicación: exterior, para hormigón y materiales de construcción perforados y macizos, categorías de utilización: A, B, C.</t>
  </si>
  <si>
    <t>Fijador de paneles aislantes STO-ESPIGA Martillada T UEZ—K-01 8/60 135 mm para sistema STOTHERM.   Ref. STOTHERM-01802-036
Fijador de paneles aislantes con homologación técnica europea (diámetro del vástago de la espiga: 8 mm diámetro del plato: 60 mm).
Entrada de disco definida, rápido montaje con alcayatas premontadas. Riesgo mínimo, ya que los clavos se rompen debido al material compuesto reforzado con fibras. Sin puente térmico. Área de aplicación: exterior, para hormigón y materiales de construcción perforados y macizos, categorías de utilización: A, B, C. 200 pzas/caja.</t>
  </si>
  <si>
    <t>Perfil goterón plástico con malla de fibra de vidrio integrada, con espigas de unión a tope a ras; en los siguientes formatos: Goterón DP 3 mm, 6 mm y 10 mm; y Goterón Esquina DP 3 mm y 6 mm. Área de aplicación: exterior, para la formación de goterones en sistemas de aislamiento exterior para fachadas.   Ref. STOTHERM-01889-021.</t>
  </si>
  <si>
    <t>ma-STOTHERM-01897-017</t>
  </si>
  <si>
    <t>Perfil junta dilatación E plástico en U reforzado con malla de fibra de vidrio (2,50 m/perfil).   Ref. STOTHERM-01897-017</t>
  </si>
  <si>
    <t>Perfil para juntas de dilatación en edificios con superficies de paredes planas. De plástico, con junta en “U” estable reforzada con fibra, con borde desplegable, con malla de fibra de vidrio integrada. Resistente a los rayos UV y contra las inclemencias climáticas. Combinable con la junta de dilatación Sto-Tapa Junta de dilatación E.   Ref. STOTHERM-01897-017.</t>
  </si>
  <si>
    <t>Cinta para sellado de juntas a base de espuma comprimida STO-CINTA DE SELLADO LENTO de STOTHERM 15/3-9 (10 m/rollo). Tono de color: Antracita.   Ref. STOTHERM-01944-017.
Impermeable a las lluvias torrenciales, completamente impregnada y de expansión lenta, autoadhesiva; en los siguientes formatos (anchura de la cinta / anchura de junta): 15 mm / 2 - 6 mm; 15 mm / 3 - 9 mm; 15 mm / 5 - 12 mm, y 25 mm / 9 - 18 mm (Observación: la impermeabilidad a las lluvias torrenciales solo se da si la anchura de junta se encuentra dentro del campo de aplicación (p. ej. 2 - 6 mm).
Área de aplicación: para la impermeabilización de las conexiones entre el sistema de aislamiento exterior para fachadas y los componentes colindantes, gracias a su lenta expansión es especialmente adecuada para crear conexiones complejas (por ejemplo: vierteaguas), para las siguientes anchuras de junta (anchura libre más admisión de movimiento): 2 - 6 mm, 3 - 9 mm, 5 - 12 mm y 9 - 18 mm.</t>
  </si>
  <si>
    <t>ma-STOTHERM-03659-001</t>
  </si>
  <si>
    <t>Mortero adhesivo mineral para pegar paneles aislantes STOCOLL IP de STOTHERM (25 kg/saco).   Ref. STOTHERM-03659-001</t>
  </si>
  <si>
    <t>Mortero adhesivo mineral para pegar paneles aislantes (espuma rígida de poliestireno y lana mineral) sobre soportes minerales y orgánicos (exterior e interior). Rendimiento: según Tabla de Consumos anexa en imagen adjunta.   Ref. STOTHERM-03659-001.</t>
  </si>
  <si>
    <t>Revoque de acabado con tecnología LOTUSEFFECT y estructura de revoque rascado. Consumos: 1.90 kg/m2 en ejecución K 1,0; y 2,40 kg/m2 en ejecución 1,5.   Ref. STOTHERM-04790-002.
Aplicable en exteriores, sobre mampostería, fachadas aisladas y fachadas ventiladas con mortero base, y sobre soportes minerales y orgánicos (no apto para superficies horizontales o inclinadas expuestas a la intemperie).
Fuerte efecto de autolimpieza cuando se expone a la lluvia, A2-s1, d0 según EN 13501-1, con película de protección encapsulada, excelentes propiedades de aplicación, altamente permeable al CO2 y al vapor de agua, altamente resistente contra las inclemencias climáticas, con grano de mármol de elevada calidad procedente de yacimientos naturales.</t>
  </si>
  <si>
    <t>Impermeabilizante sobre base de dispersión, hidrófugo y hermético, resistente a los rayos UV y al envejecimiento; impermeable, permeable a la difusión, estanco al aire. Permite el secado de la humedad de la construcción. Área de aplicación: exterior, impermeabilización para todos los revestimientos de fachada, como protección contra la humedad bajo un SATE. Consumo por capa de pintura: 0,40 a 0,60 litros/m2 (dependiendo del tipo de aplicación, el soporte y la consistencia).   Ref. STOTHERM-07714-002.</t>
  </si>
  <si>
    <t>Perfil STO-PERFIL DE ZÓCALO UNIVERSAL de aluminio anodizado extruido para arranque de zócalos en sistemas de aislamiento exterior de fachadas de STOTHERM con goterón integrado (2 m/perfil).   Ref. STOTHERM-07845-009.</t>
  </si>
  <si>
    <t>Placa aislante de espuma de poliestireno STO-PANEL EPS PS15SE 038-050 2 cm para sistema STOTHERM; color blanco (120x60x2 cm/placa; 21,60 m2/paquete).   Ref. STOTHERM-08225-070.
Grupo de conductividad térmica 038, clase de comportamiento al fuego E según EN 13501-1, densidad: 15 kg/m3. Aplicable en exterior como panel aislante para Sistemas de aislamiento térmico (fijación con adhesivo o con adhesivo y espigas).</t>
  </si>
  <si>
    <t>ma-STOTHERM-08225-072</t>
  </si>
  <si>
    <t>Placa aislante de espuma de poliestireno STO-PANEL EPS PS15SE 038-050 4 cm para sistema STOTHERM; color blanco (120x60x4 cm/placa; 15 placas/paq.).   Ref. STOTHERM-08225-072</t>
  </si>
  <si>
    <t>Placa aislante de espuma de poliestireno STO-PANEL EPS PS15SE 038-050 4 cm para sistema STOTHERM; color blanco (120x60x4 cm/placa; 15 placas/paquete).   Ref. STOTHERM-08225-072.
Grupo de conductividad térmica 038, clase de comportamiento al fuego E según EN 13501-1, densidad: 15 kg/m3. Aplicable en exterior como panel aislante para Sistemas de aislamiento térmico (fijación con adhesivo o con adhesivo y espigas). Formatos: a) 1200x600 mm bordes romos, espesores: 20 - 400 mm; b) 1200x600 mm bordes romos, espesores: 60, 80, 100, 120, 140, 150, 160, 180, 200 mm.</t>
  </si>
  <si>
    <t>Panel aislante de espuma rígida de poliestireno expandido según EN 13163.   Ref. STOTHERM-08225-074.
Grupo de conductividad térmica 038, clase de comportamiento al fuego E según EN 13501-1, densidad: 15 kg/m3. Aplicable en exterior como panel aislante para Sistemas de aislamiento térmico (fijación con adhesivo o con adhesivo y espigas). Formatos: a) 1200x600 mm bordes romos, espesores: 20 - 400 mm; b) 1200x600 mm bordes romos, espesores: 60, 80, 100, 120, 140, 150, 160, 180, 200 mm.</t>
  </si>
  <si>
    <t>Placa aislante de espuma de poliestireno STO-PANEL EPS PS15SE 038-050 8 cm para sistema STOTHERM; color blanco (120x60x8 cm/placa; 7 placas/paquete).   Ref. STOTHERM-08225-076.
Grupo de conductividad térmica 038, clase de comportamiento al fuego E según EN 13501-1, densidad: 15 kg/m3. Aplicable en exterior como panel aislante para Sistemas de aislamiento térmico (fijación con adhesivo o con adhesivo y espigas). Formatos: a) 1200x600 mm bordes romos, espesores: 20 - 400 mm; b) 1200x600 mm bordes romos, espesores: 60, 80, 100, 120, 140, 150, 160, 180, 200 mm.</t>
  </si>
  <si>
    <t>ma-STOTHERM-09589-003</t>
  </si>
  <si>
    <t>Panel aislante de espuma rígida de poliestireno expandido STO-PANEL DE ZÓCALO 034 4 cm de STOTHERM (120x60 cm/placa; 15 placas/paq.).   Ref. STOTHERM-09589-003</t>
  </si>
  <si>
    <t>Panel aislante de espuma rígida de poliestireno expandido según EN 13163; valor nominal de la conductividad térmica ?: 0,034 W/(m*K), clase de comportamiento al fuego E según EN 13501-1.   Ref. STOTHERM-09589-003.
Área de aplicación: exterior, como panel aislante en el área de salpicaduras de agua (zócalo) y en el suelo (perímetro), fijación con adhesivo, no está permitido en la franja capilar (por norma general, aprox. 30 cm, por encima del nivel freático más alto) ni tampoco en el área de aguas, que ejerzan presión.</t>
  </si>
  <si>
    <t>ma-lm-84800726</t>
  </si>
  <si>
    <t>Cinta de sellado de juntas de espuma comprimida, flexible e impregnada STO-CINTA DE SELLADO LENTO de STOTHERM (15 m/rollo).   Ref. lm-84800726</t>
  </si>
  <si>
    <t>Cinta de sellado para la impermeabilización de las conexiones entre el sistema de aislamiento exterior para fachadas y los componentes colindantes. Impermeable a las lluvias torrenciales, completamente impregnada, de expansión lenta, autoadhesiva.   Ref. lm-84800726.
Gracias a su lenta expansión, es especialmente adecuada para crear conexiones complejas (por ejemplo vierteaguas), para las siguientes anchuras de junta (anchura libre más admisión de movimiento): 2 a 6 mm, 3 a 9 mm, 5 a 12 mm y 9 a 18 mm.</t>
  </si>
  <si>
    <t>TRADITERM-PUMA</t>
  </si>
  <si>
    <t>MATERIALES Y ACCESORIOS TRADITERM-PUMA</t>
  </si>
  <si>
    <t>ma-diaterm-30351</t>
  </si>
  <si>
    <t>Perfil junta de dilatación PVC con malla TRADITERM de PUMA (2,5 m/perfil).   Ref. diaterm-30351</t>
  </si>
  <si>
    <t>Perfil de PVC con malla de fibra de vidrio antialcalina y banda flexible para tratamiento de juntas. Diseñado como solución de juntas de dilatación y estructurales existentes en el soporte donde van a ser instalados los Sistemas de Aislamiento Térmico Exterior TRADITERM (SATE/ETICS).   Ref. diaterm-30351.</t>
  </si>
  <si>
    <t>ma-lm-82808181</t>
  </si>
  <si>
    <t>Taco de Anclaje 160 mm TRADITERM de PUMA (200 tacos/caja).   Ref. lm-82808181</t>
  </si>
  <si>
    <t>TRADITERM Taco de Anclaje está fabricado a base de polietileno y se compone de dos elementos diferenciados (clavo y vaina). Es un taco de anclaje de percusión, utilizado para la fijación de los paneles aislantes en el Sistema de Aislamiento Térmico Exterior TRADITERM. Consumo: 8 pzas/m2.   Ref. lm-82808181.
Es de fácil aplicación. Asegura una perfecta fijación de las placas al soporte. Resistente a la oxidación. Amplia gama de tamaños del producto para una correcta adaptación a los sistemas de aislamiento térmico en función del espesor de la placa.</t>
  </si>
  <si>
    <t>ma-lp-00559085</t>
  </si>
  <si>
    <t>Malla TRADITERM de PUMA (50x1,1 m/rollo).   Ref. lp-00559085</t>
  </si>
  <si>
    <t>Malla TRADITERM constituida por hilos de doble torsión, fundamental para el refuerzo del revestimiento TRADITERM. Recomendada para la aplicación de los sistemas de aislamiento térmico por el exterior tipo TRADITERM.   Ref. lp-00559085.
Confiere al sistema una mayor resistencia y estabilidad, y evita la aparición de fisuras generadas por diferencias de temperatura o de movimientos de los paneles aislantes. Tiene una excelente resistencia a la tracción y mejora la resistencia al impacto.</t>
  </si>
  <si>
    <t>ma-lp-00559086</t>
  </si>
  <si>
    <t>Perfil ángulo PVC con malla TRADITERM de PUMA (2,5 m/perfil).   Ref. lp-00559086</t>
  </si>
  <si>
    <t>Perfil de PVC con malla de fibra de vidrio con tratamiento antialcalino. Perfil de PVC perforado para el refuerzo de esquinas y huecos en los Sistemas de Aislamiento Térmico Exterior TRADITERM (SATE/ETICS).   Ref. lp-00559086.
Este componente del sistema es de fácil colocación en obra. La incorporación de la malla al perfil hace que la ejecución de la esquina sea más rápida, permitiendo además un funcionamiento óptimo de este sistema de aislamiento.</t>
  </si>
  <si>
    <t>ma-lp-00559088</t>
  </si>
  <si>
    <t>Perfil goterón PVC con malla TRADITERM de PUMA (2,5 m/perfil).   Ref. lp-00559088</t>
  </si>
  <si>
    <t>Perfil de PVC con malla de fibra de vidrio con tratamiento antialcalino. Perfil de refuerzo y formación de goterones para dinteles de huecos en fachada y remate de voladizos ejecutados con el sistema de aislamiento térmico TRADITERM.   Ref. lp-00559088.
Su morfología permite una correcta evacuación del agua de lluvia sobre fachada impidiendo el deterioro de carpinterías y del propio Sistema de Aislamiento Térmico por el Exterior en estos encuentros.</t>
  </si>
  <si>
    <t>ma-lp-00562459</t>
  </si>
  <si>
    <t>Mortero impermeabilizante de decoración para fachadas e interiores MORCEMCRIL de PUMA; color blanco (25 kg/bidón).   Ref. lp-00562459</t>
  </si>
  <si>
    <t>Revestimiento sintético-mineral para la impermeabilización y decoración de todo tipo de fachadas e interiores. En exteriores e interiores, en muros y techos. Revestimiento decorativo para el sistema de aislamiento térmico exterior TRADITERM. (SATE/ETICS). Rendimiento: 2 a 3 kg/m2 para espesores de 2 mm.   Ref. lp-00562459.
Compatible con soportes de morteros de cemento, hormigón, mortero monocapa, yeso y cartón yeso y sobre soportes ya pintados. No es compatible con revocos de cal fresca, resinas o barnices, pinturas al temple, a la cal o de silicatos. Antimoho-Antiverdín; Impermeable; Permeable al vapor de agua, permitiendo que el soporte respire; Resistente al envejecimiento, atmósferas de ciudades y rayos ultravioletas.</t>
  </si>
  <si>
    <t>ma-lp-00563682</t>
  </si>
  <si>
    <t>Mortero adhesivo y de revestimiento para fachadas TRADITERM GP W2 de PUMA (25 kg/saco).   Ref. lp-00563682</t>
  </si>
  <si>
    <t>TRADITERM GP W2 es un mortero hidráulico para fachadas que se emplea como adhesivo y revestimiento de placas aislantes de poliestireno expandido (EPS), de poliestireno expandido grafito (EPS-G), de lana mineral y de corcho natural, en el sistema de aislamiento térmico exterior TRADITERM SATE / ETICS. Rendimiento: 8 a 10 kg/m2.   Ref. lp-00563682.</t>
  </si>
  <si>
    <t>ma-lp-00565428</t>
  </si>
  <si>
    <t>Panel EPS TRADITERM 60 mm (1000x500 mm/pza).   Ref. lp-00565428</t>
  </si>
  <si>
    <t>ma-lp-00565445</t>
  </si>
  <si>
    <t>Perfil de arranque en aluminio 0,8 mm TRADITERM de PUMA (2,5 m/perfil).   Ref. lp-00565445</t>
  </si>
  <si>
    <t>Perfil para protección y arranque, empleado en los Sistemas de Aislamiento Térmico Exterior TRADITERM (SATE/ETICS). Este producto, sirve de arranque de los Sistemas TRADITERM, los protege y refuerza.   Ref. lp-00565445.
Sirve como guía o maestra para conseguir el alineamiento de los paneles aislantes. No se oxida y es de fácil colocación en obra. Tiene una gama de espesores a elegir según el espesor del panel aislante utilizado.</t>
  </si>
  <si>
    <t>ma-lp-00565450</t>
  </si>
  <si>
    <t>Taco de anclaje 120 mm TRADITERM de PUMA (100 tacos/caja).   Ref. lp-00565450</t>
  </si>
  <si>
    <t>TRADITERM Taco de Anclaje está fabricado a base de polietileno y se compone de dos elementos diferenciados (clavo y vaina). Es un taco de anclaje de percusión, utilizado para la fijación de los paneles aislantes en el Sistema de Aislamiento Térmico Exterior TRADITERM. Consumo: 8 pzas/m2.   Ref. lp-00565450.
Es de fácil aplicación. Asegura una perfecta fijación de las placas al soporte. Resistente a la oxidación. Amplia gama de tamaños del producto para una correcta adaptación a los sistemas de aislamiento térmico en función del espesor de la placa. Homologación europea según ETA-16/0509.</t>
  </si>
  <si>
    <t>ma-lp-00565475</t>
  </si>
  <si>
    <t>Fondo acrílico de coloración MORCEMCRIL FONDO de PUMA (20 kg/bidón).   Ref. lp-00565475</t>
  </si>
  <si>
    <t>Base acrílica de alta calidad, indicada como fondo de coloración para MORCEMCRIL. Mejora la adherencia, facilita la aplicación, homogeneiza la absorción del soporte y da una cubrición coloreada inicial. Rendimiento Teórico: 4 a 5 m2/kg.   Ref. lp-00565475.
Favorece la cubrición y el rendimiento del mortero acrílico de acabado, manteniendo alta permeabilidad al vapor de agua. Excelente aplicabilidad, trabajabilidad y adherencia al soporte.</t>
  </si>
  <si>
    <t>Panel EPS TRADITERM 60 mm.   Ref. puma-EPS-60mm</t>
  </si>
  <si>
    <t>Base acrílica de alta calidad, indicada como fondo de coloración para MORCEMCRIL. Mejora la adherencia, facilita la aplicación, homogeneiza la absorción del soporte y da una cubrición coloreada inicial. Rendimiento Teórico: 4 a 5 m2/kg. Favorece la cubrición y el rendimiento del mortero acrílico de acabado, manteniendo alta permeabilidad al vapor de agua. Excelente aplicabilidad, trabajabilidad y adherencia al soporte.   Ref. puma-morcemcril.fondo.</t>
  </si>
  <si>
    <t>WEBERTHERM</t>
  </si>
  <si>
    <t>MATERIALES Y ACCESORIOS WEBERTHERM</t>
  </si>
  <si>
    <t>Perfil de PVC autoadhesivo para el remate de los sistemas de aislamiento térmico por el exterior WEBERTHERM en ventanas, con aletas flexibles recubiertas de autoadhesivo para la colocación de un film protector durante los trabajos y con malla de fibra de vidrio de 4x4 mm para solapar con la capa de regularización del sistema.   Ref. prolisur-perfil-rem.ventana.</t>
  </si>
  <si>
    <t>WEBERCAL FLEXIBLE es un estuco mineral flexible coloreado de cal aérea y resinas sintéticas, en capa fina de altas prestaciones para la impermeabilización y la decoración, así como de protección duradera en muros, techos, interiores y exteriores. Especialmente indicado como revestimiento de acabado en los Sistemas WEBERTHERM. Presentación en 12 colores.   Ref. prolisur-04.
Espesor de aplicación: 1,0 a 1,5 mm en 2 capas reforzadas con WEBERTHERM MALLA 65). Rendimiento aproximado: 0,6 kg/m2 por capa).
En las uniones de WEBERTHERM BASE con elementos de distinta naturaleza (carpintería y alféizares), se recomienda dejar una junta de unos 2-3 mm de espesor que se rellenará con WEBERFLEX PU, quedando recubierta posteriormente por WEBERCAL FLEXIBLE.</t>
  </si>
  <si>
    <t>WBT-03</t>
  </si>
  <si>
    <t>Malla de refuerzo tridireccional para sistema SATE DE WEBERTHERM MALLA 3FORCE (50x1,1 m/rollo)</t>
  </si>
  <si>
    <t>WEBERTHERM-MALLA es una Malla de fibra de vidrio tridireccional con tratamiento superficial antialcalino para los morteros de refuerzo WEBERTHERM BASE y WEBERTHERM BASE PLUS en los sistemas de aislamiento por el exterior</t>
  </si>
  <si>
    <t>ma-dp-SKU.77832861</t>
  </si>
  <si>
    <t>Mortero WEBERTHERM BASE PLUS para regularizacón y adhesión de placas aislantes para sistema SATE (25 kg/saco).   Ref. dp-SKU.77832861</t>
  </si>
  <si>
    <t>WEBERTHERM BASE PLUS es un Mortero para la adhesión y regularización de placas aislantes en los sistemas WEBERTHERM. Un producto pionero en su segmento que utiliza materiales reciclados y materias primas de última generación que evitan el uso de la imprimación regularizadora de absorción (WEBERTENE PRIMER), elevan la capacidad al impacto de los SATE y mejoran el alisado cuando se usa como recubrimiento de paneles aislantes. Soporte: Hormigón, Mortero de cemento, Mortero de cal, Cerámica, Placa de yeso laminada (PYL), Ladrillo, Madera, Paneles aislantes, Mortero termoaislante, Bloque de hormigón.   Ref. dp-SKU.77832861.
APLICACIÓN:
• Como adhesivo de placas aislantes:
  - Fijación de borde y punto: Aplicar sobre la placa un cordón perimetral de 4 -8 cm de ancho y de 2 a 4 cm de espesor, y uno o varios pegotes centrales de 8 a 10 cm, en función del tamaño de la misma. La superficie de adhesión, una vez fijada la placa al soporte, debe ser mínimo de un 40%.
   - Fijación de toda la superficie mediante doble encolado: sólo es recomendable en caso de soportes nivelados y que presenten una planimetría casi perfecta. Esta fijación se realiza aplicando el mortero sobre el soporte y sobre los paneles aislantes (doble encolado), mediante la utilización de una llana dentada de acero inoxidable de dientes de 10mm x 10mm.
• Como regularizador de placas aislantes:
transcurridas 24 horas mínimo tras la adhesión de las placas, se procederá de la siguiente manera:
   - Aplicar una primera capa de 3-4 mm y peinar con llana dentada a 45º.
   - Colocar la malla sobre la capa peinada y embutir la misma sobre el mortero (sin aplastarla).
   - Aplicar la segunda capa de 3-4 mm.
El espesor total debe ser de 6-8mm.</t>
  </si>
  <si>
    <t>ma-prolisur-eh3-075</t>
  </si>
  <si>
    <t>Sistema de fijación plástico WEBERTHERM ESPIGA H3 - 075 para placas de aislamiento térmico en los sistemas SATE (200 pzas/caja).   Ref. prolisur-eh3-075</t>
  </si>
  <si>
    <t>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prolisur-eh3-075</t>
  </si>
  <si>
    <t>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prolisur-eh3-095.</t>
  </si>
  <si>
    <t>ma-prolisur-pc34-40</t>
  </si>
  <si>
    <t>Placa de aislamiento termoacústico WEBERTHERM PLACA CLIMA 34 en lana de vidrio para sistema SATE; espesor 40 mm (7,2 m2/paquete).   Ref. prolisur-pc34-40</t>
  </si>
  <si>
    <t>Panel rígido de alta densidad de lana de vidrio, de conductividad térmica 0,034 W/m·K, para uso como material aislante en el sistema de aislamiento térmico por el exterior WEBERTHERM ACUSTIC. Soportes: Hormigón, Mortero de cemento, Mortero de cal, Cerámica, Ladrillo, Madera, Sintético, Bloque de hormigón, Paneles aislantes, Mortero termoaislante.   Ref. prolisur-pc34-40.</t>
  </si>
  <si>
    <t>WTB-10</t>
  </si>
  <si>
    <t>Placa de aislamiento termoacústico WEBERTHERM PLACA ROCK SATE DUO PLUS en lana de roca para sistema SATE; espesor 50 mm (4,32 m2/paquete)</t>
  </si>
  <si>
    <t>Panel de lana de roca, de conductividad térmica 0,035 W/m·K (Clasificación de resistencia al fuego A1), para uso como material aislante en el sistema de aislamiento térmico por el exterior WEBERTHERM ACUSTIC. Panel rígido de lana de roca volcánica de doble densidad no revestido, específico para fachadas con sistemas de aislamiento térmico por el exterior (SATE).
La capa exterior de alta densidad (marcada con dos líneas) asegura una adherencia óptima del revoco y mejora el comportamiento mecánico. La capa interna de densidad inferior optimiza las prestaciones térmicas del panel y permite la máxima adaptabilidad al soporte.</t>
  </si>
  <si>
    <t>WTB-11</t>
  </si>
  <si>
    <t>Placa de aislamiento termoacústico WEBERTHERM PLACA ROCK SATE DUO PLUS en lana de roca para sistema SATE; espesor 60 mm (3,60 m2/paquete)</t>
  </si>
  <si>
    <t>La tecnología ADVANCE proporciona un grado de impermeabilidad y estabilidad en color inmejorables. Tiene un tamaño máximo de grano de 1 mm. De acabado fratasado manual o proyectado a máquina, es apto para exterior e interior y para muros y techos.
Forman parte de los exclusivos sistemas de aislamiento WEBERTHERM y de renovación WEBERENOVA. Soportes: Hormigón, Mortero de cemento, Mortero de cal, Pinturas, Madera, Sintético, Yeso, Bloque de hormigón. Espesor de aplicación 1,5 mm (aprox.). Consumo de aplicación con llana 1,8 kg/m2 (al aplicar con pistola de proyección, el consumo es ligeramente inferior).   Ref. dp-SKU.1057310.
Aplicar la imprimación WEBERTENE PRIMER a rodillo o con un atomizador como regularizador de absorción. Es importante que la imprimación esté seca antes de la aplicación del WEBERTENE ADVANCE M. Esto depende de las condiciones atmosféricas existentes, pero como norma general, el secado se consigue antes de 24h. Si se utiliza como mortero base el producto WEBERTENE BASE PLUS o WEBERTHERM FLEX B, no es necesario realizar la aplicación de esta imprimación.</t>
  </si>
  <si>
    <t>Malla de refuerzo 160 para sistema SATE de WEBERTHERM (50x1,1 m/rollo).   Ref. dp-00955597.
Malla de fibra de vidrio con tratamiento superficial antialcalino para los morteros de refuerzo webertherm base y webertherm base plus en los sistemas de aislamiento por el exterior WEBERTHERM y en los sistemas de renovación de fachadas WEBERENOVA.</t>
  </si>
  <si>
    <t>ma-dp-01943177</t>
  </si>
  <si>
    <t>Mortero WEBERTHERM AISLONE para aislamiento termoacústico en sistema SATE (4,6 kg/saco).   Ref. dp-01943177</t>
  </si>
  <si>
    <t>Aislamiento termoacústico mineral de los sistemas WEBER RENOVATHERM y WEBERTHERM MINERAL. Mortero de cal aislante termo-acústico, con conductividad térmica 0,042 W/m·K, para uso como material aislante en el sistema de aislamiento térmico por el exterior WEBERTHERM MINERAL y para la renovación de fachadas antiguas con una falta importante de planimetría (sistema WEBER RENOVATHERM). Soportes: Hormigón, Mortero de cemento, Mortero de cal, Pinturas, Cerámica, Placa de yeso laminada (PYL), Yeso, Metal, Ladrillo, Bloque de hormigón.   Ref. dp-01943177</t>
  </si>
  <si>
    <t>Protección o cierre cantonero de PVC con malla de fibra de vidrio álcali-resistente, para formar cantoneras perpendiculares en los sistemas de aislamiento térmico por el exterior WEBERTHERM.   Ref. dp-02145587</t>
  </si>
  <si>
    <t>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dp-71630371</t>
  </si>
  <si>
    <t>Placa XPS de WEBERTHERM de poliestireno extruido para aislamiento térmico aplicable en Sistemas SATE. Sin piel y de conductividad térmica 0.034 W/m.K. Soportes: Hormigón, Mortero de cemento, Mortero de cal, Ladrillo, Madera, Sintético, Bloque de hormigón, Cerámica, Placa de yeso laminada (PYL), Paneles aislantes, Mortero termoaislante.   Ref. dp-76219991</t>
  </si>
  <si>
    <t>Placa XPS de WEBERTHERM de poliestireno extruido para aislamiento térmico aplicable en Sistemas SATE. Sin piel y de conductividad térmica 0.034 W/m.K. Soportes: Hormigón, Mortero de cemento, Mortero de cal, Ladrillo, Madera, Sintético, Bloque de hormigón, Cerámica, Placa de yeso laminada (PYL), Paneles aislantes, Mortero termoaislante.   Ref. dp-76220003</t>
  </si>
  <si>
    <t>Base reguladora de absorción para fachadas. Imprimación sintética para homogeneizar la absorción de agua del soporte antes de recibir un revestimiento orgánico de la gama WEBERTENE. Rendimiento: kg/m2 (0,25 a 0,30 litros/m2); m2/bidón (46 a 56 m2 por 2 manos). Aplicar mínimo 2 capas de producto. Dependiendo del color elegido y la absorción del soporte, puede ser necesario aplicar más de 2 capas. Ref. dp-76948730</t>
  </si>
  <si>
    <t>Revestimiento acrílico de capa fina listo al uso altamente decorativo, con un tamaño máximo de grano de 2,5 mm. De acabado fratasado circular o lineal, es apto para exterior e interior y para muros y techos. Forman parte de los exclusivos Sistemas de aislamiento WEBERTHERM y de renovación WEBERENOVA. Consumo 3,5 kg/m2.   Ref. dp-77387846</t>
  </si>
  <si>
    <t>Perfil de arranque fabricado en aluminio de espesor 0,7 mm.   Ref. dp-79003155.
Se coloca horizontalmente en el límite inferior de la zona a revestir, anclado al soporte mediante tornillos, distanciadores y conectores, con un espacio de 3 mm. de separación entre ellos, facilitando el arranque del montaje del sistema y garantizando su horizontalidad. Incluye un goterón que garantiza el drenaje vertical del agua evitando su retorno.   Ref. dp-79003155</t>
  </si>
  <si>
    <t>Goterón para dinteles en sistemas de aislamiento térmico exterior. Perfil de PVC con malla de fibra de vidrio álcali-resistente para formar el goterón de evacuación de agua de lluvia en los dinteles en los sistemas de aislamiento térmico por el exterior WEBERTHERM.   Ref. dp-79291497</t>
  </si>
  <si>
    <t>Gel multiusos de WEBERTHERM reforzado con fibras que sirve en los sistemas SATE como adhesivo para fijar los paneles aislantes y como regularizador de la superficie antes de recibir revestimientos de acabado en capa fina. Consumo: 1,5 kg/m2 por mm de espesor.   Ref. dp-79687708</t>
  </si>
  <si>
    <t>Mortero multiusos que sirve como adhesivo para fijar los paneles aislantes y como regularizador de la superficie antes de recibir revestimientos de acabado en capa fina, en los sistemas de aislamiento térmico por el exterior. Aplicación manual. Acabado liso y sin fisuras. Preparación perfecta para la capa decorativa. Apto para cualquier tipo de panel aislante. En exteriores, no aplicar sobre superficies horizontales o inclinadas expuestas al agua de lluvia. Consumo 1,5 kg/m2/mm (espesor mínimo de acabado como regularizador 4 mm; espesor máximo de acabado como regularizador 6 mm / en dos capas y reforzado con malla; espesor máximo de aplicación por capa 3 mm).   Ref. om-10876985.</t>
  </si>
  <si>
    <t>Malla de fibra de vidrio WEBERTHERM MALLA 200 con tratamiento superficial antialcalino para el refuerzo de los revestimientos en capa gruesa en los sistemas de aislamiento térmico por el exterior WEBERTHERM, de densidad 195 gr/m2 y apertura de entramado de 7,0 x 6,5 mm.   Ref. prolisur-00955597.</t>
  </si>
  <si>
    <t>Mortero orgánico sin cemento y listo al uso para la regularización de paneles aislantes en los Sistemas WEBERTHERM y para la rehabilitación de todo tipo de soportes en el Sistema WEBERENOVA ANTIFISURAS ELASTIC. Ideal en soportes antiguos, para el tratamiento previo al revestimiento final. Regularización de placas: 4,50 kg/m2 (variable sensiblemente de acuerdo a la superficie de aplicación).   Ref. prolisur-02.</t>
  </si>
  <si>
    <t>Malla de fibra de vidrio con tratamiento superficial antialcalino para los estucos y/o morteros en capa fina WEBERCAL FLEXIBLE, WEBERMUR LISO y WEBERCAL ESTUCO en los Sistemas de Aislamiento WEBERTHERM y en los Sistemas de Renovación de Fachadas WEBERENOVA. Indicada para el refuerzo de revestimientos minerales o poliméricos en capa fina (&lt;3 mm).   Ref. prolisur-03
Excelente resistencia a la tracción y al alargamiento, así como a los medios alcalinos. Aporta deformabilidad a los revestimientos minerales y poliméricos.
WEBERTHERM MALLA 65 debe quedar integrada aproximadamente en el centro del espesor del recubrimiento. Si no se cumple esta premisa, no se realiza la función de “armado” del mortero, y por tanto, el conjunto pierde prestaciones. En términos generales ha de solaparse cada tramo de malla al menos 20 mm.</t>
  </si>
  <si>
    <t>ma-prolisur-eh3-115</t>
  </si>
  <si>
    <t>Sistema de fijación plástico WEBERTHERM ESPIGA H3 - 115 para placas de aislamiento térmico en los sistemas SATE (200 pzas/caja).   Ref. prolisur-eh3-115</t>
  </si>
  <si>
    <t>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prolisur-eh3-115.</t>
  </si>
  <si>
    <t>ma-prolisur-eh3-135</t>
  </si>
  <si>
    <t>Sistema de fijación plástico WEBERTHERM ESPIGA H3 - 135 para placas de aislamiento térmico en los sistemas SATE (200 pzas/caja).   Ref. prolisur-eh3-135</t>
  </si>
  <si>
    <t>WEBERTHERM ESPIGA H3 es un anclaje universal; espiga de fijación de polipropileno con clavo expansionante de plástico reforzado con cabezal flexible para la fijación mecánica, mediante golpeo, de las placas de aislamiento térmico en los sistemas SATE-WEBERTHERM. Soportes: Hormigón, Mortero de cemento, Mortero de cal, Ladrillo, Bloque de hormigón.   Ref. prolisur-eh3-135.</t>
  </si>
  <si>
    <t>ma-prolisur-pc34-80</t>
  </si>
  <si>
    <t>Placa de aislamiento termoacústico WEBERTHERM PLACA CLIMA 34 en lana de vidrio para sistema SATE; espesor 80 mm (3,6 m2/paquete).   Ref. prolisur-pc34-80</t>
  </si>
  <si>
    <t>Panel rígido de alta densidad de lana de vidrio, de conductividad térmica 0,034 W/m·K, para uso como material aislante en el sistema de aislamiento térmico por el exterior WEBERTHERM ACUSTIC. Soportes: Hormigón, Mortero de cemento, Mortero de cal, Cerámica, Ladrillo, Madera, Sintético, Bloque de hormigón, Paneles aislantes, Mortero termoaislante.   Ref. prolisur-pc34-80.</t>
  </si>
  <si>
    <t>Impermeabilizante flexible con tecnología fibragel. Mortero altamente flexible monocomponente altamente reforzado para la impermeabilización en zonas sometidas a posibles pequeños movimientos y con riesgo de fisuración como terrazas, balcones, cubiertas y tejados, antes de la colocación de un revestimiento. Su tecnología gel favorece una mejor trabajabilidad y un acabado más estético. Consumo: 1,250 kg/m2 para 1 mm de espesor (mínimo 2 mm en cualquier punto por capa).   Ref. prolisur-weberdryimperflexgel.</t>
  </si>
  <si>
    <t>ma-bauhaus-26225049</t>
  </si>
  <si>
    <t>Placa de poliestireno expandido 50 mm EPS 10 kg/m3 de KNAUF (2000x1000x50 mm/lámina (2 m2/placa)).   Ref. bauhaus-26225049</t>
  </si>
  <si>
    <t>La placa de poliestireno expandido EPS de KNAUF es una lámina de espuma esponjosa de color blanco y forma rectangular. Tiene múltiples usos en el ámbito de la construcción, aunque principalmente es empleado como aislante térmico y acústico. Es muy ligero, lo cual lo hace un material fácil de transportar y de fácil manipulación. Disponible en varios tamaños y espesores. El espesor puede variar en ± 0,02 mm.   Ref. bauhaus-26225049.</t>
  </si>
  <si>
    <t>ma-bauhaus-26230140</t>
  </si>
  <si>
    <t>Placa de poliestireno expandido 50 mm EPS 10 kg/m3 de KNAUF (1000x600x50 mm/lámina (0,60 m2/placa)).   Ref. bauhaus-26230140</t>
  </si>
  <si>
    <t>La placa de poliestireno expandido EPS de KNAUF es una lámina de espuma esponjosa de color blanco y forma rectangular. Tiene múltiples usos en el ámbito de la construcción, aunque principalmente es empleado como aislante térmico y acústico. Es muy ligero, lo cual lo hace un material fácil de transportar y de fácil manipulación. Disponible en varios tamaños y espesores. El espesor puede variar en ± 0,02 mm.   Ref. bauhaus-26230140.</t>
  </si>
  <si>
    <t>ma-bauhaus-26233167</t>
  </si>
  <si>
    <t>Placa de poliestireno expandido 20 mm EPS 10 kg/m3 de KNAUF (2000x1000x20 mm/lámina (2 m2/placa)).   Ref. bauhaus-26233167</t>
  </si>
  <si>
    <t>La placa de poliestireno expandido EPS de KNAUF es una lámina de espuma esponjosa de color blanco y forma rectangular. Tiene múltiples usos en el ámbito de la construcción, aunque principalmente es empleado como aislante térmico y acústico. Es muy ligero, lo cual lo hace un material fácil de transportar y de fácil manipulación. Disponible en varios tamaños y espesores. El espesor puede variar en ± 0,02 mm.   Ref. bauhaus-26233167.</t>
  </si>
  <si>
    <t>ma-bauhaus-26233909</t>
  </si>
  <si>
    <t>Placa de poliestireno expandido 20 mm EPS 10 kg/m3 de KNAUF (1000x600x20 mm/lámina (0,60 m2/placa)).   Ref. bauhaus-26233909</t>
  </si>
  <si>
    <t>La placa de poliestireno expandido EPS de KNAUF es una lámina de espuma esponjosa de color blanco y forma rectangular. Tiene múltiples usos en el ámbito de la construcción, aunque principalmente es empleado como aislante térmico y acústico. Es muy ligero, lo cual lo hace un material fácil de transportar y de fácil manipulación. Disponible en varios tamaños y espesores. El espesor puede variar en ± 0,02 mm.   Ref. bauhaus-26233909.</t>
  </si>
  <si>
    <t>ma-diaterm-SKU.239401</t>
  </si>
  <si>
    <t>Placa de aislamiento termoacústico ROCKSATE DUO PLUS de ROCKWOLL 60 mm para sistemas SATE (paneles de 1,20 x 0,60 m; 5 paneles/paquete; 3,60 m2/paquete).   Ref. diaterm-SKU.239401</t>
  </si>
  <si>
    <t>Paneles de lana de roca ROCKWOOL de doble densidad especialmente diseñados para su uso en el sistema de aislamiento térmico por el exterior (SATE).   Ref. diaterm-SKU.239401.</t>
  </si>
  <si>
    <t>ma-diaterm-SKU.239402</t>
  </si>
  <si>
    <t>Placa de aislamiento termoacústico ROCKSATE DUO PLUS de ROCKWOLL 80 mm para sistemas SATE (paneles de 1,20 x 0,60 m; 4 paneles/paquete; 2,88 m2/paquete).   Ref. diaterm-SKU.239402</t>
  </si>
  <si>
    <t>Paneles de lana de roca ROCKWOOL de doble densidad especialmente diseñados para su uso en el sistema de aislamiento térmico por el exterior (SATE).   Ref. diaterm-SKU.239402.</t>
  </si>
  <si>
    <t>ma-dp-SKU.74185928</t>
  </si>
  <si>
    <t>Placa de poliestireno extruido XPS CW de SOPREMA (2600x600x120 mm/placa; 3 placas/paquete; 4,68 m2/paquete).   Ref. dp-SKU74185928</t>
  </si>
  <si>
    <t>El panel de poliestireno extruido XPS CW de SOPREMA es una espuma rígida aislante de estructura celular cerrada y de carácter termoplástico. Conductividad térmica declarada: 0,036 W/m.K. Resistencia Térmica declarada 3,35 m2.K/W. Clase de reacción al fuego: Euroclase E. Panel de gran formato 2600x600x120 mm/placa.   Ref. dp-SKU74185928.
Concebido como aislamiento térmico contra el frio y el calor, específico para el aislamiento de muros de cámaras de aire . El producto XPS CW de excelentes propiedades térmicas y mecánicas, presenta un acabado machihembrado para favorecer su aplicación en vertical, y su superficie es lisa. Su estructura celular cerrada le convierte en un producto impasible al agua y con grandes propiedades como barrera de vapor.</t>
  </si>
  <si>
    <t>Perfil de arranque fabricado en aluminio de espesor 0,7 mm.   Ref. lp-00160061.
Se coloca horizontalmente en el límite inferior de la zona a revestir, anclado al soporte mediante tornillos, distanciadores y conectores, con un espacio de 3 mm. de separación entre ellos, facilitando el arranque del montaje del sistema y garantizando su horizontalidad. Incluye un goterón que garantiza el drenaje vertical del agua evitando su retorno.</t>
  </si>
  <si>
    <t>ma-lp-00225433</t>
  </si>
  <si>
    <t>Perfil de arranque de instalación SATE en aluminio para aislamiento 40 mm (2,5 m/perfil).   Ref. lp-00225433</t>
  </si>
  <si>
    <t>Perfil de arranque fabricado en aluminio de espesor 0,7 mm.   Ref. lp-00225433.
Se coloca horizontalmente en el límite inferior de la zona a revestir, anclado al soporte mediante tornillos, distanciadores y conectores, con un espacio de 3 mm. de separación entre ellos, facilitando el arranque del montaje del sistema y garantizando su horizontalidad. Incluye un goterón que garantiza el drenaje vertical del agua evitando su retorno.</t>
  </si>
  <si>
    <t>ma-lp-00225434</t>
  </si>
  <si>
    <t>Perfil de arranque de instalación SATE en aluminio para aislamiento 60 mm (2,5 m/perfil).   Ref. lp-00225434</t>
  </si>
  <si>
    <t>Perfil de arranque fabricado en aluminio de espesor 0,7 mm.   Ref. lp-00225434.
Se coloca horizontalmente en el límite inferior de la zona a revestir, anclado al soporte mediante tornillos, distanciadores y conectores, con un espacio de 3 mm. de separación entre ellos, facilitando el arranque del montaje del sistema y garantizando su horizontalidad. Incluye un goterón que garantiza el drenaje vertical del agua evitando su retorno.</t>
  </si>
  <si>
    <t>ma-lp-00225435</t>
  </si>
  <si>
    <t>Taco con plato de 60 mm para fijación mecánica de placa aislante; medidas: 10x90 mm (200 pzas/caja).   Ref. lp-00225435</t>
  </si>
  <si>
    <t>Tacos de fijación mecánica certificados ETAG 014, con plato de 60 mm, para broca de diámetro 10 mm con cabeza circular.   Ref.   lp-00225435
Están fabricados en plástico para evitar condensaciones que puedan provocar manchas en el revestimiento. Se utilizan para la fijación mecánica de las placas aislantes al soporte, debiendo garantizarse una profundidad de anclaje mínima de 50 mm y un consumo aproximado de 8 und/m2.</t>
  </si>
  <si>
    <t>Tacos de fijación mecánica certificados ETAG 014, con plato de 60 mm, para broca de diámetro 10 mm con cabeza circular.   Ref.   lp-00225436
Están fabricados en plástico para evitar condensaciones que puedan provocar manchas en el revestimiento. Se utilizan para la fijación mecánica de las placas aislantes al soporte, debiendo garantizarse una profundidad de anclaje mínima de 50 mm y un consumo aproximado de 8 und/m2.</t>
  </si>
  <si>
    <t>Placa EPS KNAUF TECK para Sistema SATE; blanca (1000x500x60 mm/placa).   Ref. lp-00235528.
Panel estabilizador para el aislamiento de fachadas por el exterior de Sistema ETICS-SATE. Se utiliza tanto en obra nueva como para la rehabilitación de fachadas. En obra nueva el aislameinto térmico por el exterior reduce la demanda energética del edificio haciéndolo más sostenible y proporciona otras importantes ventajas: Elimina casi por completo la presencia de puentes térmicos; Minimiza el riesgo de condensaciones; Incrementa la inercia térmica.</t>
  </si>
  <si>
    <t>La placa XPS SL está indicada para el aislamiento de cubiertas planas invertidas e inclinadas (teja anclada con rastrel), así como para la rehabilitación de las mismas, y para el aislamiento perimetral de muros, para losas de cimentaciones portadoras de cargas y forjados, losas y pavimentos.   Ref. lp-00275678</t>
  </si>
  <si>
    <t>ma-lp-00275680</t>
  </si>
  <si>
    <t>Placa XPS SL para Sistema SATE; 1250x600x50 mm/panel (6 m2/paquete).   Ref. lp-00275680</t>
  </si>
  <si>
    <t>La placa XPS SL está indicada para el aislamiento de cubiertas planas invertidas e inclinadas (teja anclada con rastrel), así como para la rehabilitación de las mismas, y para el aislamiento perimetral de muros, para losas de cimentaciones portadoras de cargas y forjados, losas y pavimentos.   Ref. lp-00275680</t>
  </si>
  <si>
    <t>La placa XPS SL está indicada para el aislamiento de cubiertas planas invertidas e inclinadas (teja anclada con rastrel), así como para la rehabilitación de las mismas, y para el aislamiento perimetral de muros, para losas de cimentaciones portadoras de cargas y forjados, losas y pavimentos.   Ref. lp-00275683</t>
  </si>
  <si>
    <t>La placa XPS SL está indicada para el aislamiento de cubiertas planas invertidas e inclinadas (teja anclada con rastrel), así como para la rehabilitación de las mismas, y para el aislamiento perimetral de muros, para losas de cimentaciones portadoras de cargas y forjados, losas y pavimentos.   Ref. lp-00275685</t>
  </si>
  <si>
    <t>Tacos con plato de fijación mecánica por golpeo con clavo de poliamida y una profundidad corta de encastrado para fijar materiales de aislamiento. LTX10 para broca de diámetro 10 mm.   Ref. lp-00345414</t>
  </si>
  <si>
    <t>ma-lp-00390949</t>
  </si>
  <si>
    <t>Panel aislante termo-acústico de lana mineral SONOROCK ECO de ROCKWOOL sin revestimiento (1350X400X40 mm/panel).   Ref. lp-00390949</t>
  </si>
  <si>
    <t>Panel aislante termo-acústico y semirígido de lana mineral SONOROCK ECO de ROCKWOOL sin revestimiento. Gran aislamiento acústico y térmico en particiones interiores verticales, trasdosados interiores y en particiones horizontales sobre falso techo.   Ref. lp-00390949</t>
  </si>
  <si>
    <t>ma-lp-00483442</t>
  </si>
  <si>
    <t>Panel aislante termo-acústico de lana mineral URSA TERRA sin revestimiento (1350X600X50 mm/panel).   Ref. lp-00483442</t>
  </si>
  <si>
    <t>Panel de lana mineral URSA TERRA conforme a la norma UNE EN 13162, no hidrófila, sin revestimiento. Suministrado en panel y panel enrollado.   Ref. lp-00483442
Aplicación recomendada • Medianeras con trasdosado y tabiques de placa de yeso laminado. • Aislamiento intermedio en paredes de doble hoja de fábrica. • Falsos techos de placa de yeso laminado.</t>
  </si>
  <si>
    <t>Placa poliestireno expandido EPS AISPOR SATE de 18 kg/m3 para aislamiento térmico exterior bajo revoco y cerramientos verticales en cerramientos de doble hoja. Medidas: 1000x500 mm. Espesor: 40 mm. Color blanco.   Ref. lp-00535724</t>
  </si>
  <si>
    <t>Placa poliestireno expandido EPS AISPOR SATE de 18 kg/m3 para aislamiento térmico exterior bajo revoco y cerramientos verticales en cerramientos de doble hoja. Medidas: 1000x500 mm. Espesor: 80 mm. Color blanco.   Ref. lp-00535728</t>
  </si>
  <si>
    <t>ma-lp-00535747</t>
  </si>
  <si>
    <t>Placa EPS para Sistema SATE; grafito (1000x500x80 mm)/placa.   Ref. lp-00535747</t>
  </si>
  <si>
    <t>Placa poliestireno expandido EPS AISPOR SATE grafito de 15 kg/m3 para aislamiento térmico exterior bajo revoco y cerramientos verticales en cerramientos de doble hoja. Medidas: 1000x500 mm. Espesor: 80 mm.   Ref. lp-00535747</t>
  </si>
  <si>
    <t>Malla de Refuerzo para Sistema de Aislamiento Térmico por el exterior (SATE - ETICS). Medidas 1,10x50m. Luz de malla 4.5x4.5mm.   Ref- lp-00540007</t>
  </si>
  <si>
    <t>ma-lp-00558747</t>
  </si>
  <si>
    <t>Taco con plato para fijación mecánica de placa aislante por golpeo REDARTHERM H2 ECO 095 (100 pzas/caja).   Ref. lp-00558747</t>
  </si>
  <si>
    <t>Anclaje de golpeo que se utiliza en combinación con en el REDART ADHESIVO/CAPA BASE para instalar los paneles aislantes en lana de roca ROCKWOOL sobre soportes tradicionales.   Ref. lp-00558747
Características técnicas: Diámetro del cabezal 60 mm; Diámetro del tornillo 8 mm Profundidad del anclaje = 25 mm en soportes tipo A-B-C-D = 65 mm en soportes tipo E.
Ventajas: Apta para todas las categorías de uso A, B, C, D, E; Baja profundidad de empotrado; Reducción del tiempo de taladrado; Instalación más controlada incluso en soportes críticos, gracias a la doble zonas de expansión; Puente térmico optimizado; Tornillo premontado en acero para una instalación más rápida y segura.</t>
  </si>
  <si>
    <t>ma-lp-00558780</t>
  </si>
  <si>
    <t>Malla de fibra de vidrio FV REDART STANDARD de ROCKWOOL; 160 gr/m2 antialcalina (50x1,1 m/rollo). Ref.   lp-00558780</t>
  </si>
  <si>
    <t>La malla de refuerzo antialcalina REDART STANDARD de ROCKWOOL de fibra de vidrio, mejora la resistencia mecánica del mortero de la capa base absorbiendo las tensiones que pueden generarse entre las placas de aislamiento. Permite evitar el deterioro del sistema de aislamiento. El tratamiento antiálcali es importante ya que al estar embebida en el mortero no pierde sus propiedades. Luz de malla 3,5x3,8 mm.   Ref. lp-00558780</t>
  </si>
  <si>
    <t>ma-lp-00568064</t>
  </si>
  <si>
    <t>Panel aislante termo-acústico de lana mineral SONOROCK ECO de ROCKWOOL sin revestimiento; 1350X600X40 mm/panel (12,96 m2/paquete).   Ref. lp-00568064</t>
  </si>
  <si>
    <t>Panel aislante termo-acústico y semirígido de lana mineral SONOROCK ECO de ROCKWOOL sin revestimiento. Gran aislamiento acústico y térmico en particiones interiores verticales, trasdosados interiores y en particiones horizontales sobre falso techo.   Ref. lp-00568064</t>
  </si>
  <si>
    <t>ma-lp-00568068</t>
  </si>
  <si>
    <t>Panel aislante termo-acústico de lana mineral SONOROCK ECO de ROCKWOOL sin revestimiento; 1350X600X60 mm/panel (9,72 m2/paquete).   Ref. lp-00568068</t>
  </si>
  <si>
    <t>Panel aislante termo-acústico y semirígido de lana mineral SONOROCK ECO de ROCKWOOL sin revestimiento. Gran aislamiento acústico y térmico en particiones interiores verticales, trasdosados interiores y en particiones horizontales sobre falso techo.   Ref. lp-00568068</t>
  </si>
  <si>
    <t>SISTEMA.FOTOVOLTAICO</t>
  </si>
  <si>
    <t>MATERIALES, EQUIPOS Y ACCESORIOS DEL SISTEMA FOTOVOLTAICO</t>
  </si>
  <si>
    <t>ma-autosolar-1507014</t>
  </si>
  <si>
    <t>Estructura metálica inclinada para 3 paneles solares 60c 30º TRI30 de FALCAT.   Ref. autosolar-1507014</t>
  </si>
  <si>
    <t>La Estructura 3 Paneles 60c 30º Inclinada FALCAT es un soporte que combina Aluminio Anodizado 6005 T5 y Acero Inoxidable 304, especialmente diseñada para poder situar los paneles solares sobre una cubierta sin inclinación.   Ref. autosolar-1507014.
Los paneles se colocan verticalmente sobre la estructura con una inclinación de 30º respecto a la superficie a la que se instala. Las patas son triángulos premontados y cerrados con una gran superficie de apoyo que los permite anclar a las correas metálicas de un techo de chapa. En este caso la estructura está pensada para paneles de 60 células o que no superen los 1,75 m como máximo de altura.</t>
  </si>
  <si>
    <t>ma-autosolar-3208020</t>
  </si>
  <si>
    <t>Inversor Red FRONIUS SYMO 10-3 M 10 kW para Sistema Fotovoltaico.   Ref. autosolar-3208020</t>
  </si>
  <si>
    <t>El Inversor de Conexión a Red FRONIUS Symo 10-3-M 10kW es un inversor trifásico de conexión a red. Las variantes S incorporan un MPPT o seguidores del punto de máxima potencia, mientras que las M llevan 2 MPPT. Es idóneo para instalaciones de autoconsumo de pequeña potencia.   Ref. autosolar-3208020.</t>
  </si>
  <si>
    <t>ma-autosolar-3208088</t>
  </si>
  <si>
    <t>Equipo de monitoreo y control para consumo y producción fotovoltaica FRONIUS SMART METER TS 65A.   Ref. autosolar-3208088</t>
  </si>
  <si>
    <t>Contador bidireccional de optimización del autoconsumo para el control y registro de flujos de energía en sistemas fotovoltaicos.   Ref. autosolar-3208088.
FRONIUS SMART METER TS 65A es un contador bidireccional que optimiza el autoconsumo, controla los diferentes flujos de energía y registra la curva de consumo. Gracias a la medición de alta precisión y la rápida comunicación a través de la interface MODBUS RTU, la limitación de potencia, cuando hay límites configurados, es más rápida y precisa que con el controlador S0.</t>
  </si>
  <si>
    <t>TECHOS.Y.PANTALLAS</t>
  </si>
  <si>
    <t>MATERIALES Y ACCESORIOS PARA PANTALLAS Y CUBIERTAS DE TECHOS</t>
  </si>
  <si>
    <t>ma-diaterm-C18-76G</t>
  </si>
  <si>
    <t>Chapa pluvial mini onda 0,6 mm; acabado galvanizado (perfil P/18/76/1064).   Ref. diaterm-C18-76G</t>
  </si>
  <si>
    <t>Chapa pluvial mini onda 0,6 mm; acabado galvanizado (perfil P/18 mm (altura de cresta) / 76 (distancia mm entre crestas) / 1064 mm (ancho útil de placa)). Peso 5,53 kg/m2.   Ref. diaterm-C18-76G.</t>
  </si>
  <si>
    <t>ma-diaterm-C18-76P</t>
  </si>
  <si>
    <t>Chapa pluvial mini onda 0,6 mm; acabado prelacado (perfil P/18/76/1064).   Ref. diaterm-C18-76P</t>
  </si>
  <si>
    <t>Chapa pluvial mini onda 0,6 mm; acabado prelacado (perfil P/18 mm (altura de cresta) / 76 (distancia mm entre crestas) / 1064 mm (ancho útil de placa)). Peso 5,53 kg/m2. Acabado prelacado en 2 opciones: Posición Cubierta o Posición Fachada.   Ref. diaterm-C18-76P.</t>
  </si>
  <si>
    <t>ma-diaterm-C30-206B</t>
  </si>
  <si>
    <t>Chapa pluvial grecada 0,6 mm; acabado prelacado (perfil P/30/206/1030).   Ref. diaterm-C30-206B</t>
  </si>
  <si>
    <t>Chapa pluvial grecada 0,6 mm; acabado prelacado (perfil P/30 mm (altura de cresta) / 206 (distancia mm entre crestas) / 1030 mm (ancho útil de placa)). Peso 5,72 kg/m2. Acabado prelacado en 2 opciones: Posición Cubierta o Posición Fachada.   Ref. diaterm-C30-206B.</t>
  </si>
  <si>
    <t>ma-diaterm-C30-206G</t>
  </si>
  <si>
    <t>Chapa pluvial grecada 0,6 mm; acabado galvanizado (perfil P/30/206/1030).   Ref. diaterm-C30-206G</t>
  </si>
  <si>
    <t>Chapa pluvial grecada 0,6 mm; acabado galvanizado (perfil P/30 mm (altura de cresta) / 206 (distancia mm entre crestas) / 1030 mm (ancho útil de placa)). Peso 5,72 kg/m2.   Ref. diaterm-C30-206G.</t>
  </si>
  <si>
    <t>ma-diaterm-CPBP</t>
  </si>
  <si>
    <t>Chapa pluvial grecada prelacada estándar 0,6 mm (570x2500 mm/pza).   Ref. diaterm-CPBP</t>
  </si>
  <si>
    <t>Chapa pluvial grecada prelacada estándar 0,6 mm (570 mm (ancho útil de placa) x 2500 mm (largo estándar/pza). Peso 7,5 kg/pza. Acabado prelacado en 2 opciones: Posición Cubierta o Posición Fachada.   Ref. diaterm-CPBP.</t>
  </si>
  <si>
    <t>ma-europerfil-01</t>
  </si>
  <si>
    <t>Perfil bandeja metálica fabricado en acero EUROBAC 150 (1.600.150) de EUROPERFIL.   Ref. europerfil-01</t>
  </si>
  <si>
    <t>Perfil bandeja metálica fabricado en acero EUROBAC 150 (1.600.150) de Europerfil Marcado CE (EN 14782). Altura de nervio 150 mm, ancho útil 600 mm, espesor de 0,75 mm a 1,20 mm.   Ref. europerfil-01.
Perfilado en base de acero galvanizado y Pre-lacado (EN 10169) en revestimiento y color estándar de Europerfil a definir según DF. Complementos auxiliares: Aplicación de perforados para sistemas acústicos Eurosilence y Europhone.
NOTA: El Precio indicado incluye 120 Euros para pedidos inferiores a 500 m2.</t>
  </si>
  <si>
    <t>ma-lp-00018620</t>
  </si>
  <si>
    <t>Malla sombreo/ocultación 70% verde en sistema RASCHEL de BOMBULL (2x100 m/rollo).   Ref. lp-00018620</t>
  </si>
  <si>
    <t>Malla sombreo/ocultación con un porcentaje del 70%, producida en sistema RASCHEL. Color verde.   Ref. lp-00018620.
Producto indesmallable, compuesto de monofilamento de alta densidad HDPE y cinta de rafia de polietileno. Facilita la intimidad en los trabajos exteriores. Se puede adaptar a la medida que se necesite por su fácil corte, tejido muy resistente al deshilachado. Con tratamiento UV para protección de 2 años. Malla fabricada en España.</t>
  </si>
  <si>
    <t>ma-lp-00018621</t>
  </si>
  <si>
    <t>Malla sombreo/ocultación 70% verde en sistema RASCHEL de BOMBULL (3x4 m/rollo).   Ref. lp-00018621</t>
  </si>
  <si>
    <t>Malla sombreo/ocultación con un porcentaje del 70%, producida en sistema RASCHEL. Color verde.   Ref. lp-00018621.
Producto indesmallable, compuesto de monofilamento de alta densidad HDPE y cinta de rafia de polietileno. Facilita la intimidad en los trabajos exteriores. Se puede adaptar a la medida que se necesite por su fácil corte, tejido muy resistente al deshilachado. Con tratamiento UV para protección de 2 años. Malla fabricada en España.</t>
  </si>
  <si>
    <t>ma-lp-00018622</t>
  </si>
  <si>
    <t>Malla sombreo/ocultación 70% verde en sistema RASCHEL de BOMBULL (4x5 m/rollo).   Ref. lp-00018622</t>
  </si>
  <si>
    <t>Malla sombreo/ocultación con un porcentaje del 70%, producida en sistema RASCHEL. Color verde.   Ref. lp-00018622.
Producto indesmallable, compuesto de monofilamento de alta densidad HDPE y cinta de rafia de polietileno. Facilita la intimidad en los trabajos exteriores. Se puede adaptar a la medida que se necesite por su fácil corte, tejido muy resistente al deshilachado. Con tratamiento UV para protección de 2 años. Malla fabricada en España.</t>
  </si>
  <si>
    <t>ma-lp-00112952</t>
  </si>
  <si>
    <t>Malla de ocultación 90% de ROMBULL; colores negro y amarillo (1,9x3,6 m/paño).   Ref. lp-00112952</t>
  </si>
  <si>
    <t>Malla sombreo/ocultación con un porcentaje del 90%, producida en sistema RASCHEL, producto indesmallable, compuesto de monofilamento de alta densidad HDPE, y cinta de rafia de polietileno.   Ref. lp-00112952
Facilita la intimidad en los trabajos exteriores, de fácil colocación gracias a la doble botonera superior e inferior. Se puede adaptar a la medida que se necesite por su fácil corte, tejido muy resistente al deshilachado. Con tratamiento UV para protección de 2 años. Malla fabricada en España. Color negro/amarillo. Medidas: 1,9x3,6 m.</t>
  </si>
  <si>
    <t>ma-lp-00112953</t>
  </si>
  <si>
    <t>Malla de ocultación 90% de ROMBULL; colores negro y amarillo (1,9x50 m/rollo).   Ref. lp-00112953</t>
  </si>
  <si>
    <t>Malla sombreo/ocultación con un porcentaje del 90%, producida en sistema RASCHEL, producto indesmallable, compuesto de monofilamento de alta densidad HDPE, y cinta de rafia de polietileno.   Ref. lp-00112953
Facilita la intimidad en los trabajos exteriores, de fácil colocación gracias a la doble botonera superior e inferior. Se puede adaptar a la medida que se necesite por su fácil corte, tejido muy resistente al deshilachado. Con tratamiento UV para protección de 2 años. Malla fabricada en España. Color negro/amarillo. Medidas: 1,9x50 m.</t>
  </si>
  <si>
    <t>Panel sandwich autoportante acabado GRECAS para aislamiento térmico de tejados, con doble cara de acero y relleno en espuma de poliuretano (espesor 3 cm).   Ref. lp-00134445</t>
  </si>
  <si>
    <t>Remate lateral para panel sándwich acabado GRECADO (acero-poliuretano-acero) en color blanco-blanco. Medidas: 3000x30 mm.   Ref. lp-00249793</t>
  </si>
  <si>
    <t>Remate frontal para panel sándwich acabado GRECADO (acero-poliuretano-acero) en color blanco-blanco. Medidas: 1000x30 mm.   Ref. lp-00249793</t>
  </si>
  <si>
    <t>Remate de cumbrera para panel sándwich acabado GRECADO (acero-poliuretano-acero) en color blanco-blanco. Medidas: 3000x30 mm.   Ref. lp-00281618</t>
  </si>
  <si>
    <t>Las placas de policarbonato ONDUCLAIR son una solución de cobertura translúcida con la que se protege y se aprovecha la luz natural en cubiertas y fachadas.   Ref. lp-00413504</t>
  </si>
  <si>
    <t>Cinta microperforada 38 mm para placas de policarbonato ONDULINE (3 m/rollo).   Ref. lp-00537570</t>
  </si>
  <si>
    <t>Las placas de policarbonato ONDUCLAIR son una solución de cobertura translúcida con la que se protege y se aprovecha la luz natural en cubiertas y fachadas.   Ref. ma-lp-00563465</t>
  </si>
  <si>
    <t>ma-lp-00563468</t>
  </si>
  <si>
    <t>Placa de policarbonato celular de ONDUCLAIR (2000x980x16 mm/placa).   Ref. lp-00563468</t>
  </si>
  <si>
    <t>Las placas de policarbonato ONDUCLAIR son una solución de cobertura translúcida con la que se protege y se aprovecha la luz natural en cubiertas y fachadas.   Ref. ma-lp-00563468</t>
  </si>
  <si>
    <t>Las placas de policarbonato ONDUCLAIR son una solución de cobertura translúcida con la que se protege y se aprovecha la luz natural en cubiertas y fachadas.   Ref. ma-lp-00563469</t>
  </si>
  <si>
    <t>ma-lp-00563582</t>
  </si>
  <si>
    <t>Placa de policarbonato celular de ONDUCLAIR (2000x980x10 mm/placa).   Ref. lp-00563582</t>
  </si>
  <si>
    <t>Las placas de policarbonato ONDUCLAIR son una solución de cobertura translúcida con la que se protege y se aprovecha la luz natural en cubiertas y fachadas.   Ref. ma-lp-00563582</t>
  </si>
  <si>
    <t>ma-panelfix-100mm</t>
  </si>
  <si>
    <t>Panel sándwich fachada lana de roca 100 mm.   Ref. panelfix-100mm</t>
  </si>
  <si>
    <t>El Panel Sandwich de Fachada con núcleo de Lana de Roca está diseñado con un acabado exterior con perfiles que van de liso a microperfilado. Colores: Blanco Pirineo, Rojo Teja, Verde Navarra. Espesor de las caras de las chapas 0,5 mm.   Ref. panelfix-100mm.
La lana de roca es un material incombustible, que no emite humos, ni desprende gotas incandescentes. Y dada su clasificación A2-s1-d0 de reacción frente al fuego, es ideal para aplicaciones en las que se requiera total estanqueidad con buen comportamiento contra el fuego. Viene en densidad media (M) para mayor resistencia y aislamiento.
Otro elemento que hace destacar el producto es su práctico montaje de tornillería con fijación oculta. De manera que ofrece una gran protección y resistencia mecánica en luces mayores a igualdad de carga. Las fachadas con panel sándwich de lana de roca sirve también para realizar particiones en interiores. Si lo que se desea es realizar el montaje de paneles sándwich para insonorización, se recomienda optar por un panel de fachada acústico.
CARACTERÍSTICAS DE MONTAJE: El montaje de los paneles sándwich de lana de roca se realiza de manera fácil y rápida gracias al diseño con tornillos y grapas para la fijación, una grapa en bajas presiones y tres fijaciones por grapa en altas presiones. Lo que incide en muchas ventajas arquitectónicas y técnicas. Además, que posibilita la ocultación de las fijaciones garantizando a su vez una total estanqueidad de la unión, tanto en su colocación de manera vertical como horizontal.</t>
  </si>
  <si>
    <t>ma-panelfix-60mm</t>
  </si>
  <si>
    <t>Panel sándwich fachada lana de roca 60 mm.   Ref. panelfix-100mm</t>
  </si>
  <si>
    <t>El Panel Sandwich de Fachada con núcleo de Lana de Roca está diseñado con un acabado exterior con perfiles que van de liso a microperfilado. Colores: Blanco Pirineo, Rojo Teja, Verde Navarra. Espesor de las caras de las chapas 0,5 mm.   Ref. panelfix-60mm.
La lana de roca es un material incombustible, que no emite humos, ni desprende gotas incandescentes. Y dada su clasificación A2-s1-d0 de reacción frente al fuego, es ideal para aplicaciones en las que se requiera total estanqueidad con buen comportamiento contra el fuego. Viene en densidad media (M) para mayor resistencia y aislamiento.
Otro elemento que hace destacar el producto es su práctico montaje de tornillería con fijación oculta. De manera que ofrece una gran protección y resistencia mecánica en luces mayores a igualdad de carga. Las fachadas con panel sándwich de lana de roca sirve también para realizar particiones en interiores. Si lo que se desea es realizar el montaje de paneles sándwich para insonorización, se recomienda optar por un panel de fachada acústico.
CARACTERÍSTICAS DE MONTAJE: El montaje de los paneles sándwich de lana de roca se realiza de manera fácil y rápida gracias al diseño con tornillos y grapas para la fijación, una grapa en bajas presiones y tres fijaciones por grapa en altas presiones. Lo que incide en muchas ventajas arquitectónicas y técnicas. Además, que posibilita la ocultación de las fijaciones garantizando a su vez una total estanqueidad de la unión, tanto en su colocación de manera vertical como horizontal.</t>
  </si>
  <si>
    <t>ma-panelfix-80mm</t>
  </si>
  <si>
    <t>Panel sándwich fachada lana de roca 80 mm.   Ref. panelfix-100mm</t>
  </si>
  <si>
    <t>El Panel Sandwich de Fachada con núcleo de Lana de Roca está diseñado con un acabado exterior con perfiles que van de liso a microperfilado. Colores: Blanco Pirineo, Rojo Teja, Verde Navarra. Espesor de las caras de las chapas 0,5 mm.   Ref. panelfix-80mm.
La lana de roca es un material incombustible, que no emite humos, ni desprende gotas incandescentes. Y dada su clasificación A2-s1-d0 de reacción frente al fuego, es ideal para aplicaciones en las que se requiera total estanqueidad con buen comportamiento contra el fuego. Viene en densidad media (M) para mayor resistencia y aislamiento.
Otro elemento que hace destacar el producto es su práctico montaje de tornillería con fijación oculta. De manera que ofrece una gran protección y resistencia mecánica en luces mayores a igualdad de carga. Las fachadas con panel sándwich de lana de roca sirve también para realizar particiones en interiores. Si lo que se desea es realizar el montaje de paneles sándwich para insonorización, se recomienda optar por un panel de fachada acústico.
CARACTERÍSTICAS DE MONTAJE: El montaje de los paneles sándwich de lana de roca se realiza de manera fácil y rápida gracias al diseño con tornillos y grapas para la fijación, una grapa en bajas presiones y tres fijaciones por grapa en altas presiones. Lo que incide en muchas ventajas arquitectónicas y técnicas. Además, que posibilita la ocultación de las fijaciones garantizando a su vez una total estanqueidad de la unión, tanto en su colocación de manera vertical como horizontal.</t>
  </si>
  <si>
    <t>ma-sectoruno.perfil-universal-01</t>
  </si>
  <si>
    <t>Perfil universal de aluminio para láminas de cubierta de techo (6 m/pza).   Ref. sectoruno.perfil-universal-01</t>
  </si>
  <si>
    <t>El perfil universal tiene la función de fijar las placas por la parte superior a una estructura.   Perfil universal de aluminio para láminas de cubierta de techo (6 m/pza).   Ref. sectoruno.perfil-universal-01
Primero cortamos los perfiles a la medida que necesitamos y ponemos la goma trapezoidal, tener en cuenta que se pone la goma en los dos lados del perfil. Después fijamos la goma universal sobre la viga o apoyo del policarbonato, la dejamos bien centrada, estirada y la fijamos con unos pequeños tornillos en el centro de la goma. Colocamos las placas de policarbonato sobre la goma universal y superponemos el perfil universal sobre estas, centramos el perfil, que quede bien recto y lo atornillamos a la viga, poniendo un tornillo cada 30 o 40 cm. Los tornillos más utilizados son autotaladrantes con arandela vulcanizada, de diámetro desde 4,8 a 6,2, en función del espesor de la placa y la longitud de estos debe de tener por lo menos, el espesor de la placa más 15 o 20 mm demás, para asegurarnos una buena fijación. Los tornillos para la fijación de la goma universal deben tener la cabeza pequeña para con no sea un impedimento para la colocación de las placas.</t>
  </si>
  <si>
    <t>UTENSILIOS.DE.OBRA</t>
  </si>
  <si>
    <t>UTENSILIOS DE OBRA</t>
  </si>
  <si>
    <t>Cubo de basura indicado especialmente para el sector de la hostelería, fabricado en polipropileno reciclado, con asas integradas para su traslado sin gran esfuerzo.   Ref. bm-10893295.</t>
  </si>
  <si>
    <t>ma-cercado.online-bph6x24cm</t>
  </si>
  <si>
    <t>Base Pie de Hormigón para Vallas de Obra.   Ref. cercado.online-bph6x24cm</t>
  </si>
  <si>
    <t>Base Pie de Hormigón para Vallas de Obra.   Ref. cercado.online-bph6x24cm.
Base de hormigón armado para la sujeción de las vallas móviles de obra. Medidas: 60x24 cm/und, y peso 25 kg/und. 6 agujeros para montar las vallas de obra en cualquier ángulo o línea.</t>
  </si>
  <si>
    <t>ma-cercado.online-vm3.5x1.9</t>
  </si>
  <si>
    <t>Valla Móvil para Obra (3,50x1,90 m/und).   Ref. cercado.online-vm3.5x1.9</t>
  </si>
  <si>
    <t>Valla Móvil para Obra 3,50x1,90 m.   Ref. cercado.online-vm3.5x1.9.
• Valla móvil galvanizada indicada para obras, para cerrar recintos de rápida instalación. Reforzada con 2 tubos verticales para sujeción sobre base de hormigón.
• Cuadro 200x125, diámetro alambre 3,4 mm, acabado galvanizado.
• Ancho total 3,50 m, alto total 1,90 m.
• Bastidores construidos en malla electrosoldada y postes de tubo de 40 mm de Ø, que se unen a la malla mediante soldadura.
• Cuatro pliegues longitudinales en la malla que le confieren gran rigidez.
Cada paño incluye piezas de unión preinstaladas para conexión entre tramos, mediante tornillo o similar. Acabado en puntas defensivas. Admite cualquier alineación en el montaje, tanto recto como en ángulos. Peso 12 kg/und.</t>
  </si>
  <si>
    <t>ma-lm-89381607</t>
  </si>
  <si>
    <t>Tapones para oídos con cuerda PU SNR36 (5 pares/bolsa).   Ref. lm-89381607</t>
  </si>
  <si>
    <t>Protector auditivo de uso único. Bolsa de 5 pares. Adaptable a todo tipo de conducto. Fabricado en espuma de poliuretano de uso único. Ofrece gran protección en todas las frecuencias. No contiene PVC. Antialérgico. Forma ergonómica que se adapta a todos los tipos de conducto auditivo. Liso, las impurezas no se adhieren.   Ref. lm-89381607.</t>
  </si>
  <si>
    <t>ma-lp-00007665</t>
  </si>
  <si>
    <t>Plástico cubretodo fino polipropileno de MIARCO para protección antes de pintar (2x50 m/rollo; espesor 7 µm).   Ref. lp-00007665</t>
  </si>
  <si>
    <t>Lámina de polietileno de alta densidad que proporciona una protección rápida, cómoda y segura de paredes, muebles, suelos y todo tipo de objetos durante el proceso de pintado y así trabajar más rápidamente o facilitar el trabajo de limpieza posterior. Resistente, impermeable y reciclable. Rollo de 2x50 m. Fino.   Ref. lp-00007665.</t>
  </si>
  <si>
    <t>Lámina de polietileno de alta densidad que proporciona una protección rápida, cómoda y segura de paredes, muebles, suelos y todo tipo de objetos durante el proceso de pintado y así trabajar mas rápidamente o facilitar el trabajo de limpieza posterior. Resistente, impermeable y reciclable. Rollo de 4x5 m. Grueso.   Ref. lp-00007667</t>
  </si>
  <si>
    <t>Borriqueta/Caballete fijo para andamio estándar. Fabricado en acero soldado y remachado, con tapones antideslizantes en las patas. Carga máxima: 250 kg. Medidas: 1x0,7 m. Peso: 7,4 kg.   Ref. lp-00016940.</t>
  </si>
  <si>
    <t>ma-lp-00017568</t>
  </si>
  <si>
    <t>Casco de seguridad con sujeción rueda dentada 5RG de CLIMAX; color blanco.   Ref. lp-00017568</t>
  </si>
  <si>
    <t>Casco aislante eléctricamente hasta 1000V fabricado en PE. Atalaje plástico 6 puntos de anclaje y regulación manual por rueda dentada. Temperatura de trabajo: -10 °C / + 50 °C. Color blanco.   Ref. lp-00017568.</t>
  </si>
  <si>
    <t>ma-lp-00017725</t>
  </si>
  <si>
    <t>Cinta de señalización para obras; colores rojo y blanco (ancho 70 mm y longitud 200 m/rollo).   Ref. lp-00017725</t>
  </si>
  <si>
    <t>ma-lp-00018203</t>
  </si>
  <si>
    <t>Gafa de protección con montura de vinilo flexible modelo 539 de CLIMAX.   Ref. lp-00018203</t>
  </si>
  <si>
    <t>Gafa de protección con montura de vinilo flexible Modelo 539 de CLIMAX y ocular en acetato antiempañante (clase óptica 1). Sin ventilación. Indicada para la protección contra electricidad estática y aparatos y sistemas de protección para uso en atmósferas potencialmente explosivas.   Ref. lp-00018203.</t>
  </si>
  <si>
    <t>ma-lp-00018836</t>
  </si>
  <si>
    <t>Cartel mural para obra de CLIMAX (700x1000 mm/cartel).   Ref. lp-00018836</t>
  </si>
  <si>
    <t>Señal especial para obra serigrafiada sobre plancha de PVC blanco de 0,6 mm de espesor nominal de medida 700x1000 mm.   Ref. lp-00018836.</t>
  </si>
  <si>
    <t>Puntal telescópico P3N con rosca protegida con tuerca de diámetro 60 mm. Casquillo roscado de diámetro 55 mm. Asas de la tuerca rectangulares en redondo macizo de diámetro 11 mm. Arandelas galvanizadas de diámetro 60 mm. Pasador macizo de diámetro 10 mm. Longitud de 3 m. Capacidad máxima de carga 631 kg. Altura mínima = 1,75 m; Altura máxima 3,1 m. Diámetro tubo exterior 48 mm; Diámetro tubo interior 40 mm.   Ref. lp-00019465</t>
  </si>
  <si>
    <t>ma-lp-00019694</t>
  </si>
  <si>
    <t>Cartel de advertencia Riesgo Eléctrico de CLIMAX (220x300 mm/pza).   Ref. lp-00019694</t>
  </si>
  <si>
    <t>Señal de advertencia de riesgo eléctrico serigrafiada sobre plancha de PVC blanco de 0,6 mm de espesor nominal de medida 220x300 mm.   Ref. lp-00019694.</t>
  </si>
  <si>
    <t>ma-lp-00019695</t>
  </si>
  <si>
    <t>Cartel de advertencia Carga Suspendida de CLIMAX (220x300 mm/pza).   Ref. lp-00019695</t>
  </si>
  <si>
    <t>Señal de advertencia de carga suspendida serigrafiada sobre plancha de PVC blanco de 0,6 mm de espesor nominal de medida 220x300 mm.   Ref. lp-00019695.</t>
  </si>
  <si>
    <t>ma-lp-00019699</t>
  </si>
  <si>
    <t>Cartel de advertencia Prohibido el Paso de CLIMAX (220x300 mm/pza).   Ref. lp-00019699</t>
  </si>
  <si>
    <t>Señal de prohibido el paso serigrafiada sobre plancha de PVC blanco de 0,6 mm de espesor nominal de medida 220x300 mm.   Ref. lp-00019699.</t>
  </si>
  <si>
    <t>Valla móvil peatonal trasladable de color amarillo con estructura de tubo redondo y vértices curvos. Barrotes verticales de tubo redondo. Apoya sobre 1 pie. Indicada para la delimitación de accesos, estacionamientos, señalización de obstáculos y para la señalización de accesos o restricciones del tráfico rodado y de transeúntes. Medidas: 2,50x1 m. Peso: 14,5 kg.   Ref. lp-00020205.</t>
  </si>
  <si>
    <t>ma-lp-00020206</t>
  </si>
  <si>
    <t>Valla Metálica Móvil para Obra de ALTRAD con apoyo sobre un pie; color blanco (2,50x1 m/und).   Ref. lp-00020206</t>
  </si>
  <si>
    <t>Valla móvil peatonal trasladable de color blanco con estructura de tubo redondo con vértices curvos. Barrotes verticales de tubo redondo. Apoya sobre 1 pie. Indicada para la delimitación de accesos, estacionamientos, señalización de obstáculos y para la señalización de accesos o restricciones del tráfico rodado y de transeúntes. Medidas: 2,50x1 m. Peso: 14,5 kg.   Ref. lp-00020206</t>
  </si>
  <si>
    <t>Malla compuesta de monofilamento de polietileno alta densidad con protección solar. Producida en sistema Raschel con facil colocación por su doble botonera lateral. Uso en fachadas para la protección de la caída de pequeños obejtos. Color verde/negro. Medidas: 6x20 m.   Ref.: lp-00112954</t>
  </si>
  <si>
    <t>ma-lp-00134426</t>
  </si>
  <si>
    <t>Arnés anticaídas 21-C ATEX CLIMAX.   Ref. lp-00134426</t>
  </si>
  <si>
    <t>Arnés anticaídas modelo 21-C ATEX destinado a ser utilizado en zonas clasificadas como zona 1 o zona 21, debido a la presencia de gases o vapores inflamables clasificados como IIA o IIB o polvos combustibles, y por tanto también en zonas clasificadas como zona 2 o zona 22. Dispone de dos puntos de enganche anticaídas, dorsal y frontal. Cintas de poliéster de 45 mm. Incorpora perneras acolchadas, espaldera reforzada y hebillas de rápida actuación. Dos aros portamateriales.   Ref. lp-00134426.</t>
  </si>
  <si>
    <t>Ligero, fácil de uso y de llevar. Plegable y compacto, ideal para almacenar. Ranura en forma de V. Patas de caucho antideslizantes, para un apoyo total y robusto. Bandeja, espacio de almacenamiento útil. Medidas: 58,1x81,8x12,6 cm. Capacidad máxima de carga de 362 kg.   Ref. lp-00145530.</t>
  </si>
  <si>
    <t>Escalera tijera de aluminio STEPPY 3 tramos de TENDO (h trabajo = 2,68 m).   Ref. lp-00461515.
Escalera para uso moderado; especialmente indicado para las necesidades diarias. Taburete de aluminio con peldaños antideslizantes de ancho 80 mm. Bloqueo de seguridad. Taco envolvente antideslizante. La abertura está asegurada por un alambre de acero plegable. Número de peldaños: 3 (la plataforma se cuenta como peldaño). Altura de la escalera plegada: 77 cm. Máxima altura de trabajo: 2,68 m. Ancho de los peldaños: 0,43 m. Carga máxima: 150 kg. Peso: 2,3 kg. Norma EN131.</t>
  </si>
  <si>
    <t>Manguera para la conducción de líquidos alimentarios que no están bajo presión. Tubo flexible de PVC. Composición sin Ftalatos. Soporta temperaturas máximas de +60ºC y mínimas de -20ºC.   Ref. lp-00533781.</t>
  </si>
  <si>
    <t>ma-lp-00533782</t>
  </si>
  <si>
    <t>Manguera técnica industrial CRISTALLO EXTRA 12 mm (50 m/rollo).   Ref. lp-00533782</t>
  </si>
  <si>
    <t>Manguera para la conducción de líquidos alimentarios que no están bajo presión. Tubo flexible de PVC. Composición sin Ftalatos. Soporta temperaturas máximas de +60ºC y mínimas de -20ºC.   Ref. lp-00533782.</t>
  </si>
  <si>
    <t>ma-lp-00533783</t>
  </si>
  <si>
    <t>Manguera técnica industrial CRISTALLO EXTRA 15 mm (50 m/rollo).   Ref. lp-00533783</t>
  </si>
  <si>
    <t>Manguera para la conducción de líquidos alimentarios que no están bajo presión. Tubo flexible de PVC. Composición sin Ftalatos. Soporta temperaturas máximas de +60ºC y mínimas de -20ºC.   Ref. lp-00533783.</t>
  </si>
  <si>
    <t>Toldo multiusos para protección fabricado en rafia de polietileno con refuerzo y ojales para su sujección. 100% impermeable. 80g/m2. Medidas: 2x3 m.   Ref. lp-00535305</t>
  </si>
  <si>
    <t>Escalera aluminio BIGMAT multiposición 4x4 con tacos antideslizantes. Altura 3,83 m.   Ref. lp-00556967.</t>
  </si>
  <si>
    <t>ma-lp-00559279</t>
  </si>
  <si>
    <t>Botas de seguridad TERRA S1PO SRC T41; color marrón.   Ref. lp-00559279</t>
  </si>
  <si>
    <t>Bota seguridad S1P. Piel serraje y cordura transpirable. Piso de poliuretano doble densidad. Puntera y planitlla de acero.   Ref. lp-00559279.</t>
  </si>
  <si>
    <t>ma-lp-00560264</t>
  </si>
  <si>
    <t>Par de guantes de poliéster recubrimiento nitrilo estanco T8 de BIGMAT.   Ref. lp-00560264</t>
  </si>
  <si>
    <t>Par de Guantes de poliéster recubrimiento nitrilo estanco T8 de BIGMAT, recomendado para: embaldosado, alicatado de suelos y paredes, demolición y retirada de azulejos, preparación de soporte y montajes ligeros.   Ref. lp-00560264.</t>
  </si>
  <si>
    <t>ma-lp-00564420</t>
  </si>
  <si>
    <t>Par de guantes serraje reforzado.   Ref. lp-00564420</t>
  </si>
  <si>
    <t>Guante americano serraje reforzado talla única. Protección a cortes y abrasión. Indicado para manipular chapa, madera, ferrallas, etc.   Ref. lp-00564420.</t>
  </si>
  <si>
    <t>ma-lp-00566614</t>
  </si>
  <si>
    <t>Toldo Multiusos BIGMAT para sujeción y protección a la lluvia; color azul (3x4 m/toldo).   Ref. lp-00566614</t>
  </si>
  <si>
    <t>Toldo impermeable fabricado con rafia tejida y plastificada por ambos lados con refuerzo en todo su perímetro y con ojales de aluminio cada metro de distancia para facilitar la sujeción. 1 año de resistencia a UV. Ideal para cubrir y proteger de la lluvia.   Ref. lp-00566614.</t>
  </si>
  <si>
    <t>ma-lp-00566616</t>
  </si>
  <si>
    <t>Toldo Multiusos BIGMAT para sujeción y protección a la lluvia; color azul (4x6 m/toldo).   Ref. lp-00566616</t>
  </si>
  <si>
    <t>Toldo impermeable fabricado con rafia tejida y plastificada por ambos lados con refuerzo en todo su perímetro y con ojales de aluminio cada metro de distancia para facilitar la sujeción. 1 año de resistencia a UV. Ideal para cubrir y proteger de la lluvia.   Ref. lp-00566616.</t>
  </si>
  <si>
    <t>Toldo impermeable fabricado con rafia tejida y plastificada por ambos lados con refuerzo en todo su perímetro y con ojales de aluminio cada metro de distancia para facilitar la sujeción. 1 año de resistencia a UV. Ideal para cubrir y proteger de la lluvia.   Ref. lp-00566617.</t>
  </si>
  <si>
    <t>ma-macoglass-MALGRAPA03</t>
  </si>
  <si>
    <t>Grapas de sujeción para mallas de ocultación; color verde (100 pzas/paquete).   Ref. macoglass-MALGRAPA03</t>
  </si>
  <si>
    <t>Especialmente diseñada para mallas de ocultación, pues al ser de color verde es más estética y se integra mejor con la malla. Permite su uso junto con cables de acero. Composición: poliamida y anti U.V. Medida:50×50 mm. La unión de las dos piezas se realiza mediante presión. Distancia recomendada entre conectores: 40-50 cm.   Ref. macoglass-MALGRAPA03.</t>
  </si>
  <si>
    <t>ma-macoglass-MALL000002.100</t>
  </si>
  <si>
    <t>Malla de ocultación 80% Raschel; color verde (2x50 m/rollo).   Ref. macoglass- MALL000002.100</t>
  </si>
  <si>
    <t>Malla de ocultación Raschel del 80% para preservar la intimidad en espacios exteriores tales como patios, jardines, parcelas, etc. Permite el paso del viento y no se deshilacha, al estar fabricada mediante sistema Raschel de tejido. Se emplea también en balcones para impedir la caída accidental de objetos. Colores: Verde oscuro/brezo/antracita (antracita solo en 2 metros de ancho).   Ref. macoglass-MALL000002.100.</t>
  </si>
  <si>
    <t>VENTILACION.Y.HUMOS</t>
  </si>
  <si>
    <t>MATERIALES RELACIONADOS CON VENTILACIÓN Y HUMOS</t>
  </si>
  <si>
    <t>ma-bauhaus-24040732</t>
  </si>
  <si>
    <t>Tubo redondo para extracción de humos en aluminio lacado blanco 125 mm (1 m/pza).   Ref. bauhaus-24040732</t>
  </si>
  <si>
    <t>El tubo de aluminio permite realizar la instalación de salida de gases de cualquier calentador o caldera atmosférica. Está fabricado con aluminio lacado en epoxi blanco, por lo que resistente a golpes sin desconchamiento. Además, soporta temperaturas de trabajo de hasta 220° C y es cortable con sierra o disco, facilitando cualquier instalación. Está disponible en varias longitudes y diámetros para adaptarse a cualquier necesidad.   Ref. bauhaus-24040732.</t>
  </si>
  <si>
    <t>ma-bm-10137876</t>
  </si>
  <si>
    <t>Tubo redondo 120 mm PVC ignifugo y autoextinguible (1,5 m/pza).   Ref. bm-10137876</t>
  </si>
  <si>
    <t>Tubo rígido circular fabricado con material ignifugo y autoextinguible, soporta temperaturas de trabajo de hasta 80ºC. pared interior lisa que reduce las pérdidas de carga. mayor rendimiento que los tradicionales conductos flexibles. montaje rápido y sencillo mediante ensamblaje macho hembra. solo 55mm de altura que permite su paso por falso techo. adaptable a todo tipo de entornos. dispone de sistemas de fijación rectangulares y circulares. fiable sin riesgo de deterioro por humedad.   Ref. bm-10137876.</t>
  </si>
  <si>
    <t>Rosetón vitrificado para la evacuación de humos de estufas de leña, inserts y hogares. Diámetro: 150 mm.   Ref. bm-10147795.</t>
  </si>
  <si>
    <t>ma-bm-10240433</t>
  </si>
  <si>
    <t>Sombrerete vitrificado para evacuación de humos 150 mm.   Ref. bm-10240433</t>
  </si>
  <si>
    <t>Deflector vitrificado para la evacuación de humos de estufas de leña, inserts y hogares. Diámetro: 150 mm.   Ref. bm-10240433.</t>
  </si>
  <si>
    <t>ma-bm-10317020</t>
  </si>
  <si>
    <t>Rosetón vitrificado para la evacuación de humos 200 mm.   Ref. bm-10317020</t>
  </si>
  <si>
    <t>Rosetón vitrificado para la evacuación de humos de estufas de leña, inserts y hogares. Diámetro: 200 mm.   Ref. bm-10317020.</t>
  </si>
  <si>
    <t>Deflector vitrificado para la evacuación de humos de estufas de leña, inserts y hogares. Diámetro: 200 mm.   Ref. bm-10317034.</t>
  </si>
  <si>
    <t>Sombrero antilluvia para tubo modular doble pared acero inoxidable 250 mm AISI 304/304 de SCHÜTZ o ROS TUBOS.   Ref. centralbiomasa-2500336</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</si>
  <si>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centralbiomasa-2700265.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</si>
  <si>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centralbiomasa-2700274.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</si>
  <si>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centralbiomasa-2700275.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</si>
  <si>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ma-centralbiomasa-2700277</t>
  </si>
  <si>
    <t>Sombrero antilluvia para tubo modular doble pared acero inoxidable 200 mm AISI 304/304 de SCHÜTZ o ROS TUBOS.   Ref. centralbiomasa-2700277</t>
  </si>
  <si>
    <t>ma-centralbiomasa-2700325</t>
  </si>
  <si>
    <t>Codo 45º para tubo doble pared AISI 304/304 acero inoxidable 250 mm de SCHÜTZ o ROS TUBOS.   Ref. centralbiomasa-2700325</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</si>
  <si>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centralbiomasa-2700325.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</si>
  <si>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ma-centralbiomasa-2700334</t>
  </si>
  <si>
    <t>Tubo doble pared AISI 304/304 acero inoxidable 250 mm de SCHÜTZ o ROS TUBOS (1000 mm/pza).   Ref. centralbiomasa-2700334</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</si>
  <si>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centralbiomasa-2700334.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</si>
  <si>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ma-centralbiomasa-2700336</t>
  </si>
  <si>
    <t>Sombrero antilluvia para tubo modular doble pared acero inoxidable 250 mm AISI 304/304 de SCHÜTZ o ROS TUBOS.   Ref. centralbiomasa-2700336</t>
  </si>
  <si>
    <t>ma-centralbiomasa-2700875</t>
  </si>
  <si>
    <t>Sombrero giratorio de tubo modular doble pared acero inoxidable 200 mm AISI 304/304 de SCHÜTZ o ROS TUBOS.   Ref. centralbiomasa-2700875</t>
  </si>
  <si>
    <t>ma-centralbiomasa-2700887</t>
  </si>
  <si>
    <t>Sombrero giratorio de tubo modular doble pared acero inoxidable 250 mm AISI 304/304 de SCHÜTZ o ROS TUBOS.   Ref. centralbiomasa-2700887</t>
  </si>
  <si>
    <t>ma-centralbiomasa-4011636</t>
  </si>
  <si>
    <t>Tubo doble pared AISI 304/304 acero inoxidable 250 mm de SCHÜTZ o ROS TUBOS (500 mm/pza).   Ref. centralbiomasa-2700333</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</si>
  <si>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centralbiomasa-2700333.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</si>
  <si>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centralbiomasa-4015940.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</si>
  <si>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ma-centralbiomasa-4015941</t>
  </si>
  <si>
    <t>Tapa purga para tubo doble pared AISI 316/304 acero inoxidable 250 mm de SCHÜTZ o ROS TUBOS.   Ref. centralbiomasa-4015941</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</si>
  <si>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centralbiomasa-4015941.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</si>
  <si>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centralbiomasa-4021805.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</si>
  <si>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ma-centralbiomasa-4021807</t>
  </si>
  <si>
    <t>Te 90º para tubo doble pared AISI 304/304 acero inoxidable 250 mm de SCHÜTZ o ROS TUBOS.   Ref. centralbiomasa-4021807</t>
  </si>
  <si>
    <t>Los productos ROS TUBERÍAS/SCHÜTZ AISI 316/304 y AISI 304/304 de Doble Pared son para Salidas de Humos para Calderas de Combustibles sólidos o de Biomasa (Pellets, Leña, Huesos de Aceituna...). Válidos para Exterior o para sitios donde el calor de la Salida de Humos puede ocasionar incendios.Salidas de Humo también válidas para otro tipo de combustibles como el Gasoil o Gas, pero recomendamos otro más económico AISI 304.   Ref. centralbiomasa-4021807.
SALIDA DE HUMOS DE ROS TUBOS/SCHÜTZ AISI 316/304:
• Todos los productos de SCHÜTZ o ROS TUBOS son solo compatibles entre ellos. Ninguna otra marca de Tubos es compatible entre sí.
• Los diámetros hacen referencia al Ø Interior, nunca al exterior. 
• Todos los productos SCHÜTZ / ROS TUBOS están fabricados en Acero Inoxidable.
• Los elementos de Doble Pared, tienen un Ø Exterior 50 mm más que el Ø Interior, por ejemplo: para diámetros interiores de 80 mm el diámetro exterior es de 130 mm.; para diámetros interiores de 150 mm el diámetro exterior es de 200 mm.
PARA TENER EN CUENTA AL COMPRAR ABRAZADERAS.
• Abrazadera de unión incluida en todas las piezas.
• En los diámetros Ø80 y Ø100 tienen Junta incluida.</t>
  </si>
  <si>
    <t>ma-hostelbar-Z025CA01281</t>
  </si>
  <si>
    <t>Abrazadera con tuerca de acero galvanizado 125 mm de MUNDOFAN.   Ref. hostelbar-Z025CA01281</t>
  </si>
  <si>
    <t>ma-hostelbar-Z025CA01286</t>
  </si>
  <si>
    <t>Abrazadera con tuerca de acero galvanizado 250 mm de MUNDOFAN.   Ref. hostelbar-Z025CA01286</t>
  </si>
  <si>
    <t>ma-hostelbar-Z025CA01342</t>
  </si>
  <si>
    <t>Sombrerete chino en acero galvanizado 250 mm para salida de humos de MUNDOFAN.   Ref. hostelbar-Z025CA01342</t>
  </si>
  <si>
    <t>ma-hostelbar-Z025CA01603</t>
  </si>
  <si>
    <t>Te Simple 90º en acero galvanizado 125 mm para salida de humos de MUNDOFAN.   Ref. hostelbar-Z025CA01603</t>
  </si>
  <si>
    <t>ma-hostelbar-Z025CA01609</t>
  </si>
  <si>
    <t>Te Simple 90º en acero galvanizado 250 mm para salida de humos de MUNDOFAN.   Ref. hostelbar-Z025CA01609</t>
  </si>
  <si>
    <t>Abrazadera de acero inoxidable, sin aislar de simple capa para estufas o calderas de pellet o leña. Temperatura de utilización hasta 600ºC. Medidas: 200 mm de diámetro, 0.8 mm de espesor.   Ref. lm-14668906.</t>
  </si>
  <si>
    <t>Módulo recto L= 930 mm de acero inoxidable sin aislar de simple pared, ideal para estufas o calderas de gas. Temperatura de utilización hasta 250 ºC. Medidas 221 x 996 x 221 mm (ancho x alto x fondo).   Ref. lm-18738636.</t>
  </si>
  <si>
    <t>Codo de 45 grados de acero inoxidable sin aislar de simple pared, ideal para estufas o calderas de gas. Temperatura de utilización hasta 250 ºC. Medidas: 200 mm de diámetro, 0.4 mm de espesor.   Ref. lm-18738762.</t>
  </si>
  <si>
    <t>ma-lm-18738846</t>
  </si>
  <si>
    <t>Sombrerete/deflector plano para simple pared en acero inoxidable 200 mm de DINAK.   Ref. lm-18738846</t>
  </si>
  <si>
    <t>Sombrerete plano de acero inoxidable sin aislar de simple pared, ideal para estufas o calderas de gas. Temperatura de utilización hasta 250 ºC. Medidas: 200 mm de diámetro, 0.4 mm de espesor.   Ref. lm-18738846.</t>
  </si>
  <si>
    <t>Placa de remate circular de acero inoxidable sin aislar de simple pared, ideal para estufas o calderas de gas. Temperatura de utilización hasta 250 ºC. Medidas: 200 mm de diámetro, 0.4 mm de espesor.   Ref. lm-18739014.</t>
  </si>
  <si>
    <t>Abrazadera de unión de acero inoxidable sin aislar de simple pared, ideal para estufas o calderas de pellet. Temperatura de utilización hasta 250 ºC. Medidas: 200 mm de diámetro, 0.5 mm de espesor.   Ref. lm-18739084.</t>
  </si>
  <si>
    <t>Módulo recto L= 430 mm de acero inoxidable sin aislar de simple pared, ideal para estufas o calderas de gas. Temperatura de utilización hasta 250 ºC. Medidas 221 x 996 x 221 mm (ancho x alto x fondo).   Ref. lm-19094110.</t>
  </si>
  <si>
    <t>Codo de 90 grados de acero inoxidable sin aislar de simple pared, ideal para estufas o calderas de gas. Temperatura de utilización hasta 250 ºC. Medidas 321 x 496 x 321 mm (ancho x alto x fondo).   Ref. lm-19133793.</t>
  </si>
  <si>
    <t>ma-lm-19211304</t>
  </si>
  <si>
    <t>Abrazadera/Fijo para tubo y taco de doble pared en acero inoxidable 200 mm de DINAK.   Ref. lm-19211304</t>
  </si>
  <si>
    <t>Anclaje regulable de 70-120 mm de acero inoxidable aislado de doble pared, ideal para estufas o calderas de leña. Temperatura de utilización hasta 600 ºC. Medidas 330 x 100 x 290 mm (ancho x alto x fondo).   Ref. lm-19211304.</t>
  </si>
  <si>
    <t>Te de 90º con entronque H de acero inoxidable sin aislar de simple pared, ideal para estufas o calderas de gas. Temperatura de utilización hasta 250 ºC. Medidas 496 x 376 x 496 mm (ancho x alto x fondo).   Ref. lm-19347965.</t>
  </si>
  <si>
    <t>Colector de hollín con desagüe de acero inoxidable sin aislar de simple pared, ideal para estufas o calderas de gas. Temperatura de utilización hasta 250 ºC. Medidas 326 x 256 x 326 mm (ancho x alto x fondo).   Ref. lm-19348343.</t>
  </si>
  <si>
    <t>ma-lm-19349001</t>
  </si>
  <si>
    <t>Manguito para empalmar simple pared a doble pared en acero inoxidable 200 mm de DINAK (430 mm/pza).   Ref. lm-19349001</t>
  </si>
  <si>
    <t>Transformación sistema de simple pared a doble pared de acero inoxidable sin aislar de simple pared, ideal para estufas o calderas de gas. Temperatura de utilización hasta 250 ºC. Medidas 260 x 135 x 260 mm (ancho x alto x fondo).   lm-19349001.</t>
  </si>
  <si>
    <t>ma-lm-19349155</t>
  </si>
  <si>
    <t>Te/Derivación 45º para tubo de simple pared en acero inoxidable 200 mm de DINAK.   Ref. lm-19349155</t>
  </si>
  <si>
    <t>Te de 135º para aplicaciones en seco y tiro natural de acero inoxidable sin aislar de simple pared, ideal para estufas o calderas de gas. Temperatura de utilización hasta 250 ºC. Medidas 221 x 496 x 461 mm (ancho x alto x fondo).   Ref. lm-19349155.</t>
  </si>
  <si>
    <t>ma-lm-19359830</t>
  </si>
  <si>
    <t>Manguito H-H para tubo de simple pared en acero inoxidable 200 mm de DINAK (200 mm/pza).   Ref. lm-19359830</t>
  </si>
  <si>
    <t>Manguito de unión H-H de acero inoxidable sin aislar de simple pared, ideal para estufas o calderas de gas. Temperatura de utilización hasta 250 ºC. Medidas 200 x 200 x 200 mm (ancho x alto x fondo).   Ref. lm-19359830.</t>
  </si>
  <si>
    <t>Sombrerete de acero inoxidable sin aislar de simple pared, ideal para estufas o calderas de gas. Temperatura de utilización hasta 250 ºC. Medidas 371 x 411 x 376 mm (ancho x alto x fondo).   Ref. lm-19363946.</t>
  </si>
  <si>
    <t>Codo de 45º de aluminio esmaltado de color blanco, apto para calentadores atmosféricos. Ref. lp-00010901.</t>
  </si>
  <si>
    <t>Codo de 87º de aluminio esmaltado de color blanco, apto para calentadores atmosféricos. Ref. lp-00010913.</t>
  </si>
  <si>
    <t>Manguito de unión de aluminio esmaltado de color blanco, apto para para calentadores atmosféricos.   Ref. lp-00011622.</t>
  </si>
  <si>
    <t>ma-lp-00012047</t>
  </si>
  <si>
    <t>Sombrerete antilluvia inoxidable simple pared 130 mm.   Ref. lp-00012047</t>
  </si>
  <si>
    <t>Sombrerete antilluvia de acero inoxidable de simple pared con diámetro de 130 mm. Apto para evacuación de humos.   Ref. lp-00012047.</t>
  </si>
  <si>
    <t>Tubo de aluminio esmaltado en color blanco para salida de gases calentadores de diámetro 125 mm y longitud de 50 cm. Apto para calentadores atmosféricos. Ref. lp-00012294.</t>
  </si>
  <si>
    <t>Tubo de aluminio DISMOL esmaltado en color blanco para salida de gases calentadores.   Ref. lp-00012295.</t>
  </si>
  <si>
    <t>Rejilla de retorno rectangular de lama fija para atornillar, fabricada en aluminio lacado plata mate F-10; incluye gancho. Dimensiones: 60x20 cm. Grosor de 0,8 mm. Pérdida de carga: 1,1 mmcda. Velocidad sección total: 2,1 m/sg. Caudal: 850 m3/h. Nivel sonoro: 29 dB.   Ref. lp-00014948.</t>
  </si>
  <si>
    <t>ma-lp-00014949</t>
  </si>
  <si>
    <t>Rejilla DIFAIR de retorno rectangular de lama fija para atornillar en aluminio lacado blanco (60x20 cm/pza).   Ref. lp-00014949</t>
  </si>
  <si>
    <t>Rejilla de retorno rectangular de lama fija para atornillar, fabricada en aluminio lacado blanco; incluye gancho. Dimensiones: 60x20 cm. Grosor de 0,8 mm. Pérdida de carga: 1,1 mmcda. Velocidad sección total: 2,1 m/sg. Caudal: 850 m3/h. Nivel sonoro: 29 dB.   Ref. lp-00014949.</t>
  </si>
  <si>
    <t>ma-lp-00399892</t>
  </si>
  <si>
    <t>Rejilla de ventilación rectangular para atornillar en aluminio blanco y con mosquitera (10x20 cm/pza).   Ref. lp-00399892</t>
  </si>
  <si>
    <t>Rejilla de ventilación rectangular con mosquitera para atornillar, fabricada en aluminio lacado blanco; incluye gancho. Dimensiones: 10x20 cm. Grosor de 0,8 mm.   Ref. lp-00399892.</t>
  </si>
  <si>
    <t>Rejilla de ventilación cuadrada con mosquitera para atornillar, fabricada en aluminio lacado blanco; incluye gancho. Dimensiones: 20x20 cm. Grosor de 0,8 mm.   Ref. lp-00399898</t>
  </si>
  <si>
    <t>Rejilla de ventilación rectangular con mosquitera para atornillar, fabricada en aluminio lacado blanco; incluye gancho. Dimensiones: 15x30 cm. Grosor de 0,8 mm.   Ref. lp-00399899.</t>
  </si>
  <si>
    <t>Tubo redondo 125 mm de TECSY-AIR para extracción de humos y sistemas de ventilación.   Ref. tecsyair-TEC401-1</t>
  </si>
  <si>
    <t>Unión para tubo redondo 125 mm de TECSY-AIR para extracción de humos y sistemas de ventilación.   Ref. tecsyair-TEC402.</t>
  </si>
  <si>
    <t>Codo 90º para tubo redondo 125 mm de TECSY-AIR para extracción de humos y sistemas de ventilación.   Ref. tecsyair-TEC406.</t>
  </si>
  <si>
    <t>Codo 45º para tubo redondo 125 mm de TECSY-AIR para extracción de humos y sistemas de ventilación.   Ref. tecsyair- TEC446-45.</t>
  </si>
  <si>
    <t>Derivación “T” para tubo redondo 125 mm de TECSY-AIR para extracción de humos y sistemas de ventilación.   Ref. tecsyair-TEC482.</t>
  </si>
  <si>
    <t>ma-lp-00166038</t>
  </si>
  <si>
    <t>Banda espuma de polietileno autoadhesiva TEXFON de SOPREMA (50 m x 145 mm x 3 mm/rollo).   Ref. lp-00166038</t>
  </si>
  <si>
    <t>TEXFON BANDAS de SOPREMA son bandas de desolidarización autoadhesivas de espuma de polietileno de célula cerrada presentadas en tiras blancas naturales, y diseñadas para lograr un sellado periférico entre el suelo y el revestimiento de las paredes o tabiques.   Ref. lp-00166038.
TEXFON BANDAS es adecuado para evitar la transmisión de ruidos de impacto entre el suelo flotante y los paramentos verticales y elementos estructurales, tanto para la instalación del TEXFON como de la gama TEXSILEN. En el caso de superficies selladas (recrecido de mortero, mortero adhesivo más azulejos, etc.), la banda crea una junta elástica entre el paramento vertical y el grueso del pavimento. La banda es compresible y resistente al polvo y a la podredumbre en condiciones normales de uso.</t>
  </si>
  <si>
    <t>ma-lp-00099104</t>
  </si>
  <si>
    <t>Perfil de chapa galvanizada para remate perimetral de láminas impermeabilizantes de SOPREMA (2000x75 mm/pza).   Ref. lp-00099104</t>
  </si>
  <si>
    <t>El perfil metálico liso con ángulo de 90º, se utiliza para proteger, sellar y rematar los perímetros de los sistemas de instalación de las láminas asfálticas, como extremo de coronación de la lámina soldada al peto. Medidas: 2000x75 mm. También puede usarse para el remate de láminas alveolares, como drenajes o capas de protección en muros, con la gama DRENTEX.   Ref. lp-00099104.</t>
  </si>
  <si>
    <t>ma-lp-00276608</t>
  </si>
  <si>
    <t>Lámina drenante de muros y estructuras enterradas DRENTEX PROTECT PLUS de SOPREMA (20x2 m/rollo).   Ref. lp-00276608</t>
  </si>
  <si>
    <t>DENTREX PROTECT PLUS de SOPREMA es una capa drenante compuesta de una membrana de nódulos de polietileno especial de alta densidad (HDPE) y un geotextil de polipropileno en una de sus caras para el drenaje de muros o estructuras enterradas.   Ref. lp-00276608.
El geotextil actúa como filtro del agua, garantizando el drenaje y permitiendo que los nódulos de polietileno conduzcan y evacuen el agua. El sistema completo funciona como drenaje del agua, y protección de la impermeabilización del muro. Es un drenaje estable y fiable, imputrescible y resistente a las raíces y hongos. Con buena resistencia a la compresión, la presión de la tierra apenas rebaja el volumen de drenaje, ya que cada nódulo de la estructura está unido directamente al geotextil. Es fácil de transportar e instalar. Medidas: 20x2 m/rollo. Se utiliza para el 
drenaje de muros: baja captación de agua, para el drenaje bajo pavimentos de tránsito peatonal y para el drenaje y acumulación de aguas para cubierta ajardinada extensivas. Rollo de 20x2 m.</t>
  </si>
  <si>
    <t>Cordón macizo de polietileno expandido de celdas cerradas destinado como relleno y limitador de profundidad en el sellado de juntas de dilatación, longitudinales o transversales. Aplicación cómoda y limpia. Se comprime el cordón y se introduce en la junta, se empuja con un objeto romo sin lados cortantes. A continuación, se aplica la masilla de sellado. Gran durabilidad y excepcional adaptabilidad.   Ref. bm-10393222.</t>
  </si>
  <si>
    <t>ma-bm-10513552</t>
  </si>
  <si>
    <t>Bisagra latonada para puerta vaivén doble acción de AMIG (75x126 mm/pza).   Ref. 10512552</t>
  </si>
  <si>
    <t>Bisagra latonada para puerta vaivén doble acción de AMIG (75x126 mm/pza).   Ref. 10512552.
Bisagra de doble acción con canto cuadrado fabricada en acero de alta calidad. Regulación de la potencia de cierre. Gran resistencia a la torsión. Muelle de acero elástico flexible. Accesorios incluidos.</t>
  </si>
  <si>
    <t>Puerta de 45 mm de grosor con 5 paneles, no apta para su uso en el exterior de cara a la intemperie, fabricada con un núcleo completamente macizo de aglomerado y revestido con dos chapas de acero. Posteriormente se revisten con 2 paneles decorativos macizos de aglomerado que se acaban con una fina chapa de madera 100% natural. Medidas (hueco-hoja): 206x87 cm – 203x82,5 cm).   Ref. brico.valera-497527.
COMPONENTES:
• Cercos macizos de mdf de hasta 9 cms de ancho.
• Molduras macizas de mdf de mdf de 7 cms de ancho.
• Cuatro Bisagras antipalanca con acabado en inox. o dorado.
• Cerradura de Seguridad de un punto incluida (opcional la cerradura de seguridad de 3 puntos).
• Paneles idénticos por ambas caras.
• Manilla Modelo Ola + Herrajes Dorados de Seguridad.</t>
  </si>
  <si>
    <t>ma-construmole-canala0074-UE.90</t>
  </si>
  <si>
    <t>Pisavidrio aluminio anodizado natural (1/2”x1/2”x6 m/pza; 2,54x2,54x600 cm/pza).   Ref: construmole-canala0074-UE.90</t>
  </si>
  <si>
    <t>ma-da-08021-B</t>
  </si>
  <si>
    <t>Revestimiento Impermeable Elástico ARTIGUM de D'ARTIC; color TECHUMBRE ROJO (15 litros/bidón).   Ref. da-08021-B</t>
  </si>
  <si>
    <t>Elastómero líquido impermeable en base agua. Larga duración. Elongación del 350%. Mantiene las características entre -15 oC y +80 oC y en cambios bruscos de temperatura. Cierto tacking a temperaturas altas. Inalterable con ciclos de deshielo. Crea membrana para impermeabilización continua. Se aplica principalmente sobre los paramentos verticales y horizontales, con pendientes o no, que encontramos en las azoteas, tejados, fachadas, jardineras, muros pantalla, medianeras, canelones y colectores de agua, así como para rellenar pequeñas superficies tales como grietas y agujeros. Válido para una gran cantidad de materiales de construcción tales como hormigón, cemento, fibrocemento, baldosas, cerámica, asfalto, betunes, espuma de poliuretano, piedra, aluminio, galvanizado. Resistente al moho. Aconsejable armar con ARTIMAT, geotextil estructural a base de napa de poliéster, que unifica las dos capas y mejora la resistencia mecánica a la rotura y al impacto. Para acabados más transitables y / o con agua embalsada aplicar última capa de ARTIGUM TOP. Colores: blanco, gris, negro, teja, rojo y verde. COV 7g / l – 2010 140g / l.   Ref. da-08021-B
Certificado de anti carbonatación según UNE-EN 13295: 2005, estanqueidad al agua según UNE EN 1928: 2000, propiedad de tracción (resistencia y alargamiento) según UNE EN ISO 527-1 (96) y UNE en ISO 527-3 (2003) -AC (2002) y envejecimiento artificial por exposición prolongada a la combinación de radiación UV, temperatura elevada y agua según UNE EN 1297: 2006.</t>
  </si>
  <si>
    <t>ma-da-08021-G</t>
  </si>
  <si>
    <t>Revestimiento Impermeable Elástico ARTIGUM de D'ARTIC; color TECHUMBRE ROJO (5 litros/envase).   Ref. da-08021-G</t>
  </si>
  <si>
    <t>Elastómero líquido impermeable en base agua. Larga duración. Elongación del 350%. Mantiene las características entre -15 ºC y +80 ºC y en cambios bruscos de temperatura. Cierto tacking a temperaturas altas. Inalterable con ciclos de deshielo. Crea membrana para impermeabilización continua. Se aplica principalmente sobre los paramentos verticales y horizontales, con pendientes o no, que encontramos en las azoteas, tejados, fachadas, jardineras, muros pantalla, medianeras, canelones y colectores de agua, así como para rellenar pequeñas superficies tales como grietas y agujeros. Válido para una gran cantidad de materiales de construcción tales como hormigón, cemento, fibrocemento, baldosas, cerámica, asfalto, betunes, espuma de poliuretano, piedra, aluminio, galvanizado. Resistente al moho. Aconsejable armar con ARTIMAT, geotextil estructural a base de napa de poliéster, que unifica las dos capas y mejora la resistencia mecánica a la rotura y al impacto. Para acabados más transitables y / o con agua embalsada aplicar última capa de ARTIGUM TOP. Colores: blanco, gris, negro, teja, rojo y verde. COV 7g / l – 2010 140g / l.   Ref. da-08021-G
Certificado de anti carbonatación según UNE-EN 13295: 2005, estanqueidad al agua según UNE EN 1928: 2000, propiedad de tracción (resistencia y alargamiento) según UNE EN ISO 527-1 (96) y UNE en ISO 527-3 (2003) -AC (2002) y envejecimiento artificial por exposición prolongada a la combinación de radiación UV, temperatura elevada y agua según UNE EN 1297: 2006.</t>
  </si>
  <si>
    <t>ma-da-08022-B</t>
  </si>
  <si>
    <t>Capa elástica transitable ARTIGUM TOP de D'ARTIC; color ROJO INGLÉS (15 litros/bidón).   Ref. da-08022-B</t>
  </si>
  <si>
    <t>Acabado pisable, satinado. Altamente lavable. Agradable al paso. Completa el PROCESO ARTIGUM. Capa fina elástica y resistente a las agresiones mecánicas moderadas. Protección frente a los rayos solares. Aditivado con Aditor PU (08 Complementos) es resistente al agua estancada. Ref. da-08022-B
Recomendable en pendientes inferiores al 1%. Conserva las características en temperaturas extremas y en cambios repentinos. Colores en stock: Blanco, Gris, Negro, Teja, Rojo y Verde. Resto colores con sistema tintométrico o bajo pedido. COV 20g / l – 2010 140g / l.</t>
  </si>
  <si>
    <t>ma-da-08022-G</t>
  </si>
  <si>
    <t>Capa elástica transitable ARTIGUM TOP de D'ARTIC; color ROJO INGLÉS (5 litros/envase).   Ref. da-08022-G</t>
  </si>
  <si>
    <t>Acabado pisable, satinado. Altamente lavable. Agradable al paso. Completa el PROCESO ARTIGUM. Capa fina elástica y resistente a las agresiones mecánicas moderadas. Protección frente a los rayos solares. Aditivado con Aditor PU (08 Complementos) es resistente al agua estancada. Ref. da-08022-G
Recomendable en pendientes inferiores al 1%. Conserva las características en temperaturas extremas y en cambios repentinos. Colores en stock: Blanco, Gris, Negro, Teja, Rojo y Verde. Resto colores con sistema tintométrico o bajo pedido. COV 20g / l – 2010 140g / l.</t>
  </si>
  <si>
    <t>ma-denios-219744W</t>
  </si>
  <si>
    <t>Protector galvanizado para tubos/cables tipo VZ-2 de MORAVIA (ancho 292 x profundidad 230 x 500 mm/pza).   Ref. denios-219744W</t>
  </si>
  <si>
    <t>ma-diaterm-sku333878</t>
  </si>
  <si>
    <t>Panel de lana de roca ROCKWOOL SONOROCK ECO de ROCKWOOL (1350x600x40 mm/panel; 12 paneles/paquete; 12,96 m2/paquete).   Ref. diaterm-sku333878</t>
  </si>
  <si>
    <t>ma-diaterm-sku333886</t>
  </si>
  <si>
    <t>Panel de lana de roca ROCKWOOL SONOROCK ECO de ROCKWOOL (1350x600x60 mm/panel; 8 paneles/paquete; 9,72 m2/paquete).   Ref. diaterm-sku333886</t>
  </si>
  <si>
    <t>ma-ebay.cintasellado-01</t>
  </si>
  <si>
    <t>Junta de goma para protección de bordes de ventana y puerta (9,75 m/rollo).   Ref. ebay.cintasellado-01</t>
  </si>
  <si>
    <t>ma-isopractic-BD702C</t>
  </si>
  <si>
    <t>Banda acústica adhesiva 2 caras ISOPRACTIC BD702C (30 m/rollo).   Ref. isopractic-BD702C</t>
  </si>
  <si>
    <t>ma-isopractic-BD502C</t>
  </si>
  <si>
    <t>Banda acústica adhesiva 2 caras ISOPRACTIC BD502C (30 m/rollo).   Ref. isopractic-BD502C</t>
  </si>
  <si>
    <t>ma-lm-10640840</t>
  </si>
  <si>
    <t>Bloque de vidrio neutro liso transparente con acabado satinado (19x19x8 cm/pza).   Ref. lm-10640840</t>
  </si>
  <si>
    <t>Bloque de vidrio liso transparente con un acabado satinado. Es una solución innovadora que combina diseño y funcionalidad, y además genera privacidad produciendo una luz difusa. Es ideal para dividir una estancia o crear una cabina de ducha con un aspecto suave y contemporáneo. Paquete con 10 unidades. Medidas: 19 x 19 x 8 cm (ancho x alto x espesor).   Ref. lm-10640840.
Una solución innovadora que combina diseño y funcionalidad para garantizar privacidad y luz difusa. ARCTIC ofrece un aspecto suave y contemporáneo con una sutil transmisión de la luz. Además, su innovador diseño evita que su efecto translúcido cambie al entrar en contacto con el agua. El efecto satinado, se encuentra en las caras interiores del vidrio para facilitar la limpieza: la solución ideal para crear duchas modernas y funcionales.</t>
  </si>
  <si>
    <t>ma-lm-13593083</t>
  </si>
  <si>
    <t>Bloque de vidrio moldeado incoloro/transparente (9,4x19 cm/pza).   Ref. lm13593083</t>
  </si>
  <si>
    <t>Bloque de vidrio ondulado incoloro, tipo VitraBlock de 190 x 90 x 80 mm. Perfecto para divisiones de espacios, para tapiados o ventanales que permitan una tenue entrada de luz. Válidos para interior y exterior.   Ref. lm13593083.</t>
  </si>
  <si>
    <t>ma-lm-14662865</t>
  </si>
  <si>
    <t>Sustrato universal para todo tipo de plantas (50 litros/saco).   Ref. lm-14662865</t>
  </si>
  <si>
    <t>Sustrato universal idóneo para todo tipo de plantas de interior y exterior. Su composición de 100% compost vegetal es rico en materia orgánica, favoreciendo el desarrollo y el crecimiento de raíces y tallos en cualquier tipo de cultivo. Alta calidad para el mejor cuidado de tus plantas. Contenido: 50 litros.   Ref. ma-lm-14662865</t>
  </si>
  <si>
    <t>ma-lm-82887291</t>
  </si>
  <si>
    <t>Hilo de estaño-cobre STC UNE EB 9453 (250 gr/carrete).   Ref. lm-82887291</t>
  </si>
  <si>
    <t>Hilo de estaño de 2 mm de diámetro y aleación 114, STC UNE EB 9453, está compuesto por estaño (40%), plomo (57%) y cobre (3%). Indicado para un uso profesional en soldaduras blandas en instalaciones de agua caliente sanitaria. Contenido: 250 gr/carrete.   Ref. lm-82887291</t>
  </si>
  <si>
    <t>ma-lm-83614033</t>
  </si>
  <si>
    <t>Placa EPS DANOTHERM para Sistema SATE; blanca (1000x500x20 mm/placa).   Ref. lm-83614033</t>
  </si>
  <si>
    <t>Panel aislante térmico 0,036 W/m·K de poliestireno expandido estabilizado (EPS) con canto liso y autoextinguible empleado en Sistemas de Aislamiento Térmico por el Exterior (DANOTHERM SATE).   Ref. lm-83614033.</t>
  </si>
  <si>
    <t>ma-lm-85692175</t>
  </si>
  <si>
    <t>hoja</t>
  </si>
  <si>
    <t>Lija al Agua Grano 120 de TRUPER (230x280 mm/hoja).   Ref. lm-85692175</t>
  </si>
  <si>
    <t>Lija TRUPER de óxido de aluminio para trabajar con madera, plástico, lacas, pinturas y material no ferroso. Lima de grano 120. Material principal en la masa total del producto: Aluminio.   Ref. lm-85692175.</t>
  </si>
  <si>
    <t>Gas refrigerante orgánico GASICA V2 y eficaz con el R410A sustituto R32/R22/R407/R290 y R410A. Equivalencias: 567g.-R22|462g.-R407|226g.-R290 (Cargar al 40% del gas original)|460g.-R410A y R32 (Cargar al 50%).   Ref. lm-87272580
Recarga el split de tu aire acondicionado con Gasica V2, sustituto del gas R22, R407, R32, R410A Y R290. El nuevo Gasica V2 sella las microfugas que pueda tener su aparato de aire acondicionado y si estas fueran más grandes, su fórmula incluye detector de fugas para que pueda localizarla y repararla. Contiene 1 bombona de Gasica V2 de 226g. Es necesaria la llave de paso de perforación o la manguera para envases Gasica (No incluida). Las ventajas de este Gasica V2 son que se trata de un gas ecológico y orgánico por lo que no daña el medio ambiente ni es necesario carné de instalador para su manipulación. Menor consumo eléctrico, y menor cantidad de gas necesaria para su correcto funcionamiento.
Instrucciones de uso:
1.- Asegúrate de que el compresor se encuentre apagado.
2.-Si necesita revisar si hay fugas recupere el gas refrigerante existente en un recipiente y haga las comprobaciones pertinentes (si no tiene fugas puede mezclar el gas Gasica con el de su máquina que sin ningún problema).
3.- Conecta la manguera con el compresor siempre apagado en el puerto de carga de baja presión. Advertencia: Para pinchar la botella es necesaria la llave compatible, asegurate de que la punta de perforación de la llave está lo más arriba posible para enroscarla en la botella, una vez bien enroscada y con la manguera conectada puede darle al grifo de la llave.
4.- Instala el nuevo producto, invirtiendo la lata o bote.
5.- En caso de que todo funcione correctamente, enciende el compresor y añade refrigerante adicional para lograr la presión correcta.</t>
  </si>
  <si>
    <t>ma-lm-88106163</t>
  </si>
  <si>
    <t>Luz de emergencia autotest 100 lúmenes LED permanente IP42 de CEESE.   Ref. lm-88106163</t>
  </si>
  <si>
    <t>Luz de emergencia autotest con acabado de color blanco. Incorpora Led con balastro propio e indicador de nivel de carga. Funciona con pilas (suministradas). Ofrece una potencia de 100 lúmenes y una autonomía de funcionamiento de 1 hora. Medidas: 12,4x5,6x26,1 cm (ancho x alto x fondo).   Ref. lm-88106163.</t>
  </si>
  <si>
    <t>SIKA AKTIVATOR-205 es un promotor de adhesión transparente incoloro a base de solvente, que reacciona con la humedad y deposita grupos activos sobre el substrato. Estos grupos actúan como un enlace entre substratos y primers o selladores / adhesivos. Está diseñado para el tratamiento de caras de unión antes de la aplicación de adhesivos y selladores SIKAFLEX y SIKASIL. Poder Cubriente: 20 ml/m2 (impregnar toalla de papel sin pelusa).   Ref. lm-88455941.</t>
  </si>
  <si>
    <t>Sika Primer-3 N es una imprimación de un solo componente en base solvente para sustratos porosos y metales. Está diseñado para usarse con los productos SIKAFLEX, SIKAHYFLEX, SIKABOND y SIKASIL en sustratos porosos (p. ej., hormigón) y metales. Rendimientos por litro: 250 m (5 m2) sobre sustratos porosos; 400 m (8 m2) sobre sustratos no porosos.   Ref. lm-88455953.</t>
  </si>
  <si>
    <t>ma-lp-00001290</t>
  </si>
  <si>
    <t>Banda acústica autoadhesiva bicapa FONODAN BJ (10000x420x3,9 mm/rollo).   Ref. lp-00001290</t>
  </si>
  <si>
    <t>El FONODAN BJ es un producto bicapa formado por una membrana autoadhesiva de alta densidad y un polietileno químicamente reticulado termosoldado al anterior. Acústicamente el FONODAN BJ funciona aportando masa acústica al cuerpo del tubo y quitando las frecuencias de resonancia. Aplicaciones: aisla la zona más ruidosa de la bajante como codos, reduce ruido de tubos sifónicos y tuberías en el interior de falsos techos. Especial para reducir ruidos en las tuberías de evacuación.   Ref. lp-00001290.</t>
  </si>
  <si>
    <t>ma-lp-00001291</t>
  </si>
  <si>
    <t>Banda acústica autoadhesiva bicapa FONODAN 50 (10000x46x3,9 mm/rollo).   Ref. lp-00001291</t>
  </si>
  <si>
    <t>FONODAN 50 es un producto bicapa formado por una membrana autoadhesiva de alta densidad y un polietileno químicamente reticulado termosoldado a la anterior. Acústicamente el FONODAN 50 funciona como amortiguador de la unión rígida entre placa de yeso laminado y perfil, aportando además, una plasticidad al perfil de acero que minimiza su resonancia.   Ref. lp-00001291.</t>
  </si>
  <si>
    <t>Junquillo Monocapa PVC se utiliza en la aplicación del monocapa en fachadas, para marcar los diferentes paños al proyectar el mortero. Longitud: 2 m.   Ref. lp-00001498</t>
  </si>
  <si>
    <t>Malla de fibra de vidrio indicada para el refuerzo en impermeabilización de cubiertas y terrazas, evitando la aparición de fisuras y grietas. Luz de malla de 2x2 mm. Rollo de 50x1 m.   Ref. lp-00001704</t>
  </si>
  <si>
    <t>Malla de fibra de vidrio indicada para el refuerzo de todos los tipos de mortero - revoco. Trabajos de construcción de carga y renovación general. Previene la formación de grietas y fisuras. Color azul. Rollo de 50x1 m. Luz de malla 10x10 mm. Excelente adherencia en todos los tipos de mortero-revoco. No corrosivo y altamente resistente a los alcalis.   Ref. lp-00001705
MALLATEX la malla de fibra de vidrio que refuerza y evita las grietas en el mortero; a saber:
Mallas de fibra de vidrio “E” con recubrimiento antialcalino para evitar que le ataquen los álcalis del cemento.
Mallas de fibra de Vidrio “AR” resistente a los álcalis del cemento (recomendadas sobre todo para armados de hormigón).
Para atender necesidades de resistencia, existe una gran variedad de modelos con diferentes gramajes y luz de malla: MALLATEX 10A (azul) de 90 gr; MALLATEX 10B (blanca) de 200 gr; y MALLATEX 10 A / 150.
En relación a su colocación, es muy importante que la malla quede siempre embutida entre 2 capas del material a armar, formando así un solo cuerpo. Sobre todo, prestar especial atención en los puntos más susceptibles a agrietarse, como son la unión de ladrillo con forjado. También los pilares y los encuentros con marcos de puertas y ventanas son proclives a sufrir las grietas en morteros con lo que se deberán reforzar sin duda éstas zonas.</t>
  </si>
  <si>
    <t>Malla de fibra de vidrio indicada para el refuerzo de superficies de nueva construcción o en reformas de todos los tipos de yesos en interior. Ideal para prevenir la formación de grietas y fisuras en acabados con microcementos. Óptimo refuerzo para su uso en trencadís (tipo de adorno que se emplea en mosaicos elaborados con fragmentos cerámicos unidos con argamasa) y gresite (material cerámico hecho de gres en forma de pequeñas teselas, que se utiliza en decoración para revestimiento de suelos y paredes). Luz de 5x5 mm. Rollo de 50x1 m.   Ref. lp-00001706</t>
  </si>
  <si>
    <t>Trampilla BIGMAT que facilita el registro interior en los techos de placa de yeso laminado. Muy duradera, por estar hecha con placa de yeso laminado hidrofuga PPM de 12,5 mm y marco en aluminio con accesorios en acero galvanizado. Alta resistencia a la absorción de agua. Medidas: 600x600 mm.   Ref. lp-00002184.</t>
  </si>
  <si>
    <t>ma-lp-00005530</t>
  </si>
  <si>
    <t>Puerta cortafuegos EI60 (2 hojas); color blanco lacado (1600x2035 mm/und).   Ref.: lp-00005530</t>
  </si>
  <si>
    <t>Puerta cortafuego RF60 con relleno de llanta de acero y lana de roca de alta densidad 180 kg/m3. Encaje trilateral a los 2 lados. Acabado lacado con pintura electrostática al horno similar al RAL 9002.   Ref. lp-00005530.
CARACTERÍSTICAS:
• 2 bisagras compuestas de 3 piezas, una de ellas con muelle regulable. Espiga de seguridad de una pieza con diámetro 12 mm.
• Cerradura cortafuego con cilindro de perfil metálico.
• Juego de manillas redondeadas de material sintético negro y alma de acero. Longitud del cilindro de 80 mm (35/45).
• Peso: 10 kg.</t>
  </si>
  <si>
    <t>ma-lp-00016265</t>
  </si>
  <si>
    <t>Hojas-Lija Nº 4 escudo EN15; 230x280 mm/hoja (10 hojas/paquete).   Ref. lp-00016265</t>
  </si>
  <si>
    <t>Hojas abrasivas de tela esmeril de escudo EN15 con soporte de tela de algodón especial. Pule sin rayar, es perfecto para el acabado de piezas y el esmerilado de todo tipo de materiales. Grano Nº 4. Medidas: 230x280 mm/hoja.   Ref. lp-00016265.</t>
  </si>
  <si>
    <t>El esquinero de PVC se usa para el conformado y refuerzo de esquinas interiores revestidas con yeso o mortero. Color blanco. Longitud de 2,50 m.   Ref. lp-00018338</t>
  </si>
  <si>
    <t>Saco flexible tejido en rafia de polipropileno de color blanco para el embalaje a granel de todo tipo de materiales. Fácil de utilizar y almacenar. Resistente a la humedad y tiene la parte superior reforzada para facilitar su apertura. Medidas: 50x90 cm.   Ref. lp-00019688</t>
  </si>
  <si>
    <t>El rollo de cartón ondulado marrón tiene 90 cm de ancho y 50 m de largo. Se utiliza en trabajos de pintura, para protección de objetos delicados como muebles o suelos de madera. Peso = 10 kg/rollo.   Ref. lp-00139017</t>
  </si>
  <si>
    <t>Esquinero grande monocapa para carga de 10 mm y con medida 2,5 m. Se usa para el conformado de esquinas exteriores, quedando el perfil oculto.   Ref. lp-00018143</t>
  </si>
  <si>
    <t>Esquinero pequeño monocapa para carga de 8 mm y con medida 2,5 m. Se usa para el conformado de esquinas exteriores, quedando el perfil oculto.   Ref. lp-00018144</t>
  </si>
  <si>
    <t>Puerta metálica con interior de malla de nido de abeja de estructura alveolar de 18 mm. Cerradura de tres puntos (5 bulones en total). Con bombillo de seguridad antitaladro. Dos bulones antipalanca. Manivela anti-enganche de polipropileno negro a ambas caras. Junta hermética de goma perimetral. Pomo exterior y manivela interior de color negro. Tres bisagras negras de diseño. Marco de 75 mm. Medidas 2100x890 mm. Apertura a la derecha.   Ref. lp-00136293.</t>
  </si>
  <si>
    <t>ma-lp-00136294</t>
  </si>
  <si>
    <t>Puerta metálica reforzada 3P lisa lacada blanca (2100x890 mm/und).   Ref. lp-00136294</t>
  </si>
  <si>
    <t>Puerta metálica con interior de malla de nido de abeja de estructura alveolar de 18 mm. Cerradura de tres puntos (5 bulones en total). Con bombillo de seguridad antitaladro. Dos bulones antipalanca. Manivela anti-enganche de polipropileno negro a ambas caras. Junta hermética de goma perimetral. Pomo exterior y manivela interior de color negro. Tres bisagras negras de diseño. Marco de 75 mm. Medidas 2100x890 mm. Apertura a la izquierda.   Ref. lp-00136294.</t>
  </si>
  <si>
    <t>Capa separadora filtrante geotextil de poliéster no tejido 150 gr/m2, para sistemas de impermeabilización. Rollo 50x1,1 m.   Ref. lp-00179615
ROOFTEX V de SOPREMA es un geotextil no-tejido de fibras 100% poliéster, punzonado mecánicamente mediante agujas con posterior tratamiento térmico y calandrado, utilizados como capa separadora, filtrante, drenante y protectora en edificación. Se usa como protección de láminas impermeabilizantes, antes de colocar la , así como lámina auxiliar de separación y filtración. Indicado para cubiertas, terraplenes y canalizaciones.</t>
  </si>
  <si>
    <t>ma-lp-00184595</t>
  </si>
  <si>
    <t>Cuerda trenzada doble polyéster 5 mm (200 m/rollo)   Ref. lp-00184595</t>
  </si>
  <si>
    <t>Fibra suave y flexible producida en poliéster 100% alta tenacidad y protección solar. Cuerda trenzada. Gran resistencia a la tracción y al rozamiento, excelente anudabilidad. Uso en invernaderos, albañilería, jardinería, horticultura, bricolaje, manualidades, paquetería, náuticam deporte, toldos, persianas, confección, etc... Diámetro de 5 mm. Color blanco. Longitud de 200 m.   Ref. lp-00184595</t>
  </si>
  <si>
    <t>Tira o lámina de poliestireno expandido EPS con densidad 10 kg/m3 (1000x100x10 mm/tira).   Ref. lp-00222892</t>
  </si>
  <si>
    <t>Perfil cantonera de PVC con malla de fibra de vidrio álcali-resistente Válida para cualquier espesor de mortero, protege los ángulos horizontales y verticales en aristas, puertas y ventanas, ayudando a la formación de cantos perfectos tanto alineados como perpendiculares. Medidas: 8x12 cm. Longitud: 2,5 m.   Ref. lp-00225432</t>
  </si>
  <si>
    <t>Electrodo revestido de rutilo para uso universal en aceros no aleados. 6013 diametro 2,5x350 mm y 5 kg (aprox. 55 Varillas/kg).   Ref. lp-00351172
Los electrodos de rutilo E6011 son barras para acero al carbono con revestimiento rutílico potásico. Posibilidades de soldadura en corriente continua (ambas polaridades) y corriente alterna. Se caracteriza por una escoria fácil de remover y un arco suave y estable.
Aplicaciones: En la industria de la construcción es usado en cordones de vista en fabricación de estructuras de edificios, puentes y conjuntos estructurales en general. Dentro del ramo metal-mecánico es sumamente utilizado en la fabricación de autobuses, cajas de volteo, carrocerías, componentes de maquinaria agrícola, etc. La herrería y la empresa metalmecánica ligera emplean fuertemente este tipo de electrodo ya que se usa sobre lámina negra, lámina galvanizada, perfiles estructurales, soleras, etc., y en general en materiales delgados con buena apariencia y sin quemar el material a soldar.</t>
  </si>
  <si>
    <t>Electrodo básico EUTECTRODE ECB 3218 de CASTOLIN EUTECTIC ideal para todo tipo de uniones sometidas a grandes esfuerzos. Resistencia a temperaturas de servicio de -30 ºC a +400 ºC en aceros no aleados. Excelente resiliencia.   Ref. lp-00351244</t>
  </si>
  <si>
    <t>ma-lp-00379536</t>
  </si>
  <si>
    <t>Lámina geotextil impermeable para ducha de obra (30x1,5m/rollo).   Ref. lp-00379536</t>
  </si>
  <si>
    <t>Lámina impermeabilizante GEOTEXTIL A-154 de JIMTEN para la impermeabilización bajo pavimento. Medidas del rollo: 5x1,5 m. Lámina flexible para la impermeabilización bajo pavimento de baños, paredes y suelos en zonas húmedas interiores. Constituída por una doble hoja de Poliolefina (EVA) en coextrusión y con ambas caras revestidas de fibras de polipropileno para el óptimo agarre con el cemento cola C2 usado en su instalación como lámina adherida. Admite unión y sellado con cemento C2 en interiores o masilla selladora tipo MS.   Ref. lp-00388436</t>
  </si>
  <si>
    <t>Perfil con goterón de PVC con malla de fibra de vidrio álcali-resistente, empleado en el enlucido final de los dinteles de puertas y ventanas con el fin de evitar escorrentías en los cambios de plano, impidiendo el retorno y filtración de agua al interior de la pared. Este perfil no se cubre con las capas de enlucido, lo que garantiza el drenaje del dintel. Longitud de la malla: 2,5 m. Ancho de la malla: 100x100 mm. Espesor: 9 mm.   Ref. lp-00511369</t>
  </si>
  <si>
    <t>ma-lp-00533273</t>
  </si>
  <si>
    <t>Lámina de polietileno reticulado IMPACTODAN BT de DANOSA (25000x1060x3 mm/rollo).   Ref. lp-00533273</t>
  </si>
  <si>
    <t>Lámina flexible de polietileno químicamente reticulado de celda cerrada que proporciona al producto una estructuración interna elástica. Acústicamente, IMPACTODAN BT funciona como amortiguador aplicado en un sistema masa-resorte-masa.   Ref. lp-00533273.</t>
  </si>
  <si>
    <t>Cinta autoadhesiva con soporte de papel semiencrespado y adhesivo de caucho natural en base disolvente. es una cinta de KREPP con adhesivo de caucho para enmascarar bordes de puertas, paredes, zócalos y ventanas de PVC, aluminio o madera, durante el pintado. Rollo de 29 mm x 45 m. Fácil de desenrollar, se recomienda retirar en 72 horas. Peso 0,12 kg/rollo.   Ref. lp-00534910</t>
  </si>
  <si>
    <t>Cinta autoadhesiva con soporte de papel semiencrespado y adhesivo de caucho natural en base disolvente. es una cinta de KREPP con adhesivo de caucho para enmascarar bordes de puertas, paredes, zócalos y ventanas de PVC, aluminio o madera, durante el pintado. Rollo de 36 mm x 45 m. Fácil de desenrollar, se recomienda retirar en 72 horas. Peso 0,14 kg/rollo.   Ref. lp-00534911</t>
  </si>
  <si>
    <t>Cinta autoadhesiva con soporte de papel semiencrespado y adhesivo de caucho natural en base disolvente. es una cinta de KREPP con adhesivo de caucho para enmascarar bordes de puertas, paredes, zócalos y ventanas de PVC, aluminio o madera, durante el pintado. Rollo de 48 mm x 45 m. Fácil de desenrollar, se recomienda retirar en 72 horas. Peso 0,16 kg/rollo.   Ref. lp-00534912</t>
  </si>
  <si>
    <t>Banda moldeable de caucho EPDM sin vulcanizar de medidas 23 cm x 15,25 m, para sellado de puntos singulares: esquinas interiores y exteriores, tuberías, salientes, etc… Ref. lp-00538824.</t>
  </si>
  <si>
    <t>ma-lp-00539974</t>
  </si>
  <si>
    <t>Manta de lana mineral aislante termo-acústica hidrófila MRK 40 de URSA (12500x1200x60 mm/manta).   Ref. lp-00539974</t>
  </si>
  <si>
    <t>Manta con 15 m2 de lana mineral URSA aislante termo-acústica MRK 40 hidrófila, recubierta con papel KRAFT como barrera de vapor; indicada para aislamiento entre tabiquillos, bajo cubierta, falsos techos de placa de yeso laminado.   Ref. lp-00539974.</t>
  </si>
  <si>
    <t>Manta con 13,2 m2 de lana mineral URSA aislante termo-acústica MRK 40 no hidrófila, recubierta con papel KRAFT como barrera de vapor; indicada para aislamiento entre tabiquillos, bajo cubierta, falsos techos de placa de yeso laminado.   Ref. lp-00539975.</t>
  </si>
  <si>
    <t>Cordón de espuma polietilénica extruida de célula cerrada para soporte a selladores elastoméricos; idóneo para dimensionar correctamente la sección de las juntas de pavimentos industriales, de cerámica y piedra natural, antes del relleno con selladores elastoméricos (masilla).   Ref. lp-00540928.</t>
  </si>
  <si>
    <t>Cordón de espuma polietilénica extruida de célula cerrada para soporte a selladores elastoméricos; idóneo para dimensionar correctamente la sección de las juntas de pavimentos industriales, de cerámica y piedra natural, antes del relleno con selladores elastoméricos (masilla).   Ref. lp-00540972.</t>
  </si>
  <si>
    <t>ma-lp-00005606</t>
  </si>
  <si>
    <t>Puerta cortafuegos EI60 antipánico (1 hoja derecha); color blanco lacado (800x2035 mm/und).   Ref.: lp-00005606</t>
  </si>
  <si>
    <t>Puerta cortafuego RF60 con relleno de llanta de acero y lana de roca de alta densidad 180 kg/m3. Encaje trilateral a los 2 lados. Acabado lacado con pintura electrostática al horno similar al RAL 9002.   Ref. lp-
CARACTERÍSTICAS:
• 2 bisagras compuestas de 3 piezas, una de ellas con muelle regulable. Espiga de seguridad de una pieza con diámetro 12 mm.
• Cerradura cortafuego con cilindro de perfil metálico.
• Juego de manillas redondeadas de material sintético negro y alma de acero. Longitud del cilindro de 80 mm (35/45).
• Barra antipánico premontada suelta con perforación en la hoja de la puerta para situar y atornillar las bases de la barra antipánico.</t>
  </si>
  <si>
    <t>ma-lp-00006002</t>
  </si>
  <si>
    <t>Puerta cortafuegos EI60 (1 hoja derecha); color blanco lacado (800x2035 mm/und).   Ref. lp-00006002</t>
  </si>
  <si>
    <t>Puerta cortafuego RF60 con relleno de llanta de acero y lana de roca de alta densidad 180 kg/m3. Encaje trilateral a los 2 lados. Acabado lacado con pintura electrostática al horno similar al RAL 9002.   Ref. lp-00006002.
CARACTERÍSTICAS:
• 2 bisagras compuestas de 3 piezas, una de ellas con muelle regulable. Espiga de seguridad de una pieza con diámetro 12 mm.
• Cerradura cortafuego con cilindro de perfil metálico.
• Juego de manillas redondeadas de material sintético negro y alma de acero. Longitud del cilindro de 80 mm (35/45).
• Peso: 43 kg.</t>
  </si>
  <si>
    <t>ma-lp-00006004</t>
  </si>
  <si>
    <t>Puerta cortafuegos EI60 (1 hoja derecha); color blanco lacado (885x2035 mm/und).   Ref.: lp-00006004</t>
  </si>
  <si>
    <t>Puerta cortafuego RF60 con relleno de llanta de acero y lana de roca de alta densidad 180 kg/m3. Encaje trilateral a los 2 lados. Acabado lacado con pintura electrostática al horno similar al RAL 9002.   Ref. lp-00006004.
CARACTERÍSTICAS:
• 2 bisagras compuestas de 3 piezas, una de ellas con muelle regulable. Espiga de seguridad de una pieza con diámetro 12 mm.
• Cerradura cortafuego con cilindro de perfil metálico.
• Juego de manillas redondeadas de material sintético negro y alma de acero. Longitud del cilindro de 80 mm (35/45).
• Peso: 47 kg.</t>
  </si>
  <si>
    <t>ma-lp-00016841</t>
  </si>
  <si>
    <t>Bisagra piano latón (32x960 mm/und).   Ref. lp-00016841</t>
  </si>
  <si>
    <t>ma-lp-00016842</t>
  </si>
  <si>
    <t>Bisagra piano níquel (32x960 mm/und).   Ref. lp-00016842</t>
  </si>
  <si>
    <t>Trampilla BIGMAT que facilita el registro interior en los techos de placa de yeso laminado. Muy duradera, por estar hecha con placa de yeso laminado hidrofuga PPM de 12,5 mm y marco en aluminio con accesorios en acero galvanizado. Alta resistencia a la absorción de agua. Medidas: 1200x600 mm.   Ref. lp-00196285.</t>
  </si>
  <si>
    <t>La FONODAN 70 es un producto bicapa destinado al aislamiento de tuberías, botes sifónicos y elementos rígidos, formado por una membrana autoadhesiva de alta densidad y un polietileno químicamente reticulado termosoldado al anterior. Acústicamente funciona aportando masa acústica al cuerpo del tubo y quitando las frecuencias de resonancia.   Ref. lp-00317396.</t>
  </si>
  <si>
    <t>ma-lp-00564157</t>
  </si>
  <si>
    <t>Lija al agua Grano 120 de (230x280 mm/hoja; 5 hojas/paquete).   Ref. lp-00564157</t>
  </si>
  <si>
    <t>Lija al agua Grano 120 de (230x280 mm/hoja; 5 hojas/paquete).   Ref. lp-00564157.</t>
  </si>
  <si>
    <t>ma-lp-00571658</t>
  </si>
  <si>
    <t>Plástico burbuja o film alveolar (25x1 m/rollo).   Ref. lp-00571658</t>
  </si>
  <si>
    <t>Persiana Mallorquina de Aluminio con 2 paños practicables (100x100 cm/und). Fabricada en aluminio lacado Qualicoat blanco tanto marco (40 mm) como lamas. Cierre de maneta con apertura practicable hacia el exterior.   Ref. om-10579345.</t>
  </si>
  <si>
    <t>ma-pp-revisal.liso-15</t>
  </si>
  <si>
    <t>Revestimiento liso acrílico REVISAL LISO de ISAVAL (15 litros/bidón).   Ref. pp-revisal.liso-15</t>
  </si>
  <si>
    <t>Revestimiento liso acrílico muy resistente a la alcalinidad y a los agentes atmosféricos, especial para protección y decoración de las fachadas en general con excepcionales características de calidad. Perfecta adherencia a los materiales de construcción, impermeable al agua de lluvia y permeable al vapor de agua. Alta opacidad, acabado mate. Rendimiento: 8 a 10 m2/litro.   Ref. pp-revisal.liso-15.
Fondear con: Soporte consolidado: Fixenol Pigmentado. Soporte no consolidado: Isacrílico, Fixenol Fijador Siloxano Alta Penetración, Fixacril Disolvente. Dilución con agua: brocha 0-15%, rodillo 0-15%, pistola 10-25%. Tiempo de secado: Al tacto: 30 min / Repintado: 4-6 h. Total: 15-20 días.</t>
  </si>
  <si>
    <t>ma-prolisur-celulosa.periodico</t>
  </si>
  <si>
    <t>palet</t>
  </si>
  <si>
    <t>Flóculos de celulosas de UNIVERCELL de papel de periódico triturado; ignífugo y fungicida (palet de 30 sacos; 14 kg/saco).   Ref. prolisur-guata.periodico</t>
  </si>
  <si>
    <t>Flóculos de celulosas idóneos para aislamiento térmico de áticos, buhardillas, cubiertas, cubiertas de tabiques palomeros y fachadas. La guata de celulosa UNIVERCELL es un aislante térmico y acústico de papel de periódico triturado y mezclado con sal de bórax. Opera como fungicida e ignífugo (además de actuar contra la putrefacción y los insectos).   Ref. prolisur-guata.periodico.</t>
  </si>
  <si>
    <t>ma-rs-184-6803</t>
  </si>
  <si>
    <t>Cinta de enmascarar de papel crepé RS PRO (50 mx12 mm/rollo).   Ref. rs-184-6803</t>
  </si>
  <si>
    <t>Las cintas aislantes se utilizan para proteger temporalmente áreas al pintar, pulverizar, recubrir o granallar. Nuestra gama de cintas aislantes se suministra en muchos colores, anchuras y longitudes y son fáciles de cortar y aplicar. La extracción de la cinta debe realizarse cuando la cinta haya finalizado su utilidad para evitar que el adhesivo deje residuos o dañe la superficie que se va a proteger.   Ref. rs-184-6803.
El adhesivo de la cinta aislante determina dónde se aplica mejor la cinta:• El material de base de caucho proporciona generalmente la mejor adhesión, pero tiene la menor resistencia de temperatura.• El material acrílico se puede utilizar en un amplio rango de temperaturas.• El material de base de silicona se puede utilizar en el rango de temperatura más alto.</t>
  </si>
  <si>
    <t>ma-serveiestacio-barraPP-10</t>
  </si>
  <si>
    <t>barra</t>
  </si>
  <si>
    <t>Barra redonda de polipropileno 10 mm; color negro (1 m/barra).   Ref. serveiestacio-barraPP-10</t>
  </si>
  <si>
    <t>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serveiestacio-barraPP-10.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</si>
  <si>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ma-serveiestacio-barraPP-15</t>
  </si>
  <si>
    <t>Barra redonda de polipropileno 15 mm; color negro (1 m/barra).   Ref. serveiestacio-barraPP-15</t>
  </si>
  <si>
    <t>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serveiestacio-barraPP-15.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</si>
  <si>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ma-serveiestacio-barraPP-20</t>
  </si>
  <si>
    <t>Barra redonda de polipropileno 20 mm; color negro (1 m/barra).   Ref. serveiestacio-barraPP-20</t>
  </si>
  <si>
    <t>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serveiestacio-barraPP-20.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</si>
  <si>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ma-serveiestacio-barraPP-25</t>
  </si>
  <si>
    <t>Barra redonda de polipropileno 25 mm; color negro (1 m/barra).   Ref. serveiestacio-barraPP-25</t>
  </si>
  <si>
    <t>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serveiestacio-barraPP-25.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</si>
  <si>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ma-serveiestacio-barraPP-30</t>
  </si>
  <si>
    <t>Barra redonda de polipropileno 30 mm; color negro (1 m/barra).   Ref. serveiestacio-barraPP-30</t>
  </si>
  <si>
    <t>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serveiestacio-barraPP-30.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</si>
  <si>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ma-serveiestacio-barraPP-40</t>
  </si>
  <si>
    <t>Barra redonda de polipropileno 40 mm; color negro (1 m/barra).   Ref. serveiestacio-barraPP-40</t>
  </si>
  <si>
    <t>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serveiestacio-barraPP-40.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</si>
  <si>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ma-serveiestacio-barraPP-50</t>
  </si>
  <si>
    <t>Barra redonda de polipropileno 50 mm; color negro (1 m/barra).   Ref. serveiestacio-barraPP-50</t>
  </si>
  <si>
    <t>Barra redonda de Polipropileno negro muy resistente para crear piezas técnicas como cojinetes, rodillos, topes, guías, arandelas, cilindros o perfiles. Fisiológicamente inerte. Alta resistencia a los agentes químicos. Aislante eléctrico. Baja resistencia a la abrasión. Excelentes propiedades mecánicas. Se puede soldar.   Ref. serveiestacio-barraPP-50.
Aplicaciones: Componentes para instalaciones industriales, depósitos para agentes químicos, contenedores.
Piezas mecanizadas: bujes, roldanas, ruedas, guías, estrellas distribuidoras, cojinetes, poleas, placas para troquelados, engranajes, arandelas, topes, perfiles …
Fundido, gotea y permite una soldadura de juntas, tubos, geometrías en general…
Manipulación: Puede perforarse con taladro eléctrico. Puede cortarse con sierra eléctrica. Puede termoconformarse. Puede termosoldarse.</t>
  </si>
  <si>
    <t>La trampilla metálica está compuesta por un perfil y una compuerta de acero galvanizado o acero inoxidable con cerradura cuadrada. El color standard es blanco RAL 9016, barnizado posteriormente. Está disponible en otros colores RAL o sin barnizar. El sistema tiene un marco con perfiles redondeados para un cierre más preciso sobre estuco o sobre placa de yeso. Los cuatro anclajes del muro son ajustables y permiten la instalación segura ya sea en paredes o techos. La compuerta puede ser extraíble o inclinable con apertura ya sea a la derecha o la izquierda. La trampilla puede ser aplicada ya sea en paredes que en techos de placa de yeso laminado o sobre muro.   Ref. solotrampillas-B800800W.
https://www.solotrampillas.com/tienda-trampillas/trampilla-system-b1-metalica/296-sistema-b1-800x800-trampilla-metalica-con-cerradura-cuadrada.html</t>
  </si>
  <si>
    <t>ma-transglass-MBPP-100</t>
  </si>
  <si>
    <t>Barra redonda de polipropileno RAL 7032; color gris (1 m/barra 100 mm).   Ref. transglass-MBPP-100</t>
  </si>
  <si>
    <t>El Polipropileno un material muy versátil y fácil de mecanizar, soldar, taladrar, tornear y cortar, por ello es que las Barras de Polipropileno se utilizan para la fabricación de arandelas, rodillos, piezas mecanizadas o ruedas. Su resistencia térmica es mayor que la del polietileno, sin embargo, no es resistente a los rayos UV. Su principal ventaja es que este material tiene una gran resistencia a los productos químicos y a la corrosión.   Ref. transglass-MBPP-100</t>
  </si>
  <si>
    <t>ma-transglass-MBPP-040</t>
  </si>
  <si>
    <t>Barra redonda de polipropileno RAL 7032; color gris (1 m/barra 40 mm).   Ref. transglass-MBPP-40</t>
  </si>
  <si>
    <t>El Polipropileno un material muy versátil y fácil de mecanizar, soldar, taladrar, tornear y cortar, por ello es que las Barras de Polipropileno se utilizan para la fabricación de arandelas, rodillos, piezas mecanizadas o ruedas. Su resistencia térmica es mayor que la del polietileno, sin embargo, no es resistente a los rayos UV. Su principal ventaja es que este material tiene una gran resistencia a los productos químicos y a la corrosión.   Ref. transglass-MBPP-40</t>
  </si>
  <si>
    <t>ma-transglass-MBPP-060</t>
  </si>
  <si>
    <t>Barra redonda de polipropileno RAL 7032; color gris (1 m/barra 60 mm).   Ref. transglass-MBPP-60</t>
  </si>
  <si>
    <t>El Polipropileno un material muy versátil y fácil de mecanizar, soldar, taladrar, tornear y cortar, por ello es que las Barras de Polipropileno se utilizan para la fabricación de arandelas, rodillos, piezas mecanizadas o ruedas. Su resistencia térmica es mayor que la del polietileno, sin embargo, no es resistente a los rayos UV. Su principal ventaja es que este material tiene una gran resistencia a los productos químicos y a la corrosión.   Ref. transglass-MBPP-60.</t>
  </si>
  <si>
    <t>ma-transglass-MBPP-080</t>
  </si>
  <si>
    <t>Barra redonda de polipropileno RAL 7032; color gris (1 m/barra 80 mm).   Ref. transglass-MBPP-80</t>
  </si>
  <si>
    <t>El Polipropileno un material muy versátil y fácil de mecanizar, soldar, taladrar, tornear y cortar, por ello es que las Barras de Polipropileno se utilizan para la fabricación de arandelas, rodillos, piezas mecanizadas o ruedas. Su resistencia térmica es mayor que la del polietileno, sin embargo, no es resistente a los rayos UV. Su principal ventaja es que este material tiene una gran resistencia a los productos químicos y a la corrosión.   Ref. transglass-MBPP-80.</t>
  </si>
  <si>
    <t>MDO</t>
  </si>
  <si>
    <t>MANO DE OBRA</t>
  </si>
  <si>
    <t>MDO-CONTARATADA</t>
  </si>
  <si>
    <t>MDO-DIRECTA</t>
  </si>
  <si>
    <t>mo-carpintero-ayudante</t>
  </si>
  <si>
    <t>Ayudante de Carpintero</t>
  </si>
  <si>
    <t>mo-carpintero-oficial1</t>
  </si>
  <si>
    <t>Oficial Carpintero de 1ª</t>
  </si>
  <si>
    <t>Oficial Fontanero/Calefactor de 1ª</t>
  </si>
  <si>
    <t>mo-herrero-ayudante</t>
  </si>
  <si>
    <t>Ayudante de Herrero</t>
  </si>
  <si>
    <t>mo-herrero-oficial1</t>
  </si>
  <si>
    <t>Oficial Herrero de 1ª</t>
  </si>
  <si>
    <t>mo-salarial-capataz</t>
  </si>
  <si>
    <t>Capataz</t>
  </si>
  <si>
    <t>mo-salarial-encargado</t>
  </si>
  <si>
    <t>Encargado</t>
  </si>
  <si>
    <t>mo-salarial-oficial2</t>
  </si>
  <si>
    <t>Oficial de 2ª</t>
  </si>
  <si>
    <t>mo-salarial-peon2</t>
  </si>
  <si>
    <t>Peón Ordinario</t>
  </si>
  <si>
    <t>mo-soldador-ayudante</t>
  </si>
  <si>
    <t>Ayudante de Soldador</t>
  </si>
  <si>
    <t>Cuadrilla Std1 - 1 Oficial de 1ª, 1 Ayudante y 1/2 Ayudante</t>
  </si>
  <si>
    <t>Cuadrilla Std1 Pintura -1 Oficial Pintor de 1ª y 1 Ayudante de Pintor</t>
  </si>
  <si>
    <t>Cuadrilla Std1 - 1 Oficial Soldador de 1ª + 1 Ayudante Soldador</t>
  </si>
  <si>
    <t>moc-std1-trabajos.verticales</t>
  </si>
  <si>
    <t>Cuadrilla Std1 Trabajos Verticales - 1 Oficial de 1ª y 1 Ayudante</t>
  </si>
  <si>
    <t>Cuadrilla Std2 - 1 Oficial de 1ª y 2 Ayudante</t>
  </si>
  <si>
    <t>OTV</t>
  </si>
  <si>
    <t>OBRAS Y TRABAJOS VARIOS</t>
  </si>
  <si>
    <t>OTV-FACHADAS</t>
  </si>
  <si>
    <t>OBRAS Y TRABAJOS VARIOS EN FACHADAS</t>
  </si>
  <si>
    <t>OTV-TENDEDERO-ESCUADRA-02-50-AT</t>
  </si>
  <si>
    <t>SUMINISTRO E INSTALACIÓN EN ANDAMIO TUBULAR DE TENDEDEROS METÁLICOS PINTADOS TIPO ESCUADRA SIN POLEAS (LARGO APROX. = 50 CM), FIJADOS A BARANDILLAS Y/O PARAMENTOS DE FACHADA; INCLUYENDO CORDAJES</t>
  </si>
  <si>
    <t>Suministro e instalación en andamio tubular de tendederos metálicos pintados tipo escuadra sin poleas (Largo aprox. = 50 cm), fijados a barandillas y/o paramentos de fachada (incluyendo cordajes).</t>
  </si>
  <si>
    <t>OTV-TENDEDERO-ESCUADRA-02-50-MS</t>
  </si>
  <si>
    <t>SUMINISTRO E INSTALACIÓN EN MEDIO SUSPENDIDO/COLGADO DE TENDEDEROS METÁLICOS PINTADOS TIPO ESCUADRA SIN POLEAS (LARGO APROX. = 50 CM), FIJADOS A BARANDILLAS Y/O PARAMENTOS DE FACHADA; INCLUYENDO CORDAJES</t>
  </si>
  <si>
    <t>OTV-TENDEDERO-ESCUADRA-03-50-AT</t>
  </si>
  <si>
    <t>SUMINISTRO E INSTALACIÓN EN ANDAMIO TUBULAR DE TENDEDEROS METÁLICOS PINTADOS TIPO ESCUADRA CON POLEAS (LARGO APROX. = 50 CM), FIJADOS A BARANDILLAS Y/O PARAMENTOS DE FACHADA; INCLUYENDO CORDAJES</t>
  </si>
  <si>
    <t>OTV-TENDEDERO-ESCUADRA-03-50-MS</t>
  </si>
  <si>
    <t>SUMINISTRO E INSTALACIÓN EN MEDIO SUSPENDIDO/COLGADO DE TENDEDEROS METÁLICOS PINTADOS TIPO ESCUADRA CON POLEAS (LARGO APROX. = 50 CM), FIJADOS A BARANDILLAS Y/O PARAMENTOS DE FACHADA; INCLUYENDO CORDAJES</t>
  </si>
  <si>
    <t>ssssssssssss</t>
  </si>
  <si>
    <t>OTV-TOLDOS-VERTICAL-0a3</t>
  </si>
  <si>
    <t>INSTALACIÓN DE TOLDO VERTICAL DE LONA (1 m2 &lt; SUPERFICIE &lt;= 3 m2) EN EL EXTERIOR DE FACHADAS, GARANTIZANDO LA CORRECTA COLOCACIÓN Y FUNCIONAMIENTO DE ÉSTOS; INCLUYE LAS CORRESPONDIENTE FIJACIONES, GUÍAS Y MECANISMOS (FCH)</t>
  </si>
  <si>
    <t>Instalación de toldo vertical de lona (1 m2 &lt; superficie &lt;= 3 m2) en el exterior de fachadas, garantizando la correcta colocación y funcionamiento de éstos; incluye las correspondiente fijaciones, guías y mecanismos (FCH)</t>
  </si>
  <si>
    <t>OTV-TOLDOS-VERTICAL-3a6</t>
  </si>
  <si>
    <t>INSTALACIÓN DE TOLDO VERTICAL DE LONA (3 m2 &lt; SUPERFICIE &lt;= 6 m2) EN EL EXTERIOR DE FACHADAS, GARANTIZANDO LA CORRECTA COLOCACIÓN Y FUNCIONAMIENTO DE ÉSTOS; INCLUYE LAS CORRESPONDIENTE FIJACIONES, GUÍAS Y MECANISMOS (FCH)</t>
  </si>
  <si>
    <t>Instalación de toldo vertical de lona (3 m2 &lt; superficie &lt;= 6 m2) en el exterior de fachadas, garantizando la correcta colocación y funcionamiento de éstos; incluye las correspondiente fijaciones, guías y mecanismos (FCH)</t>
  </si>
  <si>
    <t>OTV-TENDEDERO-PLEGABLE-01-100</t>
  </si>
  <si>
    <t>SUMINISTRO E INSTALACIÓN DE TENDEDERO METÁLICO PLEGABLE (LARGO = 100 CM), FIJADOS A BARANDILLAS Y/O PARAMENTOS DE FACHADA (FCH)</t>
  </si>
  <si>
    <t>OTV-TENDEDERO-PLEGABLE-01-140</t>
  </si>
  <si>
    <t>SUMINISTRO E INSTALACIÓN DE TENDEDERO METÁLICO PLEGABLE (LARGO = 140 CM), FIJADOS A BARANDILLAS Y/O PARAMENTOS DE FACHADA (FCH)</t>
  </si>
  <si>
    <t>OTV-TENDEDERO-PLEGABLE-01-160</t>
  </si>
  <si>
    <t>SUMINISTRO E INSTALACIÓN DE TENDEDERO METÁLICO PLEGABLE (LARGO = 160 CM), FIJADOS A BARANDILLAS Y/O PARAMENTOS DE FACHADA (FCH)</t>
  </si>
  <si>
    <t>OTV-TENDEDERO-PLEGABLE-01-180</t>
  </si>
  <si>
    <t>SUMINISTRO E INSTALACIÓN DE TENDEDERO METÁLICO PLEGABLE (LARGO = 180 CM), FIJADOS A BARANDILLAS Y/O PARAMENTOS DE FACHADA (FCH)</t>
  </si>
  <si>
    <t>OTV-MISCELANEOS</t>
  </si>
  <si>
    <t>OTROS TRABAJOS MISCELÁNEOS</t>
  </si>
  <si>
    <t>REPOSICIONES</t>
  </si>
  <si>
    <t>REP-ARTEFACTOS-EQPS.-ACCESORIOS</t>
  </si>
  <si>
    <t>REPOSICIÓN DE ARTEFACTOS, EQUIPOS Y ACCESORIOS</t>
  </si>
  <si>
    <t>REP--ARTEFACTOS</t>
  </si>
  <si>
    <t>REPOSICIÓN DE ARTEFACTOS</t>
  </si>
  <si>
    <t>OTV-LAMPARAS.STD-TECHO-01</t>
  </si>
  <si>
    <t>INSTALACIÓN DE LÁMPARAS CONVENCIONALES EMPOTRADAS O SUPERFICIALES</t>
  </si>
  <si>
    <t>Instalación de lámparas convencionales empotradas o superficiales</t>
  </si>
  <si>
    <t>REP-EQPS-AA</t>
  </si>
  <si>
    <t>REPOSICIÓN DE EQUIPOS DE AIRE ACONDICIONADO</t>
  </si>
  <si>
    <t>REP-EQPS-EAA-01</t>
  </si>
  <si>
    <t>REPOSICIÓN DE UNIDAD CONDENSADORA DE EQUIPO SPLIT DE A/A DE 1 TON (12000 BTU/HR) HASTA 2 TON (24000 BTU/HR); INCLUYE LA DISPOSICIÓN TEMPORAL DE LA UNIDAD RECUPERADA EN EL ÁREA DE TRABAJO.</t>
  </si>
  <si>
    <t>El alcance de la partida consiste en la reinstalación de unidad condensadora de equipo split de A/A de 1 ton (12000 BTU/hr) hasta 2 ton (24000 BTU/hr).</t>
  </si>
  <si>
    <t>REP-EQPS-EAA-02</t>
  </si>
  <si>
    <t>REPOSICIÓN DE UNIDAD CONDENSADORA DE EQUIPO SPLIT DE A/A DE 2,5 TON (30000 BTU/HR) HASTA 4 TON (48000 BTU/HR); INCLUYE LA DISPOSICIÓN TEMPORAL DE LA UNIDAD RECUPERADA EN EL ÁREA DE TRABAJO.</t>
  </si>
  <si>
    <t>El alcance de la partida consiste en la reinstalación de unidad condensadora de equipo split de A/A de 2,5 ton (30000 BTU/hr) hasta 4 ton (48000 BTU/hr).</t>
  </si>
  <si>
    <t>REP-CUB.C/BOYA-LAM.VIDRIO-01</t>
  </si>
  <si>
    <t>REPOSICIÓN DE LÁMINAS DE VIDRIO O SIMILAR EN ESTRUCTURA EXISTENTE DE CLARABOYA-LUCERNARIO</t>
  </si>
  <si>
    <t>REP-MOBILIARIO</t>
  </si>
  <si>
    <t>REPOSICIONES DE MOBILIARIO</t>
  </si>
  <si>
    <t>REP-INODOROS-01</t>
  </si>
  <si>
    <t>INSTALACIÓN DE INODORO DE PORCELANA, INCLUYENDO ACCESORIOS</t>
  </si>
  <si>
    <t>REP-JARDINERIA-01</t>
  </si>
  <si>
    <t>REPOSICIÓN DE VEGETACIÓN (JARDINERAS Y/O MACETAS)</t>
  </si>
  <si>
    <t>El alcance de la partida consiste en las actividades propias de reponer las jardineras y macetas previamente removidas como bienes recuperables, a su condición y ubicación originales.</t>
  </si>
  <si>
    <t>REP-LAVABOS-01</t>
  </si>
  <si>
    <t>INSTALACIÓN DE LAVABO DE PORCELANA, INCLUYENDO ACCESORIOS</t>
  </si>
  <si>
    <t>REP-MUEBLES-01</t>
  </si>
  <si>
    <t>REPOSICIÓN DE MUEBLES Y ENSERES</t>
  </si>
  <si>
    <t>El alcance de la partida consiste en las actividades propias de reponer los muebles y enseres previamente removidos como bienes recuperables, a su condición y ubicación originales.</t>
  </si>
  <si>
    <t>REP-PERSIANA.LIBRILLO.01</t>
  </si>
  <si>
    <t>REPOSICIÓN DE PERSIANA DE LIBRILLO O CONTRAVENTANA DE MADERA; NO INCLUYE REPARACIÓN, RECUPERACIÓN Y/O ACABADO DEL ELEMENTO</t>
  </si>
  <si>
    <t>Reposición de persiana de librillo o contraventana de madera; no incluye reparación, recuperación y/o acabado del elemento.</t>
  </si>
  <si>
    <t>REP-VALLADO.OCULTACION-01</t>
  </si>
  <si>
    <t>REPOSICIÓN DE VALLADO DE SOMBREO/OCULTACIÓN (h &lt;= 2 m) Y DE SUS CORRESPONDIENTES MALLAS, PARALES Y MECANISMOS.</t>
  </si>
  <si>
    <t>PACKS</t>
  </si>
  <si>
    <t>PACKS DE MATERIALES</t>
  </si>
  <si>
    <t>pack-limp</t>
  </si>
  <si>
    <t>Pack Limpieza</t>
  </si>
  <si>
    <t>Detalles:
- Peso: 0,05 Kg.
- Pedido Mínimo: 1 UD
Descripción:
Esponja mixta bimaterial para limpieza de medida 20x13x7 cm. Tienen una capa con capacidad de absorción media y otra abrasiva de poliéster para mayor limpieza. Capacidad de absorción media
Ficha técnica:
- Material: Goma espuma
- Medidas: 20x12,5x7 cm
- Indicado para: Para acabados yeso y microcemento
- Tipo de uso: Limpiar</t>
  </si>
  <si>
    <t>ma-lp-00487127</t>
  </si>
  <si>
    <t>TRAPOS DE LIMPIEZA PENTRILO 1 KG Ref.: 00487127</t>
  </si>
  <si>
    <t>ma-lp-00540449</t>
  </si>
  <si>
    <t>ESCOBA CURVA SIN MANGO Ref.: 00540449</t>
  </si>
  <si>
    <t>ESCOBA CURVA SIN MANGO</t>
  </si>
  <si>
    <t>ma-lp-00540458</t>
  </si>
  <si>
    <t>RECOGEDOR METÁLICO CON MANGO Ref.: 00540458</t>
  </si>
  <si>
    <t>RECOGEDOR METÁLICO CON MANGO</t>
  </si>
  <si>
    <t>ma-lp-00557765</t>
  </si>
  <si>
    <t>MANGO ALUMINIO C/DOBLE ROSCA REFORZADO 1400X22 MM Ref.: 00557765</t>
  </si>
  <si>
    <t>MANGO ALUMINIO C/DOBLE ROSCA REFORZADO 1400X22 MM</t>
  </si>
  <si>
    <t>pack-pint</t>
  </si>
  <si>
    <t>Pack Pintura</t>
  </si>
  <si>
    <t>125</t>
  </si>
  <si>
    <t>asd</t>
  </si>
  <si>
    <t>s</t>
  </si>
  <si>
    <t>FCB</t>
  </si>
  <si>
    <t>y</t>
  </si>
  <si>
    <t>yyyy</t>
  </si>
  <si>
    <t>FCMB</t>
  </si>
  <si>
    <t>ere</t>
  </si>
  <si>
    <t>FGCB</t>
  </si>
  <si>
    <t>P_P_260824_1503_sdfsfsdfsdfsdfsd</t>
  </si>
  <si>
    <t>P_sdfsd</t>
  </si>
  <si>
    <t>sdf</t>
  </si>
  <si>
    <t>sdfsdf</t>
  </si>
  <si>
    <t>pack-pint-fc</t>
  </si>
  <si>
    <t>Pack Pintura Fachadas</t>
  </si>
  <si>
    <t>pack-pint-var</t>
  </si>
  <si>
    <t>Pack Pintura Varandillas</t>
  </si>
  <si>
    <t>SEG</t>
  </si>
  <si>
    <t>SEGURIDAD Y SALUD</t>
  </si>
  <si>
    <t>SEG01</t>
  </si>
  <si>
    <t>PREVISIÓN DE EQUIPAMIENTOS E INSTALACIONES</t>
  </si>
  <si>
    <t>Previsión de equipamientos e instalaciones para la protección a nivel de seguridad y salud necesaria para la realización de la obra, incluida formación del personal e inspecciones del técnico en seguridad a la obra.</t>
  </si>
  <si>
    <t>seg1</t>
  </si>
  <si>
    <t>Seguridad y salud</t>
  </si>
  <si>
    <t>SEG02</t>
  </si>
  <si>
    <t>REDACCIÓN DE PLAN DE SEGURIDAD Y SALUD</t>
  </si>
  <si>
    <t>Redacción de plan de seguridad y salud, apertura del centro de trabajo, libro de la subcontratación y demás documentación de obligado cumpliento en materia de seguridad.</t>
  </si>
  <si>
    <t>seg2</t>
  </si>
  <si>
    <t>Redacción de plan de seguridad y salud</t>
  </si>
  <si>
    <t>PARNU</t>
  </si>
  <si>
    <t>PARTIDAS NUEVAS</t>
  </si>
  <si>
    <t>01.15</t>
  </si>
  <si>
    <t>Remat de planxa prelacada, d= 60 cm, remat inferior</t>
  </si>
  <si>
    <t>Subministrament i col·locació de remat metàl·lic per a remat inferior d’envà en trobada amb muret de finca veïna, de xapa plegada d'alumini lacat en color, amb 60 micres de gruix mínim de pel·lícula seca, espessor 1,5 mm, desenvolupament 600 mm i 4 plecs, fixat mecànicament amb ancoratge mecànic amb tac de niló i cargol d'acer galvanitzat, de cap aixamfranat, per a fixació d'element no estructural sobre fàbrica. Inclou el segellat dels junts entre peces i la col·locació de doble cordó de segellat en la unió amb el mur amb segellador adhesiu monocomponent. Inclús replanteig, execució del forat i neteja amb aire a pressió, col·locació del cargol i cargolat directament en la perforació, aplicació del parell de collada amb clau dinamomètrica i neteja de restes.
Perfil inferior: 1 x 6,50 = 6,50</t>
  </si>
  <si>
    <t>HRR100b</t>
  </si>
  <si>
    <t>mt20rca010lx</t>
  </si>
  <si>
    <t>Pieza de remate de chapa plegada de aluminio prelacado, espesor 1.5 mm, desarrollo 600 mm y 4 pliegues.</t>
  </si>
  <si>
    <t>01.16</t>
  </si>
  <si>
    <t>Remat lateral amb planxa metàl·lica (L)</t>
  </si>
  <si>
    <t>Subministrament i col·locació de perfil metàl·lic per a remat superior d’envà pluvial, en trobada amb mur superior de remat de coberta o terrat, de xapa plegada d'alumini lacat en color, amb 60 micres de gruix mínim de pel·lícula seca, espessor 1,5 mm, desenvolupament de fins a 400 mm i 1 plecs, fixat mecànicament amb ancoratge mecànic amb tac de niló i cargol d'acer galvanitzat, de cap aixamfranat, per a fixació d'element no estructural sobre fàbrica. Inclou el segellat dels junts entre peces i la col·locació de doble cordó de segellat en la unió amb el mur i l’envà pluvial amb segellador adhesiu monocomponent. Inclús replanteig, execució del forat i neteja amb aire a pressió, col·locació del cargol i cargolat directament en la perforació, aplicació del parell de collada amb clau dinamomètrica i neteja de restes.
Lateral pilastres: 4 x 3,50 = 14,00
Lateral dret pati: 1 x 4,65 = 4,65
Total: 18,65</t>
  </si>
  <si>
    <t>HRR100d</t>
  </si>
  <si>
    <t>mt20rca010lu</t>
  </si>
  <si>
    <t>Pieza de remate de chapa plegada de aluminio prelacado, espesor 1.5 mm, desarrollo 400 mm y 1 pliegue.</t>
  </si>
  <si>
    <t>APLACADO-PICHOLIN-AT-CERAMICO-01</t>
  </si>
  <si>
    <t>APLACADO CON LADRILLO PICHOLÍN CERAMICO (28x5x1,4 cm/pza) MEDIANTE EL USO DE MEDIO SUSPENDIDO/COLGADO (FC)</t>
  </si>
  <si>
    <t>APLACADO CON LADRILLO PICHOLÍN CERAMICO (22x5,5x3 cm/pza) MEDIANTE EL USO DE MEDIO SUSPENDIDO/COLGADO</t>
  </si>
  <si>
    <t>COMPLEMENTO.SUPERIOR-BARANDILLA</t>
  </si>
  <si>
    <t>S/C CON SOLDADURA DE MONTANTE HORIZONTAL METÁLÁLICO 40x20 mm EN BARANDILLA EXISTENTE</t>
  </si>
  <si>
    <t>Suministro y colocación mediante soldadura de montante horizontal metálico rectangular 40x20 para complemntar altura a 130cm. Acabado para pintar.</t>
  </si>
  <si>
    <t>DESM-S/R-INST.ELECT-PLURIF-80m2</t>
  </si>
  <si>
    <t>Desmontaje sin recuperación de red eléctrica de distribución interior en Vieinda Plurifamiliar 80 m2</t>
  </si>
  <si>
    <t>Desmontaje sin recuperación de red de instalación eléctrica interior bajo tubo protector, en viviendas plurifamiliares de 80 m² de superficie construida por vivienda; con medios manuales, y carga manual sobre camión o contenedor.
Criterio de valoración económica: El precio incluye el desmontaje del cuadro eléctrico, del cableado, de los mecanismos, de las cajas y de los accesorios superficiales.
Incluye: Desmontaje del elemento. Retirada y acopio del material desmontado como escombro.</t>
  </si>
  <si>
    <t>DESM-S/RECUP-ENCIMERA.COCINA</t>
  </si>
  <si>
    <t>DESMONTAJE MANUAL Y SIN RECUPERACIÓN DE ENCIMERA DE COCINA EXISTENTE E INSTALADADA SUPERFICALMENTE</t>
  </si>
  <si>
    <t>DESM-S/RECUP.APARATOS.SANITARIOS</t>
  </si>
  <si>
    <t>DESMONTAJE SIN RECUPERACIÓN DE PIEZAS SANITARIAS (LAVABO, BIDET, EXCUSADO Y ACCESORIOS DE BAÑO)</t>
  </si>
  <si>
    <t>DESM-S/RECUP.INODOROS-01</t>
  </si>
  <si>
    <t>DESMONTAJE SIN RECUPERACIÓN DE INODORO EXISTENTE</t>
  </si>
  <si>
    <t>DESM-TOLDO.PLEGABLE.RETRACTIL.3m</t>
  </si>
  <si>
    <t>DESMONTAJE CON RECUPERACIÓN DE TOLDO PLEGABLE PÉRGOLA RETRÀCTIL</t>
  </si>
  <si>
    <t>Desmontaje de toldo plegable pérgola retráctil, con medios manuales y recuperación del material para su posterior ubicación, sin deteriorar los elementos constructivos a los que está sujeto. El precio incluye el desmontaje de los accesorios y de los elementos de fijación.</t>
  </si>
  <si>
    <t>DESM.-S/RECUP.LAVABOS-01</t>
  </si>
  <si>
    <t>DESMONTAJE SIN RECUPERACIÓN DE LAVABO EXISTENTE</t>
  </si>
  <si>
    <t>DESM..Y.REP-CARTEL.PUBLICIDAD</t>
  </si>
  <si>
    <t>DESMONTAJE Y REPOSICIÓN DE CARTEL/RÓTULO PUBLICITARIO EXTERIOR EN BANDERA</t>
  </si>
  <si>
    <t>DESM..Y.REP-LAMPARA.EXTERIOR</t>
  </si>
  <si>
    <t>DESMONTAJE Y REPOSICIÓN DE LUMINARIA EXTERIOR TIPO REFLECTOR</t>
  </si>
  <si>
    <t>DESM.C/R-LAM.CUB-PANEL.SANDWICH</t>
  </si>
  <si>
    <t>DESMONTAJE CON RECUPERACIÓN DE LÁMINAS DE CUBIERTA LIVIANA TIPO PANEL SANDWICH</t>
  </si>
  <si>
    <t>DESM.VIDRIO.6mm</t>
  </si>
  <si>
    <t>DESMONTAJE A MANO DE VIDRIOS (e &lt;= 6 mm) EN CERRAMIENTOS METÁLICOS; MEDIANTE EL USO DE ANDAMIO TUBULAR</t>
  </si>
  <si>
    <t>DESMONTAJE A MANO DE VIDRIOS EN CERRAMIENTOS METÁLICOS; MEDIANTE EL USO DE ANDAMIO TUBULAR</t>
  </si>
  <si>
    <t>DESM.Y.REP-NUMEROS</t>
  </si>
  <si>
    <t>DESMUNTATGE I REPOSICIÓ DE NÚMEROS</t>
  </si>
  <si>
    <t>DESM.Y.REP-ROTULO.EN.PARAMENTO</t>
  </si>
  <si>
    <t>DLS030</t>
  </si>
  <si>
    <t>Desmontaje con recuperación de contraventana.o persiana de librillo de madera</t>
  </si>
  <si>
    <t>Desmontaje con recuperación de persiana de librillo o contraventana de madera, con medios manuales, sin deteriorar los elementos constructivos sobre los que se sujeta; incluye la protección con plástico, el acopio y la disposición temporal de la persiana en el área de trabajo.</t>
  </si>
  <si>
    <t>DSC030</t>
  </si>
  <si>
    <t>Desmontaje sin recuperación de encimera.de tablero aglomerado o de piedra natural</t>
  </si>
  <si>
    <t>Desmontaje de encimera de piedra natural, con medios manuales, sin afectar a la estabilidad de los elementos constructivos a los que pueda estar sujeta, y carga manual sobre camión o contenedor.
Incluye: Desmontaje del elemento. Retirada y acopio del material desmontado. Limpieza de los restos de obra. Carga manual del material desmontado y restos de obra sobre camión o contenedor.
Criterio de medición de proyecto: Longitud medida según documentación gráfica de Proyecto.
Criterio de medición de obra: Se medirá la longitud realmente desmontada según especificaciones de Proyecto.</t>
  </si>
  <si>
    <t>EHY063</t>
  </si>
  <si>
    <t>Colocación de inyectores externos, en fisura de elemento de hormigón. (FC)</t>
  </si>
  <si>
    <t>Colocación de inyectores externos, cada 20 cm, en fisura de elemento de hormigón, con adhesivo tixotrópico de dos componentes a base de resina epoxi, y sellado superficial de la fisura, con el mismo material, a fin de evitar la fuga de la lechada durante el proceso de inyección.
Criterio de valoración económica: El precio no incluye la inyección de la resina.
Incluye: Sellado superficial de la fisura. Replanteo. Fijación de los inyectores. Retirada de los inyectores. Eliminación del material de sellado sobrante.
Criterio de medición de proyecto: Longitud medida según documentación gráfica de Proyecto.
Criterio de medición de obra: Se medirá la longitud realmente ejecutada según especificaciones de Proyecto.</t>
  </si>
  <si>
    <t>mt09reh121</t>
  </si>
  <si>
    <t>Tapón inyector externo.</t>
  </si>
  <si>
    <t>mt09reh122</t>
  </si>
  <si>
    <t>Inyector externo.</t>
  </si>
  <si>
    <t>mt09reh120a</t>
  </si>
  <si>
    <t>Adhesivo tixotrópico de dos componentes a base de resina epoxi, para la correcta unión entre el hormigón fresco y el hormigón endurecido o para mejorar la adherencia del hormigón endurecido y el acero, según UNE-EN 1504-7.</t>
  </si>
  <si>
    <t>EHY065</t>
  </si>
  <si>
    <t>Inyección de resinas en fisuras, para reparación estructural. (FC)</t>
  </si>
  <si>
    <t>Inyección en fisura con lechada fluida de dos componentes a base de resina epoxi, (rendimiento: 0,5 kg/m), aplicada mediante equipo de inyección a baja presión, para reparación estructural en elemento de hormigón.
Criterio de valoración económica: El precio no incluye la limpieza del interior de la fisura ni la colocación de los inyectores.
Incluye: Premezclado de los componentes de la resina. Conexión de la manguera con los inyectores. Inyección mecánica de la lechada. Desconexión de la manguera. Limpieza superficial.
Criterio de medición de proyecto: Longitud medida según documentación gráfica de Proyecto.
Criterio de medición de obra: Se medirá la longitud realmente ejecutada según especificaciones de Proyecto.</t>
  </si>
  <si>
    <t>mt09red150b</t>
  </si>
  <si>
    <t>Lechada fluida de dos componentes a base de resina epoxi.</t>
  </si>
  <si>
    <t>mq06eim010</t>
  </si>
  <si>
    <t>mo020</t>
  </si>
  <si>
    <t>Oficial 1ª construcción.</t>
  </si>
  <si>
    <t>mo112</t>
  </si>
  <si>
    <t>Peón especializado construcción.</t>
  </si>
  <si>
    <t>ANTICARCOMA-MADERA-PREVENTIVO</t>
  </si>
  <si>
    <t>Tratamiento preventivo contra la carcoma en elemento estructural de madera.</t>
  </si>
  <si>
    <t>Tratamiento preventivo contra la carcoma en viga de madera, mediante la aplicación, con brocha, pincel o pistola, de dos manos, de 0,2 l/m² cada una, de líquido protector. Incluso eliminación previa de los materiales que recubren el elemento a tratar, protección de los elementos del entorno.
Incluye: Protección de los elementos del entorno. Aplicación del tratamiento con brocha.
Criterio de medición de proyecto: Superficie medida según documentación gráfica de Proyecto.
Criterio de medición de obra: Se medirá la superficie realmente ejecutada según especificaciones de Proyecto.</t>
  </si>
  <si>
    <t>ANTICARCOMA-MADERA-CURATIVO</t>
  </si>
  <si>
    <t>Tratamiento curativo contra la carcoma en elemento estructural de madera.</t>
  </si>
  <si>
    <t>Tratamiento curativo contra la carcoma en viga de madera, mediante la realización de 3 taladros por metro y línea, con 2 líneas por cara del elemento, practicados al tresbolillo sobre una de sus caras, con una profundidad de taladro de 2/3 del espesor del elemento y 6 mm de diámetro; inyección de líquido protector en cada uno de los taladros efectuados y posterior aplicación, con brocha, pincel o pistola, de dos manos, de 0,3 l/m² cada una, del mismo producto. Incluso eliminación previa de los materiales que recubren el elemento a tratar, protección de los elementos del entorno, desbastado de la madera degradada y montaje del equipo de inyección.
Incluye: Protección de los elementos del entorno. Replanteo de los orificios en el elemento de madera. Realización de taladros. Montaje del equipo de inyección. Inyección del producto antixilófagos. Limpieza de restos. Aplicación del tratamiento con brocha.
Criterio de medición de proyecto: Superficie medida según documentación gráfica de Proyecto.
Criterio de medición de obra: Se medirá la superficie realmente ejecutada según especificaciones de Proyecto.</t>
  </si>
  <si>
    <t>mt27wav040</t>
  </si>
  <si>
    <t>Válvula de retención de plástico, para impedir el retroceso del producto.</t>
  </si>
  <si>
    <t>mq08etm010</t>
  </si>
  <si>
    <t>Equipo de inyección de fungicida en elementos de madera, con boquilla de inyección.</t>
  </si>
  <si>
    <t>BALIZAMIENTO-OBRA.m2</t>
  </si>
  <si>
    <t>BALIZAMIENTO DE OBRA (SUPERFICIAL)</t>
  </si>
  <si>
    <t>BALIZAMIENTO-OBRA.ml</t>
  </si>
  <si>
    <t>BALIZAMIENTO DE OBRA (LONGITUDINAL)</t>
  </si>
  <si>
    <t>DESM-S/R-FALSO.TECHO.ALUMINIO</t>
  </si>
  <si>
    <t>DESMONTAJE SIN RECUPERACIÓN DE FALSO TECHO DE LAMELAS DEALUMINIO; INCLUYE ESTRUCTURA DE SOPORTE</t>
  </si>
  <si>
    <t>Desmontaje sin recuperación de falso techo de lamelas dealuminio; incluye estructura de soporte</t>
  </si>
  <si>
    <t>ESCARPADO.GRIETA/FISURA-HORM-AT</t>
  </si>
  <si>
    <t>ESCARPADO DE GRIETA/FISURA EN HORMIGÓN (HASTA 5cm PROFUNDIDAD MÁXIMA), MEDIANTE EL USO DE ANDAMIO TUBULAR</t>
  </si>
  <si>
    <t>ESCARPADO.GRIETA/FISURA-HORM-MS</t>
  </si>
  <si>
    <t>ESCARPADO DE GRIETA/FISURA EN HORMIGÓN (HASTA 5cm PROFUNDIDAD MÁXIMA)</t>
  </si>
  <si>
    <t>xxxxxxxxx</t>
  </si>
  <si>
    <t>FBY015</t>
  </si>
  <si>
    <t>TABIQUE DE PLACAS DE YESO LAMINADO CON SISTEMA "KNAUF" (espesor total = 78 mm)</t>
  </si>
  <si>
    <t>Tabique sencillo w111.es "knauf" (15+48+15)/400 (48) lm - (2 impregnada (h1)), de 78 mm de espesor total, con nivel de calidad del acabado q2, formado por una estructura simple de perfiles de chapa de acero galvanizado de 48 mm de anchura, a base de montantes (elementos verticales) separados 400 mm entre sí, con disposición normal "n" y canales (elementos horizontales), a la que se atornillan dos placas en total (una placa tipo impregnada (h1) en cada cara, de 15 mm de espesor cada placa); aislamiento acústico mediante panel semirrígido de lana mineral, espesor 45 mm, según une-en 13162, en el alma. Incluso banda acústica de dilatación autoadhesiva "knauf"; tornillería para la fijación de las placas; cinta de papel con refuerzo metálico "knauf" y pasta de juntas jointfiller 24h "knauf", cinta microperforada de papel "knauf".
Criterio de valoración económica: el precio incluye la resolución de encuentros y puntos singulares.
Incluye: replanteo y trazado en el forjado inferior y en el superior de los tabiques a realizar. Colocación de banda de estanqueidad y canales inferiores, sobre solado terminado o base de asiento. Colocación de banda de estanqueidad y canales superiores, bajo forjados. Colocación y fijación de los montantes sobre los elementos horizontales. Corte de las placas. Fijación de las placas para el cierre de una de las caras del tabique. Colocación de los paneles de lana mineral entre los montantes. Fijación de las placas para el cierre de la segunda cara del tabique. Replanteo de las cajas para alojamiento de mecanismos eléctricos y de paso de instalaciones, y posterior perforación de las placas. Tratamiento de juntas.
Criterio de medición de proyecto: superficie medida según documentación gráfica de proyecto, sin duplicar esquinas ni encuentros, siguiendo los criterios de medición expuestos en la norma une 92305.
Criterio de medición de obra: se medirá la superficie realmente ejecutada según especificaciones de proyecto, sin duplicar esquinas ni encuentros, siguiendo los criterios de medición expuestos en la norma une 92305.</t>
  </si>
  <si>
    <t>mt12pck020b</t>
  </si>
  <si>
    <t>Banda acústica de dilatación, autoadhesiva, de espuma de poliuretano de celdas cerradas "KNAUF", de 3,2 mm de espesor y 50 mm de anchura, resistencia térmica 0,10 m²K/W, conductividad térmica 0,032 W/(mK).</t>
  </si>
  <si>
    <t>mt12pfk020b</t>
  </si>
  <si>
    <t>Canal 48/30 "KNAUF" de acero galvanizado, según UNE-EN 14195.</t>
  </si>
  <si>
    <t>mt12pfk010b</t>
  </si>
  <si>
    <t>Montante 48/35 "KNAUF" de acero galvanizado, según UNE-EN 14195.</t>
  </si>
  <si>
    <t>mt16lra060b</t>
  </si>
  <si>
    <t>Panel semirrígido de lana mineral, espesor 45 mm, según UNE-EN 13162, Euroclase A1 de reacción al fuego según UNE-EN 13501-1 y factor de resistencia a la difusión del vapor de agua 1.</t>
  </si>
  <si>
    <t>mt12ppk010gb</t>
  </si>
  <si>
    <t>Placa de yeso laminado H1 / UNE-EN 520 - 1200 / longitud / 15 / con los bordes longitudinales afinados, impregnada "KNAUF"; Euroclase A2-s1, d0 de reacción al fuego, según UNE-EN 13501-1.</t>
  </si>
  <si>
    <t>mt12ptk010cc</t>
  </si>
  <si>
    <t>Tornillo autoperforante TN "KNAUF" 3,5x25.</t>
  </si>
  <si>
    <t>mt12pik010e</t>
  </si>
  <si>
    <t>Pasta de juntas Jointfiller 24H "KNAUF", Euroclase A2-s1, d0 de reacción al fuego, según UNE-EN 13501-1, rango de temperatura de trabajo de 5 a 30°C, para aplicación manual con cinta de juntas, según UNE-EN 13963.</t>
  </si>
  <si>
    <t>mt12pck010a</t>
  </si>
  <si>
    <t>Cinta microperforada de papel "KNAUF" de 50 mm de anchura, según UNE-EN 13963.</t>
  </si>
  <si>
    <t>mt12pck010d</t>
  </si>
  <si>
    <t>Cinta de papel con refuerzo metálico "KNAUF" de 52 mm de anchura, según UNE-EN 14353.</t>
  </si>
  <si>
    <t>HRR100c</t>
  </si>
  <si>
    <t>Pieza de remate de chapa plegada de acero prelacado, espesor 1 mm, desarrollo 600 mm y 2 pliegues; fijación con tornillos autotaladrantes de acero galvanizado, y sellado de las juntas entre piezas y, en su caso, de las uniones con los muros con sellador adhesivo monocomponente.
Incluye: Replanteo de las piezas. Corte de las piezas. Colocación, aplomado, nivelación y alineación. Resolución de encuentros y de puntos singulares. Sellado de juntas y limpieza.
Criterio de medición de proyecto: Longitud medida según documentación gráfica de Proyecto.
Criterio de medición de obra: Se medirá la longitud realmente ejecutada según especificaciones de Proyecto.</t>
  </si>
  <si>
    <t>INST-TOLDO.PLEGABLE.RETRACTIL.3m</t>
  </si>
  <si>
    <t>INSTALACIÓN DE TOLDO PLEGABLE PÉRGOLA RETRÀCTIL (L &lt;= 3,00 m)</t>
  </si>
  <si>
    <t>LAMP.EMERGENCIA-LED.100L</t>
  </si>
  <si>
    <t>Luminaria de emergencia con lámpara LED, en zonas comunes.</t>
  </si>
  <si>
    <t>Luminaria de emergencia, con autotest, de 1,3 W, con lámpara LED no reemplazable, flujo luminoso 100 lúmenes, carcasa de 210x110x41 mm, aislamiento clase II, grados de protección IP42 e IK07, con baterías de Ni-Cd, autonomía de 1 h, alimentación a 220/240 V y 50-60 Hz y piloto luminoso indicador de carga color verde, en zonas comunes. Instalación en superficie. Incluso accesorios y elementos de fijación.
Incluye: Replanteo. Fijación y nivelación. Montaje, conexionado y comprobación de su correcto funcionamiento.
Criterio de medición de proyecto: Número de unidades previstas, según documentación gráfica de Proyecto.
Criterio de medición de obra: Se medirá el número de unidades realmente ejecutadas según especificaciones de Proyecto.</t>
  </si>
  <si>
    <t>mt34aem113e</t>
  </si>
  <si>
    <t>Luminaria de emergencia, con autotest, de 1,3 W, con lámpara LED no reemplazable, flujo luminoso 100 lúmenes, carcasa de 210x110x41 mm, aislamiento clase II, grados de protección IP42 e IK07, con baterías de Ni-Cd, autonomía de 1 h, alimentación a 220/240 V y 50-60 Hz y piloto luminoso indicador de carga color verde. Incluso accesorios y elementos de fijación.</t>
  </si>
  <si>
    <t>LEVANTADO-PANEL.SANDWICH-S/RECUP</t>
  </si>
  <si>
    <t>LEVANTADO MANUAL Y SIN RECUPERACIÓN DE CUBIERTA DE TECHO/FACHADA EXISTENTE EN PANELES TIPO SANDWICH</t>
  </si>
  <si>
    <t>Levantado con medios manuales y sin recuperación, de cubiertas de techo/fachada en paneles tipo sandwich, sin deteriorar los elementos constructivos a los que está sujeta.</t>
  </si>
  <si>
    <t>LEVANTADO-PAPEL.TAPIZ-01</t>
  </si>
  <si>
    <t>LEVANTADO MANUAL DE PAPEL TAPIZ EN PARAMENTOS INTERIORES</t>
  </si>
  <si>
    <t>LEVANTADO-PUERTA-S/RECUP.</t>
  </si>
  <si>
    <t>LEVANTADO MANUAL Y SIN RECUPERACIÓN DE PUERTA/BALCONERA DE ALUMINIO Y VIDRIO EXISTENTE</t>
  </si>
  <si>
    <t>Levantado con medios manuales y sin recuperación, de puerta o balconera de aluminio y vidrio fijada al paramento mediante recibido en obra de fábrica, sin deteriorar los elementos constructivos a los que está sujeta.</t>
  </si>
  <si>
    <t>moc1-std1-generico</t>
  </si>
  <si>
    <t>Cuadrilla Std1 - 1 Oficial de 1ª y 1 Ayudante</t>
  </si>
  <si>
    <t>LMP-VIDRIOS-TV</t>
  </si>
  <si>
    <t>o LIMPIEZA DE VIDRIOS EN VENTANAS/BALCONERAS DE FACHADA</t>
  </si>
  <si>
    <t>MAMPARA.DIVISORIA.NUEVA</t>
  </si>
  <si>
    <t>SUSTITUCIÓN MAMPARA SEPARADORA DE CERRAJERÍA EN BALCONES</t>
  </si>
  <si>
    <t>MANILLA</t>
  </si>
  <si>
    <t>ut</t>
  </si>
  <si>
    <t>SUMINISTRO Y COLOCACIÓN DE MANILLA PARA PUERTA BASISC DE FORMANI LBVII-19.INOX</t>
  </si>
  <si>
    <t>Suministro y colocación de manilla para puerta basisc de formani lbvii-19.inox</t>
  </si>
  <si>
    <t>MANIPULACION-CANALIZACIONES</t>
  </si>
  <si>
    <t>MANIPULACIÓN DE INSTALACIONES EN PARAMENTO VERTICAL</t>
  </si>
  <si>
    <t>MONTANTE-MULTICAPA-AT-25mm</t>
  </si>
  <si>
    <t>SUMINISTRO Y COLOCACIÓN DE MONTANTE MULTICAPA 25mm EN INSTALACIÓN SUPERFICIAL, MEDIANTE EL USO DE ANDAMIO TUBULAR</t>
  </si>
  <si>
    <t>Suministro y colocación de montante multicapa 25mm en instalación superficial, mediante el uso de andamio tubular</t>
  </si>
  <si>
    <t>NIT020</t>
  </si>
  <si>
    <t>Impermeabilización de pared medianera con tabique pluvial de placas conformadas.</t>
  </si>
  <si>
    <t>Impermeabilización de pared medianera de hasta 12 m de altura con tabique pluvial de placas grecadas de acero galvanizado, de 0,6 mm de espesor, con nervios cada 20 a 24 cm, inercia entre 5 y 6 cm4 y masa superficial entre 5,4 y 5,7 kg/m², acabado prelacado en color estándar, disposición de las placas en hiladas solapadas, fijadas a la pared medianera sobre rastreles metálicos con tornillos rosca-chapa; y remate perimetral de plancha galvanizada esmaltada, de varios colores.
Incluye: Preparación y limpieza del soporte. Replanteo del entramado de rastreles metálicos. Fijación de los rastreles al soporte. Corte y presentación de las placas del tabique pluvial. Colocación de las placas. Resolución del perímetro interior y exterior del elemento. Sujeción de las placas. Repasos y limpieza.
Criterio de medición de proyecto: Superficie medida según documentación gráfica de Proyecto.
Criterio de medición de obra: Se medirá la superficie realmente ejecutada según especificaciones de Proyecto.</t>
  </si>
  <si>
    <t>mt13lpw020</t>
  </si>
  <si>
    <t>Rastrel de chapa galvanizada, para fijación de placas en tabiques pluviales.</t>
  </si>
  <si>
    <t>mt13lpw030</t>
  </si>
  <si>
    <t>mt13lps020</t>
  </si>
  <si>
    <t>PARED.INT-LADRILLO.HUECO.P/R-7cm</t>
  </si>
  <si>
    <t>HOJA DE PARTICIÓN INTERIOR DE FÁBRICA DE LADRILLO CERÁMICO HUECO PARA REVESTIR (ESPESOR 7 CM)</t>
  </si>
  <si>
    <t>Hoja de partición interior, de 7 cm de espesor, de fábrica de ladrillo cerámico hueco (tochana), para revestir, 29x14x7 cm, con juntas horizontales y verticales de 10 mm de espesor, recibida con mortero de cemento confeccionado en obra, con 250 kg/m³ de cemento, color gris, dosificación 1:6, suministrado en sacos.
Incluye: Replanteo y trazado en el forjado de los tabiques a realizar. Marcado en los pilares de los niveles de referencia general de planta y de nivel de pavimento. Colocación y aplomado de miras de referencia. Colocación, aplomado y nivelación de cercos y precercos de puertas y armarios. Tendido de hilos entre miras. Preparación del mortero. Colocación de las piezas por hiladas a nivel. Recibido a la obra de cercos y precercos. Encuentros de la fábrica con fachadas, pilares y tabiques. Encuentro de la fábrica con el forjado superior. Limpieza del paramento.
Criterio de medición de proyecto: Superficie medida según documentación gráfica de Proyecto, sin duplicar esquinas ni encuentros, deduciendo los huecos de superficie mayor de 3 m². En los huecos que no se deduzcan, están incluidos los trabajos de realizar la superficie interior del hueco.
Criterio de medición de obra: Se medirá la superficie realmente ejecutada según especificaciones de Proyecto, sin duplicar esquinas ni encuentros, deduciendo los huecos de superficie mayor de 3 m². En los huecos que no se deduzcan, están incluidos los trabajos de realizar la superficie interior del hueco.</t>
  </si>
  <si>
    <t>mt04lcc010b</t>
  </si>
  <si>
    <t>Ladrillo cerámico hueco (tochana), para revestir, 29x14x7 cm, para uso en fábrica protegida (pieza P), densidad 805 kg/m³, según UNE-EN 771-1.</t>
  </si>
  <si>
    <t>PINT-SILICONADA.PROSILOX-V-AT</t>
  </si>
  <si>
    <t>PINTURA ACRÍLICA SILICONADA "PROSILOX/PROCOLOR" EN PARAMENTOS VERTICALES (FCH)</t>
  </si>
  <si>
    <t>PRE-KIT.EQUIPOS-001</t>
  </si>
  <si>
    <t>KIT DE EQUIPOS MENORES TRANSPORTABLES PARA TRABAJOS EN ALTURA</t>
  </si>
  <si>
    <t>PROT.CUB.VECINA</t>
  </si>
  <si>
    <t>PROTECCIÓN PROVISIONAL DE CUBIERTA VECINA</t>
  </si>
  <si>
    <t>Suministro y colocación de solera de mostradores de madera y lona de protección, sobre cubierta plana o inclinada de edificación vecina, para protegerlo frente a la suciedad y el polvo generados durante los trabajos de rehabilitación o reforma. También vigilancia y mantenimiento de la protección mientras duren los trabajos, fijación de la protección con cinta adhesiva, posterior retirada, recogida y carga manual sobre camión o contenedor.</t>
  </si>
  <si>
    <t>PROT.ELEMENTOS.PRIV.-FIJOS-m2</t>
  </si>
  <si>
    <t>PROTECCIÓN ELEMENTOS PRIVATIVOS FIJOS (VENTANAS, BALCONERAS, PUERTAS Y OTROS CERRAMIENTOS)</t>
  </si>
  <si>
    <t>PROT.ELEMENTOS.PRIV.-FIJOS-und</t>
  </si>
  <si>
    <t>PROTECCIÓN ELEMENTOS PRIVATIVOS FIJOS (VENTANAS Y BALCONERAS)</t>
  </si>
  <si>
    <t>PROTECCION-ANTENA-TV</t>
  </si>
  <si>
    <t>PROTECCION ANTENA DE T.V.</t>
  </si>
  <si>
    <t>PROTECCION-TUBO/CABLE-01</t>
  </si>
  <si>
    <t>PROTECCIÓN DE TUBERÍA/CABLE CON CHAPA GALVANIZADA (ancho = 290 mm)</t>
  </si>
  <si>
    <t>PTO.EMP.LATERAL-BARAND-MORTERO</t>
  </si>
  <si>
    <t>RESTAURACIÓN DE PUNTO DE EMPOTRAMIENTO LATERAL DE BARANDILLA A PARAMENTO DE MORTERO</t>
  </si>
  <si>
    <t>Saneamiento de los anclajes de barandillas de terrazas anclados al paramento vertical de fachada acabado a base de mortero, mediante descubrimiento de la totalidad del anclaje metálico, saneamiento a través del cepillado superficial manual con cepillo de púas acero y aplicación de dos manos de imprimación anticorrosiva a base de resinas epoxi y fosfato de zinc tipo SIKA PRIMER EG y posterior retacado con mortero de reparación estructural sin retracción clase R3 tipo SIKA MONOTOP-612 y acabado con mortero de nivelación y sellador de poro tipo SIKA MONOTOP-620. Imitando textura y molduras existentes. Incluye pp de aristas y rincones.</t>
  </si>
  <si>
    <t>PTO.EMP.LATERAL-BARANDILLAS</t>
  </si>
  <si>
    <t>RESTAURACIÓN DE PUNTO DE EMPOTRAMIENTO LATERAL DE BARANDILLA A PARAMENTO</t>
  </si>
  <si>
    <t>Trabajos para restauración de punto de empotramiento de barandilla metálica existente en buen estado, mediante el repicado del soporte en la zona de empotramiento hasta descubrir el soporte metálico llegando a base firme. Pasividad de empotramientos con protección anti corrosiva del tipo SIKA TOP ARMATEC 110 EPOCEM o similar. Restitución de los agujeros del empotramiento a base de cemento mejorado con resinas sintéticas, humo de sílice y fibras minerales tipo SIKA MONOTOP 612/618 o similar. La superficie quedará preparada para la aplicación del revestimiento de acabado.</t>
  </si>
  <si>
    <t>RECUP.PERSIANA.LIBRETO</t>
  </si>
  <si>
    <t>RECUPERACIÓN TOTAL DE PERSIANAS DE LIBRETO</t>
  </si>
  <si>
    <t>m.o.%</t>
  </si>
  <si>
    <t>REP-APLACADO.PIEDRA/M2-AT</t>
  </si>
  <si>
    <t>REPARACION DE APLACADO DE PIEDRA EN PARAMENTO VERTICAL, MEDIENTE EL USO DE ANDAMIO TUBULAR</t>
  </si>
  <si>
    <t>REPARACION DE APLACADO DE PIEDRA EN PARAMENTO VERTICAL, MEDIENTE EL USO DE ANDAMIO TUBULAR.
Reparación de paramento vertical, acabado con aplacado de piedra, mediante repicado con medios
manuales y/o mecánicos de la zona afectada hasta llegar a base firme, sólida y estable. Aplicación de KEIM Restauro-Top como mortero mineral con lazos hidráulicos para restauración de piedra natural como capa final de acabado con profundidad inferior a 1cm de espesor o equivalente, igualando textura y molduras existentes (según ficha técnica del fabricante). 
En caso de aparecer elementos metálicos se pasivarán con tres capas de producto a base de cemento y resinas epoxi modificadas, de tres componentes, tipo SIKA TOP ARMATEC 110 EPOCEM, que protege de la corrosión y sirve de puente de agarre.</t>
  </si>
  <si>
    <t>REP-APLACADO.PIEDRA/M2-MS</t>
  </si>
  <si>
    <t>REPARACION DE APLACADO DE PIEDRA EN PARAMENTO VERTICAL, MEDIENTE EL USO DE MEDIO SUSPENDIO/COLGADO</t>
  </si>
  <si>
    <t>REP-FISURAS.AT</t>
  </si>
  <si>
    <t>REPARACIÓN DE FISURAS MENORES EN PARAMENTOS CON USO DE MORTERO MASTEREMACO N 205 FC de BASF; MEDIANTE EL USO DE ANDAMIO TUBULAR</t>
  </si>
  <si>
    <t>La actividad requiere un repicado en profundidad, así como el relleno del espacio abierto con mortero de reparación reforzado con malla de fibra de vidrio antiálcali;</t>
  </si>
  <si>
    <t>RET-C/R-PUERTA-01</t>
  </si>
  <si>
    <t>RETIRO CON RECUPERACIÓN DE PUERTA Y MARCO EXISTENTES</t>
  </si>
  <si>
    <t>RETACADO-MORTERO.GROUT</t>
  </si>
  <si>
    <t>RETACADO CON INYECCIÓN DE MORTERO EXPANSIVO SIN RETRACCIÓN</t>
  </si>
  <si>
    <t>Retacado con inyección de mortero expansivo sin retracción, hasta colmatar el espacio resultante entre perfil de nuevo envigado y paramento existente, así como oquedades resultantes de hormigonado durante trabajos de recalce; incluye pasta de yeso y masilla para sellado del espacio retacado.</t>
  </si>
  <si>
    <t>REVPAV-PARQUET.COMPACTO.ROBLE</t>
  </si>
  <si>
    <t>Parquet mosaico.</t>
  </si>
  <si>
    <t>Parquet mosaico taraceado, formado por tablillas de madera de roble, de 120x24x8 mm, adosadas unas a otras pero no unidas entre sí, colocadas con adhesivo a base de poliuretano a rompejuntas. Incluso acuchillado, lijado, plastecido, aplicación de fondos y barnizado final con tres manos de barniz de poliuretano de dos componentes P-6/8.
Incluye: Vertido y extendido sobre el soporte del adhesivo. Colocación de las tablas de parquet. Limpieza del adhesivo sobrante. Acuchillado y lijado de la superficie. Plastecido y aplicación de fondos. Barnizado.
Criterio de medición de proyecto: Superficie útil, medida según documentación gráfica de Proyecto. No se ha incrementado la medición por roturas y recortes, ya que en la descomposición se ha considerado un 5% más de piezas.
Criterio de medición de obra: Se medirá la superficie realmente ejecutada según especificaciones de Proyecto.</t>
  </si>
  <si>
    <t>mt18mva040</t>
  </si>
  <si>
    <t>Adhesivo de reacción de poliuretano, para pegado de madera.</t>
  </si>
  <si>
    <t>mt18mpm010a</t>
  </si>
  <si>
    <t>Tablilla de taraceado, madera maciza de roble, 120x24x8 mm.</t>
  </si>
  <si>
    <t>mt27tmp010</t>
  </si>
  <si>
    <t>Barniz de poliuretano de dos componentes P-6/8.</t>
  </si>
  <si>
    <t>mq08war160</t>
  </si>
  <si>
    <t>Lijadora de aplicación en pavimentos de madera, equipada con rodillos para lija y sistema de aspiración.</t>
  </si>
  <si>
    <t>REVPINT-ACRIL.SILOXANO-V-AT-03</t>
  </si>
  <si>
    <t>PINTURA A BASE DE RESINAS ACRIL-SOLOXÁNICAS EN PARAMENTOS VERTICALES MEDIANTE EL USO DE ANDAMIO TUBULAR (FCH)</t>
  </si>
  <si>
    <t>ma-pinturasmata-008108060</t>
  </si>
  <si>
    <t>Revestimiento mate liso en fase acuosa a base de resinas acrílicas y de polisiloxanos de PROCOLOR (15 litros/bidón).   Ref. pinturasmata-008108060</t>
  </si>
  <si>
    <t>REVPINT-ACRIL.SILOXANO-V-MS-03</t>
  </si>
  <si>
    <t>PINTURA A BASE DE RESINAS ACRIL-SOLOXÁNICAS EN PARAMENTOS VERTICALES MEDIANTE EL USO DE MEDIO  SUSPENDIDO/COLGADO (FCH)</t>
  </si>
  <si>
    <t>REVPINT-B.STD-HAMMERITE-AT</t>
  </si>
  <si>
    <t>PINTURA AL ESMALTE EN BARANDILLA STD (HAMMERITE); MEDIANTE USO DE MEDIO USO DE ANDAMIO TUBULAR</t>
  </si>
  <si>
    <t>ma-bauhaus-24164085</t>
  </si>
  <si>
    <t>Esmalte para metal hierro y óxido liso de HAMMERITE; color negro (2,5 litros/envase).   Ref. bauhaus-24164085</t>
  </si>
  <si>
    <t>ma-bauhaus-24164252</t>
  </si>
  <si>
    <t>Disolvente HAMMERITE (1 litro/envase).   Ref. bauhaus-24164252</t>
  </si>
  <si>
    <t>REVPINT-B.STD-HAMMERITE-MS</t>
  </si>
  <si>
    <t>PINTURA AL ESMALTE EN BARANDILLA STD (HAMMERITE); MEDIANTE USO DE MEDIO USO DE SUSPENDIDO/COLGADO</t>
  </si>
  <si>
    <t>REVPINT-PASAMANO-HAMMERITE-AT</t>
  </si>
  <si>
    <t>PINTURA AL ESMALTE EN PASAMANO BARANDILLA (HAMMERITE); MEDIANTE USO DE MEDIO DE ANDAMIO TUBULAR</t>
  </si>
  <si>
    <t>REVPINT-PASAMANO-HAMMERITE-MS</t>
  </si>
  <si>
    <t>PINTURA AL ESMALTE EN PASAMANO BARANDILLA (HAMMERITE); MEDIANTE EL USO DE MEDIO SUSPENDIDO/COLGADO</t>
  </si>
  <si>
    <t>STR-DINTEL-IPE120</t>
  </si>
  <si>
    <t>Formación de dintel con perfil de acero IPE120; incluyendo apertura de roza/surco en pared para empotramiento</t>
  </si>
  <si>
    <t>Suministro y colocación de perfil laminado en caliente IPE120 como dintel; incluyendo apertura de surco/ranura en pared, mortero de recatado y recuperación de volumen, y aplicación de anticorrosivo en elemento metálico.</t>
  </si>
  <si>
    <t>STR-PLACA.ACERO-250x250x10</t>
  </si>
  <si>
    <t>SUMINISTRO Y COLOCACIÓN DE PLACA DE ACERO PARA ANCLAJE DE ESTRUCTURA METÁLICA (250X250X8 MM/PZA)</t>
  </si>
  <si>
    <t>Suministro y colocación de placa de acero para anclaje de estructura metálica (250x250x8 mm/pza); incluye aplicación de anticorrosivo y aplicación de perforaciones.</t>
  </si>
  <si>
    <t>STR-PLACA.ACERO-250x250x12</t>
  </si>
  <si>
    <t>SUMINISTRO Y COLOCACIÓN DE PLACA DE ACERO PARA ANCLAJE DE ESTRUCTURA METÁLICA (250X250X12 MM/PZA)</t>
  </si>
  <si>
    <t>Suministro y colocación de placa de acero para anclaje de estructura metálica (250x250x12 mm/pza)</t>
  </si>
  <si>
    <t>STR-PLACA.ACERO-300x200x10</t>
  </si>
  <si>
    <t>SUMINISTRO Y COLOCACIÓN DE PLACA DE ACERO PARA ANCLAJE DE ESTRUCTURA METÁLICA (300X200X10 MM/PZA)</t>
  </si>
  <si>
    <t>Suministro y colocación de placa de acero para anclaje de estructura metálica (300x200x10 mm/pza); incluye aplicación de anticorrosivo y aplicación de perforaciones.</t>
  </si>
  <si>
    <t>STR-PLACA.ACERO.C/E-250x250x12</t>
  </si>
  <si>
    <t>SUMINISTRO Y COLOCACIÓN DE PLACA DE ACERO PARA ANCLAJE DE ESTRUCTURA METÁLICA (250X250X12 MM/PZA); INCLUYE PERNOS Y TACO QUÍMICO</t>
  </si>
  <si>
    <t>Suministro y colocación de placa de acero para anclaje de estructura metálica (250x250x12 mm/pza); incluye pernos y taco químico</t>
  </si>
  <si>
    <t>STR-TACO.QUIMICO-16mm.M</t>
  </si>
  <si>
    <t>S/C ESPÁRRAGO DE ANCLAJE 16 mm CON TACO QUÍMICO EN MAMPOSTERÍA</t>
  </si>
  <si>
    <t>TRANSPORTE-IDA.Y.VUELTA</t>
  </si>
  <si>
    <t>TRANSPORTE IDA Y VUELTA DE EQUIPOS MENORES Y HERRAMIENTAS</t>
  </si>
  <si>
    <t>TRASDOSADO-AUTOPORTANTE-C/FUEGO</t>
  </si>
  <si>
    <t>TRASDOSADO AUTOPORTANTE DE PLACAS DE YESO LAMINADO. SISTEMA "PLADUR".</t>
  </si>
  <si>
    <t>Trasdosado autoportante, con resistencia al fuego EI 60, sistema 78 (48-35) MW "PLADUR", de 88 mm de espesor, con nivel de calidad del acabado Q2, formado por placa de yeso laminado tipo con resistencia al fuego de 15 mm de espesor, formando sándwich con una placa tipo con resistencia al fuego de 15 mm de espesor, atornilladas directamente a una estructura autoportante de acero galvanizado formada por canales horizontales, sólidamente fijados al suelo y al techo y montantes verticales de 48 mm y 0,6 mm de espesor con una modulación de 400 mm y con disposición normal "N", montados sobre canales junto al paramento vertical creando una cámara de aire de 10 mm de espesor mínimo. Incluso banda estanca autoadhesiva "PLADUR"; fijaciones para el anclaje de canales y montantes metálicos; tornillería para la fijación de las placas; cinta microperforada de papel con refuerzo metálico "PLADUR" y pasta de secado en polvo JN "PLADUR", cinta microperforada de papel "PLADUR".
Criterio de valoración económica: El precio incluye la resolución de encuentros y puntos singulares, pero no incluye el aislamiento a colocar entre las placas y el paramento.
Incluye: Replanteo y trazado en el forjado inferior y en el superior de los perfiles. Colocación de banda de estanqueidad y canales inferiores, sobre solado terminado o base de asiento. Colocación de banda de estanqueidad y canales superiores, bajo forjados. Colocación y fijación de los montantes sobre los elementos horizontales. Corte de las placas. Fijación de las placas. Replanteo de las cajas para alojamiento de mecanismos eléctricos y de paso de instalaciones, y posterior perforación de las placas. Tratamiento de juntas.
Criterio de medición de proyecto: Superficie medida según documentación gráfica de Proyecto, sin duplicar esquinas ni encuentros, siguiendo los criterios de medición expuestos en la norma UNE 92305.
Criterio de medición de obra: Se medirá la superficie realmente ejecutada según especificaciones de Proyecto, sin duplicar esquinas ni encuentros, siguiendo los criterios de medición expuestos en la norma UNE 92305.</t>
  </si>
  <si>
    <t>mt12pfp010ab</t>
  </si>
  <si>
    <t>Canal C 48/30 "PLADUR", de 48 mm de anchura, de acero galvanizado Z1 (Z140), según UNE-EN 14195.</t>
  </si>
  <si>
    <t>mt12pfp020b</t>
  </si>
  <si>
    <t>Montante M 48/35 "PLADUR", de 48 mm de anchura, de acero galvanizado Z1 (Z140), según UNE-EN 14195.</t>
  </si>
  <si>
    <t>mt12pip020b</t>
  </si>
  <si>
    <t>Banda estanca autoadhesiva de espuma de poliuretano de celdas cerradas "PLADUR", de 3 mm de espesor y 46 mm de anchura, resistencia térmica 0,10 m²K/W, conductividad térmica 0,034 W/(mK).</t>
  </si>
  <si>
    <t>mt12psp010cwd</t>
  </si>
  <si>
    <t>Placa de yeso laminado F / UNE-EN 520 - 1200 / 3000 / 15 / con los bordes longitudinales afinados, con resistencia al fuego F "PLADUR", Euroclase A2-s1, d0 de reacción al fuego, según UNE-EN 13501-1.</t>
  </si>
  <si>
    <t>mt12ptp010ch</t>
  </si>
  <si>
    <t>Tornillo autoperforante de acero cincado, MM 3,5x9,5 "PLADUR", de cabeza redonda y punta de broca; para la unión de perfiles metálicos de hasta 2,25 mm de espesor.</t>
  </si>
  <si>
    <t>mt12ptp010ag</t>
  </si>
  <si>
    <t>Tornillo autorroscante de acero revestido con fosfatos, PM 3,5x25 "PLADUR", con cabeza de trompeta y punta afilada; para la fijación de placas de yeso laminado a perfiles metálicos de hasta 0,75 mm de espesor.</t>
  </si>
  <si>
    <t>mt12ptp010ae</t>
  </si>
  <si>
    <t>Tornillo autorroscante de acero revestido con fosfatos, PM 3,5x45 "PLADUR", con cabeza de trompeta y punta afilada; para la fijación de placas de yeso laminado a perfiles metálicos de hasta 0,75 mm de espesor.</t>
  </si>
  <si>
    <t>mt12pep010pa</t>
  </si>
  <si>
    <t>Pasta de secado en polvo JN "PLADUR", 3A, color blanco, Euroclase A2-s1, d0 de reacción al fuego, según UNE-EN 13501-1, rango de temperatura de trabajo de 5 a 35°C, para aplicación manual con cinta de juntas, según UNE-EN 13963.</t>
  </si>
  <si>
    <t>mt12pip010aa</t>
  </si>
  <si>
    <t>Cinta microperforada de papel "PLADUR", de 51 mm de anchura y 0,215 mm de espesor, según UNE-EN 13963.</t>
  </si>
  <si>
    <t>mt12pip010ea</t>
  </si>
  <si>
    <t>Cinta microperforada de papel con refuerzo metálico "PLADUR", de 50 mm de anchura y 0,215 mm de espesor, según UNE-EN 14353.</t>
  </si>
  <si>
    <t>VISERA-ALUMINIO-20.40</t>
  </si>
  <si>
    <t>SUMINISTRO Y COLOCACIÓN DE VISERA DE ALUMINIO LACADO EN CHAPA CORTADA-DOBLADA (Longitud Desarrollo = 70 cm)</t>
  </si>
  <si>
    <t>Suministro y colocación de visera de aluminio lacado en chapa cortada-doblada (longitud desarrollo = 70 cm)</t>
  </si>
  <si>
    <t>ZOCALO-MADERA.ROBLE-7cm</t>
  </si>
  <si>
    <t>RODAPIÉ DE MADERA DE ROBLE 7 cm</t>
  </si>
  <si>
    <t>Rodapié de madera maciza de roble, de 70x12 mm, acabado barnizado en taller, fijado al paramento mediante adhesivo.
Incluye: Replanteo. Corte de las piezas. Fijación de las piezas sobre el paramento. Resolución de esquinas y encuentros.
Criterio de medición de proyecto: Longitud medida según documentación gráfica de Proyecto, sin incluir huecos de puertas. No se ha incrementado la medición por roturas y recortes, ya que en la descomposición se ha considerado un 5% más de piezas.
Criterio de medición de obra: Se medirá la longitud realmente ejecutada según especificaciones de Proyecto.</t>
  </si>
  <si>
    <t>mt18rma010zc</t>
  </si>
  <si>
    <t>Rodapié de madera maciza de roble, de 70x12 mm, acabado barnizado en taller.</t>
  </si>
  <si>
    <t>mt18mva070</t>
  </si>
  <si>
    <t>SEGYS</t>
  </si>
  <si>
    <t>SEG03</t>
  </si>
  <si>
    <t>BOTIQUÍN DE URGENCIA</t>
  </si>
  <si>
    <t>Botiquín de urgencia para caseta de obra, provisto de desinfectantes y antisépticos autorizados, gasas estériles, algodón hidrófilo, venda, esparadrapo, apósitos adhesivos, un par de tijeras, pinzas, guantes desechables, bolsa de goma para agua y hielo, antiespasmódicos, analgésicos, tónicos cardíacos de urgencia, un torniquete, un termómetro clínico y jeringuillas desechables, fijado al paramento con tornillos y tacos.</t>
  </si>
  <si>
    <t>mt50eca010</t>
  </si>
  <si>
    <t>Botiquín de urgencia provisto de desinfectantes y antisépticos autorizados, gasas estériles, algodón hidrófilo, venda, esparadrapo, apósitos adhesivos, un par de tijeras, pinzas, guantes desechables, bolsa de goma para agua y hielo, antiespasmódicos, analgésicos, tónicos cardíacos de urgencia, un torniquete, un termómetro clínico y jeringuillas desechables, con tornillos y tacos para fijar al paramento.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</si>
</sst>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
    <numFmt numFmtId="165" formatCode="#,##0.000"/>
  </numFmts>
  <fonts count="6">
    <font>
      <sz val="12.0"/>
      <color rgb="FF000000"/>
      <name val="Verdana"/>
      <scheme val="minor"/>
    </font>
    <font>
      <b/>
      <sz val="9.0"/>
      <color rgb="FF000000"/>
      <name val="Arial"/>
    </font>
    <font/>
    <font>
      <sz val="12.0"/>
      <color rgb="FF000000"/>
      <name val="Verdana"/>
    </font>
    <font>
      <b/>
      <sz val="8.0"/>
      <color rgb="FF000000"/>
      <name val="Arial"/>
    </font>
    <font>
      <sz val="8.0"/>
      <color rgb="FF000000"/>
      <name val="Arial"/>
    </font>
  </fonts>
  <fills count="9">
    <fill>
      <patternFill patternType="none"/>
    </fill>
    <fill>
      <patternFill patternType="lightGray"/>
    </fill>
    <fill>
      <patternFill patternType="solid">
        <fgColor rgb="FFFFBF7F"/>
        <bgColor rgb="FFFFBF7F"/>
      </patternFill>
    </fill>
    <fill>
      <patternFill patternType="solid">
        <fgColor rgb="FFFFB14B"/>
        <bgColor rgb="FFFFB14B"/>
      </patternFill>
    </fill>
    <fill>
      <patternFill patternType="solid">
        <fgColor rgb="FFFFCA64"/>
        <bgColor rgb="FFFFCA64"/>
      </patternFill>
    </fill>
    <fill>
      <patternFill patternType="solid">
        <fgColor rgb="FFFE9832"/>
        <bgColor rgb="FFFE9832"/>
      </patternFill>
    </fill>
    <fill>
      <patternFill patternType="solid">
        <fgColor rgb="FFE57F19"/>
        <bgColor rgb="FFE57F19"/>
      </patternFill>
    </fill>
    <fill>
      <patternFill patternType="solid">
        <fgColor rgb="FFFFE37D"/>
        <bgColor rgb="FFFFE37D"/>
      </patternFill>
    </fill>
    <fill>
      <patternFill patternType="solid">
        <fgColor rgb="FFCC6600"/>
        <bgColor rgb="FFCC6600"/>
      </patternFill>
    </fill>
  </fills>
  <borders count="11">
    <border/>
    <border>
      <left/>
      <right/>
      <top/>
      <bottom/>
    </border>
    <border>
      <left/>
      <top/>
      <bottom/>
    </border>
    <border>
      <top/>
      <bottom/>
    </border>
    <border>
      <right/>
      <top/>
      <bottom/>
    </border>
    <border>
      <bottom style="thin">
        <color rgb="FF000000"/>
      </bottom>
    </border>
    <border>
      <top style="thin">
        <color rgb="FF000000"/>
      </top>
    </border>
    <border>
      <top style="thin">
        <color rgb="FF000000"/>
      </top>
      <bottom style="thin">
        <color rgb="FF000000"/>
      </bottom>
    </border>
    <border>
      <left/>
      <right/>
      <top style="thin">
        <color rgb="FF000000"/>
      </top>
      <bottom style="thin">
        <color rgb="FF000000"/>
      </bottom>
    </border>
    <border>
      <left/>
      <right/>
      <top style="thin">
        <color rgb="FF000000"/>
      </top>
      <bottom/>
    </border>
    <border>
      <left/>
      <right/>
      <top/>
      <bottom style="thin">
        <color rgb="FF000000"/>
      </bottom>
    </border>
  </borders>
  <cellStyleXfs count="1">
    <xf borderId="0" fillId="0" fontId="0" numFmtId="0" applyAlignment="1" applyFont="1"/>
  </cellStyleXfs>
  <cellXfs count="69">
    <xf borderId="0" fillId="0" fontId="0" numFmtId="0" xfId="0" applyAlignment="1" applyFont="1">
      <alignment horizontal="left" readingOrder="0" shrinkToFit="0" vertical="center" wrapText="0"/>
    </xf>
    <xf borderId="1" fillId="2" fontId="1" numFmtId="0" xfId="0" applyAlignment="1" applyBorder="1" applyFill="1" applyFont="1">
      <alignment horizontal="right" shrinkToFit="0" vertical="top" wrapText="1"/>
    </xf>
    <xf borderId="2" fillId="2" fontId="1" numFmtId="0" xfId="0" applyAlignment="1" applyBorder="1" applyFont="1">
      <alignment horizontal="left" shrinkToFit="0" vertical="top" wrapText="1"/>
    </xf>
    <xf borderId="3" fillId="0" fontId="2" numFmtId="0" xfId="0" applyAlignment="1" applyBorder="1" applyFont="1">
      <alignment horizontal="left" vertical="center"/>
    </xf>
    <xf borderId="4" fillId="0" fontId="2" numFmtId="0" xfId="0" applyAlignment="1" applyBorder="1" applyFont="1">
      <alignment horizontal="left" vertical="center"/>
    </xf>
    <xf borderId="1" fillId="2" fontId="3" numFmtId="0" xfId="0" applyAlignment="1" applyBorder="1" applyFont="1">
      <alignment horizontal="left" shrinkToFit="0" vertical="top" wrapText="1"/>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3" numFmtId="0" xfId="0" applyAlignment="1" applyFont="1">
      <alignment horizontal="center" readingOrder="0" shrinkToFit="0" vertical="center" wrapText="1"/>
    </xf>
    <xf borderId="0" fillId="0" fontId="5" numFmtId="4" xfId="0" applyAlignment="1" applyFont="1" applyNumberFormat="1">
      <alignment horizontal="right" readingOrder="0" shrinkToFit="0" vertical="top" wrapText="1"/>
    </xf>
    <xf borderId="0" fillId="0" fontId="5" numFmtId="0" xfId="0" applyAlignment="1" applyFont="1">
      <alignment horizontal="left" shrinkToFit="0" vertical="top" wrapText="1"/>
    </xf>
    <xf borderId="0" fillId="0" fontId="3" numFmtId="0" xfId="0" applyAlignment="1" applyFont="1">
      <alignment horizontal="center" shrinkToFit="0" vertical="center" wrapText="1"/>
    </xf>
    <xf borderId="0" fillId="0" fontId="5" numFmtId="4" xfId="0" applyAlignment="1" applyFont="1" applyNumberFormat="1">
      <alignment horizontal="right" shrinkToFit="0" vertical="top" wrapText="1"/>
    </xf>
    <xf borderId="0" fillId="0" fontId="4" numFmtId="0" xfId="0" applyAlignment="1" applyFont="1">
      <alignment horizontal="left" shrinkToFit="0" vertical="top" wrapText="1"/>
    </xf>
    <xf borderId="0" fillId="0" fontId="5" numFmtId="164" xfId="0" applyAlignment="1" applyFont="1" applyNumberFormat="1">
      <alignment horizontal="right" shrinkToFit="0" vertical="top" wrapText="1"/>
    </xf>
    <xf borderId="0" fillId="0" fontId="5" numFmtId="165" xfId="0" applyAlignment="1" applyFont="1" applyNumberFormat="1">
      <alignment horizontal="right" shrinkToFit="0" vertical="top" wrapText="1"/>
    </xf>
    <xf borderId="5" fillId="0" fontId="3" numFmtId="0" xfId="0" applyAlignment="1" applyBorder="1" applyFont="1">
      <alignment horizontal="center" shrinkToFit="0" vertical="center" wrapText="1"/>
    </xf>
    <xf borderId="5" fillId="0" fontId="4" numFmtId="0" xfId="0" applyAlignment="1" applyBorder="1" applyFont="1">
      <alignment horizontal="left" shrinkToFit="0" vertical="top" wrapText="1"/>
    </xf>
    <xf borderId="5" fillId="0" fontId="4" numFmtId="4" xfId="0" applyAlignment="1" applyBorder="1" applyFont="1" applyNumberFormat="1">
      <alignment horizontal="right" shrinkToFit="0" vertical="top" wrapText="1"/>
    </xf>
    <xf borderId="6" fillId="0" fontId="4" numFmtId="0" xfId="0" applyAlignment="1" applyBorder="1" applyFont="1">
      <alignment horizontal="left" shrinkToFit="0" vertical="top" wrapText="1"/>
    </xf>
    <xf borderId="6" fillId="0" fontId="5" numFmtId="0" xfId="0" applyAlignment="1" applyBorder="1" applyFont="1">
      <alignment horizontal="left" shrinkToFit="0" vertical="top" wrapText="1"/>
    </xf>
    <xf borderId="6" fillId="0" fontId="3" numFmtId="0" xfId="0" applyAlignment="1" applyBorder="1" applyFont="1">
      <alignment horizontal="center" shrinkToFit="0" vertical="center" wrapText="1"/>
    </xf>
    <xf borderId="6" fillId="0" fontId="5" numFmtId="4" xfId="0" applyAlignment="1" applyBorder="1" applyFont="1" applyNumberFormat="1">
      <alignment horizontal="right" shrinkToFit="0" vertical="top" wrapText="1"/>
    </xf>
    <xf borderId="7" fillId="0" fontId="3" numFmtId="0" xfId="0" applyAlignment="1" applyBorder="1" applyFont="1">
      <alignment horizontal="center" shrinkToFit="0" vertical="center" wrapText="1"/>
    </xf>
    <xf borderId="8" fillId="3" fontId="4" numFmtId="0" xfId="0" applyAlignment="1" applyBorder="1" applyFill="1" applyFont="1">
      <alignment horizontal="left" shrinkToFit="0" vertical="top" wrapText="1"/>
    </xf>
    <xf borderId="8" fillId="3" fontId="3" numFmtId="0" xfId="0" applyAlignment="1" applyBorder="1" applyFont="1">
      <alignment horizontal="left" shrinkToFit="0" vertical="top" wrapText="1"/>
    </xf>
    <xf borderId="9" fillId="3" fontId="4" numFmtId="0" xfId="0" applyAlignment="1" applyBorder="1" applyFont="1">
      <alignment horizontal="left" shrinkToFit="0" vertical="top" wrapText="1"/>
    </xf>
    <xf borderId="9" fillId="3" fontId="3" numFmtId="0" xfId="0" applyAlignment="1" applyBorder="1" applyFont="1">
      <alignment horizontal="left" shrinkToFit="0" vertical="top" wrapText="1"/>
    </xf>
    <xf borderId="1" fillId="4" fontId="4" numFmtId="0" xfId="0" applyAlignment="1" applyBorder="1" applyFill="1" applyFont="1">
      <alignment horizontal="left" shrinkToFit="0" vertical="top" wrapText="1"/>
    </xf>
    <xf borderId="1" fillId="4" fontId="3" numFmtId="0" xfId="0" applyAlignment="1" applyBorder="1" applyFont="1">
      <alignment horizontal="left" shrinkToFit="0" vertical="top" wrapText="1"/>
    </xf>
    <xf borderId="8" fillId="4" fontId="4" numFmtId="0" xfId="0" applyAlignment="1" applyBorder="1" applyFont="1">
      <alignment horizontal="left" shrinkToFit="0" vertical="top" wrapText="1"/>
    </xf>
    <xf borderId="8" fillId="4" fontId="3" numFmtId="0" xfId="0" applyAlignment="1" applyBorder="1" applyFont="1">
      <alignment horizontal="left" shrinkToFit="0" vertical="top" wrapText="1"/>
    </xf>
    <xf borderId="8" fillId="5" fontId="4" numFmtId="0" xfId="0" applyAlignment="1" applyBorder="1" applyFill="1" applyFont="1">
      <alignment horizontal="left" shrinkToFit="0" vertical="top" wrapText="1"/>
    </xf>
    <xf borderId="8" fillId="5" fontId="3" numFmtId="0" xfId="0" applyAlignment="1" applyBorder="1" applyFont="1">
      <alignment horizontal="left" shrinkToFit="0" vertical="top" wrapText="1"/>
    </xf>
    <xf borderId="9" fillId="5" fontId="4" numFmtId="0" xfId="0" applyAlignment="1" applyBorder="1" applyFont="1">
      <alignment horizontal="left" shrinkToFit="0" vertical="top" wrapText="1"/>
    </xf>
    <xf borderId="9" fillId="5" fontId="3" numFmtId="0" xfId="0" applyAlignment="1" applyBorder="1" applyFont="1">
      <alignment horizontal="left" shrinkToFit="0" vertical="top" wrapText="1"/>
    </xf>
    <xf borderId="8" fillId="6" fontId="4" numFmtId="0" xfId="0" applyAlignment="1" applyBorder="1" applyFill="1" applyFont="1">
      <alignment horizontal="left" shrinkToFit="0" vertical="top" wrapText="1"/>
    </xf>
    <xf borderId="8" fillId="6" fontId="3" numFmtId="0" xfId="0" applyAlignment="1" applyBorder="1" applyFont="1">
      <alignment horizontal="left" shrinkToFit="0" vertical="top" wrapText="1"/>
    </xf>
    <xf borderId="9" fillId="6" fontId="4" numFmtId="0" xfId="0" applyAlignment="1" applyBorder="1" applyFont="1">
      <alignment horizontal="left" shrinkToFit="0" vertical="top" wrapText="1"/>
    </xf>
    <xf borderId="9" fillId="6" fontId="3" numFmtId="0" xfId="0" applyAlignment="1" applyBorder="1" applyFont="1">
      <alignment horizontal="left" shrinkToFit="0" vertical="top" wrapText="1"/>
    </xf>
    <xf borderId="1" fillId="5" fontId="4" numFmtId="0" xfId="0" applyAlignment="1" applyBorder="1" applyFont="1">
      <alignment horizontal="left" shrinkToFit="0" vertical="top" wrapText="1"/>
    </xf>
    <xf borderId="1" fillId="5" fontId="3" numFmtId="0" xfId="0" applyAlignment="1" applyBorder="1" applyFont="1">
      <alignment horizontal="left" shrinkToFit="0" vertical="top" wrapText="1"/>
    </xf>
    <xf borderId="1" fillId="3" fontId="4" numFmtId="0" xfId="0" applyAlignment="1" applyBorder="1" applyFont="1">
      <alignment horizontal="left" shrinkToFit="0" vertical="top" wrapText="1"/>
    </xf>
    <xf borderId="1" fillId="3" fontId="3" numFmtId="0" xfId="0" applyAlignment="1" applyBorder="1" applyFont="1">
      <alignment horizontal="left" shrinkToFit="0" vertical="top" wrapText="1"/>
    </xf>
    <xf borderId="9" fillId="3" fontId="4" numFmtId="4" xfId="0" applyAlignment="1" applyBorder="1" applyFont="1" applyNumberFormat="1">
      <alignment horizontal="right" shrinkToFit="0" vertical="top" wrapText="1"/>
    </xf>
    <xf borderId="10" fillId="3" fontId="4" numFmtId="0" xfId="0" applyAlignment="1" applyBorder="1" applyFont="1">
      <alignment horizontal="left" shrinkToFit="0" vertical="top" wrapText="1"/>
    </xf>
    <xf borderId="10" fillId="3" fontId="3" numFmtId="0" xfId="0" applyAlignment="1" applyBorder="1" applyFont="1">
      <alignment horizontal="left" shrinkToFit="0" vertical="top" wrapText="1"/>
    </xf>
    <xf borderId="1" fillId="4" fontId="4" numFmtId="4" xfId="0" applyAlignment="1" applyBorder="1" applyFont="1" applyNumberFormat="1">
      <alignment horizontal="right" shrinkToFit="0" vertical="top" wrapText="1"/>
    </xf>
    <xf borderId="10" fillId="4" fontId="4" numFmtId="0" xfId="0" applyAlignment="1" applyBorder="1" applyFont="1">
      <alignment horizontal="left" shrinkToFit="0" vertical="top" wrapText="1"/>
    </xf>
    <xf borderId="10" fillId="4" fontId="3" numFmtId="0" xfId="0" applyAlignment="1" applyBorder="1" applyFont="1">
      <alignment horizontal="left" shrinkToFit="0" vertical="top" wrapText="1"/>
    </xf>
    <xf borderId="9" fillId="4" fontId="4" numFmtId="0" xfId="0" applyAlignment="1" applyBorder="1" applyFont="1">
      <alignment horizontal="left" shrinkToFit="0" vertical="top" wrapText="1"/>
    </xf>
    <xf borderId="9" fillId="4" fontId="3" numFmtId="0" xfId="0" applyAlignment="1" applyBorder="1" applyFont="1">
      <alignment horizontal="left" shrinkToFit="0" vertical="top" wrapText="1"/>
    </xf>
    <xf borderId="9" fillId="4" fontId="4" numFmtId="4" xfId="0" applyAlignment="1" applyBorder="1" applyFont="1" applyNumberFormat="1">
      <alignment horizontal="right" shrinkToFit="0" vertical="top" wrapText="1"/>
    </xf>
    <xf borderId="1" fillId="7" fontId="4" numFmtId="0" xfId="0" applyAlignment="1" applyBorder="1" applyFill="1" applyFont="1">
      <alignment horizontal="left" shrinkToFit="0" vertical="top" wrapText="1"/>
    </xf>
    <xf borderId="1" fillId="7" fontId="3" numFmtId="0" xfId="0" applyAlignment="1" applyBorder="1" applyFont="1">
      <alignment horizontal="left" shrinkToFit="0" vertical="top" wrapText="1"/>
    </xf>
    <xf borderId="8" fillId="7" fontId="4" numFmtId="0" xfId="0" applyAlignment="1" applyBorder="1" applyFont="1">
      <alignment horizontal="left" shrinkToFit="0" vertical="top" wrapText="1"/>
    </xf>
    <xf borderId="8" fillId="7" fontId="3" numFmtId="0" xfId="0" applyAlignment="1" applyBorder="1" applyFont="1">
      <alignment horizontal="left" shrinkToFit="0" vertical="top" wrapText="1"/>
    </xf>
    <xf borderId="1" fillId="3" fontId="4" numFmtId="4" xfId="0" applyAlignment="1" applyBorder="1" applyFont="1" applyNumberFormat="1">
      <alignment horizontal="right" shrinkToFit="0" vertical="top" wrapText="1"/>
    </xf>
    <xf borderId="10" fillId="6" fontId="4" numFmtId="0" xfId="0" applyAlignment="1" applyBorder="1" applyFont="1">
      <alignment horizontal="left" shrinkToFit="0" vertical="top" wrapText="1"/>
    </xf>
    <xf borderId="10" fillId="6" fontId="3" numFmtId="0" xfId="0" applyAlignment="1" applyBorder="1" applyFont="1">
      <alignment horizontal="left" shrinkToFit="0" vertical="top" wrapText="1"/>
    </xf>
    <xf borderId="9" fillId="6" fontId="4" numFmtId="4" xfId="0" applyAlignment="1" applyBorder="1" applyFont="1" applyNumberFormat="1">
      <alignment horizontal="right" shrinkToFit="0" vertical="top" wrapText="1"/>
    </xf>
    <xf borderId="10" fillId="5" fontId="4" numFmtId="0" xfId="0" applyAlignment="1" applyBorder="1" applyFont="1">
      <alignment horizontal="left" shrinkToFit="0" vertical="top" wrapText="1"/>
    </xf>
    <xf borderId="10" fillId="5" fontId="3" numFmtId="0" xfId="0" applyAlignment="1" applyBorder="1" applyFont="1">
      <alignment horizontal="left" shrinkToFit="0" vertical="top" wrapText="1"/>
    </xf>
    <xf borderId="9" fillId="5" fontId="4" numFmtId="4" xfId="0" applyAlignment="1" applyBorder="1" applyFont="1" applyNumberFormat="1">
      <alignment horizontal="right" shrinkToFit="0" vertical="top" wrapText="1"/>
    </xf>
    <xf borderId="1" fillId="5" fontId="4" numFmtId="4" xfId="0" applyAlignment="1" applyBorder="1" applyFont="1" applyNumberFormat="1">
      <alignment horizontal="right" shrinkToFit="0" vertical="top" wrapText="1"/>
    </xf>
    <xf borderId="9" fillId="7" fontId="4" numFmtId="0" xfId="0" applyAlignment="1" applyBorder="1" applyFont="1">
      <alignment horizontal="left" shrinkToFit="0" vertical="top" wrapText="1"/>
    </xf>
    <xf borderId="9" fillId="7" fontId="3" numFmtId="0" xfId="0" applyAlignment="1" applyBorder="1" applyFont="1">
      <alignment horizontal="left" shrinkToFit="0" vertical="top" wrapText="1"/>
    </xf>
    <xf borderId="8" fillId="8" fontId="4" numFmtId="0" xfId="0" applyAlignment="1" applyBorder="1" applyFill="1" applyFont="1">
      <alignment horizontal="left" shrinkToFit="0" vertical="top" wrapText="1"/>
    </xf>
    <xf borderId="8" fillId="8" fontId="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1" width="10.18"/>
    <col customWidth="1" min="2" max="2" width="6.73"/>
    <col customWidth="1" min="3" max="3" width="3.36"/>
    <col customWidth="1" min="4" max="4" width="18.91"/>
    <col customWidth="1" min="5" max="5" width="9.09"/>
    <col customWidth="1" min="6" max="7" width="8.36"/>
  </cols>
  <sheetData>
    <row r="1" ht="17.25" customHeight="1">
      <c r="A1" s="1" t="s">
        <v>0</v>
      </c>
      <c r="B1" s="2" t="s">
        <v>1</v>
      </c>
      <c r="C1" s="3"/>
      <c r="D1" s="3"/>
      <c r="E1" s="3"/>
      <c r="F1" s="3"/>
      <c r="G1" s="4"/>
    </row>
    <row r="2" ht="17.25" customHeight="1">
      <c r="A2" s="2" t="s">
        <v>2</v>
      </c>
      <c r="B2" s="3"/>
      <c r="C2" s="3"/>
      <c r="D2" s="4"/>
      <c r="E2" s="5"/>
      <c r="F2" s="5"/>
      <c r="G2" s="5"/>
    </row>
    <row r="3" ht="39.75" customHeight="1">
      <c r="A3" s="6" t="s">
        <v>3</v>
      </c>
      <c r="B3" s="7" t="s">
        <v>4</v>
      </c>
      <c r="C3" s="7" t="s">
        <v>5</v>
      </c>
      <c r="D3" s="7" t="s">
        <v>6</v>
      </c>
      <c r="E3" s="8" t="s">
        <v>7</v>
      </c>
      <c r="F3" s="9" t="s">
        <v>8</v>
      </c>
      <c r="G3" s="8" t="s">
        <v>9</v>
      </c>
    </row>
    <row r="4" ht="39.75" customHeight="1">
      <c r="A4" s="6" t="s">
        <v>1</v>
      </c>
      <c r="B4" s="7" t="s">
        <v>10</v>
      </c>
      <c r="C4" s="10"/>
      <c r="D4" s="7"/>
      <c r="E4" s="11"/>
      <c r="F4" s="12"/>
      <c r="G4" s="11"/>
    </row>
    <row r="5" ht="39.75" customHeight="1">
      <c r="A5" s="6" t="s">
        <v>11</v>
      </c>
      <c r="B5" s="7" t="s">
        <v>10</v>
      </c>
      <c r="C5" s="10"/>
      <c r="D5" s="7" t="s">
        <v>12</v>
      </c>
      <c r="E5" s="11"/>
      <c r="F5" s="12"/>
      <c r="G5" s="11"/>
    </row>
    <row r="6" ht="39.75" customHeight="1">
      <c r="A6" s="6" t="s">
        <v>13</v>
      </c>
      <c r="B6" s="7" t="s">
        <v>10</v>
      </c>
      <c r="C6" s="10"/>
      <c r="D6" s="7" t="s">
        <v>14</v>
      </c>
      <c r="E6" s="11"/>
      <c r="F6" s="12"/>
      <c r="G6" s="11"/>
    </row>
    <row r="7" ht="39.75" customHeight="1">
      <c r="A7" s="6" t="s">
        <v>15</v>
      </c>
      <c r="B7" s="7" t="s">
        <v>10</v>
      </c>
      <c r="C7" s="10"/>
      <c r="D7" s="7" t="s">
        <v>16</v>
      </c>
      <c r="E7" s="11"/>
      <c r="F7" s="12"/>
      <c r="G7" s="11"/>
    </row>
    <row r="8" ht="39.75" customHeight="1">
      <c r="A8" s="13" t="s">
        <v>17</v>
      </c>
      <c r="B8" s="10" t="s">
        <v>18</v>
      </c>
      <c r="C8" s="10" t="s">
        <v>19</v>
      </c>
      <c r="D8" s="10" t="s">
        <v>20</v>
      </c>
      <c r="E8" s="11"/>
      <c r="F8" s="12">
        <f>F16</f>
        <v>7.22</v>
      </c>
      <c r="G8" s="11"/>
    </row>
    <row r="9" ht="21.0" customHeight="1">
      <c r="A9" s="11"/>
      <c r="B9" s="11"/>
      <c r="C9" s="11"/>
      <c r="D9" s="10" t="s">
        <v>21</v>
      </c>
    </row>
    <row r="10" ht="21.0" customHeight="1">
      <c r="A10" s="10" t="s">
        <v>22</v>
      </c>
      <c r="B10" s="10" t="s">
        <v>18</v>
      </c>
      <c r="C10" s="10" t="s">
        <v>23</v>
      </c>
      <c r="D10" s="10" t="s">
        <v>24</v>
      </c>
      <c r="E10" s="14">
        <v>0.16</v>
      </c>
      <c r="F10" s="15">
        <f>F14</f>
        <v>43.8</v>
      </c>
      <c r="G10" s="12">
        <f t="shared" ref="G10:G14" si="1">ROUND(E10*F10,2)</f>
        <v>7.01</v>
      </c>
    </row>
    <row r="11" ht="24.0" customHeight="1">
      <c r="A11" s="10" t="s">
        <v>25</v>
      </c>
      <c r="B11" s="10" t="s">
        <v>26</v>
      </c>
      <c r="C11" s="10" t="s">
        <v>23</v>
      </c>
      <c r="D11" s="10" t="s">
        <v>27</v>
      </c>
      <c r="E11" s="14">
        <v>1.0</v>
      </c>
      <c r="F11" s="15">
        <f>ROUND(21,3)</f>
        <v>21</v>
      </c>
      <c r="G11" s="12">
        <f t="shared" si="1"/>
        <v>21</v>
      </c>
    </row>
    <row r="12" ht="24.0" customHeight="1">
      <c r="A12" s="10" t="s">
        <v>28</v>
      </c>
      <c r="B12" s="10" t="s">
        <v>26</v>
      </c>
      <c r="C12" s="10" t="s">
        <v>23</v>
      </c>
      <c r="D12" s="10" t="s">
        <v>29</v>
      </c>
      <c r="E12" s="14">
        <v>1.0</v>
      </c>
      <c r="F12" s="15">
        <f t="shared" ref="F12:F13" si="2">ROUND(19,3)</f>
        <v>19</v>
      </c>
      <c r="G12" s="12">
        <f t="shared" si="1"/>
        <v>19</v>
      </c>
    </row>
    <row r="13" ht="24.0" customHeight="1">
      <c r="A13" s="10" t="s">
        <v>30</v>
      </c>
      <c r="B13" s="10" t="s">
        <v>26</v>
      </c>
      <c r="C13" s="10" t="s">
        <v>23</v>
      </c>
      <c r="D13" s="10" t="s">
        <v>31</v>
      </c>
      <c r="E13" s="14">
        <v>0.2</v>
      </c>
      <c r="F13" s="15">
        <f t="shared" si="2"/>
        <v>19</v>
      </c>
      <c r="G13" s="12">
        <f t="shared" si="1"/>
        <v>3.8</v>
      </c>
    </row>
    <row r="14" ht="15.0" customHeight="1">
      <c r="A14" s="11"/>
      <c r="B14" s="11"/>
      <c r="C14" s="11"/>
      <c r="D14" s="10" t="s">
        <v>22</v>
      </c>
      <c r="E14" s="14">
        <v>0.16</v>
      </c>
      <c r="F14" s="15">
        <f>ROUND((G11+G12+G13),3)</f>
        <v>43.8</v>
      </c>
      <c r="G14" s="12">
        <f t="shared" si="1"/>
        <v>7.01</v>
      </c>
    </row>
    <row r="15" ht="15.0" customHeight="1">
      <c r="A15" s="10" t="s">
        <v>32</v>
      </c>
      <c r="B15" s="10"/>
      <c r="C15" s="10" t="s">
        <v>33</v>
      </c>
      <c r="D15" s="10" t="s">
        <v>34</v>
      </c>
      <c r="E15" s="14">
        <v>3.0</v>
      </c>
      <c r="F15" s="15">
        <f>ROUND(7.01,3)</f>
        <v>7.01</v>
      </c>
      <c r="G15" s="12">
        <f>ROUND((E15*F15)/100,2)</f>
        <v>0.21</v>
      </c>
    </row>
    <row r="16" ht="15.0" customHeight="1">
      <c r="A16" s="16"/>
      <c r="B16" s="16"/>
      <c r="C16" s="16"/>
      <c r="D16" s="17" t="s">
        <v>17</v>
      </c>
      <c r="E16" s="16"/>
      <c r="F16" s="18">
        <f>ROUND((G10+G15)*(1+G2/100),2)</f>
        <v>7.22</v>
      </c>
      <c r="G16" s="16"/>
    </row>
    <row r="17" ht="39.75" customHeight="1">
      <c r="A17" s="19" t="s">
        <v>35</v>
      </c>
      <c r="B17" s="20" t="s">
        <v>18</v>
      </c>
      <c r="C17" s="20" t="s">
        <v>19</v>
      </c>
      <c r="D17" s="20" t="s">
        <v>36</v>
      </c>
      <c r="E17" s="21"/>
      <c r="F17" s="22">
        <f>F25</f>
        <v>12.03</v>
      </c>
      <c r="G17" s="21"/>
    </row>
    <row r="18" ht="21.0" customHeight="1">
      <c r="A18" s="11"/>
      <c r="B18" s="11"/>
      <c r="C18" s="11"/>
      <c r="D18" s="10" t="s">
        <v>37</v>
      </c>
    </row>
    <row r="19" ht="21.0" customHeight="1">
      <c r="A19" s="10" t="s">
        <v>22</v>
      </c>
      <c r="B19" s="10" t="s">
        <v>18</v>
      </c>
      <c r="C19" s="10" t="s">
        <v>23</v>
      </c>
      <c r="D19" s="10" t="s">
        <v>24</v>
      </c>
      <c r="E19" s="14">
        <v>0.26667</v>
      </c>
      <c r="F19" s="15">
        <f>F23</f>
        <v>43.8</v>
      </c>
      <c r="G19" s="12">
        <f t="shared" ref="G19:G23" si="3">ROUND(E19*F19,2)</f>
        <v>11.68</v>
      </c>
    </row>
    <row r="20" ht="24.0" customHeight="1">
      <c r="A20" s="10" t="s">
        <v>25</v>
      </c>
      <c r="B20" s="10" t="s">
        <v>26</v>
      </c>
      <c r="C20" s="10" t="s">
        <v>23</v>
      </c>
      <c r="D20" s="10" t="s">
        <v>27</v>
      </c>
      <c r="E20" s="14">
        <v>1.0</v>
      </c>
      <c r="F20" s="15">
        <f>ROUND(21,3)</f>
        <v>21</v>
      </c>
      <c r="G20" s="12">
        <f t="shared" si="3"/>
        <v>21</v>
      </c>
    </row>
    <row r="21" ht="24.0" customHeight="1">
      <c r="A21" s="10" t="s">
        <v>28</v>
      </c>
      <c r="B21" s="10" t="s">
        <v>26</v>
      </c>
      <c r="C21" s="10" t="s">
        <v>23</v>
      </c>
      <c r="D21" s="10" t="s">
        <v>29</v>
      </c>
      <c r="E21" s="14">
        <v>1.0</v>
      </c>
      <c r="F21" s="15">
        <f t="shared" ref="F21:F22" si="4">ROUND(19,3)</f>
        <v>19</v>
      </c>
      <c r="G21" s="12">
        <f t="shared" si="3"/>
        <v>19</v>
      </c>
    </row>
    <row r="22" ht="24.0" customHeight="1">
      <c r="A22" s="10" t="s">
        <v>30</v>
      </c>
      <c r="B22" s="10" t="s">
        <v>26</v>
      </c>
      <c r="C22" s="10" t="s">
        <v>23</v>
      </c>
      <c r="D22" s="10" t="s">
        <v>31</v>
      </c>
      <c r="E22" s="14">
        <v>0.2</v>
      </c>
      <c r="F22" s="15">
        <f t="shared" si="4"/>
        <v>19</v>
      </c>
      <c r="G22" s="12">
        <f t="shared" si="3"/>
        <v>3.8</v>
      </c>
    </row>
    <row r="23" ht="15.0" customHeight="1">
      <c r="A23" s="11"/>
      <c r="B23" s="11"/>
      <c r="C23" s="11"/>
      <c r="D23" s="10" t="s">
        <v>22</v>
      </c>
      <c r="E23" s="14">
        <v>0.26667</v>
      </c>
      <c r="F23" s="15">
        <f>ROUND((G20+G21+G22),3)</f>
        <v>43.8</v>
      </c>
      <c r="G23" s="12">
        <f t="shared" si="3"/>
        <v>11.68</v>
      </c>
    </row>
    <row r="24" ht="15.0" customHeight="1">
      <c r="A24" s="10" t="s">
        <v>32</v>
      </c>
      <c r="B24" s="10"/>
      <c r="C24" s="10" t="s">
        <v>33</v>
      </c>
      <c r="D24" s="10" t="s">
        <v>34</v>
      </c>
      <c r="E24" s="14">
        <v>3.0</v>
      </c>
      <c r="F24" s="15">
        <f>ROUND(11.68,3)</f>
        <v>11.68</v>
      </c>
      <c r="G24" s="12">
        <f>ROUND((E24*F24)/100,2)</f>
        <v>0.35</v>
      </c>
    </row>
    <row r="25" ht="15.0" customHeight="1">
      <c r="A25" s="16"/>
      <c r="B25" s="16"/>
      <c r="C25" s="16"/>
      <c r="D25" s="17" t="s">
        <v>35</v>
      </c>
      <c r="E25" s="16"/>
      <c r="F25" s="18">
        <f>ROUND((G19+G24)*(1+G2/100),2)</f>
        <v>12.03</v>
      </c>
      <c r="G25" s="16"/>
    </row>
    <row r="26" ht="48.75" customHeight="1">
      <c r="A26" s="19" t="s">
        <v>38</v>
      </c>
      <c r="B26" s="20" t="s">
        <v>18</v>
      </c>
      <c r="C26" s="20" t="s">
        <v>19</v>
      </c>
      <c r="D26" s="20" t="s">
        <v>39</v>
      </c>
      <c r="E26" s="21"/>
      <c r="F26" s="22">
        <f>F35</f>
        <v>8.13</v>
      </c>
      <c r="G26" s="21"/>
    </row>
    <row r="27" ht="21.0" customHeight="1">
      <c r="A27" s="11"/>
      <c r="B27" s="11"/>
      <c r="C27" s="11"/>
      <c r="D27" s="10" t="s">
        <v>40</v>
      </c>
    </row>
    <row r="28" ht="39.75" customHeight="1">
      <c r="A28" s="10" t="s">
        <v>41</v>
      </c>
      <c r="B28" s="10" t="s">
        <v>42</v>
      </c>
      <c r="C28" s="10" t="s">
        <v>43</v>
      </c>
      <c r="D28" s="10" t="s">
        <v>44</v>
      </c>
      <c r="E28" s="14">
        <v>0.021</v>
      </c>
      <c r="F28" s="15">
        <f>ROUND(9.13,3)</f>
        <v>9.13</v>
      </c>
      <c r="G28" s="12">
        <f t="shared" ref="G28:G33" si="5">ROUND(E28*F28,2)</f>
        <v>0.19</v>
      </c>
    </row>
    <row r="29" ht="21.0" customHeight="1">
      <c r="A29" s="10" t="s">
        <v>22</v>
      </c>
      <c r="B29" s="10" t="s">
        <v>18</v>
      </c>
      <c r="C29" s="10" t="s">
        <v>23</v>
      </c>
      <c r="D29" s="10" t="s">
        <v>24</v>
      </c>
      <c r="E29" s="14">
        <v>0.176</v>
      </c>
      <c r="F29" s="15">
        <f>F33</f>
        <v>43.8</v>
      </c>
      <c r="G29" s="12">
        <f t="shared" si="5"/>
        <v>7.71</v>
      </c>
    </row>
    <row r="30" ht="24.0" customHeight="1">
      <c r="A30" s="10" t="s">
        <v>25</v>
      </c>
      <c r="B30" s="10" t="s">
        <v>26</v>
      </c>
      <c r="C30" s="10" t="s">
        <v>23</v>
      </c>
      <c r="D30" s="10" t="s">
        <v>27</v>
      </c>
      <c r="E30" s="14">
        <v>1.0</v>
      </c>
      <c r="F30" s="15">
        <f>ROUND(21,3)</f>
        <v>21</v>
      </c>
      <c r="G30" s="12">
        <f t="shared" si="5"/>
        <v>21</v>
      </c>
    </row>
    <row r="31" ht="24.0" customHeight="1">
      <c r="A31" s="10" t="s">
        <v>28</v>
      </c>
      <c r="B31" s="10" t="s">
        <v>26</v>
      </c>
      <c r="C31" s="10" t="s">
        <v>23</v>
      </c>
      <c r="D31" s="10" t="s">
        <v>29</v>
      </c>
      <c r="E31" s="14">
        <v>1.0</v>
      </c>
      <c r="F31" s="15">
        <f t="shared" ref="F31:F32" si="6">ROUND(19,3)</f>
        <v>19</v>
      </c>
      <c r="G31" s="12">
        <f t="shared" si="5"/>
        <v>19</v>
      </c>
    </row>
    <row r="32" ht="24.0" customHeight="1">
      <c r="A32" s="10" t="s">
        <v>30</v>
      </c>
      <c r="B32" s="10" t="s">
        <v>26</v>
      </c>
      <c r="C32" s="10" t="s">
        <v>23</v>
      </c>
      <c r="D32" s="10" t="s">
        <v>31</v>
      </c>
      <c r="E32" s="14">
        <v>0.2</v>
      </c>
      <c r="F32" s="15">
        <f t="shared" si="6"/>
        <v>19</v>
      </c>
      <c r="G32" s="12">
        <f t="shared" si="5"/>
        <v>3.8</v>
      </c>
    </row>
    <row r="33" ht="15.0" customHeight="1">
      <c r="A33" s="11"/>
      <c r="B33" s="11"/>
      <c r="C33" s="11"/>
      <c r="D33" s="10" t="s">
        <v>22</v>
      </c>
      <c r="E33" s="14">
        <v>0.176</v>
      </c>
      <c r="F33" s="15">
        <f>ROUND((G30+G31+G32),3)</f>
        <v>43.8</v>
      </c>
      <c r="G33" s="12">
        <f t="shared" si="5"/>
        <v>7.71</v>
      </c>
    </row>
    <row r="34" ht="15.0" customHeight="1">
      <c r="A34" s="10" t="s">
        <v>32</v>
      </c>
      <c r="B34" s="10"/>
      <c r="C34" s="10" t="s">
        <v>33</v>
      </c>
      <c r="D34" s="10" t="s">
        <v>34</v>
      </c>
      <c r="E34" s="14">
        <v>3.0</v>
      </c>
      <c r="F34" s="15">
        <f>ROUND(7.71,3)</f>
        <v>7.71</v>
      </c>
      <c r="G34" s="12">
        <f>ROUND((E34*F34)/100,2)</f>
        <v>0.23</v>
      </c>
    </row>
    <row r="35" ht="15.0" customHeight="1">
      <c r="A35" s="16"/>
      <c r="B35" s="16"/>
      <c r="C35" s="16"/>
      <c r="D35" s="17" t="s">
        <v>38</v>
      </c>
      <c r="E35" s="16"/>
      <c r="F35" s="18">
        <f>ROUND((G28+G29+G34)*(1+G2/100),2)</f>
        <v>8.13</v>
      </c>
      <c r="G35" s="16"/>
    </row>
    <row r="36" ht="48.75" customHeight="1">
      <c r="A36" s="19" t="s">
        <v>45</v>
      </c>
      <c r="B36" s="20" t="s">
        <v>18</v>
      </c>
      <c r="C36" s="20" t="s">
        <v>19</v>
      </c>
      <c r="D36" s="20" t="s">
        <v>46</v>
      </c>
      <c r="E36" s="21"/>
      <c r="F36" s="22">
        <f>F45</f>
        <v>12.82</v>
      </c>
      <c r="G36" s="21"/>
    </row>
    <row r="37" ht="21.0" customHeight="1">
      <c r="A37" s="11"/>
      <c r="B37" s="11"/>
      <c r="C37" s="11"/>
      <c r="D37" s="10" t="s">
        <v>47</v>
      </c>
    </row>
    <row r="38" ht="39.75" customHeight="1">
      <c r="A38" s="10" t="s">
        <v>41</v>
      </c>
      <c r="B38" s="10" t="s">
        <v>42</v>
      </c>
      <c r="C38" s="10" t="s">
        <v>43</v>
      </c>
      <c r="D38" s="10" t="s">
        <v>44</v>
      </c>
      <c r="E38" s="14">
        <v>0.021</v>
      </c>
      <c r="F38" s="15">
        <f>ROUND(9.13,3)</f>
        <v>9.13</v>
      </c>
      <c r="G38" s="12">
        <f t="shared" ref="G38:G43" si="7">ROUND(E38*F38,2)</f>
        <v>0.19</v>
      </c>
    </row>
    <row r="39" ht="21.0" customHeight="1">
      <c r="A39" s="10" t="s">
        <v>22</v>
      </c>
      <c r="B39" s="10" t="s">
        <v>18</v>
      </c>
      <c r="C39" s="10" t="s">
        <v>23</v>
      </c>
      <c r="D39" s="10" t="s">
        <v>24</v>
      </c>
      <c r="E39" s="14">
        <v>0.28</v>
      </c>
      <c r="F39" s="15">
        <f>F43</f>
        <v>43.8</v>
      </c>
      <c r="G39" s="12">
        <f t="shared" si="7"/>
        <v>12.26</v>
      </c>
    </row>
    <row r="40" ht="24.0" customHeight="1">
      <c r="A40" s="10" t="s">
        <v>25</v>
      </c>
      <c r="B40" s="10" t="s">
        <v>26</v>
      </c>
      <c r="C40" s="10" t="s">
        <v>23</v>
      </c>
      <c r="D40" s="10" t="s">
        <v>27</v>
      </c>
      <c r="E40" s="14">
        <v>1.0</v>
      </c>
      <c r="F40" s="15">
        <f>ROUND(21,3)</f>
        <v>21</v>
      </c>
      <c r="G40" s="12">
        <f t="shared" si="7"/>
        <v>21</v>
      </c>
    </row>
    <row r="41" ht="24.0" customHeight="1">
      <c r="A41" s="10" t="s">
        <v>28</v>
      </c>
      <c r="B41" s="10" t="s">
        <v>26</v>
      </c>
      <c r="C41" s="10" t="s">
        <v>23</v>
      </c>
      <c r="D41" s="10" t="s">
        <v>29</v>
      </c>
      <c r="E41" s="14">
        <v>1.0</v>
      </c>
      <c r="F41" s="15">
        <f t="shared" ref="F41:F42" si="8">ROUND(19,3)</f>
        <v>19</v>
      </c>
      <c r="G41" s="12">
        <f t="shared" si="7"/>
        <v>19</v>
      </c>
    </row>
    <row r="42" ht="24.0" customHeight="1">
      <c r="A42" s="10" t="s">
        <v>30</v>
      </c>
      <c r="B42" s="10" t="s">
        <v>26</v>
      </c>
      <c r="C42" s="10" t="s">
        <v>23</v>
      </c>
      <c r="D42" s="10" t="s">
        <v>31</v>
      </c>
      <c r="E42" s="14">
        <v>0.2</v>
      </c>
      <c r="F42" s="15">
        <f t="shared" si="8"/>
        <v>19</v>
      </c>
      <c r="G42" s="12">
        <f t="shared" si="7"/>
        <v>3.8</v>
      </c>
    </row>
    <row r="43" ht="15.0" customHeight="1">
      <c r="A43" s="11"/>
      <c r="B43" s="11"/>
      <c r="C43" s="11"/>
      <c r="D43" s="10" t="s">
        <v>22</v>
      </c>
      <c r="E43" s="14">
        <v>0.28</v>
      </c>
      <c r="F43" s="15">
        <f>ROUND((G40+G41+G42),3)</f>
        <v>43.8</v>
      </c>
      <c r="G43" s="12">
        <f t="shared" si="7"/>
        <v>12.26</v>
      </c>
    </row>
    <row r="44" ht="15.0" customHeight="1">
      <c r="A44" s="10" t="s">
        <v>32</v>
      </c>
      <c r="B44" s="10"/>
      <c r="C44" s="10" t="s">
        <v>33</v>
      </c>
      <c r="D44" s="10" t="s">
        <v>34</v>
      </c>
      <c r="E44" s="14">
        <v>3.0</v>
      </c>
      <c r="F44" s="15">
        <f>ROUND(12.26,3)</f>
        <v>12.26</v>
      </c>
      <c r="G44" s="12">
        <f>ROUND((E44*F44)/100,2)</f>
        <v>0.37</v>
      </c>
    </row>
    <row r="45" ht="15.0" customHeight="1">
      <c r="A45" s="16"/>
      <c r="B45" s="16"/>
      <c r="C45" s="16"/>
      <c r="D45" s="17" t="s">
        <v>45</v>
      </c>
      <c r="E45" s="16"/>
      <c r="F45" s="18">
        <f>ROUND((G38+G39+G44)*(1+G2/100),2)</f>
        <v>12.82</v>
      </c>
      <c r="G45" s="16"/>
    </row>
    <row r="46" ht="48.75" customHeight="1">
      <c r="A46" s="19" t="s">
        <v>48</v>
      </c>
      <c r="B46" s="20" t="s">
        <v>18</v>
      </c>
      <c r="C46" s="20" t="s">
        <v>19</v>
      </c>
      <c r="D46" s="20" t="s">
        <v>49</v>
      </c>
      <c r="E46" s="21"/>
      <c r="F46" s="22">
        <f>F55</f>
        <v>8.11</v>
      </c>
      <c r="G46" s="21"/>
    </row>
    <row r="47" ht="21.0" customHeight="1">
      <c r="A47" s="11"/>
      <c r="B47" s="11"/>
      <c r="C47" s="11"/>
      <c r="D47" s="10" t="s">
        <v>50</v>
      </c>
    </row>
    <row r="48" ht="30.0" customHeight="1">
      <c r="A48" s="10" t="s">
        <v>51</v>
      </c>
      <c r="B48" s="10" t="s">
        <v>42</v>
      </c>
      <c r="C48" s="10" t="s">
        <v>43</v>
      </c>
      <c r="D48" s="10" t="s">
        <v>52</v>
      </c>
      <c r="E48" s="14">
        <v>0.066</v>
      </c>
      <c r="F48" s="15">
        <f>ROUND(2.56,3)</f>
        <v>2.56</v>
      </c>
      <c r="G48" s="12">
        <f t="shared" ref="G48:G53" si="9">ROUND(E48*F48,2)</f>
        <v>0.17</v>
      </c>
    </row>
    <row r="49" ht="21.0" customHeight="1">
      <c r="A49" s="10" t="s">
        <v>22</v>
      </c>
      <c r="B49" s="10" t="s">
        <v>18</v>
      </c>
      <c r="C49" s="10" t="s">
        <v>23</v>
      </c>
      <c r="D49" s="10" t="s">
        <v>24</v>
      </c>
      <c r="E49" s="14">
        <v>0.176</v>
      </c>
      <c r="F49" s="15">
        <f>F53</f>
        <v>43.8</v>
      </c>
      <c r="G49" s="12">
        <f t="shared" si="9"/>
        <v>7.71</v>
      </c>
    </row>
    <row r="50" ht="24.0" customHeight="1">
      <c r="A50" s="10" t="s">
        <v>25</v>
      </c>
      <c r="B50" s="10" t="s">
        <v>26</v>
      </c>
      <c r="C50" s="10" t="s">
        <v>23</v>
      </c>
      <c r="D50" s="10" t="s">
        <v>27</v>
      </c>
      <c r="E50" s="14">
        <v>1.0</v>
      </c>
      <c r="F50" s="15">
        <f>ROUND(21,3)</f>
        <v>21</v>
      </c>
      <c r="G50" s="12">
        <f t="shared" si="9"/>
        <v>21</v>
      </c>
    </row>
    <row r="51" ht="24.0" customHeight="1">
      <c r="A51" s="10" t="s">
        <v>28</v>
      </c>
      <c r="B51" s="10" t="s">
        <v>26</v>
      </c>
      <c r="C51" s="10" t="s">
        <v>23</v>
      </c>
      <c r="D51" s="10" t="s">
        <v>29</v>
      </c>
      <c r="E51" s="14">
        <v>1.0</v>
      </c>
      <c r="F51" s="15">
        <f t="shared" ref="F51:F52" si="10">ROUND(19,3)</f>
        <v>19</v>
      </c>
      <c r="G51" s="12">
        <f t="shared" si="9"/>
        <v>19</v>
      </c>
    </row>
    <row r="52" ht="24.0" customHeight="1">
      <c r="A52" s="10" t="s">
        <v>30</v>
      </c>
      <c r="B52" s="10" t="s">
        <v>26</v>
      </c>
      <c r="C52" s="10" t="s">
        <v>23</v>
      </c>
      <c r="D52" s="10" t="s">
        <v>31</v>
      </c>
      <c r="E52" s="14">
        <v>0.2</v>
      </c>
      <c r="F52" s="15">
        <f t="shared" si="10"/>
        <v>19</v>
      </c>
      <c r="G52" s="12">
        <f t="shared" si="9"/>
        <v>3.8</v>
      </c>
    </row>
    <row r="53" ht="15.0" customHeight="1">
      <c r="A53" s="11"/>
      <c r="B53" s="11"/>
      <c r="C53" s="11"/>
      <c r="D53" s="10" t="s">
        <v>22</v>
      </c>
      <c r="E53" s="14">
        <v>0.176</v>
      </c>
      <c r="F53" s="15">
        <f>ROUND((G50+G51+G52),3)</f>
        <v>43.8</v>
      </c>
      <c r="G53" s="12">
        <f t="shared" si="9"/>
        <v>7.71</v>
      </c>
    </row>
    <row r="54" ht="15.0" customHeight="1">
      <c r="A54" s="10" t="s">
        <v>32</v>
      </c>
      <c r="B54" s="10"/>
      <c r="C54" s="10" t="s">
        <v>33</v>
      </c>
      <c r="D54" s="10" t="s">
        <v>34</v>
      </c>
      <c r="E54" s="14">
        <v>3.0</v>
      </c>
      <c r="F54" s="15">
        <f>ROUND(7.71,3)</f>
        <v>7.71</v>
      </c>
      <c r="G54" s="12">
        <f>ROUND((E54*F54)/100,2)</f>
        <v>0.23</v>
      </c>
    </row>
    <row r="55" ht="15.0" customHeight="1">
      <c r="A55" s="16"/>
      <c r="B55" s="16"/>
      <c r="C55" s="16"/>
      <c r="D55" s="17" t="s">
        <v>48</v>
      </c>
      <c r="E55" s="16"/>
      <c r="F55" s="18">
        <f>ROUND((G48+G49+G54)*(1+G2/100),2)</f>
        <v>8.11</v>
      </c>
      <c r="G55" s="16"/>
    </row>
    <row r="56" ht="48.75" customHeight="1">
      <c r="A56" s="19" t="s">
        <v>53</v>
      </c>
      <c r="B56" s="20" t="s">
        <v>18</v>
      </c>
      <c r="C56" s="20" t="s">
        <v>19</v>
      </c>
      <c r="D56" s="20" t="s">
        <v>54</v>
      </c>
      <c r="E56" s="21"/>
      <c r="F56" s="22">
        <f>F65</f>
        <v>12.8</v>
      </c>
      <c r="G56" s="21"/>
    </row>
    <row r="57" ht="21.0" customHeight="1">
      <c r="A57" s="11"/>
      <c r="B57" s="11"/>
      <c r="C57" s="11"/>
      <c r="D57" s="10" t="s">
        <v>55</v>
      </c>
    </row>
    <row r="58" ht="30.0" customHeight="1">
      <c r="A58" s="10" t="s">
        <v>51</v>
      </c>
      <c r="B58" s="10" t="s">
        <v>42</v>
      </c>
      <c r="C58" s="10" t="s">
        <v>43</v>
      </c>
      <c r="D58" s="10" t="s">
        <v>52</v>
      </c>
      <c r="E58" s="14">
        <v>0.066</v>
      </c>
      <c r="F58" s="15">
        <f>ROUND(2.56,3)</f>
        <v>2.56</v>
      </c>
      <c r="G58" s="12">
        <f t="shared" ref="G58:G63" si="11">ROUND(E58*F58,2)</f>
        <v>0.17</v>
      </c>
    </row>
    <row r="59" ht="21.0" customHeight="1">
      <c r="A59" s="10" t="s">
        <v>22</v>
      </c>
      <c r="B59" s="10" t="s">
        <v>18</v>
      </c>
      <c r="C59" s="10" t="s">
        <v>23</v>
      </c>
      <c r="D59" s="10" t="s">
        <v>24</v>
      </c>
      <c r="E59" s="14">
        <v>0.28</v>
      </c>
      <c r="F59" s="15">
        <f>F63</f>
        <v>43.8</v>
      </c>
      <c r="G59" s="12">
        <f t="shared" si="11"/>
        <v>12.26</v>
      </c>
    </row>
    <row r="60" ht="24.0" customHeight="1">
      <c r="A60" s="10" t="s">
        <v>25</v>
      </c>
      <c r="B60" s="10" t="s">
        <v>26</v>
      </c>
      <c r="C60" s="10" t="s">
        <v>23</v>
      </c>
      <c r="D60" s="10" t="s">
        <v>27</v>
      </c>
      <c r="E60" s="14">
        <v>1.0</v>
      </c>
      <c r="F60" s="15">
        <f>ROUND(21,3)</f>
        <v>21</v>
      </c>
      <c r="G60" s="12">
        <f t="shared" si="11"/>
        <v>21</v>
      </c>
    </row>
    <row r="61" ht="24.0" customHeight="1">
      <c r="A61" s="10" t="s">
        <v>28</v>
      </c>
      <c r="B61" s="10" t="s">
        <v>26</v>
      </c>
      <c r="C61" s="10" t="s">
        <v>23</v>
      </c>
      <c r="D61" s="10" t="s">
        <v>29</v>
      </c>
      <c r="E61" s="14">
        <v>1.0</v>
      </c>
      <c r="F61" s="15">
        <f t="shared" ref="F61:F62" si="12">ROUND(19,3)</f>
        <v>19</v>
      </c>
      <c r="G61" s="12">
        <f t="shared" si="11"/>
        <v>19</v>
      </c>
    </row>
    <row r="62" ht="24.0" customHeight="1">
      <c r="A62" s="10" t="s">
        <v>30</v>
      </c>
      <c r="B62" s="10" t="s">
        <v>26</v>
      </c>
      <c r="C62" s="10" t="s">
        <v>23</v>
      </c>
      <c r="D62" s="10" t="s">
        <v>31</v>
      </c>
      <c r="E62" s="14">
        <v>0.2</v>
      </c>
      <c r="F62" s="15">
        <f t="shared" si="12"/>
        <v>19</v>
      </c>
      <c r="G62" s="12">
        <f t="shared" si="11"/>
        <v>3.8</v>
      </c>
    </row>
    <row r="63" ht="15.0" customHeight="1">
      <c r="A63" s="11"/>
      <c r="B63" s="11"/>
      <c r="C63" s="11"/>
      <c r="D63" s="10" t="s">
        <v>22</v>
      </c>
      <c r="E63" s="14">
        <v>0.28</v>
      </c>
      <c r="F63" s="15">
        <f>ROUND((G60+G61+G62),3)</f>
        <v>43.8</v>
      </c>
      <c r="G63" s="12">
        <f t="shared" si="11"/>
        <v>12.26</v>
      </c>
    </row>
    <row r="64" ht="15.0" customHeight="1">
      <c r="A64" s="10" t="s">
        <v>32</v>
      </c>
      <c r="B64" s="10"/>
      <c r="C64" s="10" t="s">
        <v>33</v>
      </c>
      <c r="D64" s="10" t="s">
        <v>34</v>
      </c>
      <c r="E64" s="14">
        <v>3.0</v>
      </c>
      <c r="F64" s="15">
        <f>ROUND(12.26,3)</f>
        <v>12.26</v>
      </c>
      <c r="G64" s="12">
        <f>ROUND((E64*F64)/100,2)</f>
        <v>0.37</v>
      </c>
    </row>
    <row r="65" ht="15.0" customHeight="1">
      <c r="A65" s="16"/>
      <c r="B65" s="16"/>
      <c r="C65" s="16"/>
      <c r="D65" s="17" t="s">
        <v>53</v>
      </c>
      <c r="E65" s="16"/>
      <c r="F65" s="18">
        <f>ROUND((G58+G59+G64)*(1+G2/100),2)</f>
        <v>12.8</v>
      </c>
      <c r="G65" s="16"/>
    </row>
    <row r="66" ht="39.75" customHeight="1">
      <c r="A66" s="19" t="s">
        <v>56</v>
      </c>
      <c r="B66" s="20" t="s">
        <v>18</v>
      </c>
      <c r="C66" s="20" t="s">
        <v>19</v>
      </c>
      <c r="D66" s="20" t="s">
        <v>57</v>
      </c>
      <c r="E66" s="21"/>
      <c r="F66" s="22">
        <f>F74</f>
        <v>9.02</v>
      </c>
      <c r="G66" s="21"/>
    </row>
    <row r="67" ht="21.0" customHeight="1">
      <c r="A67" s="11"/>
      <c r="B67" s="11"/>
      <c r="C67" s="11"/>
      <c r="D67" s="10" t="s">
        <v>58</v>
      </c>
    </row>
    <row r="68" ht="21.0" customHeight="1">
      <c r="A68" s="10" t="s">
        <v>22</v>
      </c>
      <c r="B68" s="10" t="s">
        <v>18</v>
      </c>
      <c r="C68" s="10" t="s">
        <v>23</v>
      </c>
      <c r="D68" s="10" t="s">
        <v>24</v>
      </c>
      <c r="E68" s="14">
        <v>0.2</v>
      </c>
      <c r="F68" s="15">
        <f>F72</f>
        <v>43.8</v>
      </c>
      <c r="G68" s="12">
        <f t="shared" ref="G68:G72" si="13">ROUND(E68*F68,2)</f>
        <v>8.76</v>
      </c>
    </row>
    <row r="69" ht="24.0" customHeight="1">
      <c r="A69" s="10" t="s">
        <v>25</v>
      </c>
      <c r="B69" s="10" t="s">
        <v>26</v>
      </c>
      <c r="C69" s="10" t="s">
        <v>23</v>
      </c>
      <c r="D69" s="10" t="s">
        <v>27</v>
      </c>
      <c r="E69" s="14">
        <v>1.0</v>
      </c>
      <c r="F69" s="15">
        <f>ROUND(21,3)</f>
        <v>21</v>
      </c>
      <c r="G69" s="12">
        <f t="shared" si="13"/>
        <v>21</v>
      </c>
    </row>
    <row r="70" ht="24.0" customHeight="1">
      <c r="A70" s="10" t="s">
        <v>28</v>
      </c>
      <c r="B70" s="10" t="s">
        <v>26</v>
      </c>
      <c r="C70" s="10" t="s">
        <v>23</v>
      </c>
      <c r="D70" s="10" t="s">
        <v>29</v>
      </c>
      <c r="E70" s="14">
        <v>1.0</v>
      </c>
      <c r="F70" s="15">
        <f t="shared" ref="F70:F71" si="14">ROUND(19,3)</f>
        <v>19</v>
      </c>
      <c r="G70" s="12">
        <f t="shared" si="13"/>
        <v>19</v>
      </c>
    </row>
    <row r="71" ht="24.0" customHeight="1">
      <c r="A71" s="10" t="s">
        <v>30</v>
      </c>
      <c r="B71" s="10" t="s">
        <v>26</v>
      </c>
      <c r="C71" s="10" t="s">
        <v>23</v>
      </c>
      <c r="D71" s="10" t="s">
        <v>31</v>
      </c>
      <c r="E71" s="14">
        <v>0.2</v>
      </c>
      <c r="F71" s="15">
        <f t="shared" si="14"/>
        <v>19</v>
      </c>
      <c r="G71" s="12">
        <f t="shared" si="13"/>
        <v>3.8</v>
      </c>
    </row>
    <row r="72" ht="15.0" customHeight="1">
      <c r="A72" s="11"/>
      <c r="B72" s="11"/>
      <c r="C72" s="11"/>
      <c r="D72" s="10" t="s">
        <v>22</v>
      </c>
      <c r="E72" s="14">
        <v>0.2</v>
      </c>
      <c r="F72" s="15">
        <f>ROUND((G69+G70+G71),3)</f>
        <v>43.8</v>
      </c>
      <c r="G72" s="12">
        <f t="shared" si="13"/>
        <v>8.76</v>
      </c>
    </row>
    <row r="73" ht="15.0" customHeight="1">
      <c r="A73" s="10" t="s">
        <v>32</v>
      </c>
      <c r="B73" s="10"/>
      <c r="C73" s="10" t="s">
        <v>33</v>
      </c>
      <c r="D73" s="10" t="s">
        <v>34</v>
      </c>
      <c r="E73" s="14">
        <v>3.0</v>
      </c>
      <c r="F73" s="15">
        <f>ROUND(8.76,3)</f>
        <v>8.76</v>
      </c>
      <c r="G73" s="12">
        <f>ROUND((E73*F73)/100,2)</f>
        <v>0.26</v>
      </c>
    </row>
    <row r="74" ht="24.75" customHeight="1">
      <c r="A74" s="16"/>
      <c r="B74" s="16"/>
      <c r="C74" s="16"/>
      <c r="D74" s="17" t="s">
        <v>56</v>
      </c>
      <c r="E74" s="16"/>
      <c r="F74" s="18">
        <f>ROUND((G68+G73)*(1+G2/100),2)</f>
        <v>9.02</v>
      </c>
      <c r="G74" s="16"/>
    </row>
    <row r="75" ht="39.75" customHeight="1">
      <c r="A75" s="19" t="s">
        <v>59</v>
      </c>
      <c r="B75" s="20" t="s">
        <v>18</v>
      </c>
      <c r="C75" s="20" t="s">
        <v>19</v>
      </c>
      <c r="D75" s="20" t="s">
        <v>60</v>
      </c>
      <c r="E75" s="21"/>
      <c r="F75" s="22">
        <f>F83</f>
        <v>15.04</v>
      </c>
      <c r="G75" s="21"/>
    </row>
    <row r="76" ht="21.0" customHeight="1">
      <c r="A76" s="11"/>
      <c r="B76" s="11"/>
      <c r="C76" s="11"/>
      <c r="D76" s="10" t="s">
        <v>61</v>
      </c>
    </row>
    <row r="77" ht="21.0" customHeight="1">
      <c r="A77" s="10" t="s">
        <v>22</v>
      </c>
      <c r="B77" s="10" t="s">
        <v>18</v>
      </c>
      <c r="C77" s="10" t="s">
        <v>23</v>
      </c>
      <c r="D77" s="10" t="s">
        <v>24</v>
      </c>
      <c r="E77" s="14">
        <v>0.33333</v>
      </c>
      <c r="F77" s="15">
        <f>F81</f>
        <v>43.8</v>
      </c>
      <c r="G77" s="12">
        <f t="shared" ref="G77:G81" si="15">ROUND(E77*F77,2)</f>
        <v>14.6</v>
      </c>
    </row>
    <row r="78" ht="24.0" customHeight="1">
      <c r="A78" s="10" t="s">
        <v>25</v>
      </c>
      <c r="B78" s="10" t="s">
        <v>26</v>
      </c>
      <c r="C78" s="10" t="s">
        <v>23</v>
      </c>
      <c r="D78" s="10" t="s">
        <v>27</v>
      </c>
      <c r="E78" s="14">
        <v>1.0</v>
      </c>
      <c r="F78" s="15">
        <f>ROUND(21,3)</f>
        <v>21</v>
      </c>
      <c r="G78" s="12">
        <f t="shared" si="15"/>
        <v>21</v>
      </c>
    </row>
    <row r="79" ht="24.0" customHeight="1">
      <c r="A79" s="10" t="s">
        <v>28</v>
      </c>
      <c r="B79" s="10" t="s">
        <v>26</v>
      </c>
      <c r="C79" s="10" t="s">
        <v>23</v>
      </c>
      <c r="D79" s="10" t="s">
        <v>29</v>
      </c>
      <c r="E79" s="14">
        <v>1.0</v>
      </c>
      <c r="F79" s="15">
        <f t="shared" ref="F79:F80" si="16">ROUND(19,3)</f>
        <v>19</v>
      </c>
      <c r="G79" s="12">
        <f t="shared" si="15"/>
        <v>19</v>
      </c>
    </row>
    <row r="80" ht="24.0" customHeight="1">
      <c r="A80" s="10" t="s">
        <v>30</v>
      </c>
      <c r="B80" s="10" t="s">
        <v>26</v>
      </c>
      <c r="C80" s="10" t="s">
        <v>23</v>
      </c>
      <c r="D80" s="10" t="s">
        <v>31</v>
      </c>
      <c r="E80" s="14">
        <v>0.2</v>
      </c>
      <c r="F80" s="15">
        <f t="shared" si="16"/>
        <v>19</v>
      </c>
      <c r="G80" s="12">
        <f t="shared" si="15"/>
        <v>3.8</v>
      </c>
    </row>
    <row r="81" ht="15.0" customHeight="1">
      <c r="A81" s="11"/>
      <c r="B81" s="11"/>
      <c r="C81" s="11"/>
      <c r="D81" s="10" t="s">
        <v>22</v>
      </c>
      <c r="E81" s="14">
        <v>0.33333</v>
      </c>
      <c r="F81" s="15">
        <f>ROUND((G78+G79+G80),3)</f>
        <v>43.8</v>
      </c>
      <c r="G81" s="12">
        <f t="shared" si="15"/>
        <v>14.6</v>
      </c>
    </row>
    <row r="82" ht="15.0" customHeight="1">
      <c r="A82" s="10" t="s">
        <v>32</v>
      </c>
      <c r="B82" s="10"/>
      <c r="C82" s="10" t="s">
        <v>33</v>
      </c>
      <c r="D82" s="10" t="s">
        <v>34</v>
      </c>
      <c r="E82" s="14">
        <v>3.0</v>
      </c>
      <c r="F82" s="15">
        <f>ROUND(14.6,3)</f>
        <v>14.6</v>
      </c>
      <c r="G82" s="12">
        <f>ROUND((E82*F82)/100,2)</f>
        <v>0.44</v>
      </c>
    </row>
    <row r="83" ht="24.75" customHeight="1">
      <c r="A83" s="16"/>
      <c r="B83" s="16"/>
      <c r="C83" s="16"/>
      <c r="D83" s="17" t="s">
        <v>59</v>
      </c>
      <c r="E83" s="16"/>
      <c r="F83" s="18">
        <f>ROUND((G77+G82)*(1+G2/100),2)</f>
        <v>15.04</v>
      </c>
      <c r="G83" s="16"/>
    </row>
    <row r="84" ht="48.75" customHeight="1">
      <c r="A84" s="19" t="s">
        <v>62</v>
      </c>
      <c r="B84" s="20" t="s">
        <v>18</v>
      </c>
      <c r="C84" s="20" t="s">
        <v>19</v>
      </c>
      <c r="D84" s="20" t="s">
        <v>63</v>
      </c>
      <c r="E84" s="21"/>
      <c r="F84" s="22">
        <f>F93</f>
        <v>10.12</v>
      </c>
      <c r="G84" s="21"/>
    </row>
    <row r="85" ht="21.0" customHeight="1">
      <c r="A85" s="11"/>
      <c r="B85" s="11"/>
      <c r="C85" s="11"/>
      <c r="D85" s="10" t="s">
        <v>64</v>
      </c>
    </row>
    <row r="86" ht="39.75" customHeight="1">
      <c r="A86" s="10" t="s">
        <v>41</v>
      </c>
      <c r="B86" s="10" t="s">
        <v>42</v>
      </c>
      <c r="C86" s="10" t="s">
        <v>43</v>
      </c>
      <c r="D86" s="10" t="s">
        <v>44</v>
      </c>
      <c r="E86" s="14">
        <v>0.021</v>
      </c>
      <c r="F86" s="15">
        <f>ROUND(9.13,3)</f>
        <v>9.13</v>
      </c>
      <c r="G86" s="12">
        <f t="shared" ref="G86:G91" si="17">ROUND(E86*F86,2)</f>
        <v>0.19</v>
      </c>
    </row>
    <row r="87" ht="21.0" customHeight="1">
      <c r="A87" s="10" t="s">
        <v>22</v>
      </c>
      <c r="B87" s="10" t="s">
        <v>18</v>
      </c>
      <c r="C87" s="10" t="s">
        <v>23</v>
      </c>
      <c r="D87" s="10" t="s">
        <v>24</v>
      </c>
      <c r="E87" s="14">
        <v>0.22</v>
      </c>
      <c r="F87" s="15">
        <f>F91</f>
        <v>43.8</v>
      </c>
      <c r="G87" s="12">
        <f t="shared" si="17"/>
        <v>9.64</v>
      </c>
    </row>
    <row r="88" ht="24.0" customHeight="1">
      <c r="A88" s="10" t="s">
        <v>25</v>
      </c>
      <c r="B88" s="10" t="s">
        <v>26</v>
      </c>
      <c r="C88" s="10" t="s">
        <v>23</v>
      </c>
      <c r="D88" s="10" t="s">
        <v>27</v>
      </c>
      <c r="E88" s="14">
        <v>1.0</v>
      </c>
      <c r="F88" s="15">
        <f>ROUND(21,3)</f>
        <v>21</v>
      </c>
      <c r="G88" s="12">
        <f t="shared" si="17"/>
        <v>21</v>
      </c>
    </row>
    <row r="89" ht="24.0" customHeight="1">
      <c r="A89" s="10" t="s">
        <v>28</v>
      </c>
      <c r="B89" s="10" t="s">
        <v>26</v>
      </c>
      <c r="C89" s="10" t="s">
        <v>23</v>
      </c>
      <c r="D89" s="10" t="s">
        <v>29</v>
      </c>
      <c r="E89" s="14">
        <v>1.0</v>
      </c>
      <c r="F89" s="15">
        <f t="shared" ref="F89:F90" si="18">ROUND(19,3)</f>
        <v>19</v>
      </c>
      <c r="G89" s="12">
        <f t="shared" si="17"/>
        <v>19</v>
      </c>
    </row>
    <row r="90" ht="24.0" customHeight="1">
      <c r="A90" s="10" t="s">
        <v>30</v>
      </c>
      <c r="B90" s="10" t="s">
        <v>26</v>
      </c>
      <c r="C90" s="10" t="s">
        <v>23</v>
      </c>
      <c r="D90" s="10" t="s">
        <v>31</v>
      </c>
      <c r="E90" s="14">
        <v>0.2</v>
      </c>
      <c r="F90" s="15">
        <f t="shared" si="18"/>
        <v>19</v>
      </c>
      <c r="G90" s="12">
        <f t="shared" si="17"/>
        <v>3.8</v>
      </c>
    </row>
    <row r="91" ht="15.0" customHeight="1">
      <c r="A91" s="11"/>
      <c r="B91" s="11"/>
      <c r="C91" s="11"/>
      <c r="D91" s="10" t="s">
        <v>22</v>
      </c>
      <c r="E91" s="14">
        <v>0.22</v>
      </c>
      <c r="F91" s="15">
        <f>ROUND((G88+G89+G90),3)</f>
        <v>43.8</v>
      </c>
      <c r="G91" s="12">
        <f t="shared" si="17"/>
        <v>9.64</v>
      </c>
    </row>
    <row r="92" ht="15.0" customHeight="1">
      <c r="A92" s="10" t="s">
        <v>32</v>
      </c>
      <c r="B92" s="10"/>
      <c r="C92" s="10" t="s">
        <v>33</v>
      </c>
      <c r="D92" s="10" t="s">
        <v>34</v>
      </c>
      <c r="E92" s="14">
        <v>3.0</v>
      </c>
      <c r="F92" s="15">
        <f>ROUND(9.64,3)</f>
        <v>9.64</v>
      </c>
      <c r="G92" s="12">
        <f>ROUND((E92*F92)/100,2)</f>
        <v>0.29</v>
      </c>
    </row>
    <row r="93" ht="24.75" customHeight="1">
      <c r="A93" s="16"/>
      <c r="B93" s="16"/>
      <c r="C93" s="16"/>
      <c r="D93" s="17" t="s">
        <v>62</v>
      </c>
      <c r="E93" s="16"/>
      <c r="F93" s="18">
        <f>ROUND((G86+G87+G92)*(1+G2/100),2)</f>
        <v>10.12</v>
      </c>
      <c r="G93" s="16"/>
    </row>
    <row r="94" ht="48.75" customHeight="1">
      <c r="A94" s="19" t="s">
        <v>65</v>
      </c>
      <c r="B94" s="20" t="s">
        <v>18</v>
      </c>
      <c r="C94" s="20" t="s">
        <v>19</v>
      </c>
      <c r="D94" s="20" t="s">
        <v>66</v>
      </c>
      <c r="E94" s="21"/>
      <c r="F94" s="22">
        <f>F103</f>
        <v>15.98</v>
      </c>
      <c r="G94" s="21"/>
    </row>
    <row r="95" ht="21.0" customHeight="1">
      <c r="A95" s="11"/>
      <c r="B95" s="11"/>
      <c r="C95" s="11"/>
      <c r="D95" s="10" t="s">
        <v>67</v>
      </c>
    </row>
    <row r="96" ht="39.75" customHeight="1">
      <c r="A96" s="10" t="s">
        <v>41</v>
      </c>
      <c r="B96" s="10" t="s">
        <v>42</v>
      </c>
      <c r="C96" s="10" t="s">
        <v>43</v>
      </c>
      <c r="D96" s="10" t="s">
        <v>44</v>
      </c>
      <c r="E96" s="14">
        <v>0.021</v>
      </c>
      <c r="F96" s="15">
        <f>ROUND(9.13,3)</f>
        <v>9.13</v>
      </c>
      <c r="G96" s="12">
        <f t="shared" ref="G96:G101" si="19">ROUND(E96*F96,2)</f>
        <v>0.19</v>
      </c>
    </row>
    <row r="97" ht="21.0" customHeight="1">
      <c r="A97" s="10" t="s">
        <v>22</v>
      </c>
      <c r="B97" s="10" t="s">
        <v>18</v>
      </c>
      <c r="C97" s="10" t="s">
        <v>23</v>
      </c>
      <c r="D97" s="10" t="s">
        <v>24</v>
      </c>
      <c r="E97" s="14">
        <v>0.35</v>
      </c>
      <c r="F97" s="15">
        <f>F101</f>
        <v>43.8</v>
      </c>
      <c r="G97" s="12">
        <f t="shared" si="19"/>
        <v>15.33</v>
      </c>
    </row>
    <row r="98" ht="24.0" customHeight="1">
      <c r="A98" s="10" t="s">
        <v>25</v>
      </c>
      <c r="B98" s="10" t="s">
        <v>26</v>
      </c>
      <c r="C98" s="10" t="s">
        <v>23</v>
      </c>
      <c r="D98" s="10" t="s">
        <v>27</v>
      </c>
      <c r="E98" s="14">
        <v>1.0</v>
      </c>
      <c r="F98" s="15">
        <f>ROUND(21,3)</f>
        <v>21</v>
      </c>
      <c r="G98" s="12">
        <f t="shared" si="19"/>
        <v>21</v>
      </c>
    </row>
    <row r="99" ht="24.0" customHeight="1">
      <c r="A99" s="10" t="s">
        <v>28</v>
      </c>
      <c r="B99" s="10" t="s">
        <v>26</v>
      </c>
      <c r="C99" s="10" t="s">
        <v>23</v>
      </c>
      <c r="D99" s="10" t="s">
        <v>29</v>
      </c>
      <c r="E99" s="14">
        <v>1.0</v>
      </c>
      <c r="F99" s="15">
        <f t="shared" ref="F99:F100" si="20">ROUND(19,3)</f>
        <v>19</v>
      </c>
      <c r="G99" s="12">
        <f t="shared" si="19"/>
        <v>19</v>
      </c>
    </row>
    <row r="100" ht="24.0" customHeight="1">
      <c r="A100" s="10" t="s">
        <v>30</v>
      </c>
      <c r="B100" s="10" t="s">
        <v>26</v>
      </c>
      <c r="C100" s="10" t="s">
        <v>23</v>
      </c>
      <c r="D100" s="10" t="s">
        <v>31</v>
      </c>
      <c r="E100" s="14">
        <v>0.2</v>
      </c>
      <c r="F100" s="15">
        <f t="shared" si="20"/>
        <v>19</v>
      </c>
      <c r="G100" s="12">
        <f t="shared" si="19"/>
        <v>3.8</v>
      </c>
    </row>
    <row r="101" ht="15.0" customHeight="1">
      <c r="A101" s="11"/>
      <c r="B101" s="11"/>
      <c r="C101" s="11"/>
      <c r="D101" s="10" t="s">
        <v>22</v>
      </c>
      <c r="E101" s="14">
        <v>0.35</v>
      </c>
      <c r="F101" s="15">
        <f>ROUND((G98+G99+G100),3)</f>
        <v>43.8</v>
      </c>
      <c r="G101" s="12">
        <f t="shared" si="19"/>
        <v>15.33</v>
      </c>
    </row>
    <row r="102" ht="15.0" customHeight="1">
      <c r="A102" s="10" t="s">
        <v>32</v>
      </c>
      <c r="B102" s="10"/>
      <c r="C102" s="10" t="s">
        <v>33</v>
      </c>
      <c r="D102" s="10" t="s">
        <v>34</v>
      </c>
      <c r="E102" s="14">
        <v>3.0</v>
      </c>
      <c r="F102" s="15">
        <f>ROUND(15.33,3)</f>
        <v>15.33</v>
      </c>
      <c r="G102" s="12">
        <f>ROUND((E102*F102)/100,2)</f>
        <v>0.46</v>
      </c>
    </row>
    <row r="103" ht="24.75" customHeight="1">
      <c r="A103" s="16"/>
      <c r="B103" s="16"/>
      <c r="C103" s="16"/>
      <c r="D103" s="17" t="s">
        <v>65</v>
      </c>
      <c r="E103" s="16"/>
      <c r="F103" s="18">
        <f>ROUND((G96+G97+G102)*(1+G2/100),2)</f>
        <v>15.98</v>
      </c>
      <c r="G103" s="16"/>
    </row>
    <row r="104" ht="48.75" customHeight="1">
      <c r="A104" s="19" t="s">
        <v>68</v>
      </c>
      <c r="B104" s="20" t="s">
        <v>18</v>
      </c>
      <c r="C104" s="20" t="s">
        <v>19</v>
      </c>
      <c r="D104" s="20" t="s">
        <v>69</v>
      </c>
      <c r="E104" s="21"/>
      <c r="F104" s="22">
        <f>F113</f>
        <v>10.1</v>
      </c>
      <c r="G104" s="21"/>
    </row>
    <row r="105" ht="21.0" customHeight="1">
      <c r="A105" s="11"/>
      <c r="B105" s="11"/>
      <c r="C105" s="11"/>
      <c r="D105" s="10" t="s">
        <v>70</v>
      </c>
    </row>
    <row r="106" ht="30.0" customHeight="1">
      <c r="A106" s="10" t="s">
        <v>51</v>
      </c>
      <c r="B106" s="10" t="s">
        <v>42</v>
      </c>
      <c r="C106" s="10" t="s">
        <v>43</v>
      </c>
      <c r="D106" s="10" t="s">
        <v>52</v>
      </c>
      <c r="E106" s="14">
        <v>0.066</v>
      </c>
      <c r="F106" s="15">
        <f>ROUND(2.56,3)</f>
        <v>2.56</v>
      </c>
      <c r="G106" s="12">
        <f t="shared" ref="G106:G111" si="21">ROUND(E106*F106,2)</f>
        <v>0.17</v>
      </c>
    </row>
    <row r="107" ht="21.0" customHeight="1">
      <c r="A107" s="10" t="s">
        <v>22</v>
      </c>
      <c r="B107" s="10" t="s">
        <v>18</v>
      </c>
      <c r="C107" s="10" t="s">
        <v>23</v>
      </c>
      <c r="D107" s="10" t="s">
        <v>24</v>
      </c>
      <c r="E107" s="14">
        <v>0.22</v>
      </c>
      <c r="F107" s="15">
        <f>F111</f>
        <v>43.8</v>
      </c>
      <c r="G107" s="12">
        <f t="shared" si="21"/>
        <v>9.64</v>
      </c>
    </row>
    <row r="108" ht="24.0" customHeight="1">
      <c r="A108" s="10" t="s">
        <v>25</v>
      </c>
      <c r="B108" s="10" t="s">
        <v>26</v>
      </c>
      <c r="C108" s="10" t="s">
        <v>23</v>
      </c>
      <c r="D108" s="10" t="s">
        <v>27</v>
      </c>
      <c r="E108" s="14">
        <v>1.0</v>
      </c>
      <c r="F108" s="15">
        <f>ROUND(21,3)</f>
        <v>21</v>
      </c>
      <c r="G108" s="12">
        <f t="shared" si="21"/>
        <v>21</v>
      </c>
    </row>
    <row r="109" ht="24.0" customHeight="1">
      <c r="A109" s="10" t="s">
        <v>28</v>
      </c>
      <c r="B109" s="10" t="s">
        <v>26</v>
      </c>
      <c r="C109" s="10" t="s">
        <v>23</v>
      </c>
      <c r="D109" s="10" t="s">
        <v>29</v>
      </c>
      <c r="E109" s="14">
        <v>1.0</v>
      </c>
      <c r="F109" s="15">
        <f t="shared" ref="F109:F110" si="22">ROUND(19,3)</f>
        <v>19</v>
      </c>
      <c r="G109" s="12">
        <f t="shared" si="21"/>
        <v>19</v>
      </c>
    </row>
    <row r="110" ht="24.0" customHeight="1">
      <c r="A110" s="10" t="s">
        <v>30</v>
      </c>
      <c r="B110" s="10" t="s">
        <v>26</v>
      </c>
      <c r="C110" s="10" t="s">
        <v>23</v>
      </c>
      <c r="D110" s="10" t="s">
        <v>31</v>
      </c>
      <c r="E110" s="14">
        <v>0.2</v>
      </c>
      <c r="F110" s="15">
        <f t="shared" si="22"/>
        <v>19</v>
      </c>
      <c r="G110" s="12">
        <f t="shared" si="21"/>
        <v>3.8</v>
      </c>
    </row>
    <row r="111" ht="15.0" customHeight="1">
      <c r="A111" s="11"/>
      <c r="B111" s="11"/>
      <c r="C111" s="11"/>
      <c r="D111" s="10" t="s">
        <v>22</v>
      </c>
      <c r="E111" s="14">
        <v>0.22</v>
      </c>
      <c r="F111" s="15">
        <f>ROUND((G108+G109+G110),3)</f>
        <v>43.8</v>
      </c>
      <c r="G111" s="12">
        <f t="shared" si="21"/>
        <v>9.64</v>
      </c>
    </row>
    <row r="112" ht="15.0" customHeight="1">
      <c r="A112" s="10" t="s">
        <v>32</v>
      </c>
      <c r="B112" s="10"/>
      <c r="C112" s="10" t="s">
        <v>33</v>
      </c>
      <c r="D112" s="10" t="s">
        <v>34</v>
      </c>
      <c r="E112" s="14">
        <v>3.0</v>
      </c>
      <c r="F112" s="15">
        <f>ROUND(9.64,3)</f>
        <v>9.64</v>
      </c>
      <c r="G112" s="12">
        <f>ROUND((E112*F112)/100,2)</f>
        <v>0.29</v>
      </c>
    </row>
    <row r="113" ht="24.75" customHeight="1">
      <c r="A113" s="16"/>
      <c r="B113" s="16"/>
      <c r="C113" s="16"/>
      <c r="D113" s="17" t="s">
        <v>68</v>
      </c>
      <c r="E113" s="16"/>
      <c r="F113" s="18">
        <f>ROUND((G106+G107+G112)*(1+G2/100),2)</f>
        <v>10.1</v>
      </c>
      <c r="G113" s="16"/>
    </row>
    <row r="114" ht="48.75" customHeight="1">
      <c r="A114" s="19" t="s">
        <v>71</v>
      </c>
      <c r="B114" s="20" t="s">
        <v>18</v>
      </c>
      <c r="C114" s="20" t="s">
        <v>19</v>
      </c>
      <c r="D114" s="20" t="s">
        <v>72</v>
      </c>
      <c r="E114" s="21"/>
      <c r="F114" s="22">
        <f>F123</f>
        <v>15.96</v>
      </c>
      <c r="G114" s="21"/>
    </row>
    <row r="115" ht="21.0" customHeight="1">
      <c r="A115" s="11"/>
      <c r="B115" s="11"/>
      <c r="C115" s="11"/>
      <c r="D115" s="10" t="s">
        <v>73</v>
      </c>
    </row>
    <row r="116" ht="30.0" customHeight="1">
      <c r="A116" s="10" t="s">
        <v>51</v>
      </c>
      <c r="B116" s="10" t="s">
        <v>42</v>
      </c>
      <c r="C116" s="10" t="s">
        <v>43</v>
      </c>
      <c r="D116" s="10" t="s">
        <v>52</v>
      </c>
      <c r="E116" s="14">
        <v>0.066</v>
      </c>
      <c r="F116" s="15">
        <f>ROUND(2.56,3)</f>
        <v>2.56</v>
      </c>
      <c r="G116" s="12">
        <f t="shared" ref="G116:G121" si="23">ROUND(E116*F116,2)</f>
        <v>0.17</v>
      </c>
    </row>
    <row r="117" ht="21.0" customHeight="1">
      <c r="A117" s="10" t="s">
        <v>22</v>
      </c>
      <c r="B117" s="10" t="s">
        <v>18</v>
      </c>
      <c r="C117" s="10" t="s">
        <v>23</v>
      </c>
      <c r="D117" s="10" t="s">
        <v>24</v>
      </c>
      <c r="E117" s="14">
        <v>0.35</v>
      </c>
      <c r="F117" s="15">
        <f>F121</f>
        <v>43.8</v>
      </c>
      <c r="G117" s="12">
        <f t="shared" si="23"/>
        <v>15.33</v>
      </c>
    </row>
    <row r="118" ht="24.0" customHeight="1">
      <c r="A118" s="10" t="s">
        <v>25</v>
      </c>
      <c r="B118" s="10" t="s">
        <v>26</v>
      </c>
      <c r="C118" s="10" t="s">
        <v>23</v>
      </c>
      <c r="D118" s="10" t="s">
        <v>27</v>
      </c>
      <c r="E118" s="14">
        <v>1.0</v>
      </c>
      <c r="F118" s="15">
        <f>ROUND(21,3)</f>
        <v>21</v>
      </c>
      <c r="G118" s="12">
        <f t="shared" si="23"/>
        <v>21</v>
      </c>
    </row>
    <row r="119" ht="24.0" customHeight="1">
      <c r="A119" s="10" t="s">
        <v>28</v>
      </c>
      <c r="B119" s="10" t="s">
        <v>26</v>
      </c>
      <c r="C119" s="10" t="s">
        <v>23</v>
      </c>
      <c r="D119" s="10" t="s">
        <v>29</v>
      </c>
      <c r="E119" s="14">
        <v>1.0</v>
      </c>
      <c r="F119" s="15">
        <f t="shared" ref="F119:F120" si="24">ROUND(19,3)</f>
        <v>19</v>
      </c>
      <c r="G119" s="12">
        <f t="shared" si="23"/>
        <v>19</v>
      </c>
    </row>
    <row r="120" ht="24.0" customHeight="1">
      <c r="A120" s="10" t="s">
        <v>30</v>
      </c>
      <c r="B120" s="10" t="s">
        <v>26</v>
      </c>
      <c r="C120" s="10" t="s">
        <v>23</v>
      </c>
      <c r="D120" s="10" t="s">
        <v>31</v>
      </c>
      <c r="E120" s="14">
        <v>0.2</v>
      </c>
      <c r="F120" s="15">
        <f t="shared" si="24"/>
        <v>19</v>
      </c>
      <c r="G120" s="12">
        <f t="shared" si="23"/>
        <v>3.8</v>
      </c>
    </row>
    <row r="121" ht="15.0" customHeight="1">
      <c r="A121" s="11"/>
      <c r="B121" s="11"/>
      <c r="C121" s="11"/>
      <c r="D121" s="10" t="s">
        <v>22</v>
      </c>
      <c r="E121" s="14">
        <v>0.35</v>
      </c>
      <c r="F121" s="15">
        <f>ROUND((G118+G119+G120),3)</f>
        <v>43.8</v>
      </c>
      <c r="G121" s="12">
        <f t="shared" si="23"/>
        <v>15.33</v>
      </c>
    </row>
    <row r="122" ht="15.0" customHeight="1">
      <c r="A122" s="10" t="s">
        <v>32</v>
      </c>
      <c r="B122" s="10"/>
      <c r="C122" s="10" t="s">
        <v>33</v>
      </c>
      <c r="D122" s="10" t="s">
        <v>34</v>
      </c>
      <c r="E122" s="14">
        <v>3.0</v>
      </c>
      <c r="F122" s="15">
        <f>ROUND(15.33,3)</f>
        <v>15.33</v>
      </c>
      <c r="G122" s="12">
        <f>ROUND((E122*F122)/100,2)</f>
        <v>0.46</v>
      </c>
    </row>
    <row r="123" ht="24.75" customHeight="1">
      <c r="A123" s="16"/>
      <c r="B123" s="16"/>
      <c r="C123" s="16"/>
      <c r="D123" s="17" t="s">
        <v>71</v>
      </c>
      <c r="E123" s="16"/>
      <c r="F123" s="18">
        <f>ROUND((G116+G117+G122)*(1+G2/100),2)</f>
        <v>15.96</v>
      </c>
      <c r="G123" s="16"/>
    </row>
    <row r="124" ht="34.5" customHeight="1">
      <c r="A124" s="19" t="s">
        <v>74</v>
      </c>
      <c r="B124" s="20" t="s">
        <v>18</v>
      </c>
      <c r="C124" s="20" t="s">
        <v>19</v>
      </c>
      <c r="D124" s="20" t="s">
        <v>75</v>
      </c>
      <c r="E124" s="21"/>
      <c r="F124" s="22">
        <f>F132</f>
        <v>10.31</v>
      </c>
      <c r="G124" s="21"/>
    </row>
    <row r="125" ht="12.0" customHeight="1">
      <c r="A125" s="11"/>
      <c r="B125" s="11"/>
      <c r="C125" s="11"/>
      <c r="D125" s="10" t="s">
        <v>76</v>
      </c>
    </row>
    <row r="126" ht="21.0" customHeight="1">
      <c r="A126" s="10" t="s">
        <v>22</v>
      </c>
      <c r="B126" s="10" t="s">
        <v>18</v>
      </c>
      <c r="C126" s="10" t="s">
        <v>23</v>
      </c>
      <c r="D126" s="10" t="s">
        <v>24</v>
      </c>
      <c r="E126" s="14">
        <v>0.2286</v>
      </c>
      <c r="F126" s="15">
        <f>F130</f>
        <v>43.8</v>
      </c>
      <c r="G126" s="12">
        <f t="shared" ref="G126:G130" si="25">ROUND(E126*F126,2)</f>
        <v>10.01</v>
      </c>
    </row>
    <row r="127" ht="24.0" customHeight="1">
      <c r="A127" s="10" t="s">
        <v>25</v>
      </c>
      <c r="B127" s="10" t="s">
        <v>26</v>
      </c>
      <c r="C127" s="10" t="s">
        <v>23</v>
      </c>
      <c r="D127" s="10" t="s">
        <v>27</v>
      </c>
      <c r="E127" s="14">
        <v>1.0</v>
      </c>
      <c r="F127" s="15">
        <f>ROUND(21,3)</f>
        <v>21</v>
      </c>
      <c r="G127" s="12">
        <f t="shared" si="25"/>
        <v>21</v>
      </c>
    </row>
    <row r="128" ht="24.0" customHeight="1">
      <c r="A128" s="10" t="s">
        <v>28</v>
      </c>
      <c r="B128" s="10" t="s">
        <v>26</v>
      </c>
      <c r="C128" s="10" t="s">
        <v>23</v>
      </c>
      <c r="D128" s="10" t="s">
        <v>29</v>
      </c>
      <c r="E128" s="14">
        <v>1.0</v>
      </c>
      <c r="F128" s="15">
        <f t="shared" ref="F128:F129" si="26">ROUND(19,3)</f>
        <v>19</v>
      </c>
      <c r="G128" s="12">
        <f t="shared" si="25"/>
        <v>19</v>
      </c>
    </row>
    <row r="129" ht="24.0" customHeight="1">
      <c r="A129" s="10" t="s">
        <v>30</v>
      </c>
      <c r="B129" s="10" t="s">
        <v>26</v>
      </c>
      <c r="C129" s="10" t="s">
        <v>23</v>
      </c>
      <c r="D129" s="10" t="s">
        <v>31</v>
      </c>
      <c r="E129" s="14">
        <v>0.2</v>
      </c>
      <c r="F129" s="15">
        <f t="shared" si="26"/>
        <v>19</v>
      </c>
      <c r="G129" s="12">
        <f t="shared" si="25"/>
        <v>3.8</v>
      </c>
    </row>
    <row r="130" ht="15.0" customHeight="1">
      <c r="A130" s="11"/>
      <c r="B130" s="11"/>
      <c r="C130" s="11"/>
      <c r="D130" s="10" t="s">
        <v>22</v>
      </c>
      <c r="E130" s="14">
        <v>0.2286</v>
      </c>
      <c r="F130" s="15">
        <f>ROUND((G127+G128+G129),3)</f>
        <v>43.8</v>
      </c>
      <c r="G130" s="12">
        <f t="shared" si="25"/>
        <v>10.01</v>
      </c>
    </row>
    <row r="131" ht="15.0" customHeight="1">
      <c r="A131" s="10" t="s">
        <v>32</v>
      </c>
      <c r="B131" s="10"/>
      <c r="C131" s="10" t="s">
        <v>33</v>
      </c>
      <c r="D131" s="10" t="s">
        <v>34</v>
      </c>
      <c r="E131" s="14">
        <v>3.0</v>
      </c>
      <c r="F131" s="15">
        <f>ROUND(10.01,3)</f>
        <v>10.01</v>
      </c>
      <c r="G131" s="12">
        <f>ROUND((E131*F131)/100,2)</f>
        <v>0.3</v>
      </c>
    </row>
    <row r="132" ht="24.75" customHeight="1">
      <c r="A132" s="16"/>
      <c r="B132" s="16"/>
      <c r="C132" s="16"/>
      <c r="D132" s="17" t="s">
        <v>74</v>
      </c>
      <c r="E132" s="16"/>
      <c r="F132" s="18">
        <f>ROUND((G126+G131)*(1+G2/100),2)</f>
        <v>10.31</v>
      </c>
      <c r="G132" s="16"/>
    </row>
    <row r="133" ht="34.5" customHeight="1">
      <c r="A133" s="19" t="s">
        <v>77</v>
      </c>
      <c r="B133" s="20" t="s">
        <v>18</v>
      </c>
      <c r="C133" s="20" t="s">
        <v>19</v>
      </c>
      <c r="D133" s="20" t="s">
        <v>78</v>
      </c>
      <c r="E133" s="21"/>
      <c r="F133" s="22">
        <f>F141</f>
        <v>17.19</v>
      </c>
      <c r="G133" s="21"/>
    </row>
    <row r="134" ht="12.0" customHeight="1">
      <c r="A134" s="11"/>
      <c r="B134" s="11"/>
      <c r="C134" s="11"/>
      <c r="D134" s="10" t="s">
        <v>79</v>
      </c>
    </row>
    <row r="135" ht="21.0" customHeight="1">
      <c r="A135" s="10" t="s">
        <v>22</v>
      </c>
      <c r="B135" s="10" t="s">
        <v>18</v>
      </c>
      <c r="C135" s="10" t="s">
        <v>23</v>
      </c>
      <c r="D135" s="10" t="s">
        <v>24</v>
      </c>
      <c r="E135" s="14">
        <v>0.381</v>
      </c>
      <c r="F135" s="15">
        <f>F139</f>
        <v>43.8</v>
      </c>
      <c r="G135" s="12">
        <f t="shared" ref="G135:G139" si="27">ROUND(E135*F135,2)</f>
        <v>16.69</v>
      </c>
    </row>
    <row r="136" ht="24.0" customHeight="1">
      <c r="A136" s="10" t="s">
        <v>25</v>
      </c>
      <c r="B136" s="10" t="s">
        <v>26</v>
      </c>
      <c r="C136" s="10" t="s">
        <v>23</v>
      </c>
      <c r="D136" s="10" t="s">
        <v>27</v>
      </c>
      <c r="E136" s="14">
        <v>1.0</v>
      </c>
      <c r="F136" s="15">
        <f>ROUND(21,3)</f>
        <v>21</v>
      </c>
      <c r="G136" s="12">
        <f t="shared" si="27"/>
        <v>21</v>
      </c>
    </row>
    <row r="137" ht="24.0" customHeight="1">
      <c r="A137" s="10" t="s">
        <v>28</v>
      </c>
      <c r="B137" s="10" t="s">
        <v>26</v>
      </c>
      <c r="C137" s="10" t="s">
        <v>23</v>
      </c>
      <c r="D137" s="10" t="s">
        <v>29</v>
      </c>
      <c r="E137" s="14">
        <v>1.0</v>
      </c>
      <c r="F137" s="15">
        <f t="shared" ref="F137:F138" si="28">ROUND(19,3)</f>
        <v>19</v>
      </c>
      <c r="G137" s="12">
        <f t="shared" si="27"/>
        <v>19</v>
      </c>
    </row>
    <row r="138" ht="24.0" customHeight="1">
      <c r="A138" s="10" t="s">
        <v>30</v>
      </c>
      <c r="B138" s="10" t="s">
        <v>26</v>
      </c>
      <c r="C138" s="10" t="s">
        <v>23</v>
      </c>
      <c r="D138" s="10" t="s">
        <v>31</v>
      </c>
      <c r="E138" s="14">
        <v>0.2</v>
      </c>
      <c r="F138" s="15">
        <f t="shared" si="28"/>
        <v>19</v>
      </c>
      <c r="G138" s="12">
        <f t="shared" si="27"/>
        <v>3.8</v>
      </c>
    </row>
    <row r="139" ht="15.0" customHeight="1">
      <c r="A139" s="11"/>
      <c r="B139" s="11"/>
      <c r="C139" s="11"/>
      <c r="D139" s="10" t="s">
        <v>22</v>
      </c>
      <c r="E139" s="14">
        <v>0.381</v>
      </c>
      <c r="F139" s="15">
        <f>ROUND((G136+G137+G138),3)</f>
        <v>43.8</v>
      </c>
      <c r="G139" s="12">
        <f t="shared" si="27"/>
        <v>16.69</v>
      </c>
    </row>
    <row r="140" ht="15.0" customHeight="1">
      <c r="A140" s="10" t="s">
        <v>32</v>
      </c>
      <c r="B140" s="10"/>
      <c r="C140" s="10" t="s">
        <v>33</v>
      </c>
      <c r="D140" s="10" t="s">
        <v>34</v>
      </c>
      <c r="E140" s="14">
        <v>3.0</v>
      </c>
      <c r="F140" s="15">
        <f>ROUND(16.69,3)</f>
        <v>16.69</v>
      </c>
      <c r="G140" s="12">
        <f>ROUND((E140*F140)/100,2)</f>
        <v>0.5</v>
      </c>
    </row>
    <row r="141" ht="24.75" customHeight="1">
      <c r="A141" s="16"/>
      <c r="B141" s="16"/>
      <c r="C141" s="16"/>
      <c r="D141" s="17" t="s">
        <v>77</v>
      </c>
      <c r="E141" s="16"/>
      <c r="F141" s="18">
        <f>ROUND((G135+G140)*(1+G2/100),2)</f>
        <v>17.19</v>
      </c>
      <c r="G141" s="16"/>
    </row>
    <row r="142" ht="39.75" customHeight="1">
      <c r="A142" s="19" t="s">
        <v>80</v>
      </c>
      <c r="B142" s="20" t="s">
        <v>18</v>
      </c>
      <c r="C142" s="20" t="s">
        <v>19</v>
      </c>
      <c r="D142" s="20" t="s">
        <v>81</v>
      </c>
      <c r="E142" s="21"/>
      <c r="F142" s="22">
        <f>F151</f>
        <v>11.02</v>
      </c>
      <c r="G142" s="21"/>
    </row>
    <row r="143" ht="21.0" customHeight="1">
      <c r="A143" s="11"/>
      <c r="B143" s="11"/>
      <c r="C143" s="11"/>
      <c r="D143" s="10" t="s">
        <v>82</v>
      </c>
    </row>
    <row r="144" ht="39.75" customHeight="1">
      <c r="A144" s="10" t="s">
        <v>41</v>
      </c>
      <c r="B144" s="10" t="s">
        <v>42</v>
      </c>
      <c r="C144" s="10" t="s">
        <v>43</v>
      </c>
      <c r="D144" s="10" t="s">
        <v>44</v>
      </c>
      <c r="E144" s="14">
        <v>0.021</v>
      </c>
      <c r="F144" s="15">
        <f>ROUND(9.13,3)</f>
        <v>9.13</v>
      </c>
      <c r="G144" s="12">
        <f t="shared" ref="G144:G149" si="29">ROUND(E144*F144,2)</f>
        <v>0.19</v>
      </c>
    </row>
    <row r="145" ht="21.0" customHeight="1">
      <c r="A145" s="10" t="s">
        <v>22</v>
      </c>
      <c r="B145" s="10" t="s">
        <v>18</v>
      </c>
      <c r="C145" s="10" t="s">
        <v>23</v>
      </c>
      <c r="D145" s="10" t="s">
        <v>24</v>
      </c>
      <c r="E145" s="14">
        <v>0.24</v>
      </c>
      <c r="F145" s="15">
        <f>F149</f>
        <v>43.8</v>
      </c>
      <c r="G145" s="12">
        <f t="shared" si="29"/>
        <v>10.51</v>
      </c>
    </row>
    <row r="146" ht="24.0" customHeight="1">
      <c r="A146" s="10" t="s">
        <v>25</v>
      </c>
      <c r="B146" s="10" t="s">
        <v>26</v>
      </c>
      <c r="C146" s="10" t="s">
        <v>23</v>
      </c>
      <c r="D146" s="10" t="s">
        <v>27</v>
      </c>
      <c r="E146" s="14">
        <v>1.0</v>
      </c>
      <c r="F146" s="15">
        <f>ROUND(21,3)</f>
        <v>21</v>
      </c>
      <c r="G146" s="12">
        <f t="shared" si="29"/>
        <v>21</v>
      </c>
    </row>
    <row r="147" ht="24.0" customHeight="1">
      <c r="A147" s="10" t="s">
        <v>28</v>
      </c>
      <c r="B147" s="10" t="s">
        <v>26</v>
      </c>
      <c r="C147" s="10" t="s">
        <v>23</v>
      </c>
      <c r="D147" s="10" t="s">
        <v>29</v>
      </c>
      <c r="E147" s="14">
        <v>1.0</v>
      </c>
      <c r="F147" s="15">
        <f t="shared" ref="F147:F148" si="30">ROUND(19,3)</f>
        <v>19</v>
      </c>
      <c r="G147" s="12">
        <f t="shared" si="29"/>
        <v>19</v>
      </c>
    </row>
    <row r="148" ht="24.0" customHeight="1">
      <c r="A148" s="10" t="s">
        <v>30</v>
      </c>
      <c r="B148" s="10" t="s">
        <v>26</v>
      </c>
      <c r="C148" s="10" t="s">
        <v>23</v>
      </c>
      <c r="D148" s="10" t="s">
        <v>31</v>
      </c>
      <c r="E148" s="14">
        <v>0.2</v>
      </c>
      <c r="F148" s="15">
        <f t="shared" si="30"/>
        <v>19</v>
      </c>
      <c r="G148" s="12">
        <f t="shared" si="29"/>
        <v>3.8</v>
      </c>
    </row>
    <row r="149" ht="15.0" customHeight="1">
      <c r="A149" s="11"/>
      <c r="B149" s="11"/>
      <c r="C149" s="11"/>
      <c r="D149" s="10" t="s">
        <v>22</v>
      </c>
      <c r="E149" s="14">
        <v>0.24</v>
      </c>
      <c r="F149" s="15">
        <f>ROUND((G146+G147+G148),3)</f>
        <v>43.8</v>
      </c>
      <c r="G149" s="12">
        <f t="shared" si="29"/>
        <v>10.51</v>
      </c>
    </row>
    <row r="150" ht="15.0" customHeight="1">
      <c r="A150" s="10" t="s">
        <v>32</v>
      </c>
      <c r="B150" s="10"/>
      <c r="C150" s="10" t="s">
        <v>33</v>
      </c>
      <c r="D150" s="10" t="s">
        <v>34</v>
      </c>
      <c r="E150" s="14">
        <v>3.0</v>
      </c>
      <c r="F150" s="15">
        <f>ROUND(10.51,3)</f>
        <v>10.51</v>
      </c>
      <c r="G150" s="12">
        <f>ROUND((E150*F150)/100,2)</f>
        <v>0.32</v>
      </c>
    </row>
    <row r="151" ht="24.75" customHeight="1">
      <c r="A151" s="16"/>
      <c r="B151" s="16"/>
      <c r="C151" s="16"/>
      <c r="D151" s="17" t="s">
        <v>80</v>
      </c>
      <c r="E151" s="16"/>
      <c r="F151" s="18">
        <f>ROUND((G144+G145+G150)*(1+G2/100),2)</f>
        <v>11.02</v>
      </c>
      <c r="G151" s="16"/>
    </row>
    <row r="152" ht="39.75" customHeight="1">
      <c r="A152" s="19" t="s">
        <v>83</v>
      </c>
      <c r="B152" s="20" t="s">
        <v>18</v>
      </c>
      <c r="C152" s="20" t="s">
        <v>19</v>
      </c>
      <c r="D152" s="20" t="s">
        <v>84</v>
      </c>
      <c r="E152" s="21"/>
      <c r="F152" s="22">
        <f>F161</f>
        <v>18.24</v>
      </c>
      <c r="G152" s="21"/>
    </row>
    <row r="153" ht="21.0" customHeight="1">
      <c r="A153" s="11"/>
      <c r="B153" s="11"/>
      <c r="C153" s="11"/>
      <c r="D153" s="10" t="s">
        <v>85</v>
      </c>
    </row>
    <row r="154" ht="39.75" customHeight="1">
      <c r="A154" s="10" t="s">
        <v>41</v>
      </c>
      <c r="B154" s="10" t="s">
        <v>42</v>
      </c>
      <c r="C154" s="10" t="s">
        <v>43</v>
      </c>
      <c r="D154" s="10" t="s">
        <v>44</v>
      </c>
      <c r="E154" s="14">
        <v>0.021</v>
      </c>
      <c r="F154" s="15">
        <f>ROUND(9.13,3)</f>
        <v>9.13</v>
      </c>
      <c r="G154" s="12">
        <f t="shared" ref="G154:G159" si="31">ROUND(E154*F154,2)</f>
        <v>0.19</v>
      </c>
    </row>
    <row r="155" ht="21.0" customHeight="1">
      <c r="A155" s="10" t="s">
        <v>22</v>
      </c>
      <c r="B155" s="10" t="s">
        <v>18</v>
      </c>
      <c r="C155" s="10" t="s">
        <v>23</v>
      </c>
      <c r="D155" s="10" t="s">
        <v>24</v>
      </c>
      <c r="E155" s="14">
        <v>0.4</v>
      </c>
      <c r="F155" s="15">
        <f>F159</f>
        <v>43.8</v>
      </c>
      <c r="G155" s="12">
        <f t="shared" si="31"/>
        <v>17.52</v>
      </c>
    </row>
    <row r="156" ht="24.0" customHeight="1">
      <c r="A156" s="10" t="s">
        <v>25</v>
      </c>
      <c r="B156" s="10" t="s">
        <v>26</v>
      </c>
      <c r="C156" s="10" t="s">
        <v>23</v>
      </c>
      <c r="D156" s="10" t="s">
        <v>27</v>
      </c>
      <c r="E156" s="14">
        <v>1.0</v>
      </c>
      <c r="F156" s="15">
        <f>ROUND(21,3)</f>
        <v>21</v>
      </c>
      <c r="G156" s="12">
        <f t="shared" si="31"/>
        <v>21</v>
      </c>
    </row>
    <row r="157" ht="24.0" customHeight="1">
      <c r="A157" s="10" t="s">
        <v>28</v>
      </c>
      <c r="B157" s="10" t="s">
        <v>26</v>
      </c>
      <c r="C157" s="10" t="s">
        <v>23</v>
      </c>
      <c r="D157" s="10" t="s">
        <v>29</v>
      </c>
      <c r="E157" s="14">
        <v>1.0</v>
      </c>
      <c r="F157" s="15">
        <f t="shared" ref="F157:F158" si="32">ROUND(19,3)</f>
        <v>19</v>
      </c>
      <c r="G157" s="12">
        <f t="shared" si="31"/>
        <v>19</v>
      </c>
    </row>
    <row r="158" ht="24.0" customHeight="1">
      <c r="A158" s="10" t="s">
        <v>30</v>
      </c>
      <c r="B158" s="10" t="s">
        <v>26</v>
      </c>
      <c r="C158" s="10" t="s">
        <v>23</v>
      </c>
      <c r="D158" s="10" t="s">
        <v>31</v>
      </c>
      <c r="E158" s="14">
        <v>0.2</v>
      </c>
      <c r="F158" s="15">
        <f t="shared" si="32"/>
        <v>19</v>
      </c>
      <c r="G158" s="12">
        <f t="shared" si="31"/>
        <v>3.8</v>
      </c>
    </row>
    <row r="159" ht="15.0" customHeight="1">
      <c r="A159" s="11"/>
      <c r="B159" s="11"/>
      <c r="C159" s="11"/>
      <c r="D159" s="10" t="s">
        <v>22</v>
      </c>
      <c r="E159" s="14">
        <v>0.4</v>
      </c>
      <c r="F159" s="15">
        <f>ROUND((G156+G157+G158),3)</f>
        <v>43.8</v>
      </c>
      <c r="G159" s="12">
        <f t="shared" si="31"/>
        <v>17.52</v>
      </c>
    </row>
    <row r="160" ht="15.0" customHeight="1">
      <c r="A160" s="10" t="s">
        <v>32</v>
      </c>
      <c r="B160" s="10"/>
      <c r="C160" s="10" t="s">
        <v>33</v>
      </c>
      <c r="D160" s="10" t="s">
        <v>34</v>
      </c>
      <c r="E160" s="14">
        <v>3.0</v>
      </c>
      <c r="F160" s="15">
        <f>ROUND(17.52,3)</f>
        <v>17.52</v>
      </c>
      <c r="G160" s="12">
        <f>ROUND((E160*F160)/100,2)</f>
        <v>0.53</v>
      </c>
    </row>
    <row r="161" ht="24.75" customHeight="1">
      <c r="A161" s="16"/>
      <c r="B161" s="16"/>
      <c r="C161" s="16"/>
      <c r="D161" s="17" t="s">
        <v>83</v>
      </c>
      <c r="E161" s="16"/>
      <c r="F161" s="18">
        <f>ROUND((G154+G155+G160)*(1+G2/100),2)</f>
        <v>18.24</v>
      </c>
      <c r="G161" s="16"/>
    </row>
    <row r="162" ht="39.75" customHeight="1">
      <c r="A162" s="19" t="s">
        <v>86</v>
      </c>
      <c r="B162" s="20" t="s">
        <v>18</v>
      </c>
      <c r="C162" s="20" t="s">
        <v>19</v>
      </c>
      <c r="D162" s="20" t="s">
        <v>87</v>
      </c>
      <c r="E162" s="21"/>
      <c r="F162" s="22">
        <f>F171</f>
        <v>11</v>
      </c>
      <c r="G162" s="21"/>
    </row>
    <row r="163" ht="21.0" customHeight="1">
      <c r="A163" s="11"/>
      <c r="B163" s="11"/>
      <c r="C163" s="11"/>
      <c r="D163" s="10" t="s">
        <v>88</v>
      </c>
    </row>
    <row r="164" ht="30.0" customHeight="1">
      <c r="A164" s="10" t="s">
        <v>51</v>
      </c>
      <c r="B164" s="10" t="s">
        <v>42</v>
      </c>
      <c r="C164" s="10" t="s">
        <v>43</v>
      </c>
      <c r="D164" s="10" t="s">
        <v>52</v>
      </c>
      <c r="E164" s="14">
        <v>0.066</v>
      </c>
      <c r="F164" s="15">
        <f>ROUND(2.56,3)</f>
        <v>2.56</v>
      </c>
      <c r="G164" s="12">
        <f t="shared" ref="G164:G169" si="33">ROUND(E164*F164,2)</f>
        <v>0.17</v>
      </c>
    </row>
    <row r="165" ht="21.0" customHeight="1">
      <c r="A165" s="10" t="s">
        <v>22</v>
      </c>
      <c r="B165" s="10" t="s">
        <v>18</v>
      </c>
      <c r="C165" s="10" t="s">
        <v>23</v>
      </c>
      <c r="D165" s="10" t="s">
        <v>24</v>
      </c>
      <c r="E165" s="14">
        <v>0.24</v>
      </c>
      <c r="F165" s="15">
        <f>F169</f>
        <v>43.8</v>
      </c>
      <c r="G165" s="12">
        <f t="shared" si="33"/>
        <v>10.51</v>
      </c>
    </row>
    <row r="166" ht="24.0" customHeight="1">
      <c r="A166" s="10" t="s">
        <v>25</v>
      </c>
      <c r="B166" s="10" t="s">
        <v>26</v>
      </c>
      <c r="C166" s="10" t="s">
        <v>23</v>
      </c>
      <c r="D166" s="10" t="s">
        <v>27</v>
      </c>
      <c r="E166" s="14">
        <v>1.0</v>
      </c>
      <c r="F166" s="15">
        <f>ROUND(21,3)</f>
        <v>21</v>
      </c>
      <c r="G166" s="12">
        <f t="shared" si="33"/>
        <v>21</v>
      </c>
    </row>
    <row r="167" ht="24.0" customHeight="1">
      <c r="A167" s="10" t="s">
        <v>28</v>
      </c>
      <c r="B167" s="10" t="s">
        <v>26</v>
      </c>
      <c r="C167" s="10" t="s">
        <v>23</v>
      </c>
      <c r="D167" s="10" t="s">
        <v>29</v>
      </c>
      <c r="E167" s="14">
        <v>1.0</v>
      </c>
      <c r="F167" s="15">
        <f t="shared" ref="F167:F168" si="34">ROUND(19,3)</f>
        <v>19</v>
      </c>
      <c r="G167" s="12">
        <f t="shared" si="33"/>
        <v>19</v>
      </c>
    </row>
    <row r="168" ht="24.0" customHeight="1">
      <c r="A168" s="10" t="s">
        <v>30</v>
      </c>
      <c r="B168" s="10" t="s">
        <v>26</v>
      </c>
      <c r="C168" s="10" t="s">
        <v>23</v>
      </c>
      <c r="D168" s="10" t="s">
        <v>31</v>
      </c>
      <c r="E168" s="14">
        <v>0.2</v>
      </c>
      <c r="F168" s="15">
        <f t="shared" si="34"/>
        <v>19</v>
      </c>
      <c r="G168" s="12">
        <f t="shared" si="33"/>
        <v>3.8</v>
      </c>
    </row>
    <row r="169" ht="15.0" customHeight="1">
      <c r="A169" s="11"/>
      <c r="B169" s="11"/>
      <c r="C169" s="11"/>
      <c r="D169" s="10" t="s">
        <v>22</v>
      </c>
      <c r="E169" s="14">
        <v>0.24</v>
      </c>
      <c r="F169" s="15">
        <f>ROUND((G166+G167+G168),3)</f>
        <v>43.8</v>
      </c>
      <c r="G169" s="12">
        <f t="shared" si="33"/>
        <v>10.51</v>
      </c>
    </row>
    <row r="170" ht="15.0" customHeight="1">
      <c r="A170" s="10" t="s">
        <v>32</v>
      </c>
      <c r="B170" s="10"/>
      <c r="C170" s="10" t="s">
        <v>33</v>
      </c>
      <c r="D170" s="10" t="s">
        <v>34</v>
      </c>
      <c r="E170" s="14">
        <v>3.0</v>
      </c>
      <c r="F170" s="15">
        <f>ROUND(10.51,3)</f>
        <v>10.51</v>
      </c>
      <c r="G170" s="12">
        <f>ROUND((E170*F170)/100,2)</f>
        <v>0.32</v>
      </c>
    </row>
    <row r="171" ht="24.75" customHeight="1">
      <c r="A171" s="16"/>
      <c r="B171" s="16"/>
      <c r="C171" s="16"/>
      <c r="D171" s="17" t="s">
        <v>86</v>
      </c>
      <c r="E171" s="16"/>
      <c r="F171" s="18">
        <f>ROUND((G164+G165+G170)*(1+G2/100),2)</f>
        <v>11</v>
      </c>
      <c r="G171" s="16"/>
    </row>
    <row r="172" ht="39.75" customHeight="1">
      <c r="A172" s="19" t="s">
        <v>89</v>
      </c>
      <c r="B172" s="20" t="s">
        <v>18</v>
      </c>
      <c r="C172" s="20" t="s">
        <v>19</v>
      </c>
      <c r="D172" s="20" t="s">
        <v>90</v>
      </c>
      <c r="E172" s="21"/>
      <c r="F172" s="22">
        <f>F181</f>
        <v>18.22</v>
      </c>
      <c r="G172" s="21"/>
    </row>
    <row r="173" ht="21.0" customHeight="1">
      <c r="A173" s="11"/>
      <c r="B173" s="11"/>
      <c r="C173" s="11"/>
      <c r="D173" s="10" t="s">
        <v>91</v>
      </c>
    </row>
    <row r="174" ht="30.0" customHeight="1">
      <c r="A174" s="10" t="s">
        <v>51</v>
      </c>
      <c r="B174" s="10" t="s">
        <v>42</v>
      </c>
      <c r="C174" s="10" t="s">
        <v>43</v>
      </c>
      <c r="D174" s="10" t="s">
        <v>52</v>
      </c>
      <c r="E174" s="14">
        <v>0.066</v>
      </c>
      <c r="F174" s="15">
        <f>ROUND(2.56,3)</f>
        <v>2.56</v>
      </c>
      <c r="G174" s="12">
        <f t="shared" ref="G174:G179" si="35">ROUND(E174*F174,2)</f>
        <v>0.17</v>
      </c>
    </row>
    <row r="175" ht="21.0" customHeight="1">
      <c r="A175" s="10" t="s">
        <v>22</v>
      </c>
      <c r="B175" s="10" t="s">
        <v>18</v>
      </c>
      <c r="C175" s="10" t="s">
        <v>23</v>
      </c>
      <c r="D175" s="10" t="s">
        <v>24</v>
      </c>
      <c r="E175" s="14">
        <v>0.4</v>
      </c>
      <c r="F175" s="15">
        <f>F179</f>
        <v>43.8</v>
      </c>
      <c r="G175" s="12">
        <f t="shared" si="35"/>
        <v>17.52</v>
      </c>
    </row>
    <row r="176" ht="24.0" customHeight="1">
      <c r="A176" s="10" t="s">
        <v>25</v>
      </c>
      <c r="B176" s="10" t="s">
        <v>26</v>
      </c>
      <c r="C176" s="10" t="s">
        <v>23</v>
      </c>
      <c r="D176" s="10" t="s">
        <v>27</v>
      </c>
      <c r="E176" s="14">
        <v>1.0</v>
      </c>
      <c r="F176" s="15">
        <f>ROUND(21,3)</f>
        <v>21</v>
      </c>
      <c r="G176" s="12">
        <f t="shared" si="35"/>
        <v>21</v>
      </c>
    </row>
    <row r="177" ht="24.0" customHeight="1">
      <c r="A177" s="10" t="s">
        <v>28</v>
      </c>
      <c r="B177" s="10" t="s">
        <v>26</v>
      </c>
      <c r="C177" s="10" t="s">
        <v>23</v>
      </c>
      <c r="D177" s="10" t="s">
        <v>29</v>
      </c>
      <c r="E177" s="14">
        <v>1.0</v>
      </c>
      <c r="F177" s="15">
        <f t="shared" ref="F177:F178" si="36">ROUND(19,3)</f>
        <v>19</v>
      </c>
      <c r="G177" s="12">
        <f t="shared" si="35"/>
        <v>19</v>
      </c>
    </row>
    <row r="178" ht="24.0" customHeight="1">
      <c r="A178" s="10" t="s">
        <v>30</v>
      </c>
      <c r="B178" s="10" t="s">
        <v>26</v>
      </c>
      <c r="C178" s="10" t="s">
        <v>23</v>
      </c>
      <c r="D178" s="10" t="s">
        <v>31</v>
      </c>
      <c r="E178" s="14">
        <v>0.2</v>
      </c>
      <c r="F178" s="15">
        <f t="shared" si="36"/>
        <v>19</v>
      </c>
      <c r="G178" s="12">
        <f t="shared" si="35"/>
        <v>3.8</v>
      </c>
    </row>
    <row r="179" ht="15.0" customHeight="1">
      <c r="A179" s="11"/>
      <c r="B179" s="11"/>
      <c r="C179" s="11"/>
      <c r="D179" s="10" t="s">
        <v>22</v>
      </c>
      <c r="E179" s="14">
        <v>0.4</v>
      </c>
      <c r="F179" s="15">
        <f>ROUND((G176+G177+G178),3)</f>
        <v>43.8</v>
      </c>
      <c r="G179" s="12">
        <f t="shared" si="35"/>
        <v>17.52</v>
      </c>
    </row>
    <row r="180" ht="15.0" customHeight="1">
      <c r="A180" s="10" t="s">
        <v>32</v>
      </c>
      <c r="B180" s="10"/>
      <c r="C180" s="10" t="s">
        <v>33</v>
      </c>
      <c r="D180" s="10" t="s">
        <v>34</v>
      </c>
      <c r="E180" s="14">
        <v>3.0</v>
      </c>
      <c r="F180" s="15">
        <f>ROUND(17.52,3)</f>
        <v>17.52</v>
      </c>
      <c r="G180" s="12">
        <f>ROUND((E180*F180)/100,2)</f>
        <v>0.53</v>
      </c>
    </row>
    <row r="181" ht="24.75" customHeight="1">
      <c r="A181" s="16"/>
      <c r="B181" s="16"/>
      <c r="C181" s="16"/>
      <c r="D181" s="17" t="s">
        <v>89</v>
      </c>
      <c r="E181" s="16"/>
      <c r="F181" s="18">
        <f>ROUND((G174+G175+G180)*(1+G2/100),2)</f>
        <v>18.22</v>
      </c>
      <c r="G181" s="16"/>
    </row>
    <row r="182" ht="30.0" customHeight="1">
      <c r="A182" s="19" t="s">
        <v>92</v>
      </c>
      <c r="B182" s="20" t="s">
        <v>18</v>
      </c>
      <c r="C182" s="20" t="s">
        <v>19</v>
      </c>
      <c r="D182" s="20" t="s">
        <v>93</v>
      </c>
      <c r="E182" s="21"/>
      <c r="F182" s="22">
        <f>F190</f>
        <v>20.05</v>
      </c>
      <c r="G182" s="21"/>
    </row>
    <row r="183" ht="12.0" customHeight="1">
      <c r="A183" s="11"/>
      <c r="B183" s="11"/>
      <c r="C183" s="11"/>
      <c r="D183" s="10" t="s">
        <v>94</v>
      </c>
    </row>
    <row r="184" ht="21.0" customHeight="1">
      <c r="A184" s="10" t="s">
        <v>22</v>
      </c>
      <c r="B184" s="10" t="s">
        <v>18</v>
      </c>
      <c r="C184" s="10" t="s">
        <v>23</v>
      </c>
      <c r="D184" s="10" t="s">
        <v>24</v>
      </c>
      <c r="E184" s="14">
        <v>0.44444</v>
      </c>
      <c r="F184" s="15">
        <f>F188</f>
        <v>43.8</v>
      </c>
      <c r="G184" s="12">
        <f t="shared" ref="G184:G188" si="37">ROUND(E184*F184,2)</f>
        <v>19.47</v>
      </c>
    </row>
    <row r="185" ht="24.0" customHeight="1">
      <c r="A185" s="10" t="s">
        <v>25</v>
      </c>
      <c r="B185" s="10" t="s">
        <v>26</v>
      </c>
      <c r="C185" s="10" t="s">
        <v>23</v>
      </c>
      <c r="D185" s="10" t="s">
        <v>27</v>
      </c>
      <c r="E185" s="14">
        <v>1.0</v>
      </c>
      <c r="F185" s="15">
        <f>ROUND(21,3)</f>
        <v>21</v>
      </c>
      <c r="G185" s="12">
        <f t="shared" si="37"/>
        <v>21</v>
      </c>
    </row>
    <row r="186" ht="24.0" customHeight="1">
      <c r="A186" s="10" t="s">
        <v>28</v>
      </c>
      <c r="B186" s="10" t="s">
        <v>26</v>
      </c>
      <c r="C186" s="10" t="s">
        <v>23</v>
      </c>
      <c r="D186" s="10" t="s">
        <v>29</v>
      </c>
      <c r="E186" s="14">
        <v>1.0</v>
      </c>
      <c r="F186" s="15">
        <f t="shared" ref="F186:F187" si="38">ROUND(19,3)</f>
        <v>19</v>
      </c>
      <c r="G186" s="12">
        <f t="shared" si="37"/>
        <v>19</v>
      </c>
    </row>
    <row r="187" ht="24.0" customHeight="1">
      <c r="A187" s="10" t="s">
        <v>30</v>
      </c>
      <c r="B187" s="10" t="s">
        <v>26</v>
      </c>
      <c r="C187" s="10" t="s">
        <v>23</v>
      </c>
      <c r="D187" s="10" t="s">
        <v>31</v>
      </c>
      <c r="E187" s="14">
        <v>0.2</v>
      </c>
      <c r="F187" s="15">
        <f t="shared" si="38"/>
        <v>19</v>
      </c>
      <c r="G187" s="12">
        <f t="shared" si="37"/>
        <v>3.8</v>
      </c>
    </row>
    <row r="188" ht="15.0" customHeight="1">
      <c r="A188" s="11"/>
      <c r="B188" s="11"/>
      <c r="C188" s="11"/>
      <c r="D188" s="10" t="s">
        <v>22</v>
      </c>
      <c r="E188" s="14">
        <v>0.44444</v>
      </c>
      <c r="F188" s="15">
        <f>ROUND((G185+G186+G187),3)</f>
        <v>43.8</v>
      </c>
      <c r="G188" s="12">
        <f t="shared" si="37"/>
        <v>19.47</v>
      </c>
    </row>
    <row r="189" ht="15.0" customHeight="1">
      <c r="A189" s="10" t="s">
        <v>32</v>
      </c>
      <c r="B189" s="10"/>
      <c r="C189" s="10" t="s">
        <v>33</v>
      </c>
      <c r="D189" s="10" t="s">
        <v>34</v>
      </c>
      <c r="E189" s="14">
        <v>3.0</v>
      </c>
      <c r="F189" s="15">
        <f>ROUND(19.47,3)</f>
        <v>19.47</v>
      </c>
      <c r="G189" s="12">
        <f>ROUND((E189*F189)/100,2)</f>
        <v>0.58</v>
      </c>
    </row>
    <row r="190" ht="15.0" customHeight="1">
      <c r="A190" s="16"/>
      <c r="B190" s="16"/>
      <c r="C190" s="16"/>
      <c r="D190" s="17" t="s">
        <v>92</v>
      </c>
      <c r="E190" s="16"/>
      <c r="F190" s="18">
        <f>ROUND((G184+G189)*(1+G2/100),2)</f>
        <v>20.05</v>
      </c>
      <c r="G190" s="16"/>
    </row>
    <row r="191" ht="30.0" customHeight="1">
      <c r="A191" s="19" t="s">
        <v>95</v>
      </c>
      <c r="B191" s="20" t="s">
        <v>18</v>
      </c>
      <c r="C191" s="20" t="s">
        <v>19</v>
      </c>
      <c r="D191" s="20" t="s">
        <v>93</v>
      </c>
      <c r="E191" s="21"/>
      <c r="F191" s="22">
        <f>F199</f>
        <v>12.03</v>
      </c>
      <c r="G191" s="21"/>
    </row>
    <row r="192" ht="12.0" customHeight="1">
      <c r="A192" s="11"/>
      <c r="B192" s="11"/>
      <c r="C192" s="11"/>
      <c r="D192" s="10" t="s">
        <v>94</v>
      </c>
    </row>
    <row r="193" ht="21.0" customHeight="1">
      <c r="A193" s="10" t="s">
        <v>22</v>
      </c>
      <c r="B193" s="10" t="s">
        <v>18</v>
      </c>
      <c r="C193" s="10" t="s">
        <v>23</v>
      </c>
      <c r="D193" s="10" t="s">
        <v>24</v>
      </c>
      <c r="E193" s="14">
        <v>0.26667</v>
      </c>
      <c r="F193" s="15">
        <f>F197</f>
        <v>43.8</v>
      </c>
      <c r="G193" s="12">
        <f t="shared" ref="G193:G197" si="39">ROUND(E193*F193,2)</f>
        <v>11.68</v>
      </c>
    </row>
    <row r="194" ht="24.0" customHeight="1">
      <c r="A194" s="10" t="s">
        <v>25</v>
      </c>
      <c r="B194" s="10" t="s">
        <v>26</v>
      </c>
      <c r="C194" s="10" t="s">
        <v>23</v>
      </c>
      <c r="D194" s="10" t="s">
        <v>27</v>
      </c>
      <c r="E194" s="14">
        <v>1.0</v>
      </c>
      <c r="F194" s="15">
        <f>ROUND(21,3)</f>
        <v>21</v>
      </c>
      <c r="G194" s="12">
        <f t="shared" si="39"/>
        <v>21</v>
      </c>
    </row>
    <row r="195" ht="24.0" customHeight="1">
      <c r="A195" s="10" t="s">
        <v>28</v>
      </c>
      <c r="B195" s="10" t="s">
        <v>26</v>
      </c>
      <c r="C195" s="10" t="s">
        <v>23</v>
      </c>
      <c r="D195" s="10" t="s">
        <v>29</v>
      </c>
      <c r="E195" s="14">
        <v>1.0</v>
      </c>
      <c r="F195" s="15">
        <f t="shared" ref="F195:F196" si="40">ROUND(19,3)</f>
        <v>19</v>
      </c>
      <c r="G195" s="12">
        <f t="shared" si="39"/>
        <v>19</v>
      </c>
    </row>
    <row r="196" ht="24.0" customHeight="1">
      <c r="A196" s="10" t="s">
        <v>30</v>
      </c>
      <c r="B196" s="10" t="s">
        <v>26</v>
      </c>
      <c r="C196" s="10" t="s">
        <v>23</v>
      </c>
      <c r="D196" s="10" t="s">
        <v>31</v>
      </c>
      <c r="E196" s="14">
        <v>0.2</v>
      </c>
      <c r="F196" s="15">
        <f t="shared" si="40"/>
        <v>19</v>
      </c>
      <c r="G196" s="12">
        <f t="shared" si="39"/>
        <v>3.8</v>
      </c>
    </row>
    <row r="197" ht="15.0" customHeight="1">
      <c r="A197" s="11"/>
      <c r="B197" s="11"/>
      <c r="C197" s="11"/>
      <c r="D197" s="10" t="s">
        <v>22</v>
      </c>
      <c r="E197" s="14">
        <v>0.26667</v>
      </c>
      <c r="F197" s="15">
        <f>ROUND((G194+G195+G196),3)</f>
        <v>43.8</v>
      </c>
      <c r="G197" s="12">
        <f t="shared" si="39"/>
        <v>11.68</v>
      </c>
    </row>
    <row r="198" ht="15.0" customHeight="1">
      <c r="A198" s="10" t="s">
        <v>32</v>
      </c>
      <c r="B198" s="10"/>
      <c r="C198" s="10" t="s">
        <v>33</v>
      </c>
      <c r="D198" s="10" t="s">
        <v>34</v>
      </c>
      <c r="E198" s="14">
        <v>3.0</v>
      </c>
      <c r="F198" s="15">
        <f>ROUND(11.68,3)</f>
        <v>11.68</v>
      </c>
      <c r="G198" s="12">
        <f>ROUND((E198*F198)/100,2)</f>
        <v>0.35</v>
      </c>
    </row>
    <row r="199" ht="15.0" customHeight="1">
      <c r="A199" s="16"/>
      <c r="B199" s="16"/>
      <c r="C199" s="16"/>
      <c r="D199" s="17" t="s">
        <v>95</v>
      </c>
      <c r="E199" s="16"/>
      <c r="F199" s="18">
        <f>ROUND((G193+G198)*(1+G2/100),2)</f>
        <v>12.03</v>
      </c>
      <c r="G199" s="16"/>
    </row>
    <row r="200" ht="48.75" customHeight="1">
      <c r="A200" s="19" t="s">
        <v>96</v>
      </c>
      <c r="B200" s="20" t="s">
        <v>18</v>
      </c>
      <c r="C200" s="20" t="s">
        <v>19</v>
      </c>
      <c r="D200" s="20" t="s">
        <v>97</v>
      </c>
      <c r="E200" s="21"/>
      <c r="F200" s="22">
        <f>F209</f>
        <v>12.82</v>
      </c>
      <c r="G200" s="21"/>
    </row>
    <row r="201" ht="21.0" customHeight="1">
      <c r="A201" s="11"/>
      <c r="B201" s="11"/>
      <c r="C201" s="11"/>
      <c r="D201" s="10" t="s">
        <v>98</v>
      </c>
    </row>
    <row r="202" ht="39.75" customHeight="1">
      <c r="A202" s="10" t="s">
        <v>41</v>
      </c>
      <c r="B202" s="10" t="s">
        <v>42</v>
      </c>
      <c r="C202" s="10" t="s">
        <v>43</v>
      </c>
      <c r="D202" s="10" t="s">
        <v>44</v>
      </c>
      <c r="E202" s="14">
        <v>0.021</v>
      </c>
      <c r="F202" s="15">
        <f>ROUND(9.13,3)</f>
        <v>9.13</v>
      </c>
      <c r="G202" s="12">
        <f t="shared" ref="G202:G207" si="41">ROUND(E202*F202,2)</f>
        <v>0.19</v>
      </c>
    </row>
    <row r="203" ht="21.0" customHeight="1">
      <c r="A203" s="10" t="s">
        <v>22</v>
      </c>
      <c r="B203" s="10" t="s">
        <v>18</v>
      </c>
      <c r="C203" s="10" t="s">
        <v>23</v>
      </c>
      <c r="D203" s="10" t="s">
        <v>24</v>
      </c>
      <c r="E203" s="14">
        <v>0.28</v>
      </c>
      <c r="F203" s="15">
        <f>F207</f>
        <v>43.8</v>
      </c>
      <c r="G203" s="12">
        <f t="shared" si="41"/>
        <v>12.26</v>
      </c>
    </row>
    <row r="204" ht="24.0" customHeight="1">
      <c r="A204" s="10" t="s">
        <v>25</v>
      </c>
      <c r="B204" s="10" t="s">
        <v>26</v>
      </c>
      <c r="C204" s="10" t="s">
        <v>23</v>
      </c>
      <c r="D204" s="10" t="s">
        <v>27</v>
      </c>
      <c r="E204" s="14">
        <v>1.0</v>
      </c>
      <c r="F204" s="15">
        <f>ROUND(21,3)</f>
        <v>21</v>
      </c>
      <c r="G204" s="12">
        <f t="shared" si="41"/>
        <v>21</v>
      </c>
    </row>
    <row r="205" ht="24.0" customHeight="1">
      <c r="A205" s="10" t="s">
        <v>28</v>
      </c>
      <c r="B205" s="10" t="s">
        <v>26</v>
      </c>
      <c r="C205" s="10" t="s">
        <v>23</v>
      </c>
      <c r="D205" s="10" t="s">
        <v>29</v>
      </c>
      <c r="E205" s="14">
        <v>1.0</v>
      </c>
      <c r="F205" s="15">
        <f t="shared" ref="F205:F206" si="42">ROUND(19,3)</f>
        <v>19</v>
      </c>
      <c r="G205" s="12">
        <f t="shared" si="41"/>
        <v>19</v>
      </c>
    </row>
    <row r="206" ht="24.0" customHeight="1">
      <c r="A206" s="10" t="s">
        <v>30</v>
      </c>
      <c r="B206" s="10" t="s">
        <v>26</v>
      </c>
      <c r="C206" s="10" t="s">
        <v>23</v>
      </c>
      <c r="D206" s="10" t="s">
        <v>31</v>
      </c>
      <c r="E206" s="14">
        <v>0.2</v>
      </c>
      <c r="F206" s="15">
        <f t="shared" si="42"/>
        <v>19</v>
      </c>
      <c r="G206" s="12">
        <f t="shared" si="41"/>
        <v>3.8</v>
      </c>
    </row>
    <row r="207" ht="15.0" customHeight="1">
      <c r="A207" s="11"/>
      <c r="B207" s="11"/>
      <c r="C207" s="11"/>
      <c r="D207" s="10" t="s">
        <v>22</v>
      </c>
      <c r="E207" s="14">
        <v>0.28</v>
      </c>
      <c r="F207" s="15">
        <f>ROUND((G204+G205+G206),3)</f>
        <v>43.8</v>
      </c>
      <c r="G207" s="12">
        <f t="shared" si="41"/>
        <v>12.26</v>
      </c>
    </row>
    <row r="208" ht="15.0" customHeight="1">
      <c r="A208" s="10" t="s">
        <v>32</v>
      </c>
      <c r="B208" s="10"/>
      <c r="C208" s="10" t="s">
        <v>33</v>
      </c>
      <c r="D208" s="10" t="s">
        <v>34</v>
      </c>
      <c r="E208" s="14">
        <v>3.0</v>
      </c>
      <c r="F208" s="15">
        <f>ROUND(12.26,3)</f>
        <v>12.26</v>
      </c>
      <c r="G208" s="12">
        <f>ROUND((E208*F208)/100,2)</f>
        <v>0.37</v>
      </c>
    </row>
    <row r="209" ht="15.0" customHeight="1">
      <c r="A209" s="16"/>
      <c r="B209" s="16"/>
      <c r="C209" s="16"/>
      <c r="D209" s="17" t="s">
        <v>96</v>
      </c>
      <c r="E209" s="16"/>
      <c r="F209" s="18">
        <f>ROUND((G202+G203+G208)*(1+G2/100),2)</f>
        <v>12.82</v>
      </c>
      <c r="G209" s="16"/>
    </row>
    <row r="210" ht="48.75" customHeight="1">
      <c r="A210" s="19" t="s">
        <v>99</v>
      </c>
      <c r="B210" s="20" t="s">
        <v>18</v>
      </c>
      <c r="C210" s="20" t="s">
        <v>19</v>
      </c>
      <c r="D210" s="20" t="s">
        <v>100</v>
      </c>
      <c r="E210" s="21"/>
      <c r="F210" s="22">
        <f>F219</f>
        <v>21.4</v>
      </c>
      <c r="G210" s="21"/>
    </row>
    <row r="211" ht="21.0" customHeight="1">
      <c r="A211" s="11"/>
      <c r="B211" s="11"/>
      <c r="C211" s="11"/>
      <c r="D211" s="10" t="s">
        <v>101</v>
      </c>
    </row>
    <row r="212" ht="39.75" customHeight="1">
      <c r="A212" s="10" t="s">
        <v>41</v>
      </c>
      <c r="B212" s="10" t="s">
        <v>42</v>
      </c>
      <c r="C212" s="10" t="s">
        <v>43</v>
      </c>
      <c r="D212" s="10" t="s">
        <v>44</v>
      </c>
      <c r="E212" s="14">
        <v>0.021</v>
      </c>
      <c r="F212" s="15">
        <f>ROUND(9.13,3)</f>
        <v>9.13</v>
      </c>
      <c r="G212" s="12">
        <f t="shared" ref="G212:G217" si="43">ROUND(E212*F212,2)</f>
        <v>0.19</v>
      </c>
    </row>
    <row r="213" ht="21.0" customHeight="1">
      <c r="A213" s="10" t="s">
        <v>22</v>
      </c>
      <c r="B213" s="10" t="s">
        <v>18</v>
      </c>
      <c r="C213" s="10" t="s">
        <v>23</v>
      </c>
      <c r="D213" s="10" t="s">
        <v>24</v>
      </c>
      <c r="E213" s="14">
        <v>0.47</v>
      </c>
      <c r="F213" s="15">
        <f>F217</f>
        <v>43.8</v>
      </c>
      <c r="G213" s="12">
        <f t="shared" si="43"/>
        <v>20.59</v>
      </c>
    </row>
    <row r="214" ht="24.0" customHeight="1">
      <c r="A214" s="10" t="s">
        <v>25</v>
      </c>
      <c r="B214" s="10" t="s">
        <v>26</v>
      </c>
      <c r="C214" s="10" t="s">
        <v>23</v>
      </c>
      <c r="D214" s="10" t="s">
        <v>27</v>
      </c>
      <c r="E214" s="14">
        <v>1.0</v>
      </c>
      <c r="F214" s="15">
        <f>ROUND(21,3)</f>
        <v>21</v>
      </c>
      <c r="G214" s="12">
        <f t="shared" si="43"/>
        <v>21</v>
      </c>
    </row>
    <row r="215" ht="24.0" customHeight="1">
      <c r="A215" s="10" t="s">
        <v>28</v>
      </c>
      <c r="B215" s="10" t="s">
        <v>26</v>
      </c>
      <c r="C215" s="10" t="s">
        <v>23</v>
      </c>
      <c r="D215" s="10" t="s">
        <v>29</v>
      </c>
      <c r="E215" s="14">
        <v>1.0</v>
      </c>
      <c r="F215" s="15">
        <f t="shared" ref="F215:F216" si="44">ROUND(19,3)</f>
        <v>19</v>
      </c>
      <c r="G215" s="12">
        <f t="shared" si="43"/>
        <v>19</v>
      </c>
    </row>
    <row r="216" ht="24.0" customHeight="1">
      <c r="A216" s="10" t="s">
        <v>30</v>
      </c>
      <c r="B216" s="10" t="s">
        <v>26</v>
      </c>
      <c r="C216" s="10" t="s">
        <v>23</v>
      </c>
      <c r="D216" s="10" t="s">
        <v>31</v>
      </c>
      <c r="E216" s="14">
        <v>0.2</v>
      </c>
      <c r="F216" s="15">
        <f t="shared" si="44"/>
        <v>19</v>
      </c>
      <c r="G216" s="12">
        <f t="shared" si="43"/>
        <v>3.8</v>
      </c>
    </row>
    <row r="217" ht="15.0" customHeight="1">
      <c r="A217" s="11"/>
      <c r="B217" s="11"/>
      <c r="C217" s="11"/>
      <c r="D217" s="10" t="s">
        <v>22</v>
      </c>
      <c r="E217" s="14">
        <v>0.47</v>
      </c>
      <c r="F217" s="15">
        <f>ROUND((G214+G215+G216),3)</f>
        <v>43.8</v>
      </c>
      <c r="G217" s="12">
        <f t="shared" si="43"/>
        <v>20.59</v>
      </c>
    </row>
    <row r="218" ht="15.0" customHeight="1">
      <c r="A218" s="10" t="s">
        <v>32</v>
      </c>
      <c r="B218" s="10"/>
      <c r="C218" s="10" t="s">
        <v>33</v>
      </c>
      <c r="D218" s="10" t="s">
        <v>34</v>
      </c>
      <c r="E218" s="14">
        <v>3.0</v>
      </c>
      <c r="F218" s="15">
        <f>ROUND(20.59,3)</f>
        <v>20.59</v>
      </c>
      <c r="G218" s="12">
        <f>ROUND((E218*F218)/100,2)</f>
        <v>0.62</v>
      </c>
    </row>
    <row r="219" ht="15.0" customHeight="1">
      <c r="A219" s="16"/>
      <c r="B219" s="16"/>
      <c r="C219" s="16"/>
      <c r="D219" s="17" t="s">
        <v>99</v>
      </c>
      <c r="E219" s="16"/>
      <c r="F219" s="18">
        <f>ROUND((G212+G213+G218)*(1+G2/100),2)</f>
        <v>21.4</v>
      </c>
      <c r="G219" s="16"/>
    </row>
    <row r="220" ht="39.75" customHeight="1">
      <c r="A220" s="19" t="s">
        <v>102</v>
      </c>
      <c r="B220" s="20" t="s">
        <v>18</v>
      </c>
      <c r="C220" s="20" t="s">
        <v>19</v>
      </c>
      <c r="D220" s="20" t="s">
        <v>103</v>
      </c>
      <c r="E220" s="21"/>
      <c r="F220" s="22">
        <f>F229</f>
        <v>12.8</v>
      </c>
      <c r="G220" s="21"/>
    </row>
    <row r="221" ht="21.0" customHeight="1">
      <c r="A221" s="11"/>
      <c r="B221" s="11"/>
      <c r="C221" s="11"/>
      <c r="D221" s="10" t="s">
        <v>104</v>
      </c>
    </row>
    <row r="222" ht="30.0" customHeight="1">
      <c r="A222" s="10" t="s">
        <v>51</v>
      </c>
      <c r="B222" s="10" t="s">
        <v>42</v>
      </c>
      <c r="C222" s="10" t="s">
        <v>43</v>
      </c>
      <c r="D222" s="10" t="s">
        <v>52</v>
      </c>
      <c r="E222" s="14">
        <v>0.066</v>
      </c>
      <c r="F222" s="15">
        <f>ROUND(2.56,3)</f>
        <v>2.56</v>
      </c>
      <c r="G222" s="12">
        <f t="shared" ref="G222:G227" si="45">ROUND(E222*F222,2)</f>
        <v>0.17</v>
      </c>
    </row>
    <row r="223" ht="21.0" customHeight="1">
      <c r="A223" s="10" t="s">
        <v>22</v>
      </c>
      <c r="B223" s="10" t="s">
        <v>18</v>
      </c>
      <c r="C223" s="10" t="s">
        <v>23</v>
      </c>
      <c r="D223" s="10" t="s">
        <v>24</v>
      </c>
      <c r="E223" s="14">
        <v>0.28</v>
      </c>
      <c r="F223" s="15">
        <f>F227</f>
        <v>43.8</v>
      </c>
      <c r="G223" s="12">
        <f t="shared" si="45"/>
        <v>12.26</v>
      </c>
    </row>
    <row r="224" ht="24.0" customHeight="1">
      <c r="A224" s="10" t="s">
        <v>25</v>
      </c>
      <c r="B224" s="10" t="s">
        <v>26</v>
      </c>
      <c r="C224" s="10" t="s">
        <v>23</v>
      </c>
      <c r="D224" s="10" t="s">
        <v>27</v>
      </c>
      <c r="E224" s="14">
        <v>1.0</v>
      </c>
      <c r="F224" s="15">
        <f>ROUND(21,3)</f>
        <v>21</v>
      </c>
      <c r="G224" s="12">
        <f t="shared" si="45"/>
        <v>21</v>
      </c>
    </row>
    <row r="225" ht="24.0" customHeight="1">
      <c r="A225" s="10" t="s">
        <v>28</v>
      </c>
      <c r="B225" s="10" t="s">
        <v>26</v>
      </c>
      <c r="C225" s="10" t="s">
        <v>23</v>
      </c>
      <c r="D225" s="10" t="s">
        <v>29</v>
      </c>
      <c r="E225" s="14">
        <v>1.0</v>
      </c>
      <c r="F225" s="15">
        <f t="shared" ref="F225:F226" si="46">ROUND(19,3)</f>
        <v>19</v>
      </c>
      <c r="G225" s="12">
        <f t="shared" si="45"/>
        <v>19</v>
      </c>
    </row>
    <row r="226" ht="24.0" customHeight="1">
      <c r="A226" s="10" t="s">
        <v>30</v>
      </c>
      <c r="B226" s="10" t="s">
        <v>26</v>
      </c>
      <c r="C226" s="10" t="s">
        <v>23</v>
      </c>
      <c r="D226" s="10" t="s">
        <v>31</v>
      </c>
      <c r="E226" s="14">
        <v>0.2</v>
      </c>
      <c r="F226" s="15">
        <f t="shared" si="46"/>
        <v>19</v>
      </c>
      <c r="G226" s="12">
        <f t="shared" si="45"/>
        <v>3.8</v>
      </c>
    </row>
    <row r="227" ht="15.0" customHeight="1">
      <c r="A227" s="11"/>
      <c r="B227" s="11"/>
      <c r="C227" s="11"/>
      <c r="D227" s="10" t="s">
        <v>22</v>
      </c>
      <c r="E227" s="14">
        <v>0.28</v>
      </c>
      <c r="F227" s="15">
        <f>ROUND((G224+G225+G226),3)</f>
        <v>43.8</v>
      </c>
      <c r="G227" s="12">
        <f t="shared" si="45"/>
        <v>12.26</v>
      </c>
    </row>
    <row r="228" ht="15.0" customHeight="1">
      <c r="A228" s="10" t="s">
        <v>32</v>
      </c>
      <c r="B228" s="10"/>
      <c r="C228" s="10" t="s">
        <v>33</v>
      </c>
      <c r="D228" s="10" t="s">
        <v>34</v>
      </c>
      <c r="E228" s="14">
        <v>3.0</v>
      </c>
      <c r="F228" s="15">
        <f>ROUND(12.26,3)</f>
        <v>12.26</v>
      </c>
      <c r="G228" s="12">
        <f>ROUND((E228*F228)/100,2)</f>
        <v>0.37</v>
      </c>
    </row>
    <row r="229" ht="15.0" customHeight="1">
      <c r="A229" s="16"/>
      <c r="B229" s="16"/>
      <c r="C229" s="16"/>
      <c r="D229" s="17" t="s">
        <v>102</v>
      </c>
      <c r="E229" s="16"/>
      <c r="F229" s="18">
        <f>ROUND((G222+G223+G228)*(1+G2/100),2)</f>
        <v>12.8</v>
      </c>
      <c r="G229" s="16"/>
    </row>
    <row r="230" ht="39.75" customHeight="1">
      <c r="A230" s="19" t="s">
        <v>105</v>
      </c>
      <c r="B230" s="20" t="s">
        <v>18</v>
      </c>
      <c r="C230" s="20" t="s">
        <v>19</v>
      </c>
      <c r="D230" s="20" t="s">
        <v>106</v>
      </c>
      <c r="E230" s="21"/>
      <c r="F230" s="22">
        <f>F239</f>
        <v>21.38</v>
      </c>
      <c r="G230" s="21"/>
    </row>
    <row r="231" ht="21.0" customHeight="1">
      <c r="A231" s="11"/>
      <c r="B231" s="11"/>
      <c r="C231" s="11"/>
      <c r="D231" s="10" t="s">
        <v>107</v>
      </c>
    </row>
    <row r="232" ht="30.0" customHeight="1">
      <c r="A232" s="10" t="s">
        <v>51</v>
      </c>
      <c r="B232" s="10" t="s">
        <v>42</v>
      </c>
      <c r="C232" s="10" t="s">
        <v>43</v>
      </c>
      <c r="D232" s="10" t="s">
        <v>52</v>
      </c>
      <c r="E232" s="14">
        <v>0.066</v>
      </c>
      <c r="F232" s="15">
        <f>ROUND(2.56,3)</f>
        <v>2.56</v>
      </c>
      <c r="G232" s="12">
        <f t="shared" ref="G232:G237" si="47">ROUND(E232*F232,2)</f>
        <v>0.17</v>
      </c>
    </row>
    <row r="233" ht="21.0" customHeight="1">
      <c r="A233" s="10" t="s">
        <v>22</v>
      </c>
      <c r="B233" s="10" t="s">
        <v>18</v>
      </c>
      <c r="C233" s="10" t="s">
        <v>23</v>
      </c>
      <c r="D233" s="10" t="s">
        <v>24</v>
      </c>
      <c r="E233" s="14">
        <v>0.47</v>
      </c>
      <c r="F233" s="15">
        <f>F237</f>
        <v>43.8</v>
      </c>
      <c r="G233" s="12">
        <f t="shared" si="47"/>
        <v>20.59</v>
      </c>
    </row>
    <row r="234" ht="24.0" customHeight="1">
      <c r="A234" s="10" t="s">
        <v>25</v>
      </c>
      <c r="B234" s="10" t="s">
        <v>26</v>
      </c>
      <c r="C234" s="10" t="s">
        <v>23</v>
      </c>
      <c r="D234" s="10" t="s">
        <v>27</v>
      </c>
      <c r="E234" s="14">
        <v>1.0</v>
      </c>
      <c r="F234" s="15">
        <f>ROUND(21,3)</f>
        <v>21</v>
      </c>
      <c r="G234" s="12">
        <f t="shared" si="47"/>
        <v>21</v>
      </c>
    </row>
    <row r="235" ht="24.0" customHeight="1">
      <c r="A235" s="10" t="s">
        <v>28</v>
      </c>
      <c r="B235" s="10" t="s">
        <v>26</v>
      </c>
      <c r="C235" s="10" t="s">
        <v>23</v>
      </c>
      <c r="D235" s="10" t="s">
        <v>29</v>
      </c>
      <c r="E235" s="14">
        <v>1.0</v>
      </c>
      <c r="F235" s="15">
        <f t="shared" ref="F235:F236" si="48">ROUND(19,3)</f>
        <v>19</v>
      </c>
      <c r="G235" s="12">
        <f t="shared" si="47"/>
        <v>19</v>
      </c>
    </row>
    <row r="236" ht="24.0" customHeight="1">
      <c r="A236" s="10" t="s">
        <v>30</v>
      </c>
      <c r="B236" s="10" t="s">
        <v>26</v>
      </c>
      <c r="C236" s="10" t="s">
        <v>23</v>
      </c>
      <c r="D236" s="10" t="s">
        <v>31</v>
      </c>
      <c r="E236" s="14">
        <v>0.2</v>
      </c>
      <c r="F236" s="15">
        <f t="shared" si="48"/>
        <v>19</v>
      </c>
      <c r="G236" s="12">
        <f t="shared" si="47"/>
        <v>3.8</v>
      </c>
    </row>
    <row r="237" ht="15.0" customHeight="1">
      <c r="A237" s="11"/>
      <c r="B237" s="11"/>
      <c r="C237" s="11"/>
      <c r="D237" s="10" t="s">
        <v>22</v>
      </c>
      <c r="E237" s="14">
        <v>0.47</v>
      </c>
      <c r="F237" s="15">
        <f>ROUND((G234+G235+G236),3)</f>
        <v>43.8</v>
      </c>
      <c r="G237" s="12">
        <f t="shared" si="47"/>
        <v>20.59</v>
      </c>
    </row>
    <row r="238" ht="15.0" customHeight="1">
      <c r="A238" s="10" t="s">
        <v>32</v>
      </c>
      <c r="B238" s="10"/>
      <c r="C238" s="10" t="s">
        <v>33</v>
      </c>
      <c r="D238" s="10" t="s">
        <v>34</v>
      </c>
      <c r="E238" s="14">
        <v>3.0</v>
      </c>
      <c r="F238" s="15">
        <f>ROUND(20.59,3)</f>
        <v>20.59</v>
      </c>
      <c r="G238" s="12">
        <f>ROUND((E238*F238)/100,2)</f>
        <v>0.62</v>
      </c>
    </row>
    <row r="239" ht="15.0" customHeight="1">
      <c r="A239" s="16"/>
      <c r="B239" s="16"/>
      <c r="C239" s="16"/>
      <c r="D239" s="17" t="s">
        <v>105</v>
      </c>
      <c r="E239" s="16"/>
      <c r="F239" s="18">
        <f>ROUND((G232+G233+G238)*(1+G2/100),2)</f>
        <v>21.38</v>
      </c>
      <c r="G239" s="16"/>
    </row>
    <row r="240" ht="39.75" customHeight="1">
      <c r="A240" s="19" t="s">
        <v>108</v>
      </c>
      <c r="B240" s="20" t="s">
        <v>18</v>
      </c>
      <c r="C240" s="20" t="s">
        <v>19</v>
      </c>
      <c r="D240" s="20" t="s">
        <v>109</v>
      </c>
      <c r="E240" s="21"/>
      <c r="F240" s="22">
        <f>F249</f>
        <v>5.97</v>
      </c>
      <c r="G240" s="21"/>
    </row>
    <row r="241" ht="21.0" customHeight="1">
      <c r="A241" s="11"/>
      <c r="B241" s="11"/>
      <c r="C241" s="11"/>
      <c r="D241" s="10" t="s">
        <v>110</v>
      </c>
    </row>
    <row r="242" ht="24.0" customHeight="1">
      <c r="A242" s="10" t="s">
        <v>111</v>
      </c>
      <c r="B242" s="10" t="s">
        <v>112</v>
      </c>
      <c r="C242" s="10" t="s">
        <v>23</v>
      </c>
      <c r="D242" s="10" t="s">
        <v>113</v>
      </c>
      <c r="E242" s="14">
        <v>0.1143</v>
      </c>
      <c r="F242" s="15">
        <f>ROUND(7.526,3)</f>
        <v>7.526</v>
      </c>
      <c r="G242" s="12">
        <f t="shared" ref="G242:G247" si="49">ROUND(E242*F242,2)</f>
        <v>0.86</v>
      </c>
    </row>
    <row r="243" ht="21.0" customHeight="1">
      <c r="A243" s="10" t="s">
        <v>22</v>
      </c>
      <c r="B243" s="10" t="s">
        <v>18</v>
      </c>
      <c r="C243" s="10" t="s">
        <v>23</v>
      </c>
      <c r="D243" s="10" t="s">
        <v>24</v>
      </c>
      <c r="E243" s="14">
        <v>0.1143</v>
      </c>
      <c r="F243" s="15">
        <f>F247</f>
        <v>43.8</v>
      </c>
      <c r="G243" s="12">
        <f t="shared" si="49"/>
        <v>5.01</v>
      </c>
    </row>
    <row r="244" ht="24.0" customHeight="1">
      <c r="A244" s="10" t="s">
        <v>25</v>
      </c>
      <c r="B244" s="10" t="s">
        <v>26</v>
      </c>
      <c r="C244" s="10" t="s">
        <v>23</v>
      </c>
      <c r="D244" s="10" t="s">
        <v>27</v>
      </c>
      <c r="E244" s="14">
        <v>1.0</v>
      </c>
      <c r="F244" s="15">
        <f>ROUND(21,3)</f>
        <v>21</v>
      </c>
      <c r="G244" s="12">
        <f t="shared" si="49"/>
        <v>21</v>
      </c>
    </row>
    <row r="245" ht="24.0" customHeight="1">
      <c r="A245" s="10" t="s">
        <v>28</v>
      </c>
      <c r="B245" s="10" t="s">
        <v>26</v>
      </c>
      <c r="C245" s="10" t="s">
        <v>23</v>
      </c>
      <c r="D245" s="10" t="s">
        <v>29</v>
      </c>
      <c r="E245" s="14">
        <v>1.0</v>
      </c>
      <c r="F245" s="15">
        <f t="shared" ref="F245:F246" si="50">ROUND(19,3)</f>
        <v>19</v>
      </c>
      <c r="G245" s="12">
        <f t="shared" si="49"/>
        <v>19</v>
      </c>
    </row>
    <row r="246" ht="24.0" customHeight="1">
      <c r="A246" s="10" t="s">
        <v>30</v>
      </c>
      <c r="B246" s="10" t="s">
        <v>26</v>
      </c>
      <c r="C246" s="10" t="s">
        <v>23</v>
      </c>
      <c r="D246" s="10" t="s">
        <v>31</v>
      </c>
      <c r="E246" s="14">
        <v>0.2</v>
      </c>
      <c r="F246" s="15">
        <f t="shared" si="50"/>
        <v>19</v>
      </c>
      <c r="G246" s="12">
        <f t="shared" si="49"/>
        <v>3.8</v>
      </c>
    </row>
    <row r="247" ht="15.0" customHeight="1">
      <c r="A247" s="11"/>
      <c r="B247" s="11"/>
      <c r="C247" s="11"/>
      <c r="D247" s="10" t="s">
        <v>22</v>
      </c>
      <c r="E247" s="14">
        <v>0.1143</v>
      </c>
      <c r="F247" s="15">
        <f>ROUND((G244+G245+G246),3)</f>
        <v>43.8</v>
      </c>
      <c r="G247" s="12">
        <f t="shared" si="49"/>
        <v>5.01</v>
      </c>
    </row>
    <row r="248" ht="15.0" customHeight="1">
      <c r="A248" s="10" t="s">
        <v>32</v>
      </c>
      <c r="B248" s="10"/>
      <c r="C248" s="10" t="s">
        <v>33</v>
      </c>
      <c r="D248" s="10" t="s">
        <v>34</v>
      </c>
      <c r="E248" s="14">
        <v>2.0</v>
      </c>
      <c r="F248" s="15">
        <f>ROUND(5.01,3)</f>
        <v>5.01</v>
      </c>
      <c r="G248" s="12">
        <f>ROUND((E248*F248)/100,2)</f>
        <v>0.1</v>
      </c>
    </row>
    <row r="249" ht="15.0" customHeight="1">
      <c r="A249" s="16"/>
      <c r="B249" s="16"/>
      <c r="C249" s="16"/>
      <c r="D249" s="17" t="s">
        <v>108</v>
      </c>
      <c r="E249" s="16"/>
      <c r="F249" s="18">
        <f>ROUND((G242+G243+G248)*(1+G2/100),2)</f>
        <v>5.97</v>
      </c>
      <c r="G249" s="16"/>
    </row>
    <row r="250" ht="39.75" customHeight="1">
      <c r="A250" s="19" t="s">
        <v>114</v>
      </c>
      <c r="B250" s="20" t="s">
        <v>18</v>
      </c>
      <c r="C250" s="20" t="s">
        <v>19</v>
      </c>
      <c r="D250" s="20" t="s">
        <v>115</v>
      </c>
      <c r="E250" s="21"/>
      <c r="F250" s="22">
        <f>F259</f>
        <v>9.94</v>
      </c>
      <c r="G250" s="21"/>
    </row>
    <row r="251" ht="21.0" customHeight="1">
      <c r="A251" s="11"/>
      <c r="B251" s="11"/>
      <c r="C251" s="11"/>
      <c r="D251" s="10" t="s">
        <v>116</v>
      </c>
    </row>
    <row r="252" ht="24.0" customHeight="1">
      <c r="A252" s="10" t="s">
        <v>111</v>
      </c>
      <c r="B252" s="10" t="s">
        <v>112</v>
      </c>
      <c r="C252" s="10" t="s">
        <v>23</v>
      </c>
      <c r="D252" s="10" t="s">
        <v>113</v>
      </c>
      <c r="E252" s="14">
        <v>0.1905</v>
      </c>
      <c r="F252" s="15">
        <f>ROUND(7.526,3)</f>
        <v>7.526</v>
      </c>
      <c r="G252" s="12">
        <f t="shared" ref="G252:G257" si="51">ROUND(E252*F252,2)</f>
        <v>1.43</v>
      </c>
    </row>
    <row r="253" ht="21.0" customHeight="1">
      <c r="A253" s="10" t="s">
        <v>22</v>
      </c>
      <c r="B253" s="10" t="s">
        <v>18</v>
      </c>
      <c r="C253" s="10" t="s">
        <v>23</v>
      </c>
      <c r="D253" s="10" t="s">
        <v>24</v>
      </c>
      <c r="E253" s="14">
        <v>0.1905</v>
      </c>
      <c r="F253" s="15">
        <f>F257</f>
        <v>43.8</v>
      </c>
      <c r="G253" s="12">
        <f t="shared" si="51"/>
        <v>8.34</v>
      </c>
    </row>
    <row r="254" ht="24.0" customHeight="1">
      <c r="A254" s="10" t="s">
        <v>25</v>
      </c>
      <c r="B254" s="10" t="s">
        <v>26</v>
      </c>
      <c r="C254" s="10" t="s">
        <v>23</v>
      </c>
      <c r="D254" s="10" t="s">
        <v>27</v>
      </c>
      <c r="E254" s="14">
        <v>1.0</v>
      </c>
      <c r="F254" s="15">
        <f>ROUND(21,3)</f>
        <v>21</v>
      </c>
      <c r="G254" s="12">
        <f t="shared" si="51"/>
        <v>21</v>
      </c>
    </row>
    <row r="255" ht="24.0" customHeight="1">
      <c r="A255" s="10" t="s">
        <v>28</v>
      </c>
      <c r="B255" s="10" t="s">
        <v>26</v>
      </c>
      <c r="C255" s="10" t="s">
        <v>23</v>
      </c>
      <c r="D255" s="10" t="s">
        <v>29</v>
      </c>
      <c r="E255" s="14">
        <v>1.0</v>
      </c>
      <c r="F255" s="15">
        <f t="shared" ref="F255:F256" si="52">ROUND(19,3)</f>
        <v>19</v>
      </c>
      <c r="G255" s="12">
        <f t="shared" si="51"/>
        <v>19</v>
      </c>
    </row>
    <row r="256" ht="24.0" customHeight="1">
      <c r="A256" s="10" t="s">
        <v>30</v>
      </c>
      <c r="B256" s="10" t="s">
        <v>26</v>
      </c>
      <c r="C256" s="10" t="s">
        <v>23</v>
      </c>
      <c r="D256" s="10" t="s">
        <v>31</v>
      </c>
      <c r="E256" s="14">
        <v>0.2</v>
      </c>
      <c r="F256" s="15">
        <f t="shared" si="52"/>
        <v>19</v>
      </c>
      <c r="G256" s="12">
        <f t="shared" si="51"/>
        <v>3.8</v>
      </c>
    </row>
    <row r="257" ht="15.0" customHeight="1">
      <c r="A257" s="11"/>
      <c r="B257" s="11"/>
      <c r="C257" s="11"/>
      <c r="D257" s="10" t="s">
        <v>22</v>
      </c>
      <c r="E257" s="14">
        <v>0.1905</v>
      </c>
      <c r="F257" s="15">
        <f>ROUND((G254+G255+G256),3)</f>
        <v>43.8</v>
      </c>
      <c r="G257" s="12">
        <f t="shared" si="51"/>
        <v>8.34</v>
      </c>
    </row>
    <row r="258" ht="15.0" customHeight="1">
      <c r="A258" s="10" t="s">
        <v>32</v>
      </c>
      <c r="B258" s="10"/>
      <c r="C258" s="10" t="s">
        <v>33</v>
      </c>
      <c r="D258" s="10" t="s">
        <v>34</v>
      </c>
      <c r="E258" s="14">
        <v>2.0</v>
      </c>
      <c r="F258" s="15">
        <f>ROUND(8.34,3)</f>
        <v>8.34</v>
      </c>
      <c r="G258" s="12">
        <f>ROUND((E258*F258)/100,2)</f>
        <v>0.17</v>
      </c>
    </row>
    <row r="259" ht="15.0" customHeight="1">
      <c r="A259" s="16"/>
      <c r="B259" s="16"/>
      <c r="C259" s="16"/>
      <c r="D259" s="17" t="s">
        <v>114</v>
      </c>
      <c r="E259" s="16"/>
      <c r="F259" s="18">
        <f>ROUND((G252+G253+G258)*(1+G2/100),2)</f>
        <v>9.94</v>
      </c>
      <c r="G259" s="16"/>
    </row>
    <row r="260" ht="48.75" customHeight="1">
      <c r="A260" s="19" t="s">
        <v>117</v>
      </c>
      <c r="B260" s="20" t="s">
        <v>18</v>
      </c>
      <c r="C260" s="20" t="s">
        <v>19</v>
      </c>
      <c r="D260" s="20" t="s">
        <v>118</v>
      </c>
      <c r="E260" s="21"/>
      <c r="F260" s="22">
        <f>F270</f>
        <v>6.46</v>
      </c>
      <c r="G260" s="21"/>
    </row>
    <row r="261" ht="21.0" customHeight="1">
      <c r="A261" s="11"/>
      <c r="B261" s="11"/>
      <c r="C261" s="11"/>
      <c r="D261" s="10" t="s">
        <v>119</v>
      </c>
    </row>
    <row r="262" ht="39.75" customHeight="1">
      <c r="A262" s="10" t="s">
        <v>41</v>
      </c>
      <c r="B262" s="10" t="s">
        <v>42</v>
      </c>
      <c r="C262" s="10" t="s">
        <v>43</v>
      </c>
      <c r="D262" s="10" t="s">
        <v>44</v>
      </c>
      <c r="E262" s="14">
        <v>0.021</v>
      </c>
      <c r="F262" s="15">
        <f>ROUND(9.13,3)</f>
        <v>9.13</v>
      </c>
      <c r="G262" s="12">
        <f t="shared" ref="G262:G268" si="53">ROUND(E262*F262,2)</f>
        <v>0.19</v>
      </c>
    </row>
    <row r="263" ht="24.0" customHeight="1">
      <c r="A263" s="10" t="s">
        <v>111</v>
      </c>
      <c r="B263" s="10" t="s">
        <v>112</v>
      </c>
      <c r="C263" s="10" t="s">
        <v>23</v>
      </c>
      <c r="D263" s="10" t="s">
        <v>113</v>
      </c>
      <c r="E263" s="14">
        <v>0.12</v>
      </c>
      <c r="F263" s="15">
        <f>ROUND(7.526,3)</f>
        <v>7.526</v>
      </c>
      <c r="G263" s="12">
        <f t="shared" si="53"/>
        <v>0.9</v>
      </c>
    </row>
    <row r="264" ht="21.0" customHeight="1">
      <c r="A264" s="10" t="s">
        <v>22</v>
      </c>
      <c r="B264" s="10" t="s">
        <v>18</v>
      </c>
      <c r="C264" s="10" t="s">
        <v>23</v>
      </c>
      <c r="D264" s="10" t="s">
        <v>24</v>
      </c>
      <c r="E264" s="14">
        <v>0.12</v>
      </c>
      <c r="F264" s="15">
        <f>F268</f>
        <v>43.8</v>
      </c>
      <c r="G264" s="12">
        <f t="shared" si="53"/>
        <v>5.26</v>
      </c>
    </row>
    <row r="265" ht="24.0" customHeight="1">
      <c r="A265" s="10" t="s">
        <v>25</v>
      </c>
      <c r="B265" s="10" t="s">
        <v>26</v>
      </c>
      <c r="C265" s="10" t="s">
        <v>23</v>
      </c>
      <c r="D265" s="10" t="s">
        <v>27</v>
      </c>
      <c r="E265" s="14">
        <v>1.0</v>
      </c>
      <c r="F265" s="15">
        <f>ROUND(21,3)</f>
        <v>21</v>
      </c>
      <c r="G265" s="12">
        <f t="shared" si="53"/>
        <v>21</v>
      </c>
    </row>
    <row r="266" ht="24.0" customHeight="1">
      <c r="A266" s="10" t="s">
        <v>28</v>
      </c>
      <c r="B266" s="10" t="s">
        <v>26</v>
      </c>
      <c r="C266" s="10" t="s">
        <v>23</v>
      </c>
      <c r="D266" s="10" t="s">
        <v>29</v>
      </c>
      <c r="E266" s="14">
        <v>1.0</v>
      </c>
      <c r="F266" s="15">
        <f t="shared" ref="F266:F267" si="54">ROUND(19,3)</f>
        <v>19</v>
      </c>
      <c r="G266" s="12">
        <f t="shared" si="53"/>
        <v>19</v>
      </c>
    </row>
    <row r="267" ht="24.0" customHeight="1">
      <c r="A267" s="10" t="s">
        <v>30</v>
      </c>
      <c r="B267" s="10" t="s">
        <v>26</v>
      </c>
      <c r="C267" s="10" t="s">
        <v>23</v>
      </c>
      <c r="D267" s="10" t="s">
        <v>31</v>
      </c>
      <c r="E267" s="14">
        <v>0.2</v>
      </c>
      <c r="F267" s="15">
        <f t="shared" si="54"/>
        <v>19</v>
      </c>
      <c r="G267" s="12">
        <f t="shared" si="53"/>
        <v>3.8</v>
      </c>
    </row>
    <row r="268" ht="15.0" customHeight="1">
      <c r="A268" s="11"/>
      <c r="B268" s="11"/>
      <c r="C268" s="11"/>
      <c r="D268" s="10" t="s">
        <v>22</v>
      </c>
      <c r="E268" s="14">
        <v>0.12</v>
      </c>
      <c r="F268" s="15">
        <f>ROUND((G265+G266+G267),3)</f>
        <v>43.8</v>
      </c>
      <c r="G268" s="12">
        <f t="shared" si="53"/>
        <v>5.26</v>
      </c>
    </row>
    <row r="269" ht="15.0" customHeight="1">
      <c r="A269" s="10" t="s">
        <v>32</v>
      </c>
      <c r="B269" s="10"/>
      <c r="C269" s="10" t="s">
        <v>33</v>
      </c>
      <c r="D269" s="10" t="s">
        <v>34</v>
      </c>
      <c r="E269" s="14">
        <v>2.0</v>
      </c>
      <c r="F269" s="15">
        <f>ROUND(5.26,3)</f>
        <v>5.26</v>
      </c>
      <c r="G269" s="12">
        <f>ROUND((E269*F269)/100,2)</f>
        <v>0.11</v>
      </c>
    </row>
    <row r="270" ht="15.0" customHeight="1">
      <c r="A270" s="16"/>
      <c r="B270" s="16"/>
      <c r="C270" s="16"/>
      <c r="D270" s="17" t="s">
        <v>117</v>
      </c>
      <c r="E270" s="16"/>
      <c r="F270" s="18">
        <f>ROUND((G262+G263+G264+G269)*(1+G2/100),2)</f>
        <v>6.46</v>
      </c>
      <c r="G270" s="16"/>
    </row>
    <row r="271" ht="48.75" customHeight="1">
      <c r="A271" s="19" t="s">
        <v>120</v>
      </c>
      <c r="B271" s="20" t="s">
        <v>18</v>
      </c>
      <c r="C271" s="20" t="s">
        <v>19</v>
      </c>
      <c r="D271" s="20" t="s">
        <v>46</v>
      </c>
      <c r="E271" s="21"/>
      <c r="F271" s="22">
        <f>F281</f>
        <v>11.15</v>
      </c>
      <c r="G271" s="21"/>
    </row>
    <row r="272" ht="21.0" customHeight="1">
      <c r="A272" s="11"/>
      <c r="B272" s="11"/>
      <c r="C272" s="11"/>
      <c r="D272" s="10" t="s">
        <v>47</v>
      </c>
    </row>
    <row r="273" ht="39.75" customHeight="1">
      <c r="A273" s="10" t="s">
        <v>41</v>
      </c>
      <c r="B273" s="10" t="s">
        <v>42</v>
      </c>
      <c r="C273" s="10" t="s">
        <v>43</v>
      </c>
      <c r="D273" s="10" t="s">
        <v>44</v>
      </c>
      <c r="E273" s="14">
        <v>0.021</v>
      </c>
      <c r="F273" s="15">
        <f>ROUND(9.13,3)</f>
        <v>9.13</v>
      </c>
      <c r="G273" s="12">
        <f t="shared" ref="G273:G279" si="55">ROUND(E273*F273,2)</f>
        <v>0.19</v>
      </c>
    </row>
    <row r="274" ht="24.0" customHeight="1">
      <c r="A274" s="10" t="s">
        <v>111</v>
      </c>
      <c r="B274" s="10" t="s">
        <v>112</v>
      </c>
      <c r="C274" s="10" t="s">
        <v>23</v>
      </c>
      <c r="D274" s="10" t="s">
        <v>113</v>
      </c>
      <c r="E274" s="14">
        <v>0.21</v>
      </c>
      <c r="F274" s="15">
        <f>ROUND(7.526,3)</f>
        <v>7.526</v>
      </c>
      <c r="G274" s="12">
        <f t="shared" si="55"/>
        <v>1.58</v>
      </c>
    </row>
    <row r="275" ht="21.0" customHeight="1">
      <c r="A275" s="10" t="s">
        <v>22</v>
      </c>
      <c r="B275" s="10" t="s">
        <v>18</v>
      </c>
      <c r="C275" s="10" t="s">
        <v>23</v>
      </c>
      <c r="D275" s="10" t="s">
        <v>24</v>
      </c>
      <c r="E275" s="14">
        <v>0.21</v>
      </c>
      <c r="F275" s="15">
        <f>F279</f>
        <v>43.8</v>
      </c>
      <c r="G275" s="12">
        <f t="shared" si="55"/>
        <v>9.2</v>
      </c>
    </row>
    <row r="276" ht="24.0" customHeight="1">
      <c r="A276" s="10" t="s">
        <v>25</v>
      </c>
      <c r="B276" s="10" t="s">
        <v>26</v>
      </c>
      <c r="C276" s="10" t="s">
        <v>23</v>
      </c>
      <c r="D276" s="10" t="s">
        <v>27</v>
      </c>
      <c r="E276" s="14">
        <v>1.0</v>
      </c>
      <c r="F276" s="15">
        <f>ROUND(21,3)</f>
        <v>21</v>
      </c>
      <c r="G276" s="12">
        <f t="shared" si="55"/>
        <v>21</v>
      </c>
    </row>
    <row r="277" ht="24.0" customHeight="1">
      <c r="A277" s="10" t="s">
        <v>28</v>
      </c>
      <c r="B277" s="10" t="s">
        <v>26</v>
      </c>
      <c r="C277" s="10" t="s">
        <v>23</v>
      </c>
      <c r="D277" s="10" t="s">
        <v>29</v>
      </c>
      <c r="E277" s="14">
        <v>1.0</v>
      </c>
      <c r="F277" s="15">
        <f t="shared" ref="F277:F278" si="56">ROUND(19,3)</f>
        <v>19</v>
      </c>
      <c r="G277" s="12">
        <f t="shared" si="55"/>
        <v>19</v>
      </c>
    </row>
    <row r="278" ht="24.0" customHeight="1">
      <c r="A278" s="10" t="s">
        <v>30</v>
      </c>
      <c r="B278" s="10" t="s">
        <v>26</v>
      </c>
      <c r="C278" s="10" t="s">
        <v>23</v>
      </c>
      <c r="D278" s="10" t="s">
        <v>31</v>
      </c>
      <c r="E278" s="14">
        <v>0.2</v>
      </c>
      <c r="F278" s="15">
        <f t="shared" si="56"/>
        <v>19</v>
      </c>
      <c r="G278" s="12">
        <f t="shared" si="55"/>
        <v>3.8</v>
      </c>
    </row>
    <row r="279" ht="15.0" customHeight="1">
      <c r="A279" s="11"/>
      <c r="B279" s="11"/>
      <c r="C279" s="11"/>
      <c r="D279" s="10" t="s">
        <v>22</v>
      </c>
      <c r="E279" s="14">
        <v>0.21</v>
      </c>
      <c r="F279" s="15">
        <f>ROUND((G276+G277+G278),3)</f>
        <v>43.8</v>
      </c>
      <c r="G279" s="12">
        <f t="shared" si="55"/>
        <v>9.2</v>
      </c>
    </row>
    <row r="280" ht="15.0" customHeight="1">
      <c r="A280" s="10" t="s">
        <v>32</v>
      </c>
      <c r="B280" s="10"/>
      <c r="C280" s="10" t="s">
        <v>33</v>
      </c>
      <c r="D280" s="10" t="s">
        <v>34</v>
      </c>
      <c r="E280" s="14">
        <v>2.0</v>
      </c>
      <c r="F280" s="15">
        <f>ROUND(9.2,3)</f>
        <v>9.2</v>
      </c>
      <c r="G280" s="12">
        <f>ROUND((E280*F280)/100,2)</f>
        <v>0.18</v>
      </c>
    </row>
    <row r="281" ht="15.0" customHeight="1">
      <c r="A281" s="16"/>
      <c r="B281" s="16"/>
      <c r="C281" s="16"/>
      <c r="D281" s="17" t="s">
        <v>120</v>
      </c>
      <c r="E281" s="16"/>
      <c r="F281" s="18">
        <f>ROUND((G273+G274+G275+G280)*(1+G2/100),2)</f>
        <v>11.15</v>
      </c>
      <c r="G281" s="16"/>
    </row>
    <row r="282" ht="48.75" customHeight="1">
      <c r="A282" s="19" t="s">
        <v>121</v>
      </c>
      <c r="B282" s="20" t="s">
        <v>18</v>
      </c>
      <c r="C282" s="20" t="s">
        <v>19</v>
      </c>
      <c r="D282" s="20" t="s">
        <v>122</v>
      </c>
      <c r="E282" s="21"/>
      <c r="F282" s="22">
        <f>F292</f>
        <v>6.44</v>
      </c>
      <c r="G282" s="21"/>
    </row>
    <row r="283" ht="21.0" customHeight="1">
      <c r="A283" s="11"/>
      <c r="B283" s="11"/>
      <c r="C283" s="11"/>
      <c r="D283" s="10" t="s">
        <v>123</v>
      </c>
    </row>
    <row r="284" ht="30.0" customHeight="1">
      <c r="A284" s="10" t="s">
        <v>51</v>
      </c>
      <c r="B284" s="10" t="s">
        <v>42</v>
      </c>
      <c r="C284" s="10" t="s">
        <v>43</v>
      </c>
      <c r="D284" s="10" t="s">
        <v>52</v>
      </c>
      <c r="E284" s="14">
        <v>0.066</v>
      </c>
      <c r="F284" s="15">
        <f>ROUND(2.56,3)</f>
        <v>2.56</v>
      </c>
      <c r="G284" s="12">
        <f t="shared" ref="G284:G290" si="57">ROUND(E284*F284,2)</f>
        <v>0.17</v>
      </c>
    </row>
    <row r="285" ht="24.0" customHeight="1">
      <c r="A285" s="10" t="s">
        <v>111</v>
      </c>
      <c r="B285" s="10" t="s">
        <v>112</v>
      </c>
      <c r="C285" s="10" t="s">
        <v>23</v>
      </c>
      <c r="D285" s="10" t="s">
        <v>113</v>
      </c>
      <c r="E285" s="14">
        <v>0.12</v>
      </c>
      <c r="F285" s="15">
        <f>ROUND(7.526,3)</f>
        <v>7.526</v>
      </c>
      <c r="G285" s="12">
        <f t="shared" si="57"/>
        <v>0.9</v>
      </c>
    </row>
    <row r="286" ht="21.0" customHeight="1">
      <c r="A286" s="10" t="s">
        <v>22</v>
      </c>
      <c r="B286" s="10" t="s">
        <v>18</v>
      </c>
      <c r="C286" s="10" t="s">
        <v>23</v>
      </c>
      <c r="D286" s="10" t="s">
        <v>24</v>
      </c>
      <c r="E286" s="14">
        <v>0.12</v>
      </c>
      <c r="F286" s="15">
        <f>F290</f>
        <v>43.8</v>
      </c>
      <c r="G286" s="12">
        <f t="shared" si="57"/>
        <v>5.26</v>
      </c>
    </row>
    <row r="287" ht="24.0" customHeight="1">
      <c r="A287" s="10" t="s">
        <v>25</v>
      </c>
      <c r="B287" s="10" t="s">
        <v>26</v>
      </c>
      <c r="C287" s="10" t="s">
        <v>23</v>
      </c>
      <c r="D287" s="10" t="s">
        <v>27</v>
      </c>
      <c r="E287" s="14">
        <v>1.0</v>
      </c>
      <c r="F287" s="15">
        <f>ROUND(21,3)</f>
        <v>21</v>
      </c>
      <c r="G287" s="12">
        <f t="shared" si="57"/>
        <v>21</v>
      </c>
    </row>
    <row r="288" ht="24.0" customHeight="1">
      <c r="A288" s="10" t="s">
        <v>28</v>
      </c>
      <c r="B288" s="10" t="s">
        <v>26</v>
      </c>
      <c r="C288" s="10" t="s">
        <v>23</v>
      </c>
      <c r="D288" s="10" t="s">
        <v>29</v>
      </c>
      <c r="E288" s="14">
        <v>1.0</v>
      </c>
      <c r="F288" s="15">
        <f t="shared" ref="F288:F289" si="58">ROUND(19,3)</f>
        <v>19</v>
      </c>
      <c r="G288" s="12">
        <f t="shared" si="57"/>
        <v>19</v>
      </c>
    </row>
    <row r="289" ht="24.0" customHeight="1">
      <c r="A289" s="10" t="s">
        <v>30</v>
      </c>
      <c r="B289" s="10" t="s">
        <v>26</v>
      </c>
      <c r="C289" s="10" t="s">
        <v>23</v>
      </c>
      <c r="D289" s="10" t="s">
        <v>31</v>
      </c>
      <c r="E289" s="14">
        <v>0.2</v>
      </c>
      <c r="F289" s="15">
        <f t="shared" si="58"/>
        <v>19</v>
      </c>
      <c r="G289" s="12">
        <f t="shared" si="57"/>
        <v>3.8</v>
      </c>
    </row>
    <row r="290" ht="15.0" customHeight="1">
      <c r="A290" s="11"/>
      <c r="B290" s="11"/>
      <c r="C290" s="11"/>
      <c r="D290" s="10" t="s">
        <v>22</v>
      </c>
      <c r="E290" s="14">
        <v>0.12</v>
      </c>
      <c r="F290" s="15">
        <f>ROUND((G287+G288+G289),3)</f>
        <v>43.8</v>
      </c>
      <c r="G290" s="12">
        <f t="shared" si="57"/>
        <v>5.26</v>
      </c>
    </row>
    <row r="291" ht="15.0" customHeight="1">
      <c r="A291" s="10" t="s">
        <v>32</v>
      </c>
      <c r="B291" s="10"/>
      <c r="C291" s="10" t="s">
        <v>33</v>
      </c>
      <c r="D291" s="10" t="s">
        <v>34</v>
      </c>
      <c r="E291" s="14">
        <v>2.0</v>
      </c>
      <c r="F291" s="15">
        <f>ROUND(5.26,3)</f>
        <v>5.26</v>
      </c>
      <c r="G291" s="12">
        <f>ROUND((E291*F291)/100,2)</f>
        <v>0.11</v>
      </c>
    </row>
    <row r="292" ht="15.0" customHeight="1">
      <c r="A292" s="16"/>
      <c r="B292" s="16"/>
      <c r="C292" s="16"/>
      <c r="D292" s="17" t="s">
        <v>121</v>
      </c>
      <c r="E292" s="16"/>
      <c r="F292" s="18">
        <f>ROUND((G284+G285+G286+G291)*(1+G2/100),2)</f>
        <v>6.44</v>
      </c>
      <c r="G292" s="16"/>
    </row>
    <row r="293" ht="48.75" customHeight="1">
      <c r="A293" s="19" t="s">
        <v>124</v>
      </c>
      <c r="B293" s="20" t="s">
        <v>18</v>
      </c>
      <c r="C293" s="20" t="s">
        <v>19</v>
      </c>
      <c r="D293" s="20" t="s">
        <v>125</v>
      </c>
      <c r="E293" s="21"/>
      <c r="F293" s="22">
        <f>F303</f>
        <v>11.13</v>
      </c>
      <c r="G293" s="21"/>
    </row>
    <row r="294" ht="21.0" customHeight="1">
      <c r="A294" s="11"/>
      <c r="B294" s="11"/>
      <c r="C294" s="11"/>
      <c r="D294" s="10" t="s">
        <v>126</v>
      </c>
    </row>
    <row r="295" ht="30.0" customHeight="1">
      <c r="A295" s="10" t="s">
        <v>51</v>
      </c>
      <c r="B295" s="10" t="s">
        <v>42</v>
      </c>
      <c r="C295" s="10" t="s">
        <v>43</v>
      </c>
      <c r="D295" s="10" t="s">
        <v>52</v>
      </c>
      <c r="E295" s="14">
        <v>0.066</v>
      </c>
      <c r="F295" s="15">
        <f>ROUND(2.56,3)</f>
        <v>2.56</v>
      </c>
      <c r="G295" s="12">
        <f t="shared" ref="G295:G301" si="59">ROUND(E295*F295,2)</f>
        <v>0.17</v>
      </c>
    </row>
    <row r="296" ht="24.0" customHeight="1">
      <c r="A296" s="10" t="s">
        <v>111</v>
      </c>
      <c r="B296" s="10" t="s">
        <v>112</v>
      </c>
      <c r="C296" s="10" t="s">
        <v>23</v>
      </c>
      <c r="D296" s="10" t="s">
        <v>113</v>
      </c>
      <c r="E296" s="14">
        <v>0.21</v>
      </c>
      <c r="F296" s="15">
        <f>ROUND(7.526,3)</f>
        <v>7.526</v>
      </c>
      <c r="G296" s="12">
        <f t="shared" si="59"/>
        <v>1.58</v>
      </c>
    </row>
    <row r="297" ht="21.0" customHeight="1">
      <c r="A297" s="10" t="s">
        <v>22</v>
      </c>
      <c r="B297" s="10" t="s">
        <v>18</v>
      </c>
      <c r="C297" s="10" t="s">
        <v>23</v>
      </c>
      <c r="D297" s="10" t="s">
        <v>24</v>
      </c>
      <c r="E297" s="14">
        <v>0.21</v>
      </c>
      <c r="F297" s="15">
        <f>F301</f>
        <v>43.8</v>
      </c>
      <c r="G297" s="12">
        <f t="shared" si="59"/>
        <v>9.2</v>
      </c>
    </row>
    <row r="298" ht="24.0" customHeight="1">
      <c r="A298" s="10" t="s">
        <v>25</v>
      </c>
      <c r="B298" s="10" t="s">
        <v>26</v>
      </c>
      <c r="C298" s="10" t="s">
        <v>23</v>
      </c>
      <c r="D298" s="10" t="s">
        <v>27</v>
      </c>
      <c r="E298" s="14">
        <v>1.0</v>
      </c>
      <c r="F298" s="15">
        <f>ROUND(21,3)</f>
        <v>21</v>
      </c>
      <c r="G298" s="12">
        <f t="shared" si="59"/>
        <v>21</v>
      </c>
    </row>
    <row r="299" ht="24.0" customHeight="1">
      <c r="A299" s="10" t="s">
        <v>28</v>
      </c>
      <c r="B299" s="10" t="s">
        <v>26</v>
      </c>
      <c r="C299" s="10" t="s">
        <v>23</v>
      </c>
      <c r="D299" s="10" t="s">
        <v>29</v>
      </c>
      <c r="E299" s="14">
        <v>1.0</v>
      </c>
      <c r="F299" s="15">
        <f t="shared" ref="F299:F300" si="60">ROUND(19,3)</f>
        <v>19</v>
      </c>
      <c r="G299" s="12">
        <f t="shared" si="59"/>
        <v>19</v>
      </c>
    </row>
    <row r="300" ht="24.0" customHeight="1">
      <c r="A300" s="10" t="s">
        <v>30</v>
      </c>
      <c r="B300" s="10" t="s">
        <v>26</v>
      </c>
      <c r="C300" s="10" t="s">
        <v>23</v>
      </c>
      <c r="D300" s="10" t="s">
        <v>31</v>
      </c>
      <c r="E300" s="14">
        <v>0.2</v>
      </c>
      <c r="F300" s="15">
        <f t="shared" si="60"/>
        <v>19</v>
      </c>
      <c r="G300" s="12">
        <f t="shared" si="59"/>
        <v>3.8</v>
      </c>
    </row>
    <row r="301" ht="15.0" customHeight="1">
      <c r="A301" s="11"/>
      <c r="B301" s="11"/>
      <c r="C301" s="11"/>
      <c r="D301" s="10" t="s">
        <v>22</v>
      </c>
      <c r="E301" s="14">
        <v>0.21</v>
      </c>
      <c r="F301" s="15">
        <f>ROUND((G298+G299+G300),3)</f>
        <v>43.8</v>
      </c>
      <c r="G301" s="12">
        <f t="shared" si="59"/>
        <v>9.2</v>
      </c>
    </row>
    <row r="302" ht="15.0" customHeight="1">
      <c r="A302" s="10" t="s">
        <v>32</v>
      </c>
      <c r="B302" s="10"/>
      <c r="C302" s="10" t="s">
        <v>33</v>
      </c>
      <c r="D302" s="10" t="s">
        <v>34</v>
      </c>
      <c r="E302" s="14">
        <v>2.0</v>
      </c>
      <c r="F302" s="15">
        <f>ROUND(9.2,3)</f>
        <v>9.2</v>
      </c>
      <c r="G302" s="12">
        <f>ROUND((E302*F302)/100,2)</f>
        <v>0.18</v>
      </c>
    </row>
    <row r="303" ht="15.0" customHeight="1">
      <c r="A303" s="16"/>
      <c r="B303" s="16"/>
      <c r="C303" s="16"/>
      <c r="D303" s="17" t="s">
        <v>124</v>
      </c>
      <c r="E303" s="16"/>
      <c r="F303" s="18">
        <f>ROUND((G295+G296+G297+G302)*(1+G2/100),2)</f>
        <v>11.13</v>
      </c>
      <c r="G303" s="16"/>
    </row>
    <row r="304" ht="39.75" customHeight="1">
      <c r="A304" s="19" t="s">
        <v>127</v>
      </c>
      <c r="B304" s="20" t="s">
        <v>18</v>
      </c>
      <c r="C304" s="20" t="s">
        <v>19</v>
      </c>
      <c r="D304" s="20" t="s">
        <v>128</v>
      </c>
      <c r="E304" s="21"/>
      <c r="F304" s="22">
        <f>F313</f>
        <v>7.47</v>
      </c>
      <c r="G304" s="21"/>
    </row>
    <row r="305" ht="12.0" customHeight="1">
      <c r="A305" s="11"/>
      <c r="B305" s="11"/>
      <c r="C305" s="11"/>
      <c r="D305" s="10" t="s">
        <v>129</v>
      </c>
    </row>
    <row r="306" ht="24.0" customHeight="1">
      <c r="A306" s="10" t="s">
        <v>111</v>
      </c>
      <c r="B306" s="10" t="s">
        <v>112</v>
      </c>
      <c r="C306" s="10" t="s">
        <v>23</v>
      </c>
      <c r="D306" s="10" t="s">
        <v>113</v>
      </c>
      <c r="E306" s="14">
        <v>0.1429</v>
      </c>
      <c r="F306" s="15">
        <f>ROUND(7.526,3)</f>
        <v>7.526</v>
      </c>
      <c r="G306" s="12">
        <f t="shared" ref="G306:G311" si="61">ROUND(E306*F306,2)</f>
        <v>1.08</v>
      </c>
    </row>
    <row r="307" ht="21.0" customHeight="1">
      <c r="A307" s="10" t="s">
        <v>22</v>
      </c>
      <c r="B307" s="10" t="s">
        <v>18</v>
      </c>
      <c r="C307" s="10" t="s">
        <v>23</v>
      </c>
      <c r="D307" s="10" t="s">
        <v>24</v>
      </c>
      <c r="E307" s="14">
        <v>0.1429</v>
      </c>
      <c r="F307" s="15">
        <f>F311</f>
        <v>43.8</v>
      </c>
      <c r="G307" s="12">
        <f t="shared" si="61"/>
        <v>6.26</v>
      </c>
    </row>
    <row r="308" ht="24.0" customHeight="1">
      <c r="A308" s="10" t="s">
        <v>25</v>
      </c>
      <c r="B308" s="10" t="s">
        <v>26</v>
      </c>
      <c r="C308" s="10" t="s">
        <v>23</v>
      </c>
      <c r="D308" s="10" t="s">
        <v>27</v>
      </c>
      <c r="E308" s="14">
        <v>1.0</v>
      </c>
      <c r="F308" s="15">
        <f>ROUND(21,3)</f>
        <v>21</v>
      </c>
      <c r="G308" s="12">
        <f t="shared" si="61"/>
        <v>21</v>
      </c>
    </row>
    <row r="309" ht="24.0" customHeight="1">
      <c r="A309" s="10" t="s">
        <v>28</v>
      </c>
      <c r="B309" s="10" t="s">
        <v>26</v>
      </c>
      <c r="C309" s="10" t="s">
        <v>23</v>
      </c>
      <c r="D309" s="10" t="s">
        <v>29</v>
      </c>
      <c r="E309" s="14">
        <v>1.0</v>
      </c>
      <c r="F309" s="15">
        <f t="shared" ref="F309:F310" si="62">ROUND(19,3)</f>
        <v>19</v>
      </c>
      <c r="G309" s="12">
        <f t="shared" si="61"/>
        <v>19</v>
      </c>
    </row>
    <row r="310" ht="24.0" customHeight="1">
      <c r="A310" s="10" t="s">
        <v>30</v>
      </c>
      <c r="B310" s="10" t="s">
        <v>26</v>
      </c>
      <c r="C310" s="10" t="s">
        <v>23</v>
      </c>
      <c r="D310" s="10" t="s">
        <v>31</v>
      </c>
      <c r="E310" s="14">
        <v>0.2</v>
      </c>
      <c r="F310" s="15">
        <f t="shared" si="62"/>
        <v>19</v>
      </c>
      <c r="G310" s="12">
        <f t="shared" si="61"/>
        <v>3.8</v>
      </c>
    </row>
    <row r="311" ht="15.0" customHeight="1">
      <c r="A311" s="11"/>
      <c r="B311" s="11"/>
      <c r="C311" s="11"/>
      <c r="D311" s="10" t="s">
        <v>22</v>
      </c>
      <c r="E311" s="14">
        <v>0.1429</v>
      </c>
      <c r="F311" s="15">
        <f>ROUND((G308+G309+G310),3)</f>
        <v>43.8</v>
      </c>
      <c r="G311" s="12">
        <f t="shared" si="61"/>
        <v>6.26</v>
      </c>
    </row>
    <row r="312" ht="15.0" customHeight="1">
      <c r="A312" s="10" t="s">
        <v>32</v>
      </c>
      <c r="B312" s="10"/>
      <c r="C312" s="10" t="s">
        <v>33</v>
      </c>
      <c r="D312" s="10" t="s">
        <v>34</v>
      </c>
      <c r="E312" s="14">
        <v>2.0</v>
      </c>
      <c r="F312" s="15">
        <f>ROUND(6.26,3)</f>
        <v>6.26</v>
      </c>
      <c r="G312" s="12">
        <f>ROUND((E312*F312)/100,2)</f>
        <v>0.13</v>
      </c>
    </row>
    <row r="313" ht="24.75" customHeight="1">
      <c r="A313" s="16"/>
      <c r="B313" s="16"/>
      <c r="C313" s="16"/>
      <c r="D313" s="17" t="s">
        <v>127</v>
      </c>
      <c r="E313" s="16"/>
      <c r="F313" s="18">
        <f>ROUND((G306+G307+G312)*(1+G2/100),2)</f>
        <v>7.47</v>
      </c>
      <c r="G313" s="16"/>
    </row>
    <row r="314" ht="39.75" customHeight="1">
      <c r="A314" s="19" t="s">
        <v>130</v>
      </c>
      <c r="B314" s="20" t="s">
        <v>18</v>
      </c>
      <c r="C314" s="20" t="s">
        <v>19</v>
      </c>
      <c r="D314" s="20" t="s">
        <v>131</v>
      </c>
      <c r="E314" s="21"/>
      <c r="F314" s="22">
        <f>F323</f>
        <v>12.43</v>
      </c>
      <c r="G314" s="21"/>
    </row>
    <row r="315" ht="21.0" customHeight="1">
      <c r="A315" s="11"/>
      <c r="B315" s="11"/>
      <c r="C315" s="11"/>
      <c r="D315" s="10" t="s">
        <v>132</v>
      </c>
    </row>
    <row r="316" ht="24.0" customHeight="1">
      <c r="A316" s="10" t="s">
        <v>111</v>
      </c>
      <c r="B316" s="10" t="s">
        <v>112</v>
      </c>
      <c r="C316" s="10" t="s">
        <v>23</v>
      </c>
      <c r="D316" s="10" t="s">
        <v>113</v>
      </c>
      <c r="E316" s="14">
        <v>0.2381</v>
      </c>
      <c r="F316" s="15">
        <f>ROUND(7.526,3)</f>
        <v>7.526</v>
      </c>
      <c r="G316" s="12">
        <f t="shared" ref="G316:G321" si="63">ROUND(E316*F316,2)</f>
        <v>1.79</v>
      </c>
    </row>
    <row r="317" ht="21.0" customHeight="1">
      <c r="A317" s="10" t="s">
        <v>22</v>
      </c>
      <c r="B317" s="10" t="s">
        <v>18</v>
      </c>
      <c r="C317" s="10" t="s">
        <v>23</v>
      </c>
      <c r="D317" s="10" t="s">
        <v>24</v>
      </c>
      <c r="E317" s="14">
        <v>0.2381</v>
      </c>
      <c r="F317" s="15">
        <f>F321</f>
        <v>43.8</v>
      </c>
      <c r="G317" s="12">
        <f t="shared" si="63"/>
        <v>10.43</v>
      </c>
    </row>
    <row r="318" ht="24.0" customHeight="1">
      <c r="A318" s="10" t="s">
        <v>25</v>
      </c>
      <c r="B318" s="10" t="s">
        <v>26</v>
      </c>
      <c r="C318" s="10" t="s">
        <v>23</v>
      </c>
      <c r="D318" s="10" t="s">
        <v>27</v>
      </c>
      <c r="E318" s="14">
        <v>1.0</v>
      </c>
      <c r="F318" s="15">
        <f>ROUND(21,3)</f>
        <v>21</v>
      </c>
      <c r="G318" s="12">
        <f t="shared" si="63"/>
        <v>21</v>
      </c>
    </row>
    <row r="319" ht="24.0" customHeight="1">
      <c r="A319" s="10" t="s">
        <v>28</v>
      </c>
      <c r="B319" s="10" t="s">
        <v>26</v>
      </c>
      <c r="C319" s="10" t="s">
        <v>23</v>
      </c>
      <c r="D319" s="10" t="s">
        <v>29</v>
      </c>
      <c r="E319" s="14">
        <v>1.0</v>
      </c>
      <c r="F319" s="15">
        <f t="shared" ref="F319:F320" si="64">ROUND(19,3)</f>
        <v>19</v>
      </c>
      <c r="G319" s="12">
        <f t="shared" si="63"/>
        <v>19</v>
      </c>
    </row>
    <row r="320" ht="24.0" customHeight="1">
      <c r="A320" s="10" t="s">
        <v>30</v>
      </c>
      <c r="B320" s="10" t="s">
        <v>26</v>
      </c>
      <c r="C320" s="10" t="s">
        <v>23</v>
      </c>
      <c r="D320" s="10" t="s">
        <v>31</v>
      </c>
      <c r="E320" s="14">
        <v>0.2</v>
      </c>
      <c r="F320" s="15">
        <f t="shared" si="64"/>
        <v>19</v>
      </c>
      <c r="G320" s="12">
        <f t="shared" si="63"/>
        <v>3.8</v>
      </c>
    </row>
    <row r="321" ht="15.0" customHeight="1">
      <c r="A321" s="11"/>
      <c r="B321" s="11"/>
      <c r="C321" s="11"/>
      <c r="D321" s="10" t="s">
        <v>22</v>
      </c>
      <c r="E321" s="14">
        <v>0.2381</v>
      </c>
      <c r="F321" s="15">
        <f>ROUND((G318+G319+G320),3)</f>
        <v>43.8</v>
      </c>
      <c r="G321" s="12">
        <f t="shared" si="63"/>
        <v>10.43</v>
      </c>
    </row>
    <row r="322" ht="15.0" customHeight="1">
      <c r="A322" s="10" t="s">
        <v>32</v>
      </c>
      <c r="B322" s="10"/>
      <c r="C322" s="10" t="s">
        <v>33</v>
      </c>
      <c r="D322" s="10" t="s">
        <v>34</v>
      </c>
      <c r="E322" s="14">
        <v>2.0</v>
      </c>
      <c r="F322" s="15">
        <f>ROUND(10.43,3)</f>
        <v>10.43</v>
      </c>
      <c r="G322" s="12">
        <f>ROUND((E322*F322)/100,2)</f>
        <v>0.21</v>
      </c>
    </row>
    <row r="323" ht="24.75" customHeight="1">
      <c r="A323" s="16"/>
      <c r="B323" s="16"/>
      <c r="C323" s="16"/>
      <c r="D323" s="17" t="s">
        <v>130</v>
      </c>
      <c r="E323" s="16"/>
      <c r="F323" s="18">
        <f>ROUND((G316+G317+G322)*(1+G2/100),2)</f>
        <v>12.43</v>
      </c>
      <c r="G323" s="16"/>
    </row>
    <row r="324" ht="48.75" customHeight="1">
      <c r="A324" s="19" t="s">
        <v>133</v>
      </c>
      <c r="B324" s="20" t="s">
        <v>18</v>
      </c>
      <c r="C324" s="20" t="s">
        <v>19</v>
      </c>
      <c r="D324" s="20" t="s">
        <v>134</v>
      </c>
      <c r="E324" s="21"/>
      <c r="F324" s="22">
        <f>F334</f>
        <v>8.02</v>
      </c>
      <c r="G324" s="21"/>
    </row>
    <row r="325" ht="21.0" customHeight="1">
      <c r="A325" s="11"/>
      <c r="B325" s="11"/>
      <c r="C325" s="11"/>
      <c r="D325" s="10" t="s">
        <v>135</v>
      </c>
    </row>
    <row r="326" ht="39.75" customHeight="1">
      <c r="A326" s="10" t="s">
        <v>41</v>
      </c>
      <c r="B326" s="10" t="s">
        <v>42</v>
      </c>
      <c r="C326" s="10" t="s">
        <v>43</v>
      </c>
      <c r="D326" s="10" t="s">
        <v>44</v>
      </c>
      <c r="E326" s="14">
        <v>0.021</v>
      </c>
      <c r="F326" s="15">
        <f>ROUND(9.13,3)</f>
        <v>9.13</v>
      </c>
      <c r="G326" s="12">
        <f t="shared" ref="G326:G332" si="65">ROUND(E326*F326,2)</f>
        <v>0.19</v>
      </c>
    </row>
    <row r="327" ht="24.0" customHeight="1">
      <c r="A327" s="10" t="s">
        <v>111</v>
      </c>
      <c r="B327" s="10" t="s">
        <v>112</v>
      </c>
      <c r="C327" s="10" t="s">
        <v>23</v>
      </c>
      <c r="D327" s="10" t="s">
        <v>113</v>
      </c>
      <c r="E327" s="14">
        <v>0.15</v>
      </c>
      <c r="F327" s="15">
        <f>ROUND(7.526,3)</f>
        <v>7.526</v>
      </c>
      <c r="G327" s="12">
        <f t="shared" si="65"/>
        <v>1.13</v>
      </c>
    </row>
    <row r="328" ht="21.0" customHeight="1">
      <c r="A328" s="10" t="s">
        <v>22</v>
      </c>
      <c r="B328" s="10" t="s">
        <v>18</v>
      </c>
      <c r="C328" s="10" t="s">
        <v>23</v>
      </c>
      <c r="D328" s="10" t="s">
        <v>24</v>
      </c>
      <c r="E328" s="14">
        <v>0.15</v>
      </c>
      <c r="F328" s="15">
        <f>F332</f>
        <v>43.8</v>
      </c>
      <c r="G328" s="12">
        <f t="shared" si="65"/>
        <v>6.57</v>
      </c>
    </row>
    <row r="329" ht="24.0" customHeight="1">
      <c r="A329" s="10" t="s">
        <v>25</v>
      </c>
      <c r="B329" s="10" t="s">
        <v>26</v>
      </c>
      <c r="C329" s="10" t="s">
        <v>23</v>
      </c>
      <c r="D329" s="10" t="s">
        <v>27</v>
      </c>
      <c r="E329" s="14">
        <v>1.0</v>
      </c>
      <c r="F329" s="15">
        <f>ROUND(21,3)</f>
        <v>21</v>
      </c>
      <c r="G329" s="12">
        <f t="shared" si="65"/>
        <v>21</v>
      </c>
    </row>
    <row r="330" ht="24.0" customHeight="1">
      <c r="A330" s="10" t="s">
        <v>28</v>
      </c>
      <c r="B330" s="10" t="s">
        <v>26</v>
      </c>
      <c r="C330" s="10" t="s">
        <v>23</v>
      </c>
      <c r="D330" s="10" t="s">
        <v>29</v>
      </c>
      <c r="E330" s="14">
        <v>1.0</v>
      </c>
      <c r="F330" s="15">
        <f t="shared" ref="F330:F331" si="66">ROUND(19,3)</f>
        <v>19</v>
      </c>
      <c r="G330" s="12">
        <f t="shared" si="65"/>
        <v>19</v>
      </c>
    </row>
    <row r="331" ht="24.0" customHeight="1">
      <c r="A331" s="10" t="s">
        <v>30</v>
      </c>
      <c r="B331" s="10" t="s">
        <v>26</v>
      </c>
      <c r="C331" s="10" t="s">
        <v>23</v>
      </c>
      <c r="D331" s="10" t="s">
        <v>31</v>
      </c>
      <c r="E331" s="14">
        <v>0.2</v>
      </c>
      <c r="F331" s="15">
        <f t="shared" si="66"/>
        <v>19</v>
      </c>
      <c r="G331" s="12">
        <f t="shared" si="65"/>
        <v>3.8</v>
      </c>
    </row>
    <row r="332" ht="15.0" customHeight="1">
      <c r="A332" s="11"/>
      <c r="B332" s="11"/>
      <c r="C332" s="11"/>
      <c r="D332" s="10" t="s">
        <v>22</v>
      </c>
      <c r="E332" s="14">
        <v>0.15</v>
      </c>
      <c r="F332" s="15">
        <f>ROUND((G329+G330+G331),3)</f>
        <v>43.8</v>
      </c>
      <c r="G332" s="12">
        <f t="shared" si="65"/>
        <v>6.57</v>
      </c>
    </row>
    <row r="333" ht="15.0" customHeight="1">
      <c r="A333" s="10" t="s">
        <v>32</v>
      </c>
      <c r="B333" s="10"/>
      <c r="C333" s="10" t="s">
        <v>33</v>
      </c>
      <c r="D333" s="10" t="s">
        <v>34</v>
      </c>
      <c r="E333" s="14">
        <v>2.0</v>
      </c>
      <c r="F333" s="15">
        <f>ROUND(6.57,3)</f>
        <v>6.57</v>
      </c>
      <c r="G333" s="12">
        <f>ROUND((E333*F333)/100,2)</f>
        <v>0.13</v>
      </c>
    </row>
    <row r="334" ht="24.75" customHeight="1">
      <c r="A334" s="16"/>
      <c r="B334" s="16"/>
      <c r="C334" s="16"/>
      <c r="D334" s="17" t="s">
        <v>133</v>
      </c>
      <c r="E334" s="16"/>
      <c r="F334" s="18">
        <f>ROUND((G326+G327+G328+G333)*(1+G2/100),2)</f>
        <v>8.02</v>
      </c>
      <c r="G334" s="16"/>
    </row>
    <row r="335" ht="48.75" customHeight="1">
      <c r="A335" s="19" t="s">
        <v>136</v>
      </c>
      <c r="B335" s="20" t="s">
        <v>18</v>
      </c>
      <c r="C335" s="20" t="s">
        <v>19</v>
      </c>
      <c r="D335" s="20" t="s">
        <v>137</v>
      </c>
      <c r="E335" s="21"/>
      <c r="F335" s="22">
        <f>F345</f>
        <v>13.24</v>
      </c>
      <c r="G335" s="21"/>
    </row>
    <row r="336" ht="21.0" customHeight="1">
      <c r="A336" s="11"/>
      <c r="B336" s="11"/>
      <c r="C336" s="11"/>
      <c r="D336" s="10" t="s">
        <v>132</v>
      </c>
    </row>
    <row r="337" ht="39.75" customHeight="1">
      <c r="A337" s="10" t="s">
        <v>41</v>
      </c>
      <c r="B337" s="10" t="s">
        <v>42</v>
      </c>
      <c r="C337" s="10" t="s">
        <v>43</v>
      </c>
      <c r="D337" s="10" t="s">
        <v>44</v>
      </c>
      <c r="E337" s="14">
        <v>0.021</v>
      </c>
      <c r="F337" s="15">
        <f>ROUND(9.13,3)</f>
        <v>9.13</v>
      </c>
      <c r="G337" s="12">
        <f t="shared" ref="G337:G343" si="67">ROUND(E337*F337,2)</f>
        <v>0.19</v>
      </c>
    </row>
    <row r="338" ht="24.0" customHeight="1">
      <c r="A338" s="10" t="s">
        <v>111</v>
      </c>
      <c r="B338" s="10" t="s">
        <v>112</v>
      </c>
      <c r="C338" s="10" t="s">
        <v>23</v>
      </c>
      <c r="D338" s="10" t="s">
        <v>113</v>
      </c>
      <c r="E338" s="14">
        <v>0.25</v>
      </c>
      <c r="F338" s="15">
        <f>ROUND(7.526,3)</f>
        <v>7.526</v>
      </c>
      <c r="G338" s="12">
        <f t="shared" si="67"/>
        <v>1.88</v>
      </c>
    </row>
    <row r="339" ht="21.0" customHeight="1">
      <c r="A339" s="10" t="s">
        <v>22</v>
      </c>
      <c r="B339" s="10" t="s">
        <v>18</v>
      </c>
      <c r="C339" s="10" t="s">
        <v>23</v>
      </c>
      <c r="D339" s="10" t="s">
        <v>24</v>
      </c>
      <c r="E339" s="14">
        <v>0.25</v>
      </c>
      <c r="F339" s="15">
        <f>F343</f>
        <v>43.8</v>
      </c>
      <c r="G339" s="12">
        <f t="shared" si="67"/>
        <v>10.95</v>
      </c>
    </row>
    <row r="340" ht="24.0" customHeight="1">
      <c r="A340" s="10" t="s">
        <v>25</v>
      </c>
      <c r="B340" s="10" t="s">
        <v>26</v>
      </c>
      <c r="C340" s="10" t="s">
        <v>23</v>
      </c>
      <c r="D340" s="10" t="s">
        <v>27</v>
      </c>
      <c r="E340" s="14">
        <v>1.0</v>
      </c>
      <c r="F340" s="15">
        <f>ROUND(21,3)</f>
        <v>21</v>
      </c>
      <c r="G340" s="12">
        <f t="shared" si="67"/>
        <v>21</v>
      </c>
    </row>
    <row r="341" ht="24.0" customHeight="1">
      <c r="A341" s="10" t="s">
        <v>28</v>
      </c>
      <c r="B341" s="10" t="s">
        <v>26</v>
      </c>
      <c r="C341" s="10" t="s">
        <v>23</v>
      </c>
      <c r="D341" s="10" t="s">
        <v>29</v>
      </c>
      <c r="E341" s="14">
        <v>1.0</v>
      </c>
      <c r="F341" s="15">
        <f t="shared" ref="F341:F342" si="68">ROUND(19,3)</f>
        <v>19</v>
      </c>
      <c r="G341" s="12">
        <f t="shared" si="67"/>
        <v>19</v>
      </c>
    </row>
    <row r="342" ht="24.0" customHeight="1">
      <c r="A342" s="10" t="s">
        <v>30</v>
      </c>
      <c r="B342" s="10" t="s">
        <v>26</v>
      </c>
      <c r="C342" s="10" t="s">
        <v>23</v>
      </c>
      <c r="D342" s="10" t="s">
        <v>31</v>
      </c>
      <c r="E342" s="14">
        <v>0.2</v>
      </c>
      <c r="F342" s="15">
        <f t="shared" si="68"/>
        <v>19</v>
      </c>
      <c r="G342" s="12">
        <f t="shared" si="67"/>
        <v>3.8</v>
      </c>
    </row>
    <row r="343" ht="15.0" customHeight="1">
      <c r="A343" s="11"/>
      <c r="B343" s="11"/>
      <c r="C343" s="11"/>
      <c r="D343" s="10" t="s">
        <v>22</v>
      </c>
      <c r="E343" s="14">
        <v>0.25</v>
      </c>
      <c r="F343" s="15">
        <f>ROUND((G340+G341+G342),3)</f>
        <v>43.8</v>
      </c>
      <c r="G343" s="12">
        <f t="shared" si="67"/>
        <v>10.95</v>
      </c>
    </row>
    <row r="344" ht="15.0" customHeight="1">
      <c r="A344" s="10" t="s">
        <v>32</v>
      </c>
      <c r="B344" s="10"/>
      <c r="C344" s="10" t="s">
        <v>33</v>
      </c>
      <c r="D344" s="10" t="s">
        <v>34</v>
      </c>
      <c r="E344" s="14">
        <v>2.0</v>
      </c>
      <c r="F344" s="15">
        <f>ROUND(10.95,3)</f>
        <v>10.95</v>
      </c>
      <c r="G344" s="12">
        <f>ROUND((E344*F344)/100,2)</f>
        <v>0.22</v>
      </c>
    </row>
    <row r="345" ht="24.75" customHeight="1">
      <c r="A345" s="16"/>
      <c r="B345" s="16"/>
      <c r="C345" s="16"/>
      <c r="D345" s="17" t="s">
        <v>136</v>
      </c>
      <c r="E345" s="16"/>
      <c r="F345" s="18">
        <f>ROUND((G337+G338+G339+G344)*(1+G2/100),2)</f>
        <v>13.24</v>
      </c>
      <c r="G345" s="16"/>
    </row>
    <row r="346" ht="48.75" customHeight="1">
      <c r="A346" s="19" t="s">
        <v>138</v>
      </c>
      <c r="B346" s="20" t="s">
        <v>18</v>
      </c>
      <c r="C346" s="20" t="s">
        <v>19</v>
      </c>
      <c r="D346" s="20" t="s">
        <v>139</v>
      </c>
      <c r="E346" s="21"/>
      <c r="F346" s="22">
        <f>F356</f>
        <v>8</v>
      </c>
      <c r="G346" s="21"/>
    </row>
    <row r="347" ht="21.0" customHeight="1">
      <c r="A347" s="11"/>
      <c r="B347" s="11"/>
      <c r="C347" s="11"/>
      <c r="D347" s="10" t="s">
        <v>140</v>
      </c>
    </row>
    <row r="348" ht="30.0" customHeight="1">
      <c r="A348" s="10" t="s">
        <v>51</v>
      </c>
      <c r="B348" s="10" t="s">
        <v>42</v>
      </c>
      <c r="C348" s="10" t="s">
        <v>43</v>
      </c>
      <c r="D348" s="10" t="s">
        <v>52</v>
      </c>
      <c r="E348" s="14">
        <v>0.066</v>
      </c>
      <c r="F348" s="15">
        <f>ROUND(2.56,3)</f>
        <v>2.56</v>
      </c>
      <c r="G348" s="12">
        <f t="shared" ref="G348:G354" si="69">ROUND(E348*F348,2)</f>
        <v>0.17</v>
      </c>
    </row>
    <row r="349" ht="24.0" customHeight="1">
      <c r="A349" s="10" t="s">
        <v>111</v>
      </c>
      <c r="B349" s="10" t="s">
        <v>112</v>
      </c>
      <c r="C349" s="10" t="s">
        <v>23</v>
      </c>
      <c r="D349" s="10" t="s">
        <v>113</v>
      </c>
      <c r="E349" s="14">
        <v>0.15</v>
      </c>
      <c r="F349" s="15">
        <f>ROUND(7.526,3)</f>
        <v>7.526</v>
      </c>
      <c r="G349" s="12">
        <f t="shared" si="69"/>
        <v>1.13</v>
      </c>
    </row>
    <row r="350" ht="21.0" customHeight="1">
      <c r="A350" s="10" t="s">
        <v>22</v>
      </c>
      <c r="B350" s="10" t="s">
        <v>18</v>
      </c>
      <c r="C350" s="10" t="s">
        <v>23</v>
      </c>
      <c r="D350" s="10" t="s">
        <v>24</v>
      </c>
      <c r="E350" s="14">
        <v>0.15</v>
      </c>
      <c r="F350" s="15">
        <f>F354</f>
        <v>43.8</v>
      </c>
      <c r="G350" s="12">
        <f t="shared" si="69"/>
        <v>6.57</v>
      </c>
    </row>
    <row r="351" ht="24.0" customHeight="1">
      <c r="A351" s="10" t="s">
        <v>25</v>
      </c>
      <c r="B351" s="10" t="s">
        <v>26</v>
      </c>
      <c r="C351" s="10" t="s">
        <v>23</v>
      </c>
      <c r="D351" s="10" t="s">
        <v>27</v>
      </c>
      <c r="E351" s="14">
        <v>1.0</v>
      </c>
      <c r="F351" s="15">
        <f>ROUND(21,3)</f>
        <v>21</v>
      </c>
      <c r="G351" s="12">
        <f t="shared" si="69"/>
        <v>21</v>
      </c>
    </row>
    <row r="352" ht="24.0" customHeight="1">
      <c r="A352" s="10" t="s">
        <v>28</v>
      </c>
      <c r="B352" s="10" t="s">
        <v>26</v>
      </c>
      <c r="C352" s="10" t="s">
        <v>23</v>
      </c>
      <c r="D352" s="10" t="s">
        <v>29</v>
      </c>
      <c r="E352" s="14">
        <v>1.0</v>
      </c>
      <c r="F352" s="15">
        <f t="shared" ref="F352:F353" si="70">ROUND(19,3)</f>
        <v>19</v>
      </c>
      <c r="G352" s="12">
        <f t="shared" si="69"/>
        <v>19</v>
      </c>
    </row>
    <row r="353" ht="24.0" customHeight="1">
      <c r="A353" s="10" t="s">
        <v>30</v>
      </c>
      <c r="B353" s="10" t="s">
        <v>26</v>
      </c>
      <c r="C353" s="10" t="s">
        <v>23</v>
      </c>
      <c r="D353" s="10" t="s">
        <v>31</v>
      </c>
      <c r="E353" s="14">
        <v>0.2</v>
      </c>
      <c r="F353" s="15">
        <f t="shared" si="70"/>
        <v>19</v>
      </c>
      <c r="G353" s="12">
        <f t="shared" si="69"/>
        <v>3.8</v>
      </c>
    </row>
    <row r="354" ht="15.0" customHeight="1">
      <c r="A354" s="11"/>
      <c r="B354" s="11"/>
      <c r="C354" s="11"/>
      <c r="D354" s="10" t="s">
        <v>22</v>
      </c>
      <c r="E354" s="14">
        <v>0.15</v>
      </c>
      <c r="F354" s="15">
        <f>ROUND((G351+G352+G353),3)</f>
        <v>43.8</v>
      </c>
      <c r="G354" s="12">
        <f t="shared" si="69"/>
        <v>6.57</v>
      </c>
    </row>
    <row r="355" ht="15.0" customHeight="1">
      <c r="A355" s="10" t="s">
        <v>32</v>
      </c>
      <c r="B355" s="10"/>
      <c r="C355" s="10" t="s">
        <v>33</v>
      </c>
      <c r="D355" s="10" t="s">
        <v>34</v>
      </c>
      <c r="E355" s="14">
        <v>2.0</v>
      </c>
      <c r="F355" s="15">
        <f>ROUND(6.57,3)</f>
        <v>6.57</v>
      </c>
      <c r="G355" s="12">
        <f>ROUND((E355*F355)/100,2)</f>
        <v>0.13</v>
      </c>
    </row>
    <row r="356" ht="24.75" customHeight="1">
      <c r="A356" s="16"/>
      <c r="B356" s="16"/>
      <c r="C356" s="16"/>
      <c r="D356" s="17" t="s">
        <v>138</v>
      </c>
      <c r="E356" s="16"/>
      <c r="F356" s="18">
        <f>ROUND((G348+G349+G350+G355)*(1+G2/100),2)</f>
        <v>8</v>
      </c>
      <c r="G356" s="16"/>
    </row>
    <row r="357" ht="48.75" customHeight="1">
      <c r="A357" s="19" t="s">
        <v>141</v>
      </c>
      <c r="B357" s="20" t="s">
        <v>18</v>
      </c>
      <c r="C357" s="20" t="s">
        <v>19</v>
      </c>
      <c r="D357" s="20" t="s">
        <v>142</v>
      </c>
      <c r="E357" s="21"/>
      <c r="F357" s="22">
        <f>F367</f>
        <v>13.22</v>
      </c>
      <c r="G357" s="21"/>
    </row>
    <row r="358" ht="21.0" customHeight="1">
      <c r="A358" s="11"/>
      <c r="B358" s="11"/>
      <c r="C358" s="11"/>
      <c r="D358" s="10" t="s">
        <v>143</v>
      </c>
    </row>
    <row r="359" ht="30.0" customHeight="1">
      <c r="A359" s="10" t="s">
        <v>51</v>
      </c>
      <c r="B359" s="10" t="s">
        <v>42</v>
      </c>
      <c r="C359" s="10" t="s">
        <v>43</v>
      </c>
      <c r="D359" s="10" t="s">
        <v>52</v>
      </c>
      <c r="E359" s="14">
        <v>0.066</v>
      </c>
      <c r="F359" s="15">
        <f>ROUND(2.56,3)</f>
        <v>2.56</v>
      </c>
      <c r="G359" s="12">
        <f t="shared" ref="G359:G365" si="71">ROUND(E359*F359,2)</f>
        <v>0.17</v>
      </c>
    </row>
    <row r="360" ht="24.0" customHeight="1">
      <c r="A360" s="10" t="s">
        <v>111</v>
      </c>
      <c r="B360" s="10" t="s">
        <v>112</v>
      </c>
      <c r="C360" s="10" t="s">
        <v>23</v>
      </c>
      <c r="D360" s="10" t="s">
        <v>113</v>
      </c>
      <c r="E360" s="14">
        <v>0.25</v>
      </c>
      <c r="F360" s="15">
        <f>ROUND(7.526,3)</f>
        <v>7.526</v>
      </c>
      <c r="G360" s="12">
        <f t="shared" si="71"/>
        <v>1.88</v>
      </c>
    </row>
    <row r="361" ht="21.0" customHeight="1">
      <c r="A361" s="10" t="s">
        <v>22</v>
      </c>
      <c r="B361" s="10" t="s">
        <v>18</v>
      </c>
      <c r="C361" s="10" t="s">
        <v>23</v>
      </c>
      <c r="D361" s="10" t="s">
        <v>24</v>
      </c>
      <c r="E361" s="14">
        <v>0.25</v>
      </c>
      <c r="F361" s="15">
        <f>F365</f>
        <v>43.8</v>
      </c>
      <c r="G361" s="12">
        <f t="shared" si="71"/>
        <v>10.95</v>
      </c>
    </row>
    <row r="362" ht="24.0" customHeight="1">
      <c r="A362" s="10" t="s">
        <v>25</v>
      </c>
      <c r="B362" s="10" t="s">
        <v>26</v>
      </c>
      <c r="C362" s="10" t="s">
        <v>23</v>
      </c>
      <c r="D362" s="10" t="s">
        <v>27</v>
      </c>
      <c r="E362" s="14">
        <v>1.0</v>
      </c>
      <c r="F362" s="15">
        <f>ROUND(21,3)</f>
        <v>21</v>
      </c>
      <c r="G362" s="12">
        <f t="shared" si="71"/>
        <v>21</v>
      </c>
    </row>
    <row r="363" ht="24.0" customHeight="1">
      <c r="A363" s="10" t="s">
        <v>28</v>
      </c>
      <c r="B363" s="10" t="s">
        <v>26</v>
      </c>
      <c r="C363" s="10" t="s">
        <v>23</v>
      </c>
      <c r="D363" s="10" t="s">
        <v>29</v>
      </c>
      <c r="E363" s="14">
        <v>1.0</v>
      </c>
      <c r="F363" s="15">
        <f t="shared" ref="F363:F364" si="72">ROUND(19,3)</f>
        <v>19</v>
      </c>
      <c r="G363" s="12">
        <f t="shared" si="71"/>
        <v>19</v>
      </c>
    </row>
    <row r="364" ht="24.0" customHeight="1">
      <c r="A364" s="10" t="s">
        <v>30</v>
      </c>
      <c r="B364" s="10" t="s">
        <v>26</v>
      </c>
      <c r="C364" s="10" t="s">
        <v>23</v>
      </c>
      <c r="D364" s="10" t="s">
        <v>31</v>
      </c>
      <c r="E364" s="14">
        <v>0.2</v>
      </c>
      <c r="F364" s="15">
        <f t="shared" si="72"/>
        <v>19</v>
      </c>
      <c r="G364" s="12">
        <f t="shared" si="71"/>
        <v>3.8</v>
      </c>
    </row>
    <row r="365" ht="15.0" customHeight="1">
      <c r="A365" s="11"/>
      <c r="B365" s="11"/>
      <c r="C365" s="11"/>
      <c r="D365" s="10" t="s">
        <v>22</v>
      </c>
      <c r="E365" s="14">
        <v>0.25</v>
      </c>
      <c r="F365" s="15">
        <f>ROUND((G362+G363+G364),3)</f>
        <v>43.8</v>
      </c>
      <c r="G365" s="12">
        <f t="shared" si="71"/>
        <v>10.95</v>
      </c>
    </row>
    <row r="366" ht="15.0" customHeight="1">
      <c r="A366" s="10" t="s">
        <v>32</v>
      </c>
      <c r="B366" s="10"/>
      <c r="C366" s="10" t="s">
        <v>33</v>
      </c>
      <c r="D366" s="10" t="s">
        <v>34</v>
      </c>
      <c r="E366" s="14">
        <v>2.0</v>
      </c>
      <c r="F366" s="15">
        <f>ROUND(10.95,3)</f>
        <v>10.95</v>
      </c>
      <c r="G366" s="12">
        <f>ROUND((E366*F366)/100,2)</f>
        <v>0.22</v>
      </c>
    </row>
    <row r="367" ht="24.75" customHeight="1">
      <c r="A367" s="16"/>
      <c r="B367" s="16"/>
      <c r="C367" s="16"/>
      <c r="D367" s="17" t="s">
        <v>141</v>
      </c>
      <c r="E367" s="16"/>
      <c r="F367" s="18">
        <f>ROUND((G359+G360+G361+G366)*(1+G2/100),2)</f>
        <v>13.22</v>
      </c>
      <c r="G367" s="16"/>
    </row>
    <row r="368" ht="34.5" customHeight="1">
      <c r="A368" s="19" t="s">
        <v>144</v>
      </c>
      <c r="B368" s="20" t="s">
        <v>18</v>
      </c>
      <c r="C368" s="20" t="s">
        <v>19</v>
      </c>
      <c r="D368" s="20" t="s">
        <v>145</v>
      </c>
      <c r="E368" s="21"/>
      <c r="F368" s="22">
        <f>F377</f>
        <v>8.52</v>
      </c>
      <c r="G368" s="21"/>
    </row>
    <row r="369" ht="12.0" customHeight="1">
      <c r="A369" s="11"/>
      <c r="B369" s="11"/>
      <c r="C369" s="11"/>
      <c r="D369" s="10" t="s">
        <v>146</v>
      </c>
    </row>
    <row r="370" ht="24.0" customHeight="1">
      <c r="A370" s="10" t="s">
        <v>111</v>
      </c>
      <c r="B370" s="10" t="s">
        <v>112</v>
      </c>
      <c r="C370" s="10" t="s">
        <v>23</v>
      </c>
      <c r="D370" s="10" t="s">
        <v>113</v>
      </c>
      <c r="E370" s="14">
        <v>0.1633</v>
      </c>
      <c r="F370" s="15">
        <f>ROUND(7.526,3)</f>
        <v>7.526</v>
      </c>
      <c r="G370" s="12">
        <f t="shared" ref="G370:G375" si="73">ROUND(E370*F370,2)</f>
        <v>1.23</v>
      </c>
    </row>
    <row r="371" ht="21.0" customHeight="1">
      <c r="A371" s="10" t="s">
        <v>22</v>
      </c>
      <c r="B371" s="10" t="s">
        <v>18</v>
      </c>
      <c r="C371" s="10" t="s">
        <v>23</v>
      </c>
      <c r="D371" s="10" t="s">
        <v>24</v>
      </c>
      <c r="E371" s="14">
        <v>0.1633</v>
      </c>
      <c r="F371" s="15">
        <f>F375</f>
        <v>43.8</v>
      </c>
      <c r="G371" s="12">
        <f t="shared" si="73"/>
        <v>7.15</v>
      </c>
    </row>
    <row r="372" ht="24.0" customHeight="1">
      <c r="A372" s="10" t="s">
        <v>25</v>
      </c>
      <c r="B372" s="10" t="s">
        <v>26</v>
      </c>
      <c r="C372" s="10" t="s">
        <v>23</v>
      </c>
      <c r="D372" s="10" t="s">
        <v>27</v>
      </c>
      <c r="E372" s="14">
        <v>1.0</v>
      </c>
      <c r="F372" s="15">
        <f>ROUND(21,3)</f>
        <v>21</v>
      </c>
      <c r="G372" s="12">
        <f t="shared" si="73"/>
        <v>21</v>
      </c>
    </row>
    <row r="373" ht="24.0" customHeight="1">
      <c r="A373" s="10" t="s">
        <v>28</v>
      </c>
      <c r="B373" s="10" t="s">
        <v>26</v>
      </c>
      <c r="C373" s="10" t="s">
        <v>23</v>
      </c>
      <c r="D373" s="10" t="s">
        <v>29</v>
      </c>
      <c r="E373" s="14">
        <v>1.0</v>
      </c>
      <c r="F373" s="15">
        <f t="shared" ref="F373:F374" si="74">ROUND(19,3)</f>
        <v>19</v>
      </c>
      <c r="G373" s="12">
        <f t="shared" si="73"/>
        <v>19</v>
      </c>
    </row>
    <row r="374" ht="24.0" customHeight="1">
      <c r="A374" s="10" t="s">
        <v>30</v>
      </c>
      <c r="B374" s="10" t="s">
        <v>26</v>
      </c>
      <c r="C374" s="10" t="s">
        <v>23</v>
      </c>
      <c r="D374" s="10" t="s">
        <v>31</v>
      </c>
      <c r="E374" s="14">
        <v>0.2</v>
      </c>
      <c r="F374" s="15">
        <f t="shared" si="74"/>
        <v>19</v>
      </c>
      <c r="G374" s="12">
        <f t="shared" si="73"/>
        <v>3.8</v>
      </c>
    </row>
    <row r="375" ht="15.0" customHeight="1">
      <c r="A375" s="11"/>
      <c r="B375" s="11"/>
      <c r="C375" s="11"/>
      <c r="D375" s="10" t="s">
        <v>22</v>
      </c>
      <c r="E375" s="14">
        <v>0.1633</v>
      </c>
      <c r="F375" s="15">
        <f>ROUND((G372+G373+G374),3)</f>
        <v>43.8</v>
      </c>
      <c r="G375" s="12">
        <f t="shared" si="73"/>
        <v>7.15</v>
      </c>
    </row>
    <row r="376" ht="15.0" customHeight="1">
      <c r="A376" s="10" t="s">
        <v>32</v>
      </c>
      <c r="B376" s="10"/>
      <c r="C376" s="10" t="s">
        <v>33</v>
      </c>
      <c r="D376" s="10" t="s">
        <v>34</v>
      </c>
      <c r="E376" s="14">
        <v>2.0</v>
      </c>
      <c r="F376" s="15">
        <f>ROUND(7.15,3)</f>
        <v>7.15</v>
      </c>
      <c r="G376" s="12">
        <f>ROUND((E376*F376)/100,2)</f>
        <v>0.14</v>
      </c>
    </row>
    <row r="377" ht="24.75" customHeight="1">
      <c r="A377" s="16"/>
      <c r="B377" s="16"/>
      <c r="C377" s="16"/>
      <c r="D377" s="17" t="s">
        <v>144</v>
      </c>
      <c r="E377" s="16"/>
      <c r="F377" s="18">
        <f>ROUND((G370+G371+G376)*(1+G2/100),2)</f>
        <v>8.52</v>
      </c>
      <c r="G377" s="16"/>
    </row>
    <row r="378" ht="34.5" customHeight="1">
      <c r="A378" s="19" t="s">
        <v>147</v>
      </c>
      <c r="B378" s="20" t="s">
        <v>18</v>
      </c>
      <c r="C378" s="20" t="s">
        <v>19</v>
      </c>
      <c r="D378" s="20" t="s">
        <v>148</v>
      </c>
      <c r="E378" s="21"/>
      <c r="F378" s="22">
        <f>F387</f>
        <v>14.21</v>
      </c>
      <c r="G378" s="21"/>
    </row>
    <row r="379" ht="21.0" customHeight="1">
      <c r="A379" s="11"/>
      <c r="B379" s="11"/>
      <c r="C379" s="11"/>
      <c r="D379" s="10" t="s">
        <v>149</v>
      </c>
    </row>
    <row r="380" ht="24.0" customHeight="1">
      <c r="A380" s="10" t="s">
        <v>111</v>
      </c>
      <c r="B380" s="10" t="s">
        <v>112</v>
      </c>
      <c r="C380" s="10" t="s">
        <v>23</v>
      </c>
      <c r="D380" s="10" t="s">
        <v>113</v>
      </c>
      <c r="E380" s="14">
        <v>0.2721</v>
      </c>
      <c r="F380" s="15">
        <f>ROUND(7.526,3)</f>
        <v>7.526</v>
      </c>
      <c r="G380" s="12">
        <f t="shared" ref="G380:G385" si="75">ROUND(E380*F380,2)</f>
        <v>2.05</v>
      </c>
    </row>
    <row r="381" ht="21.0" customHeight="1">
      <c r="A381" s="10" t="s">
        <v>22</v>
      </c>
      <c r="B381" s="10" t="s">
        <v>18</v>
      </c>
      <c r="C381" s="10" t="s">
        <v>23</v>
      </c>
      <c r="D381" s="10" t="s">
        <v>24</v>
      </c>
      <c r="E381" s="14">
        <v>0.2721</v>
      </c>
      <c r="F381" s="15">
        <f>F385</f>
        <v>43.8</v>
      </c>
      <c r="G381" s="12">
        <f t="shared" si="75"/>
        <v>11.92</v>
      </c>
    </row>
    <row r="382" ht="24.0" customHeight="1">
      <c r="A382" s="10" t="s">
        <v>25</v>
      </c>
      <c r="B382" s="10" t="s">
        <v>26</v>
      </c>
      <c r="C382" s="10" t="s">
        <v>23</v>
      </c>
      <c r="D382" s="10" t="s">
        <v>27</v>
      </c>
      <c r="E382" s="14">
        <v>1.0</v>
      </c>
      <c r="F382" s="15">
        <f>ROUND(21,3)</f>
        <v>21</v>
      </c>
      <c r="G382" s="12">
        <f t="shared" si="75"/>
        <v>21</v>
      </c>
    </row>
    <row r="383" ht="24.0" customHeight="1">
      <c r="A383" s="10" t="s">
        <v>28</v>
      </c>
      <c r="B383" s="10" t="s">
        <v>26</v>
      </c>
      <c r="C383" s="10" t="s">
        <v>23</v>
      </c>
      <c r="D383" s="10" t="s">
        <v>29</v>
      </c>
      <c r="E383" s="14">
        <v>1.0</v>
      </c>
      <c r="F383" s="15">
        <f t="shared" ref="F383:F384" si="76">ROUND(19,3)</f>
        <v>19</v>
      </c>
      <c r="G383" s="12">
        <f t="shared" si="75"/>
        <v>19</v>
      </c>
    </row>
    <row r="384" ht="24.0" customHeight="1">
      <c r="A384" s="10" t="s">
        <v>30</v>
      </c>
      <c r="B384" s="10" t="s">
        <v>26</v>
      </c>
      <c r="C384" s="10" t="s">
        <v>23</v>
      </c>
      <c r="D384" s="10" t="s">
        <v>31</v>
      </c>
      <c r="E384" s="14">
        <v>0.2</v>
      </c>
      <c r="F384" s="15">
        <f t="shared" si="76"/>
        <v>19</v>
      </c>
      <c r="G384" s="12">
        <f t="shared" si="75"/>
        <v>3.8</v>
      </c>
    </row>
    <row r="385" ht="15.0" customHeight="1">
      <c r="A385" s="11"/>
      <c r="B385" s="11"/>
      <c r="C385" s="11"/>
      <c r="D385" s="10" t="s">
        <v>22</v>
      </c>
      <c r="E385" s="14">
        <v>0.2721</v>
      </c>
      <c r="F385" s="15">
        <f>ROUND((G382+G383+G384),3)</f>
        <v>43.8</v>
      </c>
      <c r="G385" s="12">
        <f t="shared" si="75"/>
        <v>11.92</v>
      </c>
    </row>
    <row r="386" ht="15.0" customHeight="1">
      <c r="A386" s="10" t="s">
        <v>32</v>
      </c>
      <c r="B386" s="10"/>
      <c r="C386" s="10" t="s">
        <v>33</v>
      </c>
      <c r="D386" s="10" t="s">
        <v>34</v>
      </c>
      <c r="E386" s="14">
        <v>2.0</v>
      </c>
      <c r="F386" s="15">
        <f>ROUND(11.92,3)</f>
        <v>11.92</v>
      </c>
      <c r="G386" s="12">
        <f>ROUND((E386*F386)/100,2)</f>
        <v>0.24</v>
      </c>
    </row>
    <row r="387" ht="24.75" customHeight="1">
      <c r="A387" s="16"/>
      <c r="B387" s="16"/>
      <c r="C387" s="16"/>
      <c r="D387" s="17" t="s">
        <v>147</v>
      </c>
      <c r="E387" s="16"/>
      <c r="F387" s="18">
        <f>ROUND((G380+G381+G386)*(1+G2/100),2)</f>
        <v>14.21</v>
      </c>
      <c r="G387" s="16"/>
    </row>
    <row r="388" ht="39.75" customHeight="1">
      <c r="A388" s="19" t="s">
        <v>150</v>
      </c>
      <c r="B388" s="20" t="s">
        <v>18</v>
      </c>
      <c r="C388" s="20" t="s">
        <v>19</v>
      </c>
      <c r="D388" s="20" t="s">
        <v>151</v>
      </c>
      <c r="E388" s="21"/>
      <c r="F388" s="22">
        <f>F398</f>
        <v>9.14</v>
      </c>
      <c r="G388" s="21"/>
    </row>
    <row r="389" ht="21.0" customHeight="1">
      <c r="A389" s="11"/>
      <c r="B389" s="11"/>
      <c r="C389" s="11"/>
      <c r="D389" s="10" t="s">
        <v>152</v>
      </c>
    </row>
    <row r="390" ht="39.75" customHeight="1">
      <c r="A390" s="10" t="s">
        <v>41</v>
      </c>
      <c r="B390" s="10" t="s">
        <v>42</v>
      </c>
      <c r="C390" s="10" t="s">
        <v>43</v>
      </c>
      <c r="D390" s="10" t="s">
        <v>44</v>
      </c>
      <c r="E390" s="14">
        <v>0.021</v>
      </c>
      <c r="F390" s="15">
        <f>ROUND(9.13,3)</f>
        <v>9.13</v>
      </c>
      <c r="G390" s="12">
        <f t="shared" ref="G390:G396" si="77">ROUND(E390*F390,2)</f>
        <v>0.19</v>
      </c>
    </row>
    <row r="391" ht="24.0" customHeight="1">
      <c r="A391" s="10" t="s">
        <v>111</v>
      </c>
      <c r="B391" s="10" t="s">
        <v>112</v>
      </c>
      <c r="C391" s="10" t="s">
        <v>23</v>
      </c>
      <c r="D391" s="10" t="s">
        <v>113</v>
      </c>
      <c r="E391" s="14">
        <v>0.1715</v>
      </c>
      <c r="F391" s="15">
        <f>ROUND(7.526,3)</f>
        <v>7.526</v>
      </c>
      <c r="G391" s="12">
        <f t="shared" si="77"/>
        <v>1.29</v>
      </c>
    </row>
    <row r="392" ht="21.0" customHeight="1">
      <c r="A392" s="10" t="s">
        <v>22</v>
      </c>
      <c r="B392" s="10" t="s">
        <v>18</v>
      </c>
      <c r="C392" s="10" t="s">
        <v>23</v>
      </c>
      <c r="D392" s="10" t="s">
        <v>24</v>
      </c>
      <c r="E392" s="14">
        <v>0.1715</v>
      </c>
      <c r="F392" s="15">
        <f>F396</f>
        <v>43.8</v>
      </c>
      <c r="G392" s="12">
        <f t="shared" si="77"/>
        <v>7.51</v>
      </c>
    </row>
    <row r="393" ht="24.0" customHeight="1">
      <c r="A393" s="10" t="s">
        <v>25</v>
      </c>
      <c r="B393" s="10" t="s">
        <v>26</v>
      </c>
      <c r="C393" s="10" t="s">
        <v>23</v>
      </c>
      <c r="D393" s="10" t="s">
        <v>27</v>
      </c>
      <c r="E393" s="14">
        <v>1.0</v>
      </c>
      <c r="F393" s="15">
        <f>ROUND(21,3)</f>
        <v>21</v>
      </c>
      <c r="G393" s="12">
        <f t="shared" si="77"/>
        <v>21</v>
      </c>
    </row>
    <row r="394" ht="24.0" customHeight="1">
      <c r="A394" s="10" t="s">
        <v>28</v>
      </c>
      <c r="B394" s="10" t="s">
        <v>26</v>
      </c>
      <c r="C394" s="10" t="s">
        <v>23</v>
      </c>
      <c r="D394" s="10" t="s">
        <v>29</v>
      </c>
      <c r="E394" s="14">
        <v>1.0</v>
      </c>
      <c r="F394" s="15">
        <f t="shared" ref="F394:F395" si="78">ROUND(19,3)</f>
        <v>19</v>
      </c>
      <c r="G394" s="12">
        <f t="shared" si="77"/>
        <v>19</v>
      </c>
    </row>
    <row r="395" ht="24.0" customHeight="1">
      <c r="A395" s="10" t="s">
        <v>30</v>
      </c>
      <c r="B395" s="10" t="s">
        <v>26</v>
      </c>
      <c r="C395" s="10" t="s">
        <v>23</v>
      </c>
      <c r="D395" s="10" t="s">
        <v>31</v>
      </c>
      <c r="E395" s="14">
        <v>0.2</v>
      </c>
      <c r="F395" s="15">
        <f t="shared" si="78"/>
        <v>19</v>
      </c>
      <c r="G395" s="12">
        <f t="shared" si="77"/>
        <v>3.8</v>
      </c>
    </row>
    <row r="396" ht="15.0" customHeight="1">
      <c r="A396" s="11"/>
      <c r="B396" s="11"/>
      <c r="C396" s="11"/>
      <c r="D396" s="10" t="s">
        <v>22</v>
      </c>
      <c r="E396" s="14">
        <v>0.1715</v>
      </c>
      <c r="F396" s="15">
        <f>ROUND((G393+G394+G395),3)</f>
        <v>43.8</v>
      </c>
      <c r="G396" s="12">
        <f t="shared" si="77"/>
        <v>7.51</v>
      </c>
    </row>
    <row r="397" ht="15.0" customHeight="1">
      <c r="A397" s="10" t="s">
        <v>32</v>
      </c>
      <c r="B397" s="10"/>
      <c r="C397" s="10" t="s">
        <v>33</v>
      </c>
      <c r="D397" s="10" t="s">
        <v>34</v>
      </c>
      <c r="E397" s="14">
        <v>2.0</v>
      </c>
      <c r="F397" s="15">
        <f>ROUND(7.51,3)</f>
        <v>7.51</v>
      </c>
      <c r="G397" s="12">
        <f>ROUND((E397*F397)/100,2)</f>
        <v>0.15</v>
      </c>
    </row>
    <row r="398" ht="24.75" customHeight="1">
      <c r="A398" s="16"/>
      <c r="B398" s="16"/>
      <c r="C398" s="16"/>
      <c r="D398" s="17" t="s">
        <v>150</v>
      </c>
      <c r="E398" s="16"/>
      <c r="F398" s="18">
        <f>ROUND((G390+G391+G392+G397)*(1+G2/100),2)</f>
        <v>9.14</v>
      </c>
      <c r="G398" s="16"/>
    </row>
    <row r="399" ht="39.75" customHeight="1">
      <c r="A399" s="19" t="s">
        <v>153</v>
      </c>
      <c r="B399" s="20" t="s">
        <v>18</v>
      </c>
      <c r="C399" s="20" t="s">
        <v>19</v>
      </c>
      <c r="D399" s="20" t="s">
        <v>154</v>
      </c>
      <c r="E399" s="21"/>
      <c r="F399" s="22">
        <f>F409</f>
        <v>15.1</v>
      </c>
      <c r="G399" s="21"/>
    </row>
    <row r="400" ht="21.0" customHeight="1">
      <c r="A400" s="11"/>
      <c r="B400" s="11"/>
      <c r="C400" s="11"/>
      <c r="D400" s="10" t="s">
        <v>155</v>
      </c>
    </row>
    <row r="401" ht="39.75" customHeight="1">
      <c r="A401" s="10" t="s">
        <v>41</v>
      </c>
      <c r="B401" s="10" t="s">
        <v>42</v>
      </c>
      <c r="C401" s="10" t="s">
        <v>43</v>
      </c>
      <c r="D401" s="10" t="s">
        <v>44</v>
      </c>
      <c r="E401" s="14">
        <v>0.021</v>
      </c>
      <c r="F401" s="15">
        <f>ROUND(9.13,3)</f>
        <v>9.13</v>
      </c>
      <c r="G401" s="12">
        <f t="shared" ref="G401:G407" si="79">ROUND(E401*F401,2)</f>
        <v>0.19</v>
      </c>
    </row>
    <row r="402" ht="24.0" customHeight="1">
      <c r="A402" s="10" t="s">
        <v>111</v>
      </c>
      <c r="B402" s="10" t="s">
        <v>112</v>
      </c>
      <c r="C402" s="10" t="s">
        <v>23</v>
      </c>
      <c r="D402" s="10" t="s">
        <v>113</v>
      </c>
      <c r="E402" s="14">
        <v>0.2857</v>
      </c>
      <c r="F402" s="15">
        <f>ROUND(7.526,3)</f>
        <v>7.526</v>
      </c>
      <c r="G402" s="12">
        <f t="shared" si="79"/>
        <v>2.15</v>
      </c>
    </row>
    <row r="403" ht="21.0" customHeight="1">
      <c r="A403" s="10" t="s">
        <v>22</v>
      </c>
      <c r="B403" s="10" t="s">
        <v>18</v>
      </c>
      <c r="C403" s="10" t="s">
        <v>23</v>
      </c>
      <c r="D403" s="10" t="s">
        <v>24</v>
      </c>
      <c r="E403" s="14">
        <v>0.2857</v>
      </c>
      <c r="F403" s="15">
        <f>F407</f>
        <v>43.8</v>
      </c>
      <c r="G403" s="12">
        <f t="shared" si="79"/>
        <v>12.51</v>
      </c>
    </row>
    <row r="404" ht="24.0" customHeight="1">
      <c r="A404" s="10" t="s">
        <v>25</v>
      </c>
      <c r="B404" s="10" t="s">
        <v>26</v>
      </c>
      <c r="C404" s="10" t="s">
        <v>23</v>
      </c>
      <c r="D404" s="10" t="s">
        <v>27</v>
      </c>
      <c r="E404" s="14">
        <v>1.0</v>
      </c>
      <c r="F404" s="15">
        <f>ROUND(21,3)</f>
        <v>21</v>
      </c>
      <c r="G404" s="12">
        <f t="shared" si="79"/>
        <v>21</v>
      </c>
    </row>
    <row r="405" ht="24.0" customHeight="1">
      <c r="A405" s="10" t="s">
        <v>28</v>
      </c>
      <c r="B405" s="10" t="s">
        <v>26</v>
      </c>
      <c r="C405" s="10" t="s">
        <v>23</v>
      </c>
      <c r="D405" s="10" t="s">
        <v>29</v>
      </c>
      <c r="E405" s="14">
        <v>1.0</v>
      </c>
      <c r="F405" s="15">
        <f t="shared" ref="F405:F406" si="80">ROUND(19,3)</f>
        <v>19</v>
      </c>
      <c r="G405" s="12">
        <f t="shared" si="79"/>
        <v>19</v>
      </c>
    </row>
    <row r="406" ht="24.0" customHeight="1">
      <c r="A406" s="10" t="s">
        <v>30</v>
      </c>
      <c r="B406" s="10" t="s">
        <v>26</v>
      </c>
      <c r="C406" s="10" t="s">
        <v>23</v>
      </c>
      <c r="D406" s="10" t="s">
        <v>31</v>
      </c>
      <c r="E406" s="14">
        <v>0.2</v>
      </c>
      <c r="F406" s="15">
        <f t="shared" si="80"/>
        <v>19</v>
      </c>
      <c r="G406" s="12">
        <f t="shared" si="79"/>
        <v>3.8</v>
      </c>
    </row>
    <row r="407" ht="15.0" customHeight="1">
      <c r="A407" s="11"/>
      <c r="B407" s="11"/>
      <c r="C407" s="11"/>
      <c r="D407" s="10" t="s">
        <v>22</v>
      </c>
      <c r="E407" s="14">
        <v>0.2857</v>
      </c>
      <c r="F407" s="15">
        <f>ROUND((G404+G405+G406),3)</f>
        <v>43.8</v>
      </c>
      <c r="G407" s="12">
        <f t="shared" si="79"/>
        <v>12.51</v>
      </c>
    </row>
    <row r="408" ht="15.0" customHeight="1">
      <c r="A408" s="10" t="s">
        <v>32</v>
      </c>
      <c r="B408" s="10"/>
      <c r="C408" s="10" t="s">
        <v>33</v>
      </c>
      <c r="D408" s="10" t="s">
        <v>34</v>
      </c>
      <c r="E408" s="14">
        <v>2.0</v>
      </c>
      <c r="F408" s="15">
        <f>ROUND(12.51,3)</f>
        <v>12.51</v>
      </c>
      <c r="G408" s="12">
        <f>ROUND((E408*F408)/100,2)</f>
        <v>0.25</v>
      </c>
    </row>
    <row r="409" ht="24.75" customHeight="1">
      <c r="A409" s="16"/>
      <c r="B409" s="16"/>
      <c r="C409" s="16"/>
      <c r="D409" s="17" t="s">
        <v>153</v>
      </c>
      <c r="E409" s="16"/>
      <c r="F409" s="18">
        <f>ROUND((G401+G402+G403+G408)*(1+G2/100),2)</f>
        <v>15.1</v>
      </c>
      <c r="G409" s="16"/>
    </row>
    <row r="410" ht="39.75" customHeight="1">
      <c r="A410" s="19" t="s">
        <v>156</v>
      </c>
      <c r="B410" s="20" t="s">
        <v>18</v>
      </c>
      <c r="C410" s="20" t="s">
        <v>19</v>
      </c>
      <c r="D410" s="20" t="s">
        <v>157</v>
      </c>
      <c r="E410" s="21"/>
      <c r="F410" s="22">
        <f>F420</f>
        <v>9.12</v>
      </c>
      <c r="G410" s="21"/>
    </row>
    <row r="411" ht="21.0" customHeight="1">
      <c r="A411" s="11"/>
      <c r="B411" s="11"/>
      <c r="C411" s="11"/>
      <c r="D411" s="10" t="s">
        <v>158</v>
      </c>
    </row>
    <row r="412" ht="30.0" customHeight="1">
      <c r="A412" s="10" t="s">
        <v>51</v>
      </c>
      <c r="B412" s="10" t="s">
        <v>42</v>
      </c>
      <c r="C412" s="10" t="s">
        <v>43</v>
      </c>
      <c r="D412" s="10" t="s">
        <v>52</v>
      </c>
      <c r="E412" s="14">
        <v>0.066</v>
      </c>
      <c r="F412" s="15">
        <f>ROUND(2.56,3)</f>
        <v>2.56</v>
      </c>
      <c r="G412" s="12">
        <f t="shared" ref="G412:G418" si="81">ROUND(E412*F412,2)</f>
        <v>0.17</v>
      </c>
    </row>
    <row r="413" ht="24.0" customHeight="1">
      <c r="A413" s="10" t="s">
        <v>111</v>
      </c>
      <c r="B413" s="10" t="s">
        <v>112</v>
      </c>
      <c r="C413" s="10" t="s">
        <v>23</v>
      </c>
      <c r="D413" s="10" t="s">
        <v>113</v>
      </c>
      <c r="E413" s="14">
        <v>0.1715</v>
      </c>
      <c r="F413" s="15">
        <f>ROUND(7.526,3)</f>
        <v>7.526</v>
      </c>
      <c r="G413" s="12">
        <f t="shared" si="81"/>
        <v>1.29</v>
      </c>
    </row>
    <row r="414" ht="21.0" customHeight="1">
      <c r="A414" s="10" t="s">
        <v>22</v>
      </c>
      <c r="B414" s="10" t="s">
        <v>18</v>
      </c>
      <c r="C414" s="10" t="s">
        <v>23</v>
      </c>
      <c r="D414" s="10" t="s">
        <v>24</v>
      </c>
      <c r="E414" s="14">
        <v>0.1715</v>
      </c>
      <c r="F414" s="15">
        <f>F418</f>
        <v>43.8</v>
      </c>
      <c r="G414" s="12">
        <f t="shared" si="81"/>
        <v>7.51</v>
      </c>
    </row>
    <row r="415" ht="24.0" customHeight="1">
      <c r="A415" s="10" t="s">
        <v>25</v>
      </c>
      <c r="B415" s="10" t="s">
        <v>26</v>
      </c>
      <c r="C415" s="10" t="s">
        <v>23</v>
      </c>
      <c r="D415" s="10" t="s">
        <v>27</v>
      </c>
      <c r="E415" s="14">
        <v>1.0</v>
      </c>
      <c r="F415" s="15">
        <f>ROUND(21,3)</f>
        <v>21</v>
      </c>
      <c r="G415" s="12">
        <f t="shared" si="81"/>
        <v>21</v>
      </c>
    </row>
    <row r="416" ht="24.0" customHeight="1">
      <c r="A416" s="10" t="s">
        <v>28</v>
      </c>
      <c r="B416" s="10" t="s">
        <v>26</v>
      </c>
      <c r="C416" s="10" t="s">
        <v>23</v>
      </c>
      <c r="D416" s="10" t="s">
        <v>29</v>
      </c>
      <c r="E416" s="14">
        <v>1.0</v>
      </c>
      <c r="F416" s="15">
        <f t="shared" ref="F416:F417" si="82">ROUND(19,3)</f>
        <v>19</v>
      </c>
      <c r="G416" s="12">
        <f t="shared" si="81"/>
        <v>19</v>
      </c>
    </row>
    <row r="417" ht="24.0" customHeight="1">
      <c r="A417" s="10" t="s">
        <v>30</v>
      </c>
      <c r="B417" s="10" t="s">
        <v>26</v>
      </c>
      <c r="C417" s="10" t="s">
        <v>23</v>
      </c>
      <c r="D417" s="10" t="s">
        <v>31</v>
      </c>
      <c r="E417" s="14">
        <v>0.2</v>
      </c>
      <c r="F417" s="15">
        <f t="shared" si="82"/>
        <v>19</v>
      </c>
      <c r="G417" s="12">
        <f t="shared" si="81"/>
        <v>3.8</v>
      </c>
    </row>
    <row r="418" ht="15.0" customHeight="1">
      <c r="A418" s="11"/>
      <c r="B418" s="11"/>
      <c r="C418" s="11"/>
      <c r="D418" s="10" t="s">
        <v>22</v>
      </c>
      <c r="E418" s="14">
        <v>0.1715</v>
      </c>
      <c r="F418" s="15">
        <f>ROUND((G415+G416+G417),3)</f>
        <v>43.8</v>
      </c>
      <c r="G418" s="12">
        <f t="shared" si="81"/>
        <v>7.51</v>
      </c>
    </row>
    <row r="419" ht="15.0" customHeight="1">
      <c r="A419" s="10" t="s">
        <v>32</v>
      </c>
      <c r="B419" s="10"/>
      <c r="C419" s="10" t="s">
        <v>33</v>
      </c>
      <c r="D419" s="10" t="s">
        <v>34</v>
      </c>
      <c r="E419" s="14">
        <v>2.0</v>
      </c>
      <c r="F419" s="15">
        <f>ROUND(7.51,3)</f>
        <v>7.51</v>
      </c>
      <c r="G419" s="12">
        <f>ROUND((E419*F419)/100,2)</f>
        <v>0.15</v>
      </c>
    </row>
    <row r="420" ht="24.75" customHeight="1">
      <c r="A420" s="16"/>
      <c r="B420" s="16"/>
      <c r="C420" s="16"/>
      <c r="D420" s="17" t="s">
        <v>156</v>
      </c>
      <c r="E420" s="16"/>
      <c r="F420" s="18">
        <f>ROUND((G412+G413+G414+G419)*(1+G2/100),2)</f>
        <v>9.12</v>
      </c>
      <c r="G420" s="16"/>
    </row>
    <row r="421" ht="39.75" customHeight="1">
      <c r="A421" s="19" t="s">
        <v>159</v>
      </c>
      <c r="B421" s="20" t="s">
        <v>18</v>
      </c>
      <c r="C421" s="20" t="s">
        <v>19</v>
      </c>
      <c r="D421" s="20" t="s">
        <v>160</v>
      </c>
      <c r="E421" s="21"/>
      <c r="F421" s="22">
        <f>F431</f>
        <v>15.08</v>
      </c>
      <c r="G421" s="21"/>
    </row>
    <row r="422" ht="21.0" customHeight="1">
      <c r="A422" s="11"/>
      <c r="B422" s="11"/>
      <c r="C422" s="11"/>
      <c r="D422" s="10" t="s">
        <v>161</v>
      </c>
    </row>
    <row r="423" ht="30.0" customHeight="1">
      <c r="A423" s="10" t="s">
        <v>51</v>
      </c>
      <c r="B423" s="10" t="s">
        <v>42</v>
      </c>
      <c r="C423" s="10" t="s">
        <v>43</v>
      </c>
      <c r="D423" s="10" t="s">
        <v>52</v>
      </c>
      <c r="E423" s="14">
        <v>0.066</v>
      </c>
      <c r="F423" s="15">
        <f>ROUND(2.56,3)</f>
        <v>2.56</v>
      </c>
      <c r="G423" s="12">
        <f t="shared" ref="G423:G429" si="83">ROUND(E423*F423,2)</f>
        <v>0.17</v>
      </c>
    </row>
    <row r="424" ht="24.0" customHeight="1">
      <c r="A424" s="10" t="s">
        <v>111</v>
      </c>
      <c r="B424" s="10" t="s">
        <v>112</v>
      </c>
      <c r="C424" s="10" t="s">
        <v>23</v>
      </c>
      <c r="D424" s="10" t="s">
        <v>113</v>
      </c>
      <c r="E424" s="14">
        <v>0.2857</v>
      </c>
      <c r="F424" s="15">
        <f>ROUND(7.526,3)</f>
        <v>7.526</v>
      </c>
      <c r="G424" s="12">
        <f t="shared" si="83"/>
        <v>2.15</v>
      </c>
    </row>
    <row r="425" ht="21.0" customHeight="1">
      <c r="A425" s="10" t="s">
        <v>22</v>
      </c>
      <c r="B425" s="10" t="s">
        <v>18</v>
      </c>
      <c r="C425" s="10" t="s">
        <v>23</v>
      </c>
      <c r="D425" s="10" t="s">
        <v>24</v>
      </c>
      <c r="E425" s="14">
        <v>0.2857</v>
      </c>
      <c r="F425" s="15">
        <f>F429</f>
        <v>43.8</v>
      </c>
      <c r="G425" s="12">
        <f t="shared" si="83"/>
        <v>12.51</v>
      </c>
    </row>
    <row r="426" ht="24.0" customHeight="1">
      <c r="A426" s="10" t="s">
        <v>25</v>
      </c>
      <c r="B426" s="10" t="s">
        <v>26</v>
      </c>
      <c r="C426" s="10" t="s">
        <v>23</v>
      </c>
      <c r="D426" s="10" t="s">
        <v>27</v>
      </c>
      <c r="E426" s="14">
        <v>1.0</v>
      </c>
      <c r="F426" s="15">
        <f>ROUND(21,3)</f>
        <v>21</v>
      </c>
      <c r="G426" s="12">
        <f t="shared" si="83"/>
        <v>21</v>
      </c>
    </row>
    <row r="427" ht="24.0" customHeight="1">
      <c r="A427" s="10" t="s">
        <v>28</v>
      </c>
      <c r="B427" s="10" t="s">
        <v>26</v>
      </c>
      <c r="C427" s="10" t="s">
        <v>23</v>
      </c>
      <c r="D427" s="10" t="s">
        <v>29</v>
      </c>
      <c r="E427" s="14">
        <v>1.0</v>
      </c>
      <c r="F427" s="15">
        <f t="shared" ref="F427:F428" si="84">ROUND(19,3)</f>
        <v>19</v>
      </c>
      <c r="G427" s="12">
        <f t="shared" si="83"/>
        <v>19</v>
      </c>
    </row>
    <row r="428" ht="24.0" customHeight="1">
      <c r="A428" s="10" t="s">
        <v>30</v>
      </c>
      <c r="B428" s="10" t="s">
        <v>26</v>
      </c>
      <c r="C428" s="10" t="s">
        <v>23</v>
      </c>
      <c r="D428" s="10" t="s">
        <v>31</v>
      </c>
      <c r="E428" s="14">
        <v>0.2</v>
      </c>
      <c r="F428" s="15">
        <f t="shared" si="84"/>
        <v>19</v>
      </c>
      <c r="G428" s="12">
        <f t="shared" si="83"/>
        <v>3.8</v>
      </c>
    </row>
    <row r="429" ht="15.0" customHeight="1">
      <c r="A429" s="11"/>
      <c r="B429" s="11"/>
      <c r="C429" s="11"/>
      <c r="D429" s="10" t="s">
        <v>22</v>
      </c>
      <c r="E429" s="14">
        <v>0.2857</v>
      </c>
      <c r="F429" s="15">
        <f>ROUND((G426+G427+G428),3)</f>
        <v>43.8</v>
      </c>
      <c r="G429" s="12">
        <f t="shared" si="83"/>
        <v>12.51</v>
      </c>
    </row>
    <row r="430" ht="15.0" customHeight="1">
      <c r="A430" s="10" t="s">
        <v>32</v>
      </c>
      <c r="B430" s="10"/>
      <c r="C430" s="10" t="s">
        <v>33</v>
      </c>
      <c r="D430" s="10" t="s">
        <v>34</v>
      </c>
      <c r="E430" s="14">
        <v>2.0</v>
      </c>
      <c r="F430" s="15">
        <f>ROUND(12.51,3)</f>
        <v>12.51</v>
      </c>
      <c r="G430" s="12">
        <f>ROUND((E430*F430)/100,2)</f>
        <v>0.25</v>
      </c>
    </row>
    <row r="431" ht="24.75" customHeight="1">
      <c r="A431" s="16"/>
      <c r="B431" s="16"/>
      <c r="C431" s="16"/>
      <c r="D431" s="17" t="s">
        <v>159</v>
      </c>
      <c r="E431" s="16"/>
      <c r="F431" s="18">
        <f>ROUND((G423+G424+G425+G430)*(1+G2/100),2)</f>
        <v>15.08</v>
      </c>
      <c r="G431" s="16"/>
    </row>
    <row r="432" ht="30.0" customHeight="1">
      <c r="A432" s="19" t="s">
        <v>162</v>
      </c>
      <c r="B432" s="20" t="s">
        <v>18</v>
      </c>
      <c r="C432" s="20" t="s">
        <v>19</v>
      </c>
      <c r="D432" s="20" t="s">
        <v>163</v>
      </c>
      <c r="E432" s="21"/>
      <c r="F432" s="22">
        <f>F441</f>
        <v>9.94</v>
      </c>
      <c r="G432" s="21"/>
    </row>
    <row r="433" ht="21.0" customHeight="1">
      <c r="A433" s="11"/>
      <c r="B433" s="11"/>
      <c r="C433" s="11"/>
      <c r="D433" s="10" t="s">
        <v>164</v>
      </c>
    </row>
    <row r="434" ht="24.0" customHeight="1">
      <c r="A434" s="10" t="s">
        <v>111</v>
      </c>
      <c r="B434" s="10" t="s">
        <v>112</v>
      </c>
      <c r="C434" s="10" t="s">
        <v>23</v>
      </c>
      <c r="D434" s="10" t="s">
        <v>113</v>
      </c>
      <c r="E434" s="14">
        <v>0.1905</v>
      </c>
      <c r="F434" s="15">
        <f>ROUND(7.526,3)</f>
        <v>7.526</v>
      </c>
      <c r="G434" s="12">
        <f t="shared" ref="G434:G439" si="85">ROUND(E434*F434,2)</f>
        <v>1.43</v>
      </c>
    </row>
    <row r="435" ht="21.0" customHeight="1">
      <c r="A435" s="10" t="s">
        <v>22</v>
      </c>
      <c r="B435" s="10" t="s">
        <v>18</v>
      </c>
      <c r="C435" s="10" t="s">
        <v>23</v>
      </c>
      <c r="D435" s="10" t="s">
        <v>24</v>
      </c>
      <c r="E435" s="14">
        <v>0.1905</v>
      </c>
      <c r="F435" s="15">
        <f>F439</f>
        <v>43.8</v>
      </c>
      <c r="G435" s="12">
        <f t="shared" si="85"/>
        <v>8.34</v>
      </c>
    </row>
    <row r="436" ht="24.0" customHeight="1">
      <c r="A436" s="10" t="s">
        <v>25</v>
      </c>
      <c r="B436" s="10" t="s">
        <v>26</v>
      </c>
      <c r="C436" s="10" t="s">
        <v>23</v>
      </c>
      <c r="D436" s="10" t="s">
        <v>27</v>
      </c>
      <c r="E436" s="14">
        <v>1.0</v>
      </c>
      <c r="F436" s="15">
        <f>ROUND(21,3)</f>
        <v>21</v>
      </c>
      <c r="G436" s="12">
        <f t="shared" si="85"/>
        <v>21</v>
      </c>
    </row>
    <row r="437" ht="24.0" customHeight="1">
      <c r="A437" s="10" t="s">
        <v>28</v>
      </c>
      <c r="B437" s="10" t="s">
        <v>26</v>
      </c>
      <c r="C437" s="10" t="s">
        <v>23</v>
      </c>
      <c r="D437" s="10" t="s">
        <v>29</v>
      </c>
      <c r="E437" s="14">
        <v>1.0</v>
      </c>
      <c r="F437" s="15">
        <f t="shared" ref="F437:F438" si="86">ROUND(19,3)</f>
        <v>19</v>
      </c>
      <c r="G437" s="12">
        <f t="shared" si="85"/>
        <v>19</v>
      </c>
    </row>
    <row r="438" ht="24.0" customHeight="1">
      <c r="A438" s="10" t="s">
        <v>30</v>
      </c>
      <c r="B438" s="10" t="s">
        <v>26</v>
      </c>
      <c r="C438" s="10" t="s">
        <v>23</v>
      </c>
      <c r="D438" s="10" t="s">
        <v>31</v>
      </c>
      <c r="E438" s="14">
        <v>0.2</v>
      </c>
      <c r="F438" s="15">
        <f t="shared" si="86"/>
        <v>19</v>
      </c>
      <c r="G438" s="12">
        <f t="shared" si="85"/>
        <v>3.8</v>
      </c>
    </row>
    <row r="439" ht="15.0" customHeight="1">
      <c r="A439" s="11"/>
      <c r="B439" s="11"/>
      <c r="C439" s="11"/>
      <c r="D439" s="10" t="s">
        <v>22</v>
      </c>
      <c r="E439" s="14">
        <v>0.1905</v>
      </c>
      <c r="F439" s="15">
        <f>ROUND((G436+G437+G438),3)</f>
        <v>43.8</v>
      </c>
      <c r="G439" s="12">
        <f t="shared" si="85"/>
        <v>8.34</v>
      </c>
    </row>
    <row r="440" ht="15.0" customHeight="1">
      <c r="A440" s="10" t="s">
        <v>32</v>
      </c>
      <c r="B440" s="10"/>
      <c r="C440" s="10" t="s">
        <v>33</v>
      </c>
      <c r="D440" s="10" t="s">
        <v>34</v>
      </c>
      <c r="E440" s="14">
        <v>2.0</v>
      </c>
      <c r="F440" s="15">
        <f>ROUND(8.34,3)</f>
        <v>8.34</v>
      </c>
      <c r="G440" s="12">
        <f>ROUND((E440*F440)/100,2)</f>
        <v>0.17</v>
      </c>
    </row>
    <row r="441" ht="15.0" customHeight="1">
      <c r="A441" s="16"/>
      <c r="B441" s="16"/>
      <c r="C441" s="16"/>
      <c r="D441" s="17" t="s">
        <v>162</v>
      </c>
      <c r="E441" s="16"/>
      <c r="F441" s="18">
        <f>ROUND((G434+G435+G440)*(1+G2/100),2)</f>
        <v>9.94</v>
      </c>
      <c r="G441" s="16"/>
    </row>
    <row r="442" ht="39.75" customHeight="1">
      <c r="A442" s="19" t="s">
        <v>165</v>
      </c>
      <c r="B442" s="20" t="s">
        <v>18</v>
      </c>
      <c r="C442" s="20" t="s">
        <v>19</v>
      </c>
      <c r="D442" s="20" t="s">
        <v>166</v>
      </c>
      <c r="E442" s="21"/>
      <c r="F442" s="22">
        <f>F451</f>
        <v>16.58</v>
      </c>
      <c r="G442" s="21"/>
    </row>
    <row r="443" ht="21.0" customHeight="1">
      <c r="A443" s="11"/>
      <c r="B443" s="11"/>
      <c r="C443" s="11"/>
      <c r="D443" s="10" t="s">
        <v>167</v>
      </c>
    </row>
    <row r="444" ht="24.0" customHeight="1">
      <c r="A444" s="10" t="s">
        <v>111</v>
      </c>
      <c r="B444" s="10" t="s">
        <v>112</v>
      </c>
      <c r="C444" s="10" t="s">
        <v>23</v>
      </c>
      <c r="D444" s="10" t="s">
        <v>113</v>
      </c>
      <c r="E444" s="14">
        <v>0.3175</v>
      </c>
      <c r="F444" s="15">
        <f>ROUND(7.526,3)</f>
        <v>7.526</v>
      </c>
      <c r="G444" s="12">
        <f t="shared" ref="G444:G449" si="87">ROUND(E444*F444,2)</f>
        <v>2.39</v>
      </c>
    </row>
    <row r="445" ht="21.0" customHeight="1">
      <c r="A445" s="10" t="s">
        <v>22</v>
      </c>
      <c r="B445" s="10" t="s">
        <v>18</v>
      </c>
      <c r="C445" s="10" t="s">
        <v>23</v>
      </c>
      <c r="D445" s="10" t="s">
        <v>24</v>
      </c>
      <c r="E445" s="14">
        <v>0.3175</v>
      </c>
      <c r="F445" s="15">
        <f>F449</f>
        <v>43.8</v>
      </c>
      <c r="G445" s="12">
        <f t="shared" si="87"/>
        <v>13.91</v>
      </c>
    </row>
    <row r="446" ht="24.0" customHeight="1">
      <c r="A446" s="10" t="s">
        <v>25</v>
      </c>
      <c r="B446" s="10" t="s">
        <v>26</v>
      </c>
      <c r="C446" s="10" t="s">
        <v>23</v>
      </c>
      <c r="D446" s="10" t="s">
        <v>27</v>
      </c>
      <c r="E446" s="14">
        <v>1.0</v>
      </c>
      <c r="F446" s="15">
        <f>ROUND(21,3)</f>
        <v>21</v>
      </c>
      <c r="G446" s="12">
        <f t="shared" si="87"/>
        <v>21</v>
      </c>
    </row>
    <row r="447" ht="24.0" customHeight="1">
      <c r="A447" s="10" t="s">
        <v>28</v>
      </c>
      <c r="B447" s="10" t="s">
        <v>26</v>
      </c>
      <c r="C447" s="10" t="s">
        <v>23</v>
      </c>
      <c r="D447" s="10" t="s">
        <v>29</v>
      </c>
      <c r="E447" s="14">
        <v>1.0</v>
      </c>
      <c r="F447" s="15">
        <f t="shared" ref="F447:F448" si="88">ROUND(19,3)</f>
        <v>19</v>
      </c>
      <c r="G447" s="12">
        <f t="shared" si="87"/>
        <v>19</v>
      </c>
    </row>
    <row r="448" ht="24.0" customHeight="1">
      <c r="A448" s="10" t="s">
        <v>30</v>
      </c>
      <c r="B448" s="10" t="s">
        <v>26</v>
      </c>
      <c r="C448" s="10" t="s">
        <v>23</v>
      </c>
      <c r="D448" s="10" t="s">
        <v>31</v>
      </c>
      <c r="E448" s="14">
        <v>0.2</v>
      </c>
      <c r="F448" s="15">
        <f t="shared" si="88"/>
        <v>19</v>
      </c>
      <c r="G448" s="12">
        <f t="shared" si="87"/>
        <v>3.8</v>
      </c>
    </row>
    <row r="449" ht="15.0" customHeight="1">
      <c r="A449" s="11"/>
      <c r="B449" s="11"/>
      <c r="C449" s="11"/>
      <c r="D449" s="10" t="s">
        <v>22</v>
      </c>
      <c r="E449" s="14">
        <v>0.3175</v>
      </c>
      <c r="F449" s="15">
        <f>ROUND((G446+G447+G448),3)</f>
        <v>43.8</v>
      </c>
      <c r="G449" s="12">
        <f t="shared" si="87"/>
        <v>13.91</v>
      </c>
    </row>
    <row r="450" ht="15.0" customHeight="1">
      <c r="A450" s="10" t="s">
        <v>32</v>
      </c>
      <c r="B450" s="10"/>
      <c r="C450" s="10" t="s">
        <v>33</v>
      </c>
      <c r="D450" s="10" t="s">
        <v>34</v>
      </c>
      <c r="E450" s="14">
        <v>2.0</v>
      </c>
      <c r="F450" s="15">
        <f>ROUND(13.91,3)</f>
        <v>13.91</v>
      </c>
      <c r="G450" s="12">
        <f>ROUND((E450*F450)/100,2)</f>
        <v>0.28</v>
      </c>
    </row>
    <row r="451" ht="15.0" customHeight="1">
      <c r="A451" s="16"/>
      <c r="B451" s="16"/>
      <c r="C451" s="16"/>
      <c r="D451" s="17" t="s">
        <v>165</v>
      </c>
      <c r="E451" s="16"/>
      <c r="F451" s="18">
        <f>ROUND((G444+G445+G450)*(1+G2/100),2)</f>
        <v>16.58</v>
      </c>
      <c r="G451" s="16"/>
    </row>
    <row r="452" ht="48.75" customHeight="1">
      <c r="A452" s="19" t="s">
        <v>168</v>
      </c>
      <c r="B452" s="20" t="s">
        <v>18</v>
      </c>
      <c r="C452" s="20" t="s">
        <v>19</v>
      </c>
      <c r="D452" s="20" t="s">
        <v>169</v>
      </c>
      <c r="E452" s="21"/>
      <c r="F452" s="22">
        <f>F462</f>
        <v>10.64</v>
      </c>
      <c r="G452" s="21"/>
    </row>
    <row r="453" ht="21.0" customHeight="1">
      <c r="A453" s="11"/>
      <c r="B453" s="11"/>
      <c r="C453" s="11"/>
      <c r="D453" s="10" t="s">
        <v>170</v>
      </c>
    </row>
    <row r="454" ht="39.75" customHeight="1">
      <c r="A454" s="10" t="s">
        <v>41</v>
      </c>
      <c r="B454" s="10" t="s">
        <v>42</v>
      </c>
      <c r="C454" s="10" t="s">
        <v>43</v>
      </c>
      <c r="D454" s="10" t="s">
        <v>44</v>
      </c>
      <c r="E454" s="14">
        <v>0.021</v>
      </c>
      <c r="F454" s="15">
        <f>ROUND(9.13,3)</f>
        <v>9.13</v>
      </c>
      <c r="G454" s="12">
        <f t="shared" ref="G454:G460" si="89">ROUND(E454*F454,2)</f>
        <v>0.19</v>
      </c>
    </row>
    <row r="455" ht="24.0" customHeight="1">
      <c r="A455" s="10" t="s">
        <v>111</v>
      </c>
      <c r="B455" s="10" t="s">
        <v>112</v>
      </c>
      <c r="C455" s="10" t="s">
        <v>23</v>
      </c>
      <c r="D455" s="10" t="s">
        <v>113</v>
      </c>
      <c r="E455" s="14">
        <v>0.2</v>
      </c>
      <c r="F455" s="15">
        <f>ROUND(7.526,3)</f>
        <v>7.526</v>
      </c>
      <c r="G455" s="12">
        <f t="shared" si="89"/>
        <v>1.51</v>
      </c>
    </row>
    <row r="456" ht="21.0" customHeight="1">
      <c r="A456" s="10" t="s">
        <v>22</v>
      </c>
      <c r="B456" s="10" t="s">
        <v>18</v>
      </c>
      <c r="C456" s="10" t="s">
        <v>23</v>
      </c>
      <c r="D456" s="10" t="s">
        <v>24</v>
      </c>
      <c r="E456" s="14">
        <v>0.2</v>
      </c>
      <c r="F456" s="15">
        <f>F460</f>
        <v>43.8</v>
      </c>
      <c r="G456" s="12">
        <f t="shared" si="89"/>
        <v>8.76</v>
      </c>
    </row>
    <row r="457" ht="24.0" customHeight="1">
      <c r="A457" s="10" t="s">
        <v>25</v>
      </c>
      <c r="B457" s="10" t="s">
        <v>26</v>
      </c>
      <c r="C457" s="10" t="s">
        <v>23</v>
      </c>
      <c r="D457" s="10" t="s">
        <v>27</v>
      </c>
      <c r="E457" s="14">
        <v>1.0</v>
      </c>
      <c r="F457" s="15">
        <f>ROUND(21,3)</f>
        <v>21</v>
      </c>
      <c r="G457" s="12">
        <f t="shared" si="89"/>
        <v>21</v>
      </c>
    </row>
    <row r="458" ht="24.0" customHeight="1">
      <c r="A458" s="10" t="s">
        <v>28</v>
      </c>
      <c r="B458" s="10" t="s">
        <v>26</v>
      </c>
      <c r="C458" s="10" t="s">
        <v>23</v>
      </c>
      <c r="D458" s="10" t="s">
        <v>29</v>
      </c>
      <c r="E458" s="14">
        <v>1.0</v>
      </c>
      <c r="F458" s="15">
        <f t="shared" ref="F458:F459" si="90">ROUND(19,3)</f>
        <v>19</v>
      </c>
      <c r="G458" s="12">
        <f t="shared" si="89"/>
        <v>19</v>
      </c>
    </row>
    <row r="459" ht="24.0" customHeight="1">
      <c r="A459" s="10" t="s">
        <v>30</v>
      </c>
      <c r="B459" s="10" t="s">
        <v>26</v>
      </c>
      <c r="C459" s="10" t="s">
        <v>23</v>
      </c>
      <c r="D459" s="10" t="s">
        <v>31</v>
      </c>
      <c r="E459" s="14">
        <v>0.2</v>
      </c>
      <c r="F459" s="15">
        <f t="shared" si="90"/>
        <v>19</v>
      </c>
      <c r="G459" s="12">
        <f t="shared" si="89"/>
        <v>3.8</v>
      </c>
    </row>
    <row r="460" ht="15.0" customHeight="1">
      <c r="A460" s="11"/>
      <c r="B460" s="11"/>
      <c r="C460" s="11"/>
      <c r="D460" s="10" t="s">
        <v>22</v>
      </c>
      <c r="E460" s="14">
        <v>0.2</v>
      </c>
      <c r="F460" s="15">
        <f>ROUND((G457+G458+G459),3)</f>
        <v>43.8</v>
      </c>
      <c r="G460" s="12">
        <f t="shared" si="89"/>
        <v>8.76</v>
      </c>
    </row>
    <row r="461" ht="15.0" customHeight="1">
      <c r="A461" s="10" t="s">
        <v>32</v>
      </c>
      <c r="B461" s="10"/>
      <c r="C461" s="10" t="s">
        <v>33</v>
      </c>
      <c r="D461" s="10" t="s">
        <v>34</v>
      </c>
      <c r="E461" s="14">
        <v>2.0</v>
      </c>
      <c r="F461" s="15">
        <f>ROUND(8.76,3)</f>
        <v>8.76</v>
      </c>
      <c r="G461" s="12">
        <f>ROUND((E461*F461)/100,2)</f>
        <v>0.18</v>
      </c>
    </row>
    <row r="462" ht="15.0" customHeight="1">
      <c r="A462" s="16"/>
      <c r="B462" s="16"/>
      <c r="C462" s="16"/>
      <c r="D462" s="17" t="s">
        <v>168</v>
      </c>
      <c r="E462" s="16"/>
      <c r="F462" s="18">
        <f>ROUND((G454+G455+G456+G461)*(1+G2/100),2)</f>
        <v>10.64</v>
      </c>
      <c r="G462" s="16"/>
    </row>
    <row r="463" ht="48.75" customHeight="1">
      <c r="A463" s="19" t="s">
        <v>171</v>
      </c>
      <c r="B463" s="20" t="s">
        <v>18</v>
      </c>
      <c r="C463" s="20" t="s">
        <v>19</v>
      </c>
      <c r="D463" s="20" t="s">
        <v>172</v>
      </c>
      <c r="E463" s="21"/>
      <c r="F463" s="22">
        <f>F473</f>
        <v>17.59</v>
      </c>
      <c r="G463" s="21"/>
    </row>
    <row r="464" ht="21.0" customHeight="1">
      <c r="A464" s="11"/>
      <c r="B464" s="11"/>
      <c r="C464" s="11"/>
      <c r="D464" s="10" t="s">
        <v>173</v>
      </c>
    </row>
    <row r="465" ht="39.75" customHeight="1">
      <c r="A465" s="10" t="s">
        <v>41</v>
      </c>
      <c r="B465" s="10" t="s">
        <v>42</v>
      </c>
      <c r="C465" s="10" t="s">
        <v>43</v>
      </c>
      <c r="D465" s="10" t="s">
        <v>44</v>
      </c>
      <c r="E465" s="14">
        <v>0.021</v>
      </c>
      <c r="F465" s="15">
        <f>ROUND(9.13,3)</f>
        <v>9.13</v>
      </c>
      <c r="G465" s="12">
        <f t="shared" ref="G465:G471" si="91">ROUND(E465*F465,2)</f>
        <v>0.19</v>
      </c>
    </row>
    <row r="466" ht="24.0" customHeight="1">
      <c r="A466" s="10" t="s">
        <v>111</v>
      </c>
      <c r="B466" s="10" t="s">
        <v>112</v>
      </c>
      <c r="C466" s="10" t="s">
        <v>23</v>
      </c>
      <c r="D466" s="10" t="s">
        <v>113</v>
      </c>
      <c r="E466" s="14">
        <v>0.33333</v>
      </c>
      <c r="F466" s="15">
        <f>ROUND(7.526,3)</f>
        <v>7.526</v>
      </c>
      <c r="G466" s="12">
        <f t="shared" si="91"/>
        <v>2.51</v>
      </c>
    </row>
    <row r="467" ht="21.0" customHeight="1">
      <c r="A467" s="10" t="s">
        <v>22</v>
      </c>
      <c r="B467" s="10" t="s">
        <v>18</v>
      </c>
      <c r="C467" s="10" t="s">
        <v>23</v>
      </c>
      <c r="D467" s="10" t="s">
        <v>24</v>
      </c>
      <c r="E467" s="14">
        <v>0.33333</v>
      </c>
      <c r="F467" s="15">
        <f>F471</f>
        <v>43.8</v>
      </c>
      <c r="G467" s="12">
        <f t="shared" si="91"/>
        <v>14.6</v>
      </c>
    </row>
    <row r="468" ht="24.0" customHeight="1">
      <c r="A468" s="10" t="s">
        <v>25</v>
      </c>
      <c r="B468" s="10" t="s">
        <v>26</v>
      </c>
      <c r="C468" s="10" t="s">
        <v>23</v>
      </c>
      <c r="D468" s="10" t="s">
        <v>27</v>
      </c>
      <c r="E468" s="14">
        <v>1.0</v>
      </c>
      <c r="F468" s="15">
        <f>ROUND(21,3)</f>
        <v>21</v>
      </c>
      <c r="G468" s="12">
        <f t="shared" si="91"/>
        <v>21</v>
      </c>
    </row>
    <row r="469" ht="24.0" customHeight="1">
      <c r="A469" s="10" t="s">
        <v>28</v>
      </c>
      <c r="B469" s="10" t="s">
        <v>26</v>
      </c>
      <c r="C469" s="10" t="s">
        <v>23</v>
      </c>
      <c r="D469" s="10" t="s">
        <v>29</v>
      </c>
      <c r="E469" s="14">
        <v>1.0</v>
      </c>
      <c r="F469" s="15">
        <f t="shared" ref="F469:F470" si="92">ROUND(19,3)</f>
        <v>19</v>
      </c>
      <c r="G469" s="12">
        <f t="shared" si="91"/>
        <v>19</v>
      </c>
    </row>
    <row r="470" ht="24.0" customHeight="1">
      <c r="A470" s="10" t="s">
        <v>30</v>
      </c>
      <c r="B470" s="10" t="s">
        <v>26</v>
      </c>
      <c r="C470" s="10" t="s">
        <v>23</v>
      </c>
      <c r="D470" s="10" t="s">
        <v>31</v>
      </c>
      <c r="E470" s="14">
        <v>0.2</v>
      </c>
      <c r="F470" s="15">
        <f t="shared" si="92"/>
        <v>19</v>
      </c>
      <c r="G470" s="12">
        <f t="shared" si="91"/>
        <v>3.8</v>
      </c>
    </row>
    <row r="471" ht="15.0" customHeight="1">
      <c r="A471" s="11"/>
      <c r="B471" s="11"/>
      <c r="C471" s="11"/>
      <c r="D471" s="10" t="s">
        <v>22</v>
      </c>
      <c r="E471" s="14">
        <v>0.33333</v>
      </c>
      <c r="F471" s="15">
        <f>ROUND((G468+G469+G470),3)</f>
        <v>43.8</v>
      </c>
      <c r="G471" s="12">
        <f t="shared" si="91"/>
        <v>14.6</v>
      </c>
    </row>
    <row r="472" ht="15.0" customHeight="1">
      <c r="A472" s="10" t="s">
        <v>32</v>
      </c>
      <c r="B472" s="10"/>
      <c r="C472" s="10" t="s">
        <v>33</v>
      </c>
      <c r="D472" s="10" t="s">
        <v>34</v>
      </c>
      <c r="E472" s="14">
        <v>2.0</v>
      </c>
      <c r="F472" s="15">
        <f>ROUND(14.6,3)</f>
        <v>14.6</v>
      </c>
      <c r="G472" s="12">
        <f>ROUND((E472*F472)/100,2)</f>
        <v>0.29</v>
      </c>
    </row>
    <row r="473" ht="15.0" customHeight="1">
      <c r="A473" s="16"/>
      <c r="B473" s="16"/>
      <c r="C473" s="16"/>
      <c r="D473" s="17" t="s">
        <v>171</v>
      </c>
      <c r="E473" s="16"/>
      <c r="F473" s="18">
        <f>ROUND((G465+G466+G467+G472)*(1+G2/100),2)</f>
        <v>17.59</v>
      </c>
      <c r="G473" s="16"/>
    </row>
    <row r="474" ht="39.75" customHeight="1">
      <c r="A474" s="19" t="s">
        <v>174</v>
      </c>
      <c r="B474" s="20" t="s">
        <v>18</v>
      </c>
      <c r="C474" s="20" t="s">
        <v>19</v>
      </c>
      <c r="D474" s="20" t="s">
        <v>175</v>
      </c>
      <c r="E474" s="21"/>
      <c r="F474" s="22">
        <f>F484</f>
        <v>10.62</v>
      </c>
      <c r="G474" s="21"/>
    </row>
    <row r="475" ht="21.0" customHeight="1">
      <c r="A475" s="11"/>
      <c r="B475" s="11"/>
      <c r="C475" s="11"/>
      <c r="D475" s="10" t="s">
        <v>176</v>
      </c>
    </row>
    <row r="476" ht="30.0" customHeight="1">
      <c r="A476" s="10" t="s">
        <v>51</v>
      </c>
      <c r="B476" s="10" t="s">
        <v>42</v>
      </c>
      <c r="C476" s="10" t="s">
        <v>43</v>
      </c>
      <c r="D476" s="10" t="s">
        <v>52</v>
      </c>
      <c r="E476" s="14">
        <v>0.066</v>
      </c>
      <c r="F476" s="15">
        <f>ROUND(2.56,3)</f>
        <v>2.56</v>
      </c>
      <c r="G476" s="12">
        <f t="shared" ref="G476:G482" si="93">ROUND(E476*F476,2)</f>
        <v>0.17</v>
      </c>
    </row>
    <row r="477" ht="24.0" customHeight="1">
      <c r="A477" s="10" t="s">
        <v>111</v>
      </c>
      <c r="B477" s="10" t="s">
        <v>112</v>
      </c>
      <c r="C477" s="10" t="s">
        <v>23</v>
      </c>
      <c r="D477" s="10" t="s">
        <v>113</v>
      </c>
      <c r="E477" s="14">
        <v>0.2</v>
      </c>
      <c r="F477" s="15">
        <f>ROUND(7.526,3)</f>
        <v>7.526</v>
      </c>
      <c r="G477" s="12">
        <f t="shared" si="93"/>
        <v>1.51</v>
      </c>
    </row>
    <row r="478" ht="21.0" customHeight="1">
      <c r="A478" s="10" t="s">
        <v>22</v>
      </c>
      <c r="B478" s="10" t="s">
        <v>18</v>
      </c>
      <c r="C478" s="10" t="s">
        <v>23</v>
      </c>
      <c r="D478" s="10" t="s">
        <v>24</v>
      </c>
      <c r="E478" s="14">
        <v>0.2</v>
      </c>
      <c r="F478" s="15">
        <f>F482</f>
        <v>43.8</v>
      </c>
      <c r="G478" s="12">
        <f t="shared" si="93"/>
        <v>8.76</v>
      </c>
    </row>
    <row r="479" ht="24.0" customHeight="1">
      <c r="A479" s="10" t="s">
        <v>25</v>
      </c>
      <c r="B479" s="10" t="s">
        <v>26</v>
      </c>
      <c r="C479" s="10" t="s">
        <v>23</v>
      </c>
      <c r="D479" s="10" t="s">
        <v>27</v>
      </c>
      <c r="E479" s="14">
        <v>1.0</v>
      </c>
      <c r="F479" s="15">
        <f>ROUND(21,3)</f>
        <v>21</v>
      </c>
      <c r="G479" s="12">
        <f t="shared" si="93"/>
        <v>21</v>
      </c>
    </row>
    <row r="480" ht="24.0" customHeight="1">
      <c r="A480" s="10" t="s">
        <v>28</v>
      </c>
      <c r="B480" s="10" t="s">
        <v>26</v>
      </c>
      <c r="C480" s="10" t="s">
        <v>23</v>
      </c>
      <c r="D480" s="10" t="s">
        <v>29</v>
      </c>
      <c r="E480" s="14">
        <v>1.0</v>
      </c>
      <c r="F480" s="15">
        <f t="shared" ref="F480:F481" si="94">ROUND(19,3)</f>
        <v>19</v>
      </c>
      <c r="G480" s="12">
        <f t="shared" si="93"/>
        <v>19</v>
      </c>
    </row>
    <row r="481" ht="24.0" customHeight="1">
      <c r="A481" s="10" t="s">
        <v>30</v>
      </c>
      <c r="B481" s="10" t="s">
        <v>26</v>
      </c>
      <c r="C481" s="10" t="s">
        <v>23</v>
      </c>
      <c r="D481" s="10" t="s">
        <v>31</v>
      </c>
      <c r="E481" s="14">
        <v>0.2</v>
      </c>
      <c r="F481" s="15">
        <f t="shared" si="94"/>
        <v>19</v>
      </c>
      <c r="G481" s="12">
        <f t="shared" si="93"/>
        <v>3.8</v>
      </c>
    </row>
    <row r="482" ht="15.0" customHeight="1">
      <c r="A482" s="11"/>
      <c r="B482" s="11"/>
      <c r="C482" s="11"/>
      <c r="D482" s="10" t="s">
        <v>22</v>
      </c>
      <c r="E482" s="14">
        <v>0.2</v>
      </c>
      <c r="F482" s="15">
        <f>ROUND((G479+G480+G481),3)</f>
        <v>43.8</v>
      </c>
      <c r="G482" s="12">
        <f t="shared" si="93"/>
        <v>8.76</v>
      </c>
    </row>
    <row r="483" ht="15.0" customHeight="1">
      <c r="A483" s="10" t="s">
        <v>32</v>
      </c>
      <c r="B483" s="10"/>
      <c r="C483" s="10" t="s">
        <v>33</v>
      </c>
      <c r="D483" s="10" t="s">
        <v>34</v>
      </c>
      <c r="E483" s="14">
        <v>2.0</v>
      </c>
      <c r="F483" s="15">
        <f>ROUND(8.76,3)</f>
        <v>8.76</v>
      </c>
      <c r="G483" s="12">
        <f>ROUND((E483*F483)/100,2)</f>
        <v>0.18</v>
      </c>
    </row>
    <row r="484" ht="15.0" customHeight="1">
      <c r="A484" s="16"/>
      <c r="B484" s="16"/>
      <c r="C484" s="16"/>
      <c r="D484" s="17" t="s">
        <v>174</v>
      </c>
      <c r="E484" s="16"/>
      <c r="F484" s="18">
        <f>ROUND((G476+G477+G478+G483)*(1+G2/100),2)</f>
        <v>10.62</v>
      </c>
      <c r="G484" s="16"/>
    </row>
    <row r="485" ht="39.75" customHeight="1">
      <c r="A485" s="19" t="s">
        <v>177</v>
      </c>
      <c r="B485" s="20" t="s">
        <v>18</v>
      </c>
      <c r="C485" s="20" t="s">
        <v>19</v>
      </c>
      <c r="D485" s="20" t="s">
        <v>178</v>
      </c>
      <c r="E485" s="21"/>
      <c r="F485" s="22">
        <f>F495</f>
        <v>17.57</v>
      </c>
      <c r="G485" s="21"/>
    </row>
    <row r="486" ht="21.0" customHeight="1">
      <c r="A486" s="11"/>
      <c r="B486" s="11"/>
      <c r="C486" s="11"/>
      <c r="D486" s="10" t="s">
        <v>179</v>
      </c>
    </row>
    <row r="487" ht="30.0" customHeight="1">
      <c r="A487" s="10" t="s">
        <v>51</v>
      </c>
      <c r="B487" s="10" t="s">
        <v>42</v>
      </c>
      <c r="C487" s="10" t="s">
        <v>43</v>
      </c>
      <c r="D487" s="10" t="s">
        <v>52</v>
      </c>
      <c r="E487" s="14">
        <v>0.066</v>
      </c>
      <c r="F487" s="15">
        <f>ROUND(2.56,3)</f>
        <v>2.56</v>
      </c>
      <c r="G487" s="12">
        <f t="shared" ref="G487:G493" si="95">ROUND(E487*F487,2)</f>
        <v>0.17</v>
      </c>
    </row>
    <row r="488" ht="24.0" customHeight="1">
      <c r="A488" s="10" t="s">
        <v>111</v>
      </c>
      <c r="B488" s="10" t="s">
        <v>112</v>
      </c>
      <c r="C488" s="10" t="s">
        <v>23</v>
      </c>
      <c r="D488" s="10" t="s">
        <v>113</v>
      </c>
      <c r="E488" s="14">
        <v>0.33333</v>
      </c>
      <c r="F488" s="15">
        <f>ROUND(7.526,3)</f>
        <v>7.526</v>
      </c>
      <c r="G488" s="12">
        <f t="shared" si="95"/>
        <v>2.51</v>
      </c>
    </row>
    <row r="489" ht="21.0" customHeight="1">
      <c r="A489" s="10" t="s">
        <v>22</v>
      </c>
      <c r="B489" s="10" t="s">
        <v>18</v>
      </c>
      <c r="C489" s="10" t="s">
        <v>23</v>
      </c>
      <c r="D489" s="10" t="s">
        <v>24</v>
      </c>
      <c r="E489" s="14">
        <v>0.33333</v>
      </c>
      <c r="F489" s="15">
        <f>F493</f>
        <v>43.8</v>
      </c>
      <c r="G489" s="12">
        <f t="shared" si="95"/>
        <v>14.6</v>
      </c>
    </row>
    <row r="490" ht="24.0" customHeight="1">
      <c r="A490" s="10" t="s">
        <v>25</v>
      </c>
      <c r="B490" s="10" t="s">
        <v>26</v>
      </c>
      <c r="C490" s="10" t="s">
        <v>23</v>
      </c>
      <c r="D490" s="10" t="s">
        <v>27</v>
      </c>
      <c r="E490" s="14">
        <v>1.0</v>
      </c>
      <c r="F490" s="15">
        <f>ROUND(21,3)</f>
        <v>21</v>
      </c>
      <c r="G490" s="12">
        <f t="shared" si="95"/>
        <v>21</v>
      </c>
    </row>
    <row r="491" ht="24.0" customHeight="1">
      <c r="A491" s="10" t="s">
        <v>28</v>
      </c>
      <c r="B491" s="10" t="s">
        <v>26</v>
      </c>
      <c r="C491" s="10" t="s">
        <v>23</v>
      </c>
      <c r="D491" s="10" t="s">
        <v>29</v>
      </c>
      <c r="E491" s="14">
        <v>1.0</v>
      </c>
      <c r="F491" s="15">
        <f t="shared" ref="F491:F492" si="96">ROUND(19,3)</f>
        <v>19</v>
      </c>
      <c r="G491" s="12">
        <f t="shared" si="95"/>
        <v>19</v>
      </c>
    </row>
    <row r="492" ht="24.0" customHeight="1">
      <c r="A492" s="10" t="s">
        <v>30</v>
      </c>
      <c r="B492" s="10" t="s">
        <v>26</v>
      </c>
      <c r="C492" s="10" t="s">
        <v>23</v>
      </c>
      <c r="D492" s="10" t="s">
        <v>31</v>
      </c>
      <c r="E492" s="14">
        <v>0.2</v>
      </c>
      <c r="F492" s="15">
        <f t="shared" si="96"/>
        <v>19</v>
      </c>
      <c r="G492" s="12">
        <f t="shared" si="95"/>
        <v>3.8</v>
      </c>
    </row>
    <row r="493" ht="15.0" customHeight="1">
      <c r="A493" s="11"/>
      <c r="B493" s="11"/>
      <c r="C493" s="11"/>
      <c r="D493" s="10" t="s">
        <v>22</v>
      </c>
      <c r="E493" s="14">
        <v>0.33333</v>
      </c>
      <c r="F493" s="15">
        <f>ROUND((G490+G491+G492),3)</f>
        <v>43.8</v>
      </c>
      <c r="G493" s="12">
        <f t="shared" si="95"/>
        <v>14.6</v>
      </c>
    </row>
    <row r="494" ht="15.0" customHeight="1">
      <c r="A494" s="10" t="s">
        <v>32</v>
      </c>
      <c r="B494" s="10"/>
      <c r="C494" s="10" t="s">
        <v>33</v>
      </c>
      <c r="D494" s="10" t="s">
        <v>34</v>
      </c>
      <c r="E494" s="14">
        <v>2.0</v>
      </c>
      <c r="F494" s="15">
        <f>ROUND(14.6,3)</f>
        <v>14.6</v>
      </c>
      <c r="G494" s="12">
        <f>ROUND((E494*F494)/100,2)</f>
        <v>0.29</v>
      </c>
    </row>
    <row r="495" ht="15.0" customHeight="1">
      <c r="A495" s="16"/>
      <c r="B495" s="16"/>
      <c r="C495" s="16"/>
      <c r="D495" s="17" t="s">
        <v>177</v>
      </c>
      <c r="E495" s="16"/>
      <c r="F495" s="18">
        <f>ROUND((G487+G488+G489+G494)*(1+G2/100),2)</f>
        <v>17.57</v>
      </c>
      <c r="G495" s="16"/>
    </row>
    <row r="496" ht="57.75" customHeight="1">
      <c r="A496" s="19" t="s">
        <v>180</v>
      </c>
      <c r="B496" s="20" t="s">
        <v>18</v>
      </c>
      <c r="C496" s="20" t="s">
        <v>19</v>
      </c>
      <c r="D496" s="20" t="s">
        <v>181</v>
      </c>
      <c r="E496" s="21"/>
      <c r="F496" s="22">
        <f>F507</f>
        <v>20.65</v>
      </c>
      <c r="G496" s="21"/>
    </row>
    <row r="497" ht="30.0" customHeight="1">
      <c r="A497" s="11"/>
      <c r="B497" s="11"/>
      <c r="C497" s="11"/>
      <c r="D497" s="10" t="s">
        <v>182</v>
      </c>
    </row>
    <row r="498" ht="30.0" customHeight="1">
      <c r="A498" s="10" t="s">
        <v>183</v>
      </c>
      <c r="B498" s="10" t="s">
        <v>42</v>
      </c>
      <c r="C498" s="10" t="s">
        <v>184</v>
      </c>
      <c r="D498" s="10" t="s">
        <v>185</v>
      </c>
      <c r="E498" s="14">
        <v>0.16</v>
      </c>
      <c r="F498" s="15">
        <f>ROUND(18.76,3)</f>
        <v>18.76</v>
      </c>
      <c r="G498" s="12">
        <f t="shared" ref="G498:G505" si="97">ROUND(E498*F498,2)</f>
        <v>3</v>
      </c>
    </row>
    <row r="499" ht="30.0" customHeight="1">
      <c r="A499" s="10" t="s">
        <v>186</v>
      </c>
      <c r="B499" s="10" t="s">
        <v>112</v>
      </c>
      <c r="C499" s="10" t="s">
        <v>23</v>
      </c>
      <c r="D499" s="10" t="s">
        <v>187</v>
      </c>
      <c r="E499" s="14">
        <v>0.3</v>
      </c>
      <c r="F499" s="15">
        <f>ROUND(5.28,3)</f>
        <v>5.28</v>
      </c>
      <c r="G499" s="12">
        <f t="shared" si="97"/>
        <v>1.58</v>
      </c>
    </row>
    <row r="500" ht="39.75" customHeight="1">
      <c r="A500" s="10" t="s">
        <v>188</v>
      </c>
      <c r="B500" s="10" t="s">
        <v>112</v>
      </c>
      <c r="C500" s="10" t="s">
        <v>23</v>
      </c>
      <c r="D500" s="10" t="s">
        <v>189</v>
      </c>
      <c r="E500" s="14">
        <v>0.3</v>
      </c>
      <c r="F500" s="15">
        <f>ROUND(7.565,3)</f>
        <v>7.565</v>
      </c>
      <c r="G500" s="12">
        <f t="shared" si="97"/>
        <v>2.27</v>
      </c>
    </row>
    <row r="501" ht="21.0" customHeight="1">
      <c r="A501" s="10" t="s">
        <v>22</v>
      </c>
      <c r="B501" s="10" t="s">
        <v>18</v>
      </c>
      <c r="C501" s="10" t="s">
        <v>23</v>
      </c>
      <c r="D501" s="10" t="s">
        <v>24</v>
      </c>
      <c r="E501" s="14">
        <v>0.3</v>
      </c>
      <c r="F501" s="15">
        <f>F505</f>
        <v>43.8</v>
      </c>
      <c r="G501" s="12">
        <f t="shared" si="97"/>
        <v>13.14</v>
      </c>
    </row>
    <row r="502" ht="24.0" customHeight="1">
      <c r="A502" s="10" t="s">
        <v>25</v>
      </c>
      <c r="B502" s="10" t="s">
        <v>26</v>
      </c>
      <c r="C502" s="10" t="s">
        <v>23</v>
      </c>
      <c r="D502" s="10" t="s">
        <v>27</v>
      </c>
      <c r="E502" s="14">
        <v>1.0</v>
      </c>
      <c r="F502" s="15">
        <f>ROUND(21,3)</f>
        <v>21</v>
      </c>
      <c r="G502" s="12">
        <f t="shared" si="97"/>
        <v>21</v>
      </c>
    </row>
    <row r="503" ht="24.0" customHeight="1">
      <c r="A503" s="10" t="s">
        <v>28</v>
      </c>
      <c r="B503" s="10" t="s">
        <v>26</v>
      </c>
      <c r="C503" s="10" t="s">
        <v>23</v>
      </c>
      <c r="D503" s="10" t="s">
        <v>29</v>
      </c>
      <c r="E503" s="14">
        <v>1.0</v>
      </c>
      <c r="F503" s="15">
        <f t="shared" ref="F503:F504" si="98">ROUND(19,3)</f>
        <v>19</v>
      </c>
      <c r="G503" s="12">
        <f t="shared" si="97"/>
        <v>19</v>
      </c>
    </row>
    <row r="504" ht="24.0" customHeight="1">
      <c r="A504" s="10" t="s">
        <v>30</v>
      </c>
      <c r="B504" s="10" t="s">
        <v>26</v>
      </c>
      <c r="C504" s="10" t="s">
        <v>23</v>
      </c>
      <c r="D504" s="10" t="s">
        <v>31</v>
      </c>
      <c r="E504" s="14">
        <v>0.2</v>
      </c>
      <c r="F504" s="15">
        <f t="shared" si="98"/>
        <v>19</v>
      </c>
      <c r="G504" s="12">
        <f t="shared" si="97"/>
        <v>3.8</v>
      </c>
    </row>
    <row r="505" ht="15.0" customHeight="1">
      <c r="A505" s="11"/>
      <c r="B505" s="11"/>
      <c r="C505" s="11"/>
      <c r="D505" s="10" t="s">
        <v>22</v>
      </c>
      <c r="E505" s="14">
        <v>0.3</v>
      </c>
      <c r="F505" s="15">
        <f>ROUND((G502+G503+G504),3)</f>
        <v>43.8</v>
      </c>
      <c r="G505" s="12">
        <f t="shared" si="97"/>
        <v>13.14</v>
      </c>
    </row>
    <row r="506" ht="15.0" customHeight="1">
      <c r="A506" s="10" t="s">
        <v>32</v>
      </c>
      <c r="B506" s="10"/>
      <c r="C506" s="10" t="s">
        <v>33</v>
      </c>
      <c r="D506" s="10" t="s">
        <v>34</v>
      </c>
      <c r="E506" s="14">
        <v>5.0</v>
      </c>
      <c r="F506" s="15">
        <f>ROUND(13.14,3)</f>
        <v>13.14</v>
      </c>
      <c r="G506" s="12">
        <f>ROUND((E506*F506)/100,2)</f>
        <v>0.66</v>
      </c>
    </row>
    <row r="507" ht="24.75" customHeight="1">
      <c r="A507" s="16"/>
      <c r="B507" s="16"/>
      <c r="C507" s="16"/>
      <c r="D507" s="17" t="s">
        <v>180</v>
      </c>
      <c r="E507" s="16"/>
      <c r="F507" s="18">
        <f>ROUND((G498+G499+G500+G501+G506)*(1+G2/100),2)</f>
        <v>20.65</v>
      </c>
      <c r="G507" s="16"/>
    </row>
    <row r="508" ht="57.75" customHeight="1">
      <c r="A508" s="19" t="s">
        <v>190</v>
      </c>
      <c r="B508" s="20" t="s">
        <v>18</v>
      </c>
      <c r="C508" s="20" t="s">
        <v>19</v>
      </c>
      <c r="D508" s="20" t="s">
        <v>191</v>
      </c>
      <c r="E508" s="21"/>
      <c r="F508" s="22">
        <f>F519</f>
        <v>37.12</v>
      </c>
      <c r="G508" s="21"/>
    </row>
    <row r="509" ht="30.0" customHeight="1">
      <c r="A509" s="11"/>
      <c r="B509" s="11"/>
      <c r="C509" s="11"/>
      <c r="D509" s="10" t="s">
        <v>192</v>
      </c>
    </row>
    <row r="510" ht="30.0" customHeight="1">
      <c r="A510" s="10" t="s">
        <v>183</v>
      </c>
      <c r="B510" s="10" t="s">
        <v>42</v>
      </c>
      <c r="C510" s="10" t="s">
        <v>184</v>
      </c>
      <c r="D510" s="10" t="s">
        <v>185</v>
      </c>
      <c r="E510" s="14">
        <v>0.16</v>
      </c>
      <c r="F510" s="15">
        <f>ROUND(18.76,3)</f>
        <v>18.76</v>
      </c>
      <c r="G510" s="12">
        <f t="shared" ref="G510:G517" si="99">ROUND(E510*F510,2)</f>
        <v>3</v>
      </c>
    </row>
    <row r="511" ht="30.0" customHeight="1">
      <c r="A511" s="10" t="s">
        <v>186</v>
      </c>
      <c r="B511" s="10" t="s">
        <v>112</v>
      </c>
      <c r="C511" s="10" t="s">
        <v>23</v>
      </c>
      <c r="D511" s="10" t="s">
        <v>187</v>
      </c>
      <c r="E511" s="14">
        <v>0.58</v>
      </c>
      <c r="F511" s="15">
        <f>ROUND(5.28,3)</f>
        <v>5.28</v>
      </c>
      <c r="G511" s="12">
        <f t="shared" si="99"/>
        <v>3.06</v>
      </c>
    </row>
    <row r="512" ht="39.75" customHeight="1">
      <c r="A512" s="10" t="s">
        <v>188</v>
      </c>
      <c r="B512" s="10" t="s">
        <v>112</v>
      </c>
      <c r="C512" s="10" t="s">
        <v>23</v>
      </c>
      <c r="D512" s="10" t="s">
        <v>189</v>
      </c>
      <c r="E512" s="14">
        <v>0.58</v>
      </c>
      <c r="F512" s="15">
        <f>ROUND(7.565,3)</f>
        <v>7.565</v>
      </c>
      <c r="G512" s="12">
        <f t="shared" si="99"/>
        <v>4.39</v>
      </c>
    </row>
    <row r="513" ht="21.0" customHeight="1">
      <c r="A513" s="10" t="s">
        <v>22</v>
      </c>
      <c r="B513" s="10" t="s">
        <v>18</v>
      </c>
      <c r="C513" s="10" t="s">
        <v>23</v>
      </c>
      <c r="D513" s="10" t="s">
        <v>24</v>
      </c>
      <c r="E513" s="14">
        <v>0.58</v>
      </c>
      <c r="F513" s="15">
        <f>F517</f>
        <v>43.8</v>
      </c>
      <c r="G513" s="12">
        <f t="shared" si="99"/>
        <v>25.4</v>
      </c>
    </row>
    <row r="514" ht="24.0" customHeight="1">
      <c r="A514" s="10" t="s">
        <v>25</v>
      </c>
      <c r="B514" s="10" t="s">
        <v>26</v>
      </c>
      <c r="C514" s="10" t="s">
        <v>23</v>
      </c>
      <c r="D514" s="10" t="s">
        <v>27</v>
      </c>
      <c r="E514" s="14">
        <v>1.0</v>
      </c>
      <c r="F514" s="15">
        <f>ROUND(21,3)</f>
        <v>21</v>
      </c>
      <c r="G514" s="12">
        <f t="shared" si="99"/>
        <v>21</v>
      </c>
    </row>
    <row r="515" ht="24.0" customHeight="1">
      <c r="A515" s="10" t="s">
        <v>28</v>
      </c>
      <c r="B515" s="10" t="s">
        <v>26</v>
      </c>
      <c r="C515" s="10" t="s">
        <v>23</v>
      </c>
      <c r="D515" s="10" t="s">
        <v>29</v>
      </c>
      <c r="E515" s="14">
        <v>1.0</v>
      </c>
      <c r="F515" s="15">
        <f t="shared" ref="F515:F516" si="100">ROUND(19,3)</f>
        <v>19</v>
      </c>
      <c r="G515" s="12">
        <f t="shared" si="99"/>
        <v>19</v>
      </c>
    </row>
    <row r="516" ht="24.0" customHeight="1">
      <c r="A516" s="10" t="s">
        <v>30</v>
      </c>
      <c r="B516" s="10" t="s">
        <v>26</v>
      </c>
      <c r="C516" s="10" t="s">
        <v>23</v>
      </c>
      <c r="D516" s="10" t="s">
        <v>31</v>
      </c>
      <c r="E516" s="14">
        <v>0.2</v>
      </c>
      <c r="F516" s="15">
        <f t="shared" si="100"/>
        <v>19</v>
      </c>
      <c r="G516" s="12">
        <f t="shared" si="99"/>
        <v>3.8</v>
      </c>
    </row>
    <row r="517" ht="15.0" customHeight="1">
      <c r="A517" s="11"/>
      <c r="B517" s="11"/>
      <c r="C517" s="11"/>
      <c r="D517" s="10" t="s">
        <v>22</v>
      </c>
      <c r="E517" s="14">
        <v>0.58</v>
      </c>
      <c r="F517" s="15">
        <f>ROUND((G514+G515+G516),3)</f>
        <v>43.8</v>
      </c>
      <c r="G517" s="12">
        <f t="shared" si="99"/>
        <v>25.4</v>
      </c>
    </row>
    <row r="518" ht="15.0" customHeight="1">
      <c r="A518" s="10" t="s">
        <v>32</v>
      </c>
      <c r="B518" s="10"/>
      <c r="C518" s="10" t="s">
        <v>33</v>
      </c>
      <c r="D518" s="10" t="s">
        <v>34</v>
      </c>
      <c r="E518" s="14">
        <v>5.0</v>
      </c>
      <c r="F518" s="15">
        <f>ROUND(25.4,3)</f>
        <v>25.4</v>
      </c>
      <c r="G518" s="12">
        <f>ROUND((E518*F518)/100,2)</f>
        <v>1.27</v>
      </c>
    </row>
    <row r="519" ht="24.75" customHeight="1">
      <c r="A519" s="16"/>
      <c r="B519" s="16"/>
      <c r="C519" s="16"/>
      <c r="D519" s="17" t="s">
        <v>190</v>
      </c>
      <c r="E519" s="16"/>
      <c r="F519" s="18">
        <f>ROUND((G510+G511+G512+G513+G518)*(1+G2/100),2)</f>
        <v>37.12</v>
      </c>
      <c r="G519" s="16"/>
    </row>
    <row r="520" ht="57.75" customHeight="1">
      <c r="A520" s="19" t="s">
        <v>193</v>
      </c>
      <c r="B520" s="20" t="s">
        <v>18</v>
      </c>
      <c r="C520" s="20" t="s">
        <v>19</v>
      </c>
      <c r="D520" s="20" t="s">
        <v>194</v>
      </c>
      <c r="E520" s="21"/>
      <c r="F520" s="22">
        <f>F531</f>
        <v>24.18</v>
      </c>
      <c r="G520" s="21"/>
    </row>
    <row r="521" ht="30.0" customHeight="1">
      <c r="A521" s="11"/>
      <c r="B521" s="11"/>
      <c r="C521" s="11"/>
      <c r="D521" s="10" t="s">
        <v>195</v>
      </c>
    </row>
    <row r="522" ht="30.0" customHeight="1">
      <c r="A522" s="10" t="s">
        <v>183</v>
      </c>
      <c r="B522" s="10" t="s">
        <v>42</v>
      </c>
      <c r="C522" s="10" t="s">
        <v>184</v>
      </c>
      <c r="D522" s="10" t="s">
        <v>185</v>
      </c>
      <c r="E522" s="14">
        <v>0.16</v>
      </c>
      <c r="F522" s="15">
        <f>ROUND(18.76,3)</f>
        <v>18.76</v>
      </c>
      <c r="G522" s="12">
        <f t="shared" ref="G522:G529" si="101">ROUND(E522*F522,2)</f>
        <v>3</v>
      </c>
    </row>
    <row r="523" ht="30.0" customHeight="1">
      <c r="A523" s="10" t="s">
        <v>186</v>
      </c>
      <c r="B523" s="10" t="s">
        <v>112</v>
      </c>
      <c r="C523" s="10" t="s">
        <v>23</v>
      </c>
      <c r="D523" s="10" t="s">
        <v>187</v>
      </c>
      <c r="E523" s="14">
        <v>0.36</v>
      </c>
      <c r="F523" s="15">
        <f>ROUND(5.28,3)</f>
        <v>5.28</v>
      </c>
      <c r="G523" s="12">
        <f t="shared" si="101"/>
        <v>1.9</v>
      </c>
    </row>
    <row r="524" ht="39.75" customHeight="1">
      <c r="A524" s="10" t="s">
        <v>188</v>
      </c>
      <c r="B524" s="10" t="s">
        <v>112</v>
      </c>
      <c r="C524" s="10" t="s">
        <v>23</v>
      </c>
      <c r="D524" s="10" t="s">
        <v>189</v>
      </c>
      <c r="E524" s="14">
        <v>0.36</v>
      </c>
      <c r="F524" s="15">
        <f>ROUND(7.565,3)</f>
        <v>7.565</v>
      </c>
      <c r="G524" s="12">
        <f t="shared" si="101"/>
        <v>2.72</v>
      </c>
    </row>
    <row r="525" ht="21.0" customHeight="1">
      <c r="A525" s="10" t="s">
        <v>22</v>
      </c>
      <c r="B525" s="10" t="s">
        <v>18</v>
      </c>
      <c r="C525" s="10" t="s">
        <v>23</v>
      </c>
      <c r="D525" s="10" t="s">
        <v>24</v>
      </c>
      <c r="E525" s="14">
        <v>0.36</v>
      </c>
      <c r="F525" s="15">
        <f>F529</f>
        <v>43.8</v>
      </c>
      <c r="G525" s="12">
        <f t="shared" si="101"/>
        <v>15.77</v>
      </c>
    </row>
    <row r="526" ht="24.0" customHeight="1">
      <c r="A526" s="10" t="s">
        <v>25</v>
      </c>
      <c r="B526" s="10" t="s">
        <v>26</v>
      </c>
      <c r="C526" s="10" t="s">
        <v>23</v>
      </c>
      <c r="D526" s="10" t="s">
        <v>27</v>
      </c>
      <c r="E526" s="14">
        <v>1.0</v>
      </c>
      <c r="F526" s="15">
        <f>ROUND(21,3)</f>
        <v>21</v>
      </c>
      <c r="G526" s="12">
        <f t="shared" si="101"/>
        <v>21</v>
      </c>
    </row>
    <row r="527" ht="24.0" customHeight="1">
      <c r="A527" s="10" t="s">
        <v>28</v>
      </c>
      <c r="B527" s="10" t="s">
        <v>26</v>
      </c>
      <c r="C527" s="10" t="s">
        <v>23</v>
      </c>
      <c r="D527" s="10" t="s">
        <v>29</v>
      </c>
      <c r="E527" s="14">
        <v>1.0</v>
      </c>
      <c r="F527" s="15">
        <f t="shared" ref="F527:F528" si="102">ROUND(19,3)</f>
        <v>19</v>
      </c>
      <c r="G527" s="12">
        <f t="shared" si="101"/>
        <v>19</v>
      </c>
    </row>
    <row r="528" ht="24.0" customHeight="1">
      <c r="A528" s="10" t="s">
        <v>30</v>
      </c>
      <c r="B528" s="10" t="s">
        <v>26</v>
      </c>
      <c r="C528" s="10" t="s">
        <v>23</v>
      </c>
      <c r="D528" s="10" t="s">
        <v>31</v>
      </c>
      <c r="E528" s="14">
        <v>0.2</v>
      </c>
      <c r="F528" s="15">
        <f t="shared" si="102"/>
        <v>19</v>
      </c>
      <c r="G528" s="12">
        <f t="shared" si="101"/>
        <v>3.8</v>
      </c>
    </row>
    <row r="529" ht="15.0" customHeight="1">
      <c r="A529" s="11"/>
      <c r="B529" s="11"/>
      <c r="C529" s="11"/>
      <c r="D529" s="10" t="s">
        <v>22</v>
      </c>
      <c r="E529" s="14">
        <v>0.36</v>
      </c>
      <c r="F529" s="15">
        <f>ROUND((G526+G527+G528),3)</f>
        <v>43.8</v>
      </c>
      <c r="G529" s="12">
        <f t="shared" si="101"/>
        <v>15.77</v>
      </c>
    </row>
    <row r="530" ht="15.0" customHeight="1">
      <c r="A530" s="10" t="s">
        <v>32</v>
      </c>
      <c r="B530" s="10"/>
      <c r="C530" s="10" t="s">
        <v>33</v>
      </c>
      <c r="D530" s="10" t="s">
        <v>34</v>
      </c>
      <c r="E530" s="14">
        <v>5.0</v>
      </c>
      <c r="F530" s="15">
        <f>ROUND(15.77,3)</f>
        <v>15.77</v>
      </c>
      <c r="G530" s="12">
        <f>ROUND((E530*F530)/100,2)</f>
        <v>0.79</v>
      </c>
    </row>
    <row r="531" ht="24.75" customHeight="1">
      <c r="A531" s="16"/>
      <c r="B531" s="16"/>
      <c r="C531" s="16"/>
      <c r="D531" s="17" t="s">
        <v>193</v>
      </c>
      <c r="E531" s="16"/>
      <c r="F531" s="18">
        <f>ROUND((G522+G523+G524+G525+G530)*(1+G2/100),2)</f>
        <v>24.18</v>
      </c>
      <c r="G531" s="16"/>
    </row>
    <row r="532" ht="15.0" customHeight="1">
      <c r="A532" s="23"/>
      <c r="B532" s="23"/>
      <c r="C532" s="23"/>
      <c r="D532" s="24" t="s">
        <v>15</v>
      </c>
      <c r="E532" s="25"/>
      <c r="F532" s="25"/>
      <c r="G532" s="25"/>
    </row>
    <row r="533" ht="24.75" customHeight="1">
      <c r="A533" s="26" t="s">
        <v>196</v>
      </c>
      <c r="B533" s="26" t="s">
        <v>10</v>
      </c>
      <c r="C533" s="27"/>
      <c r="D533" s="26" t="s">
        <v>197</v>
      </c>
      <c r="E533" s="27"/>
      <c r="F533" s="27"/>
      <c r="G533" s="27"/>
    </row>
    <row r="534" ht="24.75" customHeight="1">
      <c r="A534" s="13" t="s">
        <v>198</v>
      </c>
      <c r="B534" s="10" t="s">
        <v>18</v>
      </c>
      <c r="C534" s="10" t="s">
        <v>19</v>
      </c>
      <c r="D534" s="10" t="s">
        <v>199</v>
      </c>
      <c r="E534" s="11"/>
      <c r="F534" s="12">
        <f>F544</f>
        <v>15.18</v>
      </c>
      <c r="G534" s="11"/>
    </row>
    <row r="535" ht="12.0" customHeight="1">
      <c r="A535" s="11"/>
      <c r="B535" s="11"/>
      <c r="C535" s="11"/>
      <c r="D535" s="10" t="s">
        <v>200</v>
      </c>
    </row>
    <row r="536" ht="39.75" customHeight="1">
      <c r="A536" s="10" t="s">
        <v>41</v>
      </c>
      <c r="B536" s="10" t="s">
        <v>42</v>
      </c>
      <c r="C536" s="10" t="s">
        <v>43</v>
      </c>
      <c r="D536" s="10" t="s">
        <v>44</v>
      </c>
      <c r="E536" s="14">
        <v>0.02</v>
      </c>
      <c r="F536" s="15">
        <f>ROUND(9.13,3)</f>
        <v>9.13</v>
      </c>
      <c r="G536" s="12">
        <f t="shared" ref="G536:G542" si="103">ROUND(E536*F536,2)</f>
        <v>0.18</v>
      </c>
    </row>
    <row r="537" ht="24.0" customHeight="1">
      <c r="A537" s="10" t="s">
        <v>111</v>
      </c>
      <c r="B537" s="10" t="s">
        <v>112</v>
      </c>
      <c r="C537" s="10" t="s">
        <v>23</v>
      </c>
      <c r="D537" s="10" t="s">
        <v>113</v>
      </c>
      <c r="E537" s="14">
        <v>0.16</v>
      </c>
      <c r="F537" s="15">
        <f>ROUND(7.526,3)</f>
        <v>7.526</v>
      </c>
      <c r="G537" s="12">
        <f t="shared" si="103"/>
        <v>1.2</v>
      </c>
    </row>
    <row r="538" ht="21.0" customHeight="1">
      <c r="A538" s="10" t="s">
        <v>22</v>
      </c>
      <c r="B538" s="10" t="s">
        <v>18</v>
      </c>
      <c r="C538" s="10" t="s">
        <v>23</v>
      </c>
      <c r="D538" s="10" t="s">
        <v>24</v>
      </c>
      <c r="E538" s="14">
        <v>0.3</v>
      </c>
      <c r="F538" s="15">
        <f>F542</f>
        <v>43.8</v>
      </c>
      <c r="G538" s="12">
        <f t="shared" si="103"/>
        <v>13.14</v>
      </c>
    </row>
    <row r="539" ht="24.0" customHeight="1">
      <c r="A539" s="10" t="s">
        <v>25</v>
      </c>
      <c r="B539" s="10" t="s">
        <v>26</v>
      </c>
      <c r="C539" s="10" t="s">
        <v>23</v>
      </c>
      <c r="D539" s="10" t="s">
        <v>27</v>
      </c>
      <c r="E539" s="14">
        <v>1.0</v>
      </c>
      <c r="F539" s="15">
        <f>ROUND(21,3)</f>
        <v>21</v>
      </c>
      <c r="G539" s="12">
        <f t="shared" si="103"/>
        <v>21</v>
      </c>
    </row>
    <row r="540" ht="24.0" customHeight="1">
      <c r="A540" s="10" t="s">
        <v>28</v>
      </c>
      <c r="B540" s="10" t="s">
        <v>26</v>
      </c>
      <c r="C540" s="10" t="s">
        <v>23</v>
      </c>
      <c r="D540" s="10" t="s">
        <v>29</v>
      </c>
      <c r="E540" s="14">
        <v>1.0</v>
      </c>
      <c r="F540" s="15">
        <f t="shared" ref="F540:F541" si="104">ROUND(19,3)</f>
        <v>19</v>
      </c>
      <c r="G540" s="12">
        <f t="shared" si="103"/>
        <v>19</v>
      </c>
    </row>
    <row r="541" ht="24.0" customHeight="1">
      <c r="A541" s="10" t="s">
        <v>30</v>
      </c>
      <c r="B541" s="10" t="s">
        <v>26</v>
      </c>
      <c r="C541" s="10" t="s">
        <v>23</v>
      </c>
      <c r="D541" s="10" t="s">
        <v>31</v>
      </c>
      <c r="E541" s="14">
        <v>0.2</v>
      </c>
      <c r="F541" s="15">
        <f t="shared" si="104"/>
        <v>19</v>
      </c>
      <c r="G541" s="12">
        <f t="shared" si="103"/>
        <v>3.8</v>
      </c>
    </row>
    <row r="542" ht="15.0" customHeight="1">
      <c r="A542" s="11"/>
      <c r="B542" s="11"/>
      <c r="C542" s="11"/>
      <c r="D542" s="10" t="s">
        <v>22</v>
      </c>
      <c r="E542" s="14">
        <v>0.3</v>
      </c>
      <c r="F542" s="15">
        <f>ROUND((G539+G540+G541),3)</f>
        <v>43.8</v>
      </c>
      <c r="G542" s="12">
        <f t="shared" si="103"/>
        <v>13.14</v>
      </c>
    </row>
    <row r="543" ht="15.0" customHeight="1">
      <c r="A543" s="10" t="s">
        <v>32</v>
      </c>
      <c r="B543" s="10"/>
      <c r="C543" s="10" t="s">
        <v>33</v>
      </c>
      <c r="D543" s="10" t="s">
        <v>34</v>
      </c>
      <c r="E543" s="14">
        <v>5.0</v>
      </c>
      <c r="F543" s="15">
        <f>ROUND(13.14,3)</f>
        <v>13.14</v>
      </c>
      <c r="G543" s="12">
        <f>ROUND((E543*F543)/100,2)</f>
        <v>0.66</v>
      </c>
    </row>
    <row r="544" ht="15.0" customHeight="1">
      <c r="A544" s="16"/>
      <c r="B544" s="16"/>
      <c r="C544" s="16"/>
      <c r="D544" s="17" t="s">
        <v>198</v>
      </c>
      <c r="E544" s="16"/>
      <c r="F544" s="18">
        <f>ROUND((G536+G537+G538+G543)*(1+G2/100),2)</f>
        <v>15.18</v>
      </c>
      <c r="G544" s="16"/>
    </row>
    <row r="545" ht="15.0" customHeight="1">
      <c r="A545" s="23"/>
      <c r="B545" s="23"/>
      <c r="C545" s="23"/>
      <c r="D545" s="24" t="s">
        <v>196</v>
      </c>
      <c r="E545" s="25"/>
      <c r="F545" s="25"/>
      <c r="G545" s="25"/>
    </row>
    <row r="546" ht="24.75" customHeight="1">
      <c r="A546" s="26" t="s">
        <v>201</v>
      </c>
      <c r="B546" s="26" t="s">
        <v>10</v>
      </c>
      <c r="C546" s="27"/>
      <c r="D546" s="26" t="s">
        <v>202</v>
      </c>
      <c r="E546" s="27"/>
      <c r="F546" s="27"/>
      <c r="G546" s="27"/>
    </row>
    <row r="547" ht="34.5" customHeight="1">
      <c r="A547" s="28" t="s">
        <v>203</v>
      </c>
      <c r="B547" s="28" t="s">
        <v>10</v>
      </c>
      <c r="C547" s="29"/>
      <c r="D547" s="28" t="s">
        <v>204</v>
      </c>
      <c r="E547" s="29"/>
      <c r="F547" s="29"/>
      <c r="G547" s="29"/>
    </row>
    <row r="548" ht="48.75" customHeight="1">
      <c r="A548" s="13" t="s">
        <v>205</v>
      </c>
      <c r="B548" s="10" t="s">
        <v>18</v>
      </c>
      <c r="C548" s="10" t="s">
        <v>19</v>
      </c>
      <c r="D548" s="10" t="s">
        <v>206</v>
      </c>
      <c r="E548" s="11"/>
      <c r="F548" s="12">
        <f>F558</f>
        <v>16.42</v>
      </c>
      <c r="G548" s="11"/>
    </row>
    <row r="549" ht="21.0" customHeight="1">
      <c r="A549" s="11"/>
      <c r="B549" s="11"/>
      <c r="C549" s="11"/>
      <c r="D549" s="10" t="s">
        <v>207</v>
      </c>
    </row>
    <row r="550" ht="30.0" customHeight="1">
      <c r="A550" s="10" t="s">
        <v>208</v>
      </c>
      <c r="B550" s="10" t="s">
        <v>42</v>
      </c>
      <c r="C550" s="10" t="s">
        <v>43</v>
      </c>
      <c r="D550" s="10" t="s">
        <v>209</v>
      </c>
      <c r="E550" s="14">
        <v>0.025</v>
      </c>
      <c r="F550" s="15">
        <f>ROUND(14.29,3)</f>
        <v>14.29</v>
      </c>
      <c r="G550" s="12">
        <f t="shared" ref="G550:G556" si="105">ROUND(E550*F550,2)</f>
        <v>0.36</v>
      </c>
    </row>
    <row r="551" ht="24.0" customHeight="1">
      <c r="A551" s="10" t="s">
        <v>111</v>
      </c>
      <c r="B551" s="10" t="s">
        <v>112</v>
      </c>
      <c r="C551" s="10" t="s">
        <v>23</v>
      </c>
      <c r="D551" s="10" t="s">
        <v>113</v>
      </c>
      <c r="E551" s="14">
        <v>0.3</v>
      </c>
      <c r="F551" s="15">
        <f>ROUND(7.526,3)</f>
        <v>7.526</v>
      </c>
      <c r="G551" s="12">
        <f t="shared" si="105"/>
        <v>2.26</v>
      </c>
    </row>
    <row r="552" ht="21.0" customHeight="1">
      <c r="A552" s="10" t="s">
        <v>22</v>
      </c>
      <c r="B552" s="10" t="s">
        <v>18</v>
      </c>
      <c r="C552" s="10" t="s">
        <v>23</v>
      </c>
      <c r="D552" s="10" t="s">
        <v>24</v>
      </c>
      <c r="E552" s="14">
        <v>0.3</v>
      </c>
      <c r="F552" s="15">
        <f>F556</f>
        <v>43.8</v>
      </c>
      <c r="G552" s="12">
        <f t="shared" si="105"/>
        <v>13.14</v>
      </c>
    </row>
    <row r="553" ht="24.0" customHeight="1">
      <c r="A553" s="10" t="s">
        <v>25</v>
      </c>
      <c r="B553" s="10" t="s">
        <v>26</v>
      </c>
      <c r="C553" s="10" t="s">
        <v>23</v>
      </c>
      <c r="D553" s="10" t="s">
        <v>27</v>
      </c>
      <c r="E553" s="14">
        <v>1.0</v>
      </c>
      <c r="F553" s="15">
        <f>ROUND(21,3)</f>
        <v>21</v>
      </c>
      <c r="G553" s="12">
        <f t="shared" si="105"/>
        <v>21</v>
      </c>
    </row>
    <row r="554" ht="24.0" customHeight="1">
      <c r="A554" s="10" t="s">
        <v>28</v>
      </c>
      <c r="B554" s="10" t="s">
        <v>26</v>
      </c>
      <c r="C554" s="10" t="s">
        <v>23</v>
      </c>
      <c r="D554" s="10" t="s">
        <v>29</v>
      </c>
      <c r="E554" s="14">
        <v>1.0</v>
      </c>
      <c r="F554" s="15">
        <f t="shared" ref="F554:F555" si="106">ROUND(19,3)</f>
        <v>19</v>
      </c>
      <c r="G554" s="12">
        <f t="shared" si="105"/>
        <v>19</v>
      </c>
    </row>
    <row r="555" ht="24.0" customHeight="1">
      <c r="A555" s="10" t="s">
        <v>30</v>
      </c>
      <c r="B555" s="10" t="s">
        <v>26</v>
      </c>
      <c r="C555" s="10" t="s">
        <v>23</v>
      </c>
      <c r="D555" s="10" t="s">
        <v>31</v>
      </c>
      <c r="E555" s="14">
        <v>0.2</v>
      </c>
      <c r="F555" s="15">
        <f t="shared" si="106"/>
        <v>19</v>
      </c>
      <c r="G555" s="12">
        <f t="shared" si="105"/>
        <v>3.8</v>
      </c>
    </row>
    <row r="556" ht="15.0" customHeight="1">
      <c r="A556" s="11"/>
      <c r="B556" s="11"/>
      <c r="C556" s="11"/>
      <c r="D556" s="10" t="s">
        <v>22</v>
      </c>
      <c r="E556" s="14">
        <v>0.3</v>
      </c>
      <c r="F556" s="15">
        <f>ROUND((G553+G554+G555),3)</f>
        <v>43.8</v>
      </c>
      <c r="G556" s="12">
        <f t="shared" si="105"/>
        <v>13.14</v>
      </c>
    </row>
    <row r="557" ht="15.0" customHeight="1">
      <c r="A557" s="10" t="s">
        <v>32</v>
      </c>
      <c r="B557" s="10"/>
      <c r="C557" s="10" t="s">
        <v>33</v>
      </c>
      <c r="D557" s="10" t="s">
        <v>34</v>
      </c>
      <c r="E557" s="14">
        <v>5.0</v>
      </c>
      <c r="F557" s="15">
        <f>ROUND(13.14,3)</f>
        <v>13.14</v>
      </c>
      <c r="G557" s="12">
        <f>ROUND((E557*F557)/100,2)</f>
        <v>0.66</v>
      </c>
    </row>
    <row r="558" ht="15.0" customHeight="1">
      <c r="A558" s="16"/>
      <c r="B558" s="16"/>
      <c r="C558" s="16"/>
      <c r="D558" s="17" t="s">
        <v>205</v>
      </c>
      <c r="E558" s="16"/>
      <c r="F558" s="18">
        <f>ROUND((G550+G551+G552+G557)*(1+G2/100),2)</f>
        <v>16.42</v>
      </c>
      <c r="G558" s="16"/>
    </row>
    <row r="559" ht="48.75" customHeight="1">
      <c r="A559" s="19" t="s">
        <v>210</v>
      </c>
      <c r="B559" s="20" t="s">
        <v>18</v>
      </c>
      <c r="C559" s="20" t="s">
        <v>19</v>
      </c>
      <c r="D559" s="20" t="s">
        <v>211</v>
      </c>
      <c r="E559" s="21"/>
      <c r="F559" s="22">
        <f>F569</f>
        <v>24.45</v>
      </c>
      <c r="G559" s="21"/>
    </row>
    <row r="560" ht="21.0" customHeight="1">
      <c r="A560" s="11"/>
      <c r="B560" s="11"/>
      <c r="C560" s="11"/>
      <c r="D560" s="10" t="s">
        <v>212</v>
      </c>
    </row>
    <row r="561" ht="30.0" customHeight="1">
      <c r="A561" s="10" t="s">
        <v>208</v>
      </c>
      <c r="B561" s="10" t="s">
        <v>42</v>
      </c>
      <c r="C561" s="10" t="s">
        <v>43</v>
      </c>
      <c r="D561" s="10" t="s">
        <v>209</v>
      </c>
      <c r="E561" s="14">
        <v>0.025</v>
      </c>
      <c r="F561" s="15">
        <f>ROUND(14.29,3)</f>
        <v>14.29</v>
      </c>
      <c r="G561" s="12">
        <f t="shared" ref="G561:G567" si="107">ROUND(E561*F561,2)</f>
        <v>0.36</v>
      </c>
    </row>
    <row r="562" ht="24.0" customHeight="1">
      <c r="A562" s="10" t="s">
        <v>111</v>
      </c>
      <c r="B562" s="10" t="s">
        <v>112</v>
      </c>
      <c r="C562" s="10" t="s">
        <v>23</v>
      </c>
      <c r="D562" s="10" t="s">
        <v>113</v>
      </c>
      <c r="E562" s="14">
        <v>0.45</v>
      </c>
      <c r="F562" s="15">
        <f>ROUND(7.526,3)</f>
        <v>7.526</v>
      </c>
      <c r="G562" s="12">
        <f t="shared" si="107"/>
        <v>3.39</v>
      </c>
    </row>
    <row r="563" ht="21.0" customHeight="1">
      <c r="A563" s="10" t="s">
        <v>22</v>
      </c>
      <c r="B563" s="10" t="s">
        <v>18</v>
      </c>
      <c r="C563" s="10" t="s">
        <v>23</v>
      </c>
      <c r="D563" s="10" t="s">
        <v>24</v>
      </c>
      <c r="E563" s="14">
        <v>0.45</v>
      </c>
      <c r="F563" s="15">
        <f>F567</f>
        <v>43.8</v>
      </c>
      <c r="G563" s="12">
        <f t="shared" si="107"/>
        <v>19.71</v>
      </c>
    </row>
    <row r="564" ht="24.0" customHeight="1">
      <c r="A564" s="10" t="s">
        <v>25</v>
      </c>
      <c r="B564" s="10" t="s">
        <v>26</v>
      </c>
      <c r="C564" s="10" t="s">
        <v>23</v>
      </c>
      <c r="D564" s="10" t="s">
        <v>27</v>
      </c>
      <c r="E564" s="14">
        <v>1.0</v>
      </c>
      <c r="F564" s="15">
        <f>ROUND(21,3)</f>
        <v>21</v>
      </c>
      <c r="G564" s="12">
        <f t="shared" si="107"/>
        <v>21</v>
      </c>
    </row>
    <row r="565" ht="24.0" customHeight="1">
      <c r="A565" s="10" t="s">
        <v>28</v>
      </c>
      <c r="B565" s="10" t="s">
        <v>26</v>
      </c>
      <c r="C565" s="10" t="s">
        <v>23</v>
      </c>
      <c r="D565" s="10" t="s">
        <v>29</v>
      </c>
      <c r="E565" s="14">
        <v>1.0</v>
      </c>
      <c r="F565" s="15">
        <f t="shared" ref="F565:F566" si="108">ROUND(19,3)</f>
        <v>19</v>
      </c>
      <c r="G565" s="12">
        <f t="shared" si="107"/>
        <v>19</v>
      </c>
    </row>
    <row r="566" ht="24.0" customHeight="1">
      <c r="A566" s="10" t="s">
        <v>30</v>
      </c>
      <c r="B566" s="10" t="s">
        <v>26</v>
      </c>
      <c r="C566" s="10" t="s">
        <v>23</v>
      </c>
      <c r="D566" s="10" t="s">
        <v>31</v>
      </c>
      <c r="E566" s="14">
        <v>0.2</v>
      </c>
      <c r="F566" s="15">
        <f t="shared" si="108"/>
        <v>19</v>
      </c>
      <c r="G566" s="12">
        <f t="shared" si="107"/>
        <v>3.8</v>
      </c>
    </row>
    <row r="567" ht="15.0" customHeight="1">
      <c r="A567" s="11"/>
      <c r="B567" s="11"/>
      <c r="C567" s="11"/>
      <c r="D567" s="10" t="s">
        <v>22</v>
      </c>
      <c r="E567" s="14">
        <v>0.45</v>
      </c>
      <c r="F567" s="15">
        <f>ROUND((G564+G565+G566),3)</f>
        <v>43.8</v>
      </c>
      <c r="G567" s="12">
        <f t="shared" si="107"/>
        <v>19.71</v>
      </c>
    </row>
    <row r="568" ht="15.0" customHeight="1">
      <c r="A568" s="10" t="s">
        <v>32</v>
      </c>
      <c r="B568" s="10"/>
      <c r="C568" s="10" t="s">
        <v>33</v>
      </c>
      <c r="D568" s="10" t="s">
        <v>34</v>
      </c>
      <c r="E568" s="14">
        <v>5.0</v>
      </c>
      <c r="F568" s="15">
        <f>ROUND(19.71,3)</f>
        <v>19.71</v>
      </c>
      <c r="G568" s="12">
        <f>ROUND((E568*F568)/100,2)</f>
        <v>0.99</v>
      </c>
    </row>
    <row r="569" ht="15.0" customHeight="1">
      <c r="A569" s="16"/>
      <c r="B569" s="16"/>
      <c r="C569" s="16"/>
      <c r="D569" s="17" t="s">
        <v>210</v>
      </c>
      <c r="E569" s="16"/>
      <c r="F569" s="18">
        <f>ROUND((G561+G562+G563+G568)*(1+G2/100),2)</f>
        <v>24.45</v>
      </c>
      <c r="G569" s="16"/>
    </row>
    <row r="570" ht="24.75" customHeight="1">
      <c r="A570" s="23"/>
      <c r="B570" s="23"/>
      <c r="C570" s="23"/>
      <c r="D570" s="30" t="s">
        <v>203</v>
      </c>
      <c r="E570" s="31"/>
      <c r="F570" s="31"/>
      <c r="G570" s="31"/>
    </row>
    <row r="571" ht="15.0" customHeight="1">
      <c r="A571" s="23"/>
      <c r="B571" s="23"/>
      <c r="C571" s="23"/>
      <c r="D571" s="24" t="s">
        <v>201</v>
      </c>
      <c r="E571" s="25"/>
      <c r="F571" s="25"/>
      <c r="G571" s="25"/>
    </row>
    <row r="572" ht="15.0" customHeight="1">
      <c r="A572" s="23"/>
      <c r="B572" s="23"/>
      <c r="C572" s="23"/>
      <c r="D572" s="32" t="s">
        <v>13</v>
      </c>
      <c r="E572" s="33"/>
      <c r="F572" s="33"/>
      <c r="G572" s="33"/>
    </row>
    <row r="573" ht="15.0" customHeight="1">
      <c r="A573" s="34" t="s">
        <v>213</v>
      </c>
      <c r="B573" s="34" t="s">
        <v>10</v>
      </c>
      <c r="C573" s="35"/>
      <c r="D573" s="34" t="s">
        <v>214</v>
      </c>
      <c r="E573" s="35"/>
      <c r="F573" s="35"/>
      <c r="G573" s="35"/>
    </row>
    <row r="574" ht="30.0" customHeight="1">
      <c r="A574" s="13" t="s">
        <v>215</v>
      </c>
      <c r="B574" s="10" t="s">
        <v>18</v>
      </c>
      <c r="C574" s="10"/>
      <c r="D574" s="10" t="s">
        <v>216</v>
      </c>
      <c r="E574" s="11"/>
      <c r="F574" s="12">
        <f>ROUND(0*(1+G2/100),2)</f>
        <v>0</v>
      </c>
      <c r="G574" s="11"/>
    </row>
    <row r="575" ht="48.75" customHeight="1">
      <c r="A575" s="11"/>
      <c r="B575" s="11"/>
      <c r="C575" s="11"/>
      <c r="D575" s="10" t="s">
        <v>217</v>
      </c>
    </row>
    <row r="576" ht="21.0" customHeight="1">
      <c r="A576" s="13" t="s">
        <v>218</v>
      </c>
      <c r="B576" s="10" t="s">
        <v>18</v>
      </c>
      <c r="C576" s="10"/>
      <c r="D576" s="10" t="s">
        <v>219</v>
      </c>
      <c r="E576" s="11"/>
      <c r="F576" s="12">
        <f>ROUND(0*(1+G2/100),2)</f>
        <v>0</v>
      </c>
      <c r="G576" s="11"/>
    </row>
    <row r="577" ht="132.0" customHeight="1">
      <c r="A577" s="11"/>
      <c r="B577" s="11"/>
      <c r="C577" s="11"/>
      <c r="D577" s="10" t="s">
        <v>220</v>
      </c>
    </row>
    <row r="578" ht="21.0" customHeight="1">
      <c r="A578" s="13" t="s">
        <v>221</v>
      </c>
      <c r="B578" s="10" t="s">
        <v>18</v>
      </c>
      <c r="C578" s="10" t="s">
        <v>222</v>
      </c>
      <c r="D578" s="10" t="s">
        <v>223</v>
      </c>
      <c r="E578" s="11"/>
      <c r="F578" s="12">
        <f>F592</f>
        <v>351.43</v>
      </c>
      <c r="G578" s="11"/>
    </row>
    <row r="579" ht="30.0" customHeight="1">
      <c r="A579" s="11"/>
      <c r="B579" s="11"/>
      <c r="C579" s="11"/>
      <c r="D579" s="10" t="s">
        <v>224</v>
      </c>
    </row>
    <row r="580" ht="21.0" customHeight="1">
      <c r="A580" s="10" t="s">
        <v>225</v>
      </c>
      <c r="B580" s="10" t="s">
        <v>42</v>
      </c>
      <c r="C580" s="10" t="s">
        <v>226</v>
      </c>
      <c r="D580" s="10" t="s">
        <v>227</v>
      </c>
      <c r="E580" s="14">
        <v>2.0</v>
      </c>
      <c r="F580" s="15">
        <f>ROUND(13.14,3)</f>
        <v>13.14</v>
      </c>
      <c r="G580" s="12">
        <f t="shared" ref="G580:G590" si="109">ROUND(E580*F580,2)</f>
        <v>26.28</v>
      </c>
    </row>
    <row r="581" ht="21.0" customHeight="1">
      <c r="A581" s="10" t="s">
        <v>228</v>
      </c>
      <c r="B581" s="10" t="s">
        <v>42</v>
      </c>
      <c r="C581" s="10" t="s">
        <v>226</v>
      </c>
      <c r="D581" s="10" t="s">
        <v>229</v>
      </c>
      <c r="E581" s="14">
        <v>5.0</v>
      </c>
      <c r="F581" s="15">
        <f>ROUND(1.32,3)</f>
        <v>1.32</v>
      </c>
      <c r="G581" s="12">
        <f t="shared" si="109"/>
        <v>6.6</v>
      </c>
    </row>
    <row r="582" ht="21.0" customHeight="1">
      <c r="A582" s="10" t="s">
        <v>230</v>
      </c>
      <c r="B582" s="10" t="s">
        <v>42</v>
      </c>
      <c r="C582" s="10" t="s">
        <v>231</v>
      </c>
      <c r="D582" s="10" t="s">
        <v>232</v>
      </c>
      <c r="E582" s="14">
        <v>5.0</v>
      </c>
      <c r="F582" s="15">
        <f>ROUND(3.47,3)</f>
        <v>3.47</v>
      </c>
      <c r="G582" s="12">
        <f t="shared" si="109"/>
        <v>17.35</v>
      </c>
    </row>
    <row r="583" ht="30.0" customHeight="1">
      <c r="A583" s="10" t="s">
        <v>233</v>
      </c>
      <c r="B583" s="10" t="s">
        <v>42</v>
      </c>
      <c r="C583" s="10" t="s">
        <v>231</v>
      </c>
      <c r="D583" s="10" t="s">
        <v>234</v>
      </c>
      <c r="E583" s="14">
        <v>0.33333</v>
      </c>
      <c r="F583" s="15">
        <f>ROUND(23.46,3)</f>
        <v>23.46</v>
      </c>
      <c r="G583" s="12">
        <f t="shared" si="109"/>
        <v>7.82</v>
      </c>
    </row>
    <row r="584" ht="21.0" customHeight="1">
      <c r="A584" s="10" t="s">
        <v>235</v>
      </c>
      <c r="B584" s="10" t="s">
        <v>42</v>
      </c>
      <c r="C584" s="10" t="s">
        <v>231</v>
      </c>
      <c r="D584" s="10" t="s">
        <v>236</v>
      </c>
      <c r="E584" s="14">
        <v>0.33333</v>
      </c>
      <c r="F584" s="15">
        <f>ROUND(30.17,3)</f>
        <v>30.17</v>
      </c>
      <c r="G584" s="12">
        <f t="shared" si="109"/>
        <v>10.06</v>
      </c>
    </row>
    <row r="585" ht="21.0" customHeight="1">
      <c r="A585" s="10" t="s">
        <v>237</v>
      </c>
      <c r="B585" s="10" t="s">
        <v>42</v>
      </c>
      <c r="C585" s="10" t="s">
        <v>231</v>
      </c>
      <c r="D585" s="10" t="s">
        <v>238</v>
      </c>
      <c r="E585" s="14">
        <v>2.0</v>
      </c>
      <c r="F585" s="15">
        <f>ROUND(6.32,3)</f>
        <v>6.32</v>
      </c>
      <c r="G585" s="12">
        <f t="shared" si="109"/>
        <v>12.64</v>
      </c>
    </row>
    <row r="586" ht="21.0" customHeight="1">
      <c r="A586" s="10" t="s">
        <v>22</v>
      </c>
      <c r="B586" s="10" t="s">
        <v>18</v>
      </c>
      <c r="C586" s="10" t="s">
        <v>23</v>
      </c>
      <c r="D586" s="10" t="s">
        <v>24</v>
      </c>
      <c r="E586" s="14">
        <v>6.0</v>
      </c>
      <c r="F586" s="15">
        <f>F590</f>
        <v>43.8</v>
      </c>
      <c r="G586" s="12">
        <f t="shared" si="109"/>
        <v>262.8</v>
      </c>
    </row>
    <row r="587" ht="24.0" customHeight="1">
      <c r="A587" s="10" t="s">
        <v>25</v>
      </c>
      <c r="B587" s="10" t="s">
        <v>26</v>
      </c>
      <c r="C587" s="10" t="s">
        <v>23</v>
      </c>
      <c r="D587" s="10" t="s">
        <v>27</v>
      </c>
      <c r="E587" s="14">
        <v>1.0</v>
      </c>
      <c r="F587" s="15">
        <f>ROUND(21,3)</f>
        <v>21</v>
      </c>
      <c r="G587" s="12">
        <f t="shared" si="109"/>
        <v>21</v>
      </c>
    </row>
    <row r="588" ht="24.0" customHeight="1">
      <c r="A588" s="10" t="s">
        <v>28</v>
      </c>
      <c r="B588" s="10" t="s">
        <v>26</v>
      </c>
      <c r="C588" s="10" t="s">
        <v>23</v>
      </c>
      <c r="D588" s="10" t="s">
        <v>29</v>
      </c>
      <c r="E588" s="14">
        <v>1.0</v>
      </c>
      <c r="F588" s="15">
        <f t="shared" ref="F588:F589" si="110">ROUND(19,3)</f>
        <v>19</v>
      </c>
      <c r="G588" s="12">
        <f t="shared" si="109"/>
        <v>19</v>
      </c>
    </row>
    <row r="589" ht="24.0" customHeight="1">
      <c r="A589" s="10" t="s">
        <v>30</v>
      </c>
      <c r="B589" s="10" t="s">
        <v>26</v>
      </c>
      <c r="C589" s="10" t="s">
        <v>23</v>
      </c>
      <c r="D589" s="10" t="s">
        <v>31</v>
      </c>
      <c r="E589" s="14">
        <v>0.2</v>
      </c>
      <c r="F589" s="15">
        <f t="shared" si="110"/>
        <v>19</v>
      </c>
      <c r="G589" s="12">
        <f t="shared" si="109"/>
        <v>3.8</v>
      </c>
    </row>
    <row r="590" ht="15.0" customHeight="1">
      <c r="A590" s="11"/>
      <c r="B590" s="11"/>
      <c r="C590" s="11"/>
      <c r="D590" s="10" t="s">
        <v>22</v>
      </c>
      <c r="E590" s="14">
        <v>6.0</v>
      </c>
      <c r="F590" s="15">
        <f>ROUND((G587+G588+G589),3)</f>
        <v>43.8</v>
      </c>
      <c r="G590" s="12">
        <f t="shared" si="109"/>
        <v>262.8</v>
      </c>
    </row>
    <row r="591" ht="15.0" customHeight="1">
      <c r="A591" s="10" t="s">
        <v>32</v>
      </c>
      <c r="B591" s="10"/>
      <c r="C591" s="10" t="s">
        <v>33</v>
      </c>
      <c r="D591" s="10" t="s">
        <v>34</v>
      </c>
      <c r="E591" s="14">
        <v>3.0</v>
      </c>
      <c r="F591" s="15">
        <f>ROUND(262.8,3)</f>
        <v>262.8</v>
      </c>
      <c r="G591" s="12">
        <f>ROUND((E591*F591)/100,2)</f>
        <v>7.88</v>
      </c>
    </row>
    <row r="592" ht="15.0" customHeight="1">
      <c r="A592" s="16"/>
      <c r="B592" s="16"/>
      <c r="C592" s="16"/>
      <c r="D592" s="17" t="s">
        <v>221</v>
      </c>
      <c r="E592" s="16"/>
      <c r="F592" s="18">
        <f>ROUND((G580+G581+G582+G583+G584+G585+G586+G591)*(1+G2/100),2)</f>
        <v>351.43</v>
      </c>
      <c r="G592" s="16"/>
    </row>
    <row r="593" ht="15.0" customHeight="1">
      <c r="A593" s="19" t="s">
        <v>239</v>
      </c>
      <c r="B593" s="20" t="s">
        <v>18</v>
      </c>
      <c r="C593" s="20" t="s">
        <v>231</v>
      </c>
      <c r="D593" s="20" t="s">
        <v>240</v>
      </c>
      <c r="E593" s="21"/>
      <c r="F593" s="22">
        <f>F605</f>
        <v>50.01</v>
      </c>
      <c r="G593" s="21"/>
    </row>
    <row r="594" ht="39.75" customHeight="1">
      <c r="A594" s="11"/>
      <c r="B594" s="11"/>
      <c r="C594" s="11"/>
      <c r="D594" s="10" t="s">
        <v>241</v>
      </c>
    </row>
    <row r="595" ht="21.0" customHeight="1">
      <c r="A595" s="10" t="s">
        <v>235</v>
      </c>
      <c r="B595" s="10" t="s">
        <v>42</v>
      </c>
      <c r="C595" s="10" t="s">
        <v>231</v>
      </c>
      <c r="D595" s="10" t="s">
        <v>236</v>
      </c>
      <c r="E595" s="14">
        <v>1.5</v>
      </c>
      <c r="F595" s="15">
        <f>ROUND(30.17,3)</f>
        <v>30.17</v>
      </c>
      <c r="G595" s="12">
        <f t="shared" ref="G595:G603" si="111">ROUND(E595*F595,2)</f>
        <v>45.26</v>
      </c>
    </row>
    <row r="596" ht="21.0" customHeight="1">
      <c r="A596" s="10" t="s">
        <v>230</v>
      </c>
      <c r="B596" s="10" t="s">
        <v>42</v>
      </c>
      <c r="C596" s="10" t="s">
        <v>231</v>
      </c>
      <c r="D596" s="10" t="s">
        <v>232</v>
      </c>
      <c r="E596" s="14">
        <v>0.3312</v>
      </c>
      <c r="F596" s="15">
        <f>ROUND(3.47,3)</f>
        <v>3.47</v>
      </c>
      <c r="G596" s="12">
        <f t="shared" si="111"/>
        <v>1.15</v>
      </c>
    </row>
    <row r="597" ht="21.0" customHeight="1">
      <c r="A597" s="10" t="s">
        <v>225</v>
      </c>
      <c r="B597" s="10" t="s">
        <v>42</v>
      </c>
      <c r="C597" s="10" t="s">
        <v>226</v>
      </c>
      <c r="D597" s="10" t="s">
        <v>227</v>
      </c>
      <c r="E597" s="14">
        <v>0.06667</v>
      </c>
      <c r="F597" s="15">
        <f>ROUND(13.14,3)</f>
        <v>13.14</v>
      </c>
      <c r="G597" s="12">
        <f t="shared" si="111"/>
        <v>0.88</v>
      </c>
    </row>
    <row r="598" ht="21.0" customHeight="1">
      <c r="A598" s="10" t="s">
        <v>242</v>
      </c>
      <c r="B598" s="10" t="s">
        <v>42</v>
      </c>
      <c r="C598" s="10" t="s">
        <v>226</v>
      </c>
      <c r="D598" s="10" t="s">
        <v>243</v>
      </c>
      <c r="E598" s="14">
        <v>0.33333</v>
      </c>
      <c r="F598" s="15">
        <f>ROUND(1.32,3)</f>
        <v>1.32</v>
      </c>
      <c r="G598" s="12">
        <f t="shared" si="111"/>
        <v>0.44</v>
      </c>
    </row>
    <row r="599" ht="21.0" customHeight="1">
      <c r="A599" s="10" t="s">
        <v>22</v>
      </c>
      <c r="B599" s="10" t="s">
        <v>18</v>
      </c>
      <c r="C599" s="10" t="s">
        <v>23</v>
      </c>
      <c r="D599" s="10" t="s">
        <v>24</v>
      </c>
      <c r="E599" s="14">
        <v>0.05</v>
      </c>
      <c r="F599" s="15">
        <f>F603</f>
        <v>43.8</v>
      </c>
      <c r="G599" s="12">
        <f t="shared" si="111"/>
        <v>2.19</v>
      </c>
    </row>
    <row r="600" ht="24.0" customHeight="1">
      <c r="A600" s="10" t="s">
        <v>25</v>
      </c>
      <c r="B600" s="10" t="s">
        <v>26</v>
      </c>
      <c r="C600" s="10" t="s">
        <v>23</v>
      </c>
      <c r="D600" s="10" t="s">
        <v>27</v>
      </c>
      <c r="E600" s="14">
        <v>1.0</v>
      </c>
      <c r="F600" s="15">
        <f>ROUND(21,3)</f>
        <v>21</v>
      </c>
      <c r="G600" s="12">
        <f t="shared" si="111"/>
        <v>21</v>
      </c>
    </row>
    <row r="601" ht="24.0" customHeight="1">
      <c r="A601" s="10" t="s">
        <v>28</v>
      </c>
      <c r="B601" s="10" t="s">
        <v>26</v>
      </c>
      <c r="C601" s="10" t="s">
        <v>23</v>
      </c>
      <c r="D601" s="10" t="s">
        <v>29</v>
      </c>
      <c r="E601" s="14">
        <v>1.0</v>
      </c>
      <c r="F601" s="15">
        <f t="shared" ref="F601:F602" si="112">ROUND(19,3)</f>
        <v>19</v>
      </c>
      <c r="G601" s="12">
        <f t="shared" si="111"/>
        <v>19</v>
      </c>
    </row>
    <row r="602" ht="24.0" customHeight="1">
      <c r="A602" s="10" t="s">
        <v>30</v>
      </c>
      <c r="B602" s="10" t="s">
        <v>26</v>
      </c>
      <c r="C602" s="10" t="s">
        <v>23</v>
      </c>
      <c r="D602" s="10" t="s">
        <v>31</v>
      </c>
      <c r="E602" s="14">
        <v>0.2</v>
      </c>
      <c r="F602" s="15">
        <f t="shared" si="112"/>
        <v>19</v>
      </c>
      <c r="G602" s="12">
        <f t="shared" si="111"/>
        <v>3.8</v>
      </c>
    </row>
    <row r="603" ht="15.0" customHeight="1">
      <c r="A603" s="11"/>
      <c r="B603" s="11"/>
      <c r="C603" s="11"/>
      <c r="D603" s="10" t="s">
        <v>22</v>
      </c>
      <c r="E603" s="14">
        <v>0.05</v>
      </c>
      <c r="F603" s="15">
        <f>ROUND((G600+G601+G602),3)</f>
        <v>43.8</v>
      </c>
      <c r="G603" s="12">
        <f t="shared" si="111"/>
        <v>2.19</v>
      </c>
    </row>
    <row r="604" ht="15.0" customHeight="1">
      <c r="A604" s="10" t="s">
        <v>32</v>
      </c>
      <c r="B604" s="10"/>
      <c r="C604" s="10" t="s">
        <v>33</v>
      </c>
      <c r="D604" s="10" t="s">
        <v>34</v>
      </c>
      <c r="E604" s="14">
        <v>4.0</v>
      </c>
      <c r="F604" s="15">
        <f>ROUND(2.19,3)</f>
        <v>2.19</v>
      </c>
      <c r="G604" s="12">
        <f>ROUND((E604*F604)/100,2)</f>
        <v>0.09</v>
      </c>
    </row>
    <row r="605" ht="15.0" customHeight="1">
      <c r="A605" s="16"/>
      <c r="B605" s="16"/>
      <c r="C605" s="16"/>
      <c r="D605" s="17" t="s">
        <v>239</v>
      </c>
      <c r="E605" s="16"/>
      <c r="F605" s="18">
        <f>ROUND((G595+G596+G597+G598+G599+G604)*(1+G2/100),2)</f>
        <v>50.01</v>
      </c>
      <c r="G605" s="16"/>
    </row>
    <row r="606" ht="21.0" customHeight="1">
      <c r="A606" s="19" t="s">
        <v>244</v>
      </c>
      <c r="B606" s="20" t="s">
        <v>18</v>
      </c>
      <c r="C606" s="20" t="s">
        <v>222</v>
      </c>
      <c r="D606" s="20" t="s">
        <v>245</v>
      </c>
      <c r="E606" s="21"/>
      <c r="F606" s="22">
        <f>F614</f>
        <v>180.46</v>
      </c>
      <c r="G606" s="21"/>
    </row>
    <row r="607" ht="21.0" customHeight="1">
      <c r="A607" s="11"/>
      <c r="B607" s="11"/>
      <c r="C607" s="11"/>
      <c r="D607" s="10" t="s">
        <v>246</v>
      </c>
    </row>
    <row r="608" ht="21.0" customHeight="1">
      <c r="A608" s="10" t="s">
        <v>22</v>
      </c>
      <c r="B608" s="10" t="s">
        <v>18</v>
      </c>
      <c r="C608" s="10" t="s">
        <v>23</v>
      </c>
      <c r="D608" s="10" t="s">
        <v>24</v>
      </c>
      <c r="E608" s="14">
        <v>4.0</v>
      </c>
      <c r="F608" s="15">
        <f>F612</f>
        <v>43.8</v>
      </c>
      <c r="G608" s="12">
        <f t="shared" ref="G608:G612" si="113">ROUND(E608*F608,2)</f>
        <v>175.2</v>
      </c>
    </row>
    <row r="609" ht="24.0" customHeight="1">
      <c r="A609" s="10" t="s">
        <v>25</v>
      </c>
      <c r="B609" s="10" t="s">
        <v>26</v>
      </c>
      <c r="C609" s="10" t="s">
        <v>23</v>
      </c>
      <c r="D609" s="10" t="s">
        <v>27</v>
      </c>
      <c r="E609" s="14">
        <v>1.0</v>
      </c>
      <c r="F609" s="15">
        <f>ROUND(21,3)</f>
        <v>21</v>
      </c>
      <c r="G609" s="12">
        <f t="shared" si="113"/>
        <v>21</v>
      </c>
    </row>
    <row r="610" ht="24.0" customHeight="1">
      <c r="A610" s="10" t="s">
        <v>28</v>
      </c>
      <c r="B610" s="10" t="s">
        <v>26</v>
      </c>
      <c r="C610" s="10" t="s">
        <v>23</v>
      </c>
      <c r="D610" s="10" t="s">
        <v>29</v>
      </c>
      <c r="E610" s="14">
        <v>1.0</v>
      </c>
      <c r="F610" s="15">
        <f t="shared" ref="F610:F611" si="114">ROUND(19,3)</f>
        <v>19</v>
      </c>
      <c r="G610" s="12">
        <f t="shared" si="113"/>
        <v>19</v>
      </c>
    </row>
    <row r="611" ht="24.0" customHeight="1">
      <c r="A611" s="10" t="s">
        <v>30</v>
      </c>
      <c r="B611" s="10" t="s">
        <v>26</v>
      </c>
      <c r="C611" s="10" t="s">
        <v>23</v>
      </c>
      <c r="D611" s="10" t="s">
        <v>31</v>
      </c>
      <c r="E611" s="14">
        <v>0.2</v>
      </c>
      <c r="F611" s="15">
        <f t="shared" si="114"/>
        <v>19</v>
      </c>
      <c r="G611" s="12">
        <f t="shared" si="113"/>
        <v>3.8</v>
      </c>
    </row>
    <row r="612" ht="15.0" customHeight="1">
      <c r="A612" s="11"/>
      <c r="B612" s="11"/>
      <c r="C612" s="11"/>
      <c r="D612" s="10" t="s">
        <v>22</v>
      </c>
      <c r="E612" s="14">
        <v>4.0</v>
      </c>
      <c r="F612" s="15">
        <f>ROUND((G609+G610+G611),3)</f>
        <v>43.8</v>
      </c>
      <c r="G612" s="12">
        <f t="shared" si="113"/>
        <v>175.2</v>
      </c>
    </row>
    <row r="613" ht="15.0" customHeight="1">
      <c r="A613" s="10" t="s">
        <v>32</v>
      </c>
      <c r="B613" s="10"/>
      <c r="C613" s="10" t="s">
        <v>33</v>
      </c>
      <c r="D613" s="10" t="s">
        <v>34</v>
      </c>
      <c r="E613" s="14">
        <v>3.0</v>
      </c>
      <c r="F613" s="15">
        <f>ROUND(175.2,3)</f>
        <v>175.2</v>
      </c>
      <c r="G613" s="12">
        <f>ROUND((E613*F613)/100,2)</f>
        <v>5.26</v>
      </c>
    </row>
    <row r="614" ht="15.0" customHeight="1">
      <c r="A614" s="16"/>
      <c r="B614" s="16"/>
      <c r="C614" s="16"/>
      <c r="D614" s="17" t="s">
        <v>244</v>
      </c>
      <c r="E614" s="16"/>
      <c r="F614" s="18">
        <f>ROUND((G608+G613)*(1+G2/100),2)</f>
        <v>180.46</v>
      </c>
      <c r="G614" s="16"/>
    </row>
    <row r="615" ht="57.75" customHeight="1">
      <c r="A615" s="19" t="s">
        <v>247</v>
      </c>
      <c r="B615" s="20" t="s">
        <v>18</v>
      </c>
      <c r="C615" s="20" t="s">
        <v>19</v>
      </c>
      <c r="D615" s="20" t="s">
        <v>248</v>
      </c>
      <c r="E615" s="21"/>
      <c r="F615" s="22">
        <f>F627</f>
        <v>37.26</v>
      </c>
      <c r="G615" s="21"/>
    </row>
    <row r="616" ht="30.0" customHeight="1">
      <c r="A616" s="11"/>
      <c r="B616" s="11"/>
      <c r="C616" s="11"/>
      <c r="D616" s="10" t="s">
        <v>249</v>
      </c>
    </row>
    <row r="617" ht="21.0" customHeight="1">
      <c r="A617" s="10" t="s">
        <v>235</v>
      </c>
      <c r="B617" s="10" t="s">
        <v>42</v>
      </c>
      <c r="C617" s="10" t="s">
        <v>231</v>
      </c>
      <c r="D617" s="10" t="s">
        <v>236</v>
      </c>
      <c r="E617" s="14">
        <v>0.5</v>
      </c>
      <c r="F617" s="15">
        <f>ROUND(30.17,3)</f>
        <v>30.17</v>
      </c>
      <c r="G617" s="12">
        <f t="shared" ref="G617:G625" si="115">ROUND(E617*F617,2)</f>
        <v>15.09</v>
      </c>
    </row>
    <row r="618" ht="21.0" customHeight="1">
      <c r="A618" s="10" t="s">
        <v>225</v>
      </c>
      <c r="B618" s="10" t="s">
        <v>42</v>
      </c>
      <c r="C618" s="10" t="s">
        <v>226</v>
      </c>
      <c r="D618" s="10" t="s">
        <v>227</v>
      </c>
      <c r="E618" s="14">
        <v>0.05</v>
      </c>
      <c r="F618" s="15">
        <f>ROUND(13.14,3)</f>
        <v>13.14</v>
      </c>
      <c r="G618" s="12">
        <f t="shared" si="115"/>
        <v>0.66</v>
      </c>
    </row>
    <row r="619" ht="21.0" customHeight="1">
      <c r="A619" s="10" t="s">
        <v>230</v>
      </c>
      <c r="B619" s="10" t="s">
        <v>42</v>
      </c>
      <c r="C619" s="10" t="s">
        <v>231</v>
      </c>
      <c r="D619" s="10" t="s">
        <v>232</v>
      </c>
      <c r="E619" s="14">
        <v>0.1</v>
      </c>
      <c r="F619" s="15">
        <f>ROUND(3.47,3)</f>
        <v>3.47</v>
      </c>
      <c r="G619" s="12">
        <f t="shared" si="115"/>
        <v>0.35</v>
      </c>
    </row>
    <row r="620" ht="21.0" customHeight="1">
      <c r="A620" s="10" t="s">
        <v>242</v>
      </c>
      <c r="B620" s="10" t="s">
        <v>42</v>
      </c>
      <c r="C620" s="10" t="s">
        <v>226</v>
      </c>
      <c r="D620" s="10" t="s">
        <v>243</v>
      </c>
      <c r="E620" s="14">
        <v>0.08</v>
      </c>
      <c r="F620" s="15">
        <f>ROUND(1.32,3)</f>
        <v>1.32</v>
      </c>
      <c r="G620" s="12">
        <f t="shared" si="115"/>
        <v>0.11</v>
      </c>
    </row>
    <row r="621" ht="21.0" customHeight="1">
      <c r="A621" s="10" t="s">
        <v>22</v>
      </c>
      <c r="B621" s="10" t="s">
        <v>18</v>
      </c>
      <c r="C621" s="10" t="s">
        <v>23</v>
      </c>
      <c r="D621" s="10" t="s">
        <v>24</v>
      </c>
      <c r="E621" s="14">
        <v>0.46667</v>
      </c>
      <c r="F621" s="15">
        <f>F625</f>
        <v>43.8</v>
      </c>
      <c r="G621" s="12">
        <f t="shared" si="115"/>
        <v>20.44</v>
      </c>
    </row>
    <row r="622" ht="24.0" customHeight="1">
      <c r="A622" s="10" t="s">
        <v>25</v>
      </c>
      <c r="B622" s="10" t="s">
        <v>26</v>
      </c>
      <c r="C622" s="10" t="s">
        <v>23</v>
      </c>
      <c r="D622" s="10" t="s">
        <v>27</v>
      </c>
      <c r="E622" s="14">
        <v>1.0</v>
      </c>
      <c r="F622" s="15">
        <f>ROUND(21,3)</f>
        <v>21</v>
      </c>
      <c r="G622" s="12">
        <f t="shared" si="115"/>
        <v>21</v>
      </c>
    </row>
    <row r="623" ht="24.0" customHeight="1">
      <c r="A623" s="10" t="s">
        <v>28</v>
      </c>
      <c r="B623" s="10" t="s">
        <v>26</v>
      </c>
      <c r="C623" s="10" t="s">
        <v>23</v>
      </c>
      <c r="D623" s="10" t="s">
        <v>29</v>
      </c>
      <c r="E623" s="14">
        <v>1.0</v>
      </c>
      <c r="F623" s="15">
        <f t="shared" ref="F623:F624" si="116">ROUND(19,3)</f>
        <v>19</v>
      </c>
      <c r="G623" s="12">
        <f t="shared" si="115"/>
        <v>19</v>
      </c>
    </row>
    <row r="624" ht="24.0" customHeight="1">
      <c r="A624" s="10" t="s">
        <v>30</v>
      </c>
      <c r="B624" s="10" t="s">
        <v>26</v>
      </c>
      <c r="C624" s="10" t="s">
        <v>23</v>
      </c>
      <c r="D624" s="10" t="s">
        <v>31</v>
      </c>
      <c r="E624" s="14">
        <v>0.2</v>
      </c>
      <c r="F624" s="15">
        <f t="shared" si="116"/>
        <v>19</v>
      </c>
      <c r="G624" s="12">
        <f t="shared" si="115"/>
        <v>3.8</v>
      </c>
    </row>
    <row r="625" ht="15.0" customHeight="1">
      <c r="A625" s="11"/>
      <c r="B625" s="11"/>
      <c r="C625" s="11"/>
      <c r="D625" s="10" t="s">
        <v>22</v>
      </c>
      <c r="E625" s="14">
        <v>0.46667</v>
      </c>
      <c r="F625" s="15">
        <f>ROUND((G622+G623+G624),3)</f>
        <v>43.8</v>
      </c>
      <c r="G625" s="12">
        <f t="shared" si="115"/>
        <v>20.44</v>
      </c>
    </row>
    <row r="626" ht="15.0" customHeight="1">
      <c r="A626" s="10" t="s">
        <v>32</v>
      </c>
      <c r="B626" s="10"/>
      <c r="C626" s="10" t="s">
        <v>33</v>
      </c>
      <c r="D626" s="10" t="s">
        <v>34</v>
      </c>
      <c r="E626" s="14">
        <v>3.0</v>
      </c>
      <c r="F626" s="15">
        <f>ROUND(20.44,3)</f>
        <v>20.44</v>
      </c>
      <c r="G626" s="12">
        <f>ROUND((E626*F626)/100,2)</f>
        <v>0.61</v>
      </c>
    </row>
    <row r="627" ht="15.0" customHeight="1">
      <c r="A627" s="16"/>
      <c r="B627" s="16"/>
      <c r="C627" s="16"/>
      <c r="D627" s="17" t="s">
        <v>247</v>
      </c>
      <c r="E627" s="16"/>
      <c r="F627" s="18">
        <f>ROUND((G617+G618+G619+G620+G621+G626)*(1+G2/100),2)</f>
        <v>37.26</v>
      </c>
      <c r="G627" s="16"/>
    </row>
    <row r="628" ht="30.0" customHeight="1">
      <c r="A628" s="19" t="s">
        <v>250</v>
      </c>
      <c r="B628" s="20" t="s">
        <v>18</v>
      </c>
      <c r="C628" s="20" t="s">
        <v>251</v>
      </c>
      <c r="D628" s="20" t="s">
        <v>252</v>
      </c>
      <c r="E628" s="21"/>
      <c r="F628" s="22">
        <f>F639</f>
        <v>4.82</v>
      </c>
      <c r="G628" s="21"/>
    </row>
    <row r="629" ht="39.75" customHeight="1">
      <c r="A629" s="11"/>
      <c r="B629" s="11"/>
      <c r="C629" s="11"/>
      <c r="D629" s="10" t="s">
        <v>253</v>
      </c>
    </row>
    <row r="630" ht="39.75" customHeight="1">
      <c r="A630" s="10" t="s">
        <v>41</v>
      </c>
      <c r="B630" s="10" t="s">
        <v>42</v>
      </c>
      <c r="C630" s="10" t="s">
        <v>43</v>
      </c>
      <c r="D630" s="10" t="s">
        <v>44</v>
      </c>
      <c r="E630" s="14">
        <v>0.04</v>
      </c>
      <c r="F630" s="15">
        <f>ROUND(9.13,3)</f>
        <v>9.13</v>
      </c>
      <c r="G630" s="12">
        <f t="shared" ref="G630:G637" si="117">ROUND(E630*F630,2)</f>
        <v>0.37</v>
      </c>
    </row>
    <row r="631" ht="15.0" customHeight="1">
      <c r="A631" s="10" t="s">
        <v>254</v>
      </c>
      <c r="B631" s="10" t="s">
        <v>42</v>
      </c>
      <c r="C631" s="10" t="s">
        <v>255</v>
      </c>
      <c r="D631" s="10" t="s">
        <v>256</v>
      </c>
      <c r="E631" s="14">
        <v>0.04</v>
      </c>
      <c r="F631" s="15">
        <f>ROUND(5.95,3)</f>
        <v>5.95</v>
      </c>
      <c r="G631" s="12">
        <f t="shared" si="117"/>
        <v>0.24</v>
      </c>
    </row>
    <row r="632" ht="24.0" customHeight="1">
      <c r="A632" s="10" t="s">
        <v>111</v>
      </c>
      <c r="B632" s="10" t="s">
        <v>112</v>
      </c>
      <c r="C632" s="10" t="s">
        <v>23</v>
      </c>
      <c r="D632" s="10" t="s">
        <v>113</v>
      </c>
      <c r="E632" s="14">
        <v>0.08</v>
      </c>
      <c r="F632" s="15">
        <f>ROUND(7.526,3)</f>
        <v>7.526</v>
      </c>
      <c r="G632" s="12">
        <f t="shared" si="117"/>
        <v>0.6</v>
      </c>
    </row>
    <row r="633" ht="21.0" customHeight="1">
      <c r="A633" s="10" t="s">
        <v>22</v>
      </c>
      <c r="B633" s="10" t="s">
        <v>18</v>
      </c>
      <c r="C633" s="10" t="s">
        <v>23</v>
      </c>
      <c r="D633" s="10" t="s">
        <v>24</v>
      </c>
      <c r="E633" s="14">
        <v>0.08</v>
      </c>
      <c r="F633" s="15">
        <f>F637</f>
        <v>43.8</v>
      </c>
      <c r="G633" s="12">
        <f t="shared" si="117"/>
        <v>3.5</v>
      </c>
    </row>
    <row r="634" ht="24.0" customHeight="1">
      <c r="A634" s="10" t="s">
        <v>25</v>
      </c>
      <c r="B634" s="10" t="s">
        <v>26</v>
      </c>
      <c r="C634" s="10" t="s">
        <v>23</v>
      </c>
      <c r="D634" s="10" t="s">
        <v>27</v>
      </c>
      <c r="E634" s="14">
        <v>1.0</v>
      </c>
      <c r="F634" s="15">
        <f>ROUND(21,3)</f>
        <v>21</v>
      </c>
      <c r="G634" s="12">
        <f t="shared" si="117"/>
        <v>21</v>
      </c>
    </row>
    <row r="635" ht="24.0" customHeight="1">
      <c r="A635" s="10" t="s">
        <v>28</v>
      </c>
      <c r="B635" s="10" t="s">
        <v>26</v>
      </c>
      <c r="C635" s="10" t="s">
        <v>23</v>
      </c>
      <c r="D635" s="10" t="s">
        <v>29</v>
      </c>
      <c r="E635" s="14">
        <v>1.0</v>
      </c>
      <c r="F635" s="15">
        <f t="shared" ref="F635:F636" si="118">ROUND(19,3)</f>
        <v>19</v>
      </c>
      <c r="G635" s="12">
        <f t="shared" si="117"/>
        <v>19</v>
      </c>
    </row>
    <row r="636" ht="24.0" customHeight="1">
      <c r="A636" s="10" t="s">
        <v>30</v>
      </c>
      <c r="B636" s="10" t="s">
        <v>26</v>
      </c>
      <c r="C636" s="10" t="s">
        <v>23</v>
      </c>
      <c r="D636" s="10" t="s">
        <v>31</v>
      </c>
      <c r="E636" s="14">
        <v>0.2</v>
      </c>
      <c r="F636" s="15">
        <f t="shared" si="118"/>
        <v>19</v>
      </c>
      <c r="G636" s="12">
        <f t="shared" si="117"/>
        <v>3.8</v>
      </c>
    </row>
    <row r="637" ht="15.0" customHeight="1">
      <c r="A637" s="11"/>
      <c r="B637" s="11"/>
      <c r="C637" s="11"/>
      <c r="D637" s="10" t="s">
        <v>22</v>
      </c>
      <c r="E637" s="14">
        <v>0.08</v>
      </c>
      <c r="F637" s="15">
        <f>ROUND((G634+G635+G636),3)</f>
        <v>43.8</v>
      </c>
      <c r="G637" s="12">
        <f t="shared" si="117"/>
        <v>3.5</v>
      </c>
    </row>
    <row r="638" ht="15.0" customHeight="1">
      <c r="A638" s="10" t="s">
        <v>32</v>
      </c>
      <c r="B638" s="10"/>
      <c r="C638" s="10" t="s">
        <v>33</v>
      </c>
      <c r="D638" s="10" t="s">
        <v>34</v>
      </c>
      <c r="E638" s="14">
        <v>3.0</v>
      </c>
      <c r="F638" s="15">
        <f>ROUND(3.5,3)</f>
        <v>3.5</v>
      </c>
      <c r="G638" s="12">
        <f>ROUND((E638*F638)/100,2)</f>
        <v>0.11</v>
      </c>
    </row>
    <row r="639" ht="15.0" customHeight="1">
      <c r="A639" s="16"/>
      <c r="B639" s="16"/>
      <c r="C639" s="16"/>
      <c r="D639" s="17" t="s">
        <v>250</v>
      </c>
      <c r="E639" s="16"/>
      <c r="F639" s="18">
        <f>ROUND((G630+G631+G632+G633+G638)*(1+G2/100),2)</f>
        <v>4.82</v>
      </c>
      <c r="G639" s="16"/>
    </row>
    <row r="640" ht="21.0" customHeight="1">
      <c r="A640" s="19" t="s">
        <v>257</v>
      </c>
      <c r="B640" s="20" t="s">
        <v>18</v>
      </c>
      <c r="C640" s="20" t="s">
        <v>251</v>
      </c>
      <c r="D640" s="20" t="s">
        <v>258</v>
      </c>
      <c r="E640" s="21"/>
      <c r="F640" s="22">
        <f>F649</f>
        <v>13.04</v>
      </c>
      <c r="G640" s="21"/>
    </row>
    <row r="641" ht="30.0" customHeight="1">
      <c r="A641" s="11"/>
      <c r="B641" s="11"/>
      <c r="C641" s="11"/>
      <c r="D641" s="10" t="s">
        <v>259</v>
      </c>
    </row>
    <row r="642" ht="30.0" customHeight="1">
      <c r="A642" s="10" t="s">
        <v>260</v>
      </c>
      <c r="B642" s="10" t="s">
        <v>42</v>
      </c>
      <c r="C642" s="10" t="s">
        <v>43</v>
      </c>
      <c r="D642" s="10" t="s">
        <v>261</v>
      </c>
      <c r="E642" s="14">
        <v>0.1</v>
      </c>
      <c r="F642" s="15">
        <f>ROUND(24.47,3)</f>
        <v>24.47</v>
      </c>
      <c r="G642" s="12">
        <f t="shared" ref="G642:G648" si="119">ROUND(E642*F642,2)</f>
        <v>2.45</v>
      </c>
    </row>
    <row r="643" ht="39.75" customHeight="1">
      <c r="A643" s="10" t="s">
        <v>41</v>
      </c>
      <c r="B643" s="10" t="s">
        <v>42</v>
      </c>
      <c r="C643" s="10" t="s">
        <v>43</v>
      </c>
      <c r="D643" s="10" t="s">
        <v>44</v>
      </c>
      <c r="E643" s="14">
        <v>0.2</v>
      </c>
      <c r="F643" s="15">
        <f>ROUND(9.13,3)</f>
        <v>9.13</v>
      </c>
      <c r="G643" s="12">
        <f t="shared" si="119"/>
        <v>1.83</v>
      </c>
    </row>
    <row r="644" ht="21.0" customHeight="1">
      <c r="A644" s="10" t="s">
        <v>22</v>
      </c>
      <c r="B644" s="10" t="s">
        <v>18</v>
      </c>
      <c r="C644" s="10" t="s">
        <v>23</v>
      </c>
      <c r="D644" s="10" t="s">
        <v>24</v>
      </c>
      <c r="E644" s="14">
        <v>0.2</v>
      </c>
      <c r="F644" s="15">
        <f>F648</f>
        <v>43.8</v>
      </c>
      <c r="G644" s="12">
        <f t="shared" si="119"/>
        <v>8.76</v>
      </c>
    </row>
    <row r="645" ht="24.0" customHeight="1">
      <c r="A645" s="10" t="s">
        <v>25</v>
      </c>
      <c r="B645" s="10" t="s">
        <v>26</v>
      </c>
      <c r="C645" s="10" t="s">
        <v>23</v>
      </c>
      <c r="D645" s="10" t="s">
        <v>27</v>
      </c>
      <c r="E645" s="14">
        <v>1.0</v>
      </c>
      <c r="F645" s="15">
        <f>ROUND(21,3)</f>
        <v>21</v>
      </c>
      <c r="G645" s="12">
        <f t="shared" si="119"/>
        <v>21</v>
      </c>
    </row>
    <row r="646" ht="24.0" customHeight="1">
      <c r="A646" s="10" t="s">
        <v>28</v>
      </c>
      <c r="B646" s="10" t="s">
        <v>26</v>
      </c>
      <c r="C646" s="10" t="s">
        <v>23</v>
      </c>
      <c r="D646" s="10" t="s">
        <v>29</v>
      </c>
      <c r="E646" s="14">
        <v>1.0</v>
      </c>
      <c r="F646" s="15">
        <f t="shared" ref="F646:F647" si="120">ROUND(19,3)</f>
        <v>19</v>
      </c>
      <c r="G646" s="12">
        <f t="shared" si="119"/>
        <v>19</v>
      </c>
    </row>
    <row r="647" ht="24.0" customHeight="1">
      <c r="A647" s="10" t="s">
        <v>30</v>
      </c>
      <c r="B647" s="10" t="s">
        <v>26</v>
      </c>
      <c r="C647" s="10" t="s">
        <v>23</v>
      </c>
      <c r="D647" s="10" t="s">
        <v>31</v>
      </c>
      <c r="E647" s="14">
        <v>0.2</v>
      </c>
      <c r="F647" s="15">
        <f t="shared" si="120"/>
        <v>19</v>
      </c>
      <c r="G647" s="12">
        <f t="shared" si="119"/>
        <v>3.8</v>
      </c>
    </row>
    <row r="648" ht="15.0" customHeight="1">
      <c r="A648" s="11"/>
      <c r="B648" s="11"/>
      <c r="C648" s="11"/>
      <c r="D648" s="10" t="s">
        <v>22</v>
      </c>
      <c r="E648" s="14">
        <v>0.2</v>
      </c>
      <c r="F648" s="15">
        <f>ROUND((G645+G646+G647),3)</f>
        <v>43.8</v>
      </c>
      <c r="G648" s="12">
        <f t="shared" si="119"/>
        <v>8.76</v>
      </c>
    </row>
    <row r="649" ht="15.0" customHeight="1">
      <c r="A649" s="16"/>
      <c r="B649" s="16"/>
      <c r="C649" s="16"/>
      <c r="D649" s="17" t="s">
        <v>257</v>
      </c>
      <c r="E649" s="16"/>
      <c r="F649" s="18">
        <f>ROUND((G642+G643+G644)*(1+G2/100),2)</f>
        <v>13.04</v>
      </c>
      <c r="G649" s="16"/>
    </row>
    <row r="650" ht="21.0" customHeight="1">
      <c r="A650" s="19" t="s">
        <v>262</v>
      </c>
      <c r="B650" s="20" t="s">
        <v>18</v>
      </c>
      <c r="C650" s="20" t="s">
        <v>251</v>
      </c>
      <c r="D650" s="20" t="s">
        <v>263</v>
      </c>
      <c r="E650" s="21"/>
      <c r="F650" s="22">
        <f>F660</f>
        <v>7.05</v>
      </c>
      <c r="G650" s="21"/>
    </row>
    <row r="651" ht="48.75" customHeight="1">
      <c r="A651" s="11"/>
      <c r="B651" s="11"/>
      <c r="C651" s="11"/>
      <c r="D651" s="10" t="s">
        <v>264</v>
      </c>
    </row>
    <row r="652" ht="30.0" customHeight="1">
      <c r="A652" s="10" t="s">
        <v>265</v>
      </c>
      <c r="B652" s="10" t="s">
        <v>42</v>
      </c>
      <c r="C652" s="10" t="s">
        <v>43</v>
      </c>
      <c r="D652" s="10" t="s">
        <v>266</v>
      </c>
      <c r="E652" s="14">
        <v>0.015</v>
      </c>
      <c r="F652" s="15">
        <f>ROUND(48.9,3)</f>
        <v>48.9</v>
      </c>
      <c r="G652" s="12">
        <f t="shared" ref="G652:G658" si="121">ROUND(E652*F652,2)</f>
        <v>0.73</v>
      </c>
    </row>
    <row r="653" ht="24.0" customHeight="1">
      <c r="A653" s="10" t="s">
        <v>111</v>
      </c>
      <c r="B653" s="10" t="s">
        <v>112</v>
      </c>
      <c r="C653" s="10" t="s">
        <v>23</v>
      </c>
      <c r="D653" s="10" t="s">
        <v>113</v>
      </c>
      <c r="E653" s="14">
        <v>0.12</v>
      </c>
      <c r="F653" s="15">
        <f>ROUND(7.526,3)</f>
        <v>7.526</v>
      </c>
      <c r="G653" s="12">
        <f t="shared" si="121"/>
        <v>0.9</v>
      </c>
    </row>
    <row r="654" ht="21.0" customHeight="1">
      <c r="A654" s="10" t="s">
        <v>22</v>
      </c>
      <c r="B654" s="10" t="s">
        <v>18</v>
      </c>
      <c r="C654" s="10" t="s">
        <v>23</v>
      </c>
      <c r="D654" s="10" t="s">
        <v>24</v>
      </c>
      <c r="E654" s="14">
        <v>0.12</v>
      </c>
      <c r="F654" s="15">
        <f>F658</f>
        <v>43.8</v>
      </c>
      <c r="G654" s="12">
        <f t="shared" si="121"/>
        <v>5.26</v>
      </c>
    </row>
    <row r="655" ht="24.0" customHeight="1">
      <c r="A655" s="10" t="s">
        <v>25</v>
      </c>
      <c r="B655" s="10" t="s">
        <v>26</v>
      </c>
      <c r="C655" s="10" t="s">
        <v>23</v>
      </c>
      <c r="D655" s="10" t="s">
        <v>27</v>
      </c>
      <c r="E655" s="14">
        <v>1.0</v>
      </c>
      <c r="F655" s="15">
        <f>ROUND(21,3)</f>
        <v>21</v>
      </c>
      <c r="G655" s="12">
        <f t="shared" si="121"/>
        <v>21</v>
      </c>
    </row>
    <row r="656" ht="24.0" customHeight="1">
      <c r="A656" s="10" t="s">
        <v>28</v>
      </c>
      <c r="B656" s="10" t="s">
        <v>26</v>
      </c>
      <c r="C656" s="10" t="s">
        <v>23</v>
      </c>
      <c r="D656" s="10" t="s">
        <v>29</v>
      </c>
      <c r="E656" s="14">
        <v>1.0</v>
      </c>
      <c r="F656" s="15">
        <f t="shared" ref="F656:F657" si="122">ROUND(19,3)</f>
        <v>19</v>
      </c>
      <c r="G656" s="12">
        <f t="shared" si="121"/>
        <v>19</v>
      </c>
    </row>
    <row r="657" ht="24.0" customHeight="1">
      <c r="A657" s="10" t="s">
        <v>30</v>
      </c>
      <c r="B657" s="10" t="s">
        <v>26</v>
      </c>
      <c r="C657" s="10" t="s">
        <v>23</v>
      </c>
      <c r="D657" s="10" t="s">
        <v>31</v>
      </c>
      <c r="E657" s="14">
        <v>0.2</v>
      </c>
      <c r="F657" s="15">
        <f t="shared" si="122"/>
        <v>19</v>
      </c>
      <c r="G657" s="12">
        <f t="shared" si="121"/>
        <v>3.8</v>
      </c>
    </row>
    <row r="658" ht="15.0" customHeight="1">
      <c r="A658" s="11"/>
      <c r="B658" s="11"/>
      <c r="C658" s="11"/>
      <c r="D658" s="10" t="s">
        <v>22</v>
      </c>
      <c r="E658" s="14">
        <v>0.12</v>
      </c>
      <c r="F658" s="15">
        <f>ROUND((G655+G656+G657),3)</f>
        <v>43.8</v>
      </c>
      <c r="G658" s="12">
        <f t="shared" si="121"/>
        <v>5.26</v>
      </c>
    </row>
    <row r="659" ht="15.0" customHeight="1">
      <c r="A659" s="10" t="s">
        <v>32</v>
      </c>
      <c r="B659" s="10"/>
      <c r="C659" s="10" t="s">
        <v>33</v>
      </c>
      <c r="D659" s="10" t="s">
        <v>34</v>
      </c>
      <c r="E659" s="14">
        <v>3.0</v>
      </c>
      <c r="F659" s="15">
        <f>ROUND(5.26,3)</f>
        <v>5.26</v>
      </c>
      <c r="G659" s="12">
        <f>ROUND((E659*F659)/100,2)</f>
        <v>0.16</v>
      </c>
    </row>
    <row r="660" ht="15.0" customHeight="1">
      <c r="A660" s="16"/>
      <c r="B660" s="16"/>
      <c r="C660" s="16"/>
      <c r="D660" s="17" t="s">
        <v>262</v>
      </c>
      <c r="E660" s="16"/>
      <c r="F660" s="18">
        <f>ROUND((G652+G653+G654+G659)*(1+G2/100),2)</f>
        <v>7.05</v>
      </c>
      <c r="G660" s="16"/>
    </row>
    <row r="661" ht="21.0" customHeight="1">
      <c r="A661" s="19" t="s">
        <v>267</v>
      </c>
      <c r="B661" s="20" t="s">
        <v>18</v>
      </c>
      <c r="C661" s="20" t="s">
        <v>251</v>
      </c>
      <c r="D661" s="20" t="s">
        <v>268</v>
      </c>
      <c r="E661" s="21"/>
      <c r="F661" s="22">
        <f>F670</f>
        <v>11.76</v>
      </c>
      <c r="G661" s="21"/>
    </row>
    <row r="662" ht="48.75" customHeight="1">
      <c r="A662" s="11"/>
      <c r="B662" s="11"/>
      <c r="C662" s="11"/>
      <c r="D662" s="10" t="s">
        <v>269</v>
      </c>
    </row>
    <row r="663" ht="39.75" customHeight="1">
      <c r="A663" s="10" t="s">
        <v>270</v>
      </c>
      <c r="B663" s="10" t="s">
        <v>42</v>
      </c>
      <c r="C663" s="10" t="s">
        <v>43</v>
      </c>
      <c r="D663" s="10" t="s">
        <v>271</v>
      </c>
      <c r="E663" s="14">
        <v>0.055</v>
      </c>
      <c r="F663" s="15">
        <f>ROUND(40.99,3)</f>
        <v>40.99</v>
      </c>
      <c r="G663" s="12">
        <f t="shared" ref="G663:G669" si="123">ROUND(E663*F663,2)</f>
        <v>2.25</v>
      </c>
    </row>
    <row r="664" ht="24.0" customHeight="1">
      <c r="A664" s="10" t="s">
        <v>111</v>
      </c>
      <c r="B664" s="10" t="s">
        <v>112</v>
      </c>
      <c r="C664" s="10" t="s">
        <v>23</v>
      </c>
      <c r="D664" s="10" t="s">
        <v>113</v>
      </c>
      <c r="E664" s="14">
        <v>0.1</v>
      </c>
      <c r="F664" s="15">
        <f>ROUND(7.526,3)</f>
        <v>7.526</v>
      </c>
      <c r="G664" s="12">
        <f t="shared" si="123"/>
        <v>0.75</v>
      </c>
    </row>
    <row r="665" ht="21.0" customHeight="1">
      <c r="A665" s="10" t="s">
        <v>22</v>
      </c>
      <c r="B665" s="10" t="s">
        <v>18</v>
      </c>
      <c r="C665" s="10" t="s">
        <v>23</v>
      </c>
      <c r="D665" s="10" t="s">
        <v>24</v>
      </c>
      <c r="E665" s="14">
        <v>0.2</v>
      </c>
      <c r="F665" s="15">
        <f>F669</f>
        <v>43.8</v>
      </c>
      <c r="G665" s="12">
        <f t="shared" si="123"/>
        <v>8.76</v>
      </c>
    </row>
    <row r="666" ht="24.0" customHeight="1">
      <c r="A666" s="10" t="s">
        <v>25</v>
      </c>
      <c r="B666" s="10" t="s">
        <v>26</v>
      </c>
      <c r="C666" s="10" t="s">
        <v>23</v>
      </c>
      <c r="D666" s="10" t="s">
        <v>27</v>
      </c>
      <c r="E666" s="14">
        <v>1.0</v>
      </c>
      <c r="F666" s="15">
        <f>ROUND(21,3)</f>
        <v>21</v>
      </c>
      <c r="G666" s="12">
        <f t="shared" si="123"/>
        <v>21</v>
      </c>
    </row>
    <row r="667" ht="24.0" customHeight="1">
      <c r="A667" s="10" t="s">
        <v>28</v>
      </c>
      <c r="B667" s="10" t="s">
        <v>26</v>
      </c>
      <c r="C667" s="10" t="s">
        <v>23</v>
      </c>
      <c r="D667" s="10" t="s">
        <v>29</v>
      </c>
      <c r="E667" s="14">
        <v>1.0</v>
      </c>
      <c r="F667" s="15">
        <f t="shared" ref="F667:F668" si="124">ROUND(19,3)</f>
        <v>19</v>
      </c>
      <c r="G667" s="12">
        <f t="shared" si="123"/>
        <v>19</v>
      </c>
    </row>
    <row r="668" ht="24.0" customHeight="1">
      <c r="A668" s="10" t="s">
        <v>30</v>
      </c>
      <c r="B668" s="10" t="s">
        <v>26</v>
      </c>
      <c r="C668" s="10" t="s">
        <v>23</v>
      </c>
      <c r="D668" s="10" t="s">
        <v>31</v>
      </c>
      <c r="E668" s="14">
        <v>0.2</v>
      </c>
      <c r="F668" s="15">
        <f t="shared" si="124"/>
        <v>19</v>
      </c>
      <c r="G668" s="12">
        <f t="shared" si="123"/>
        <v>3.8</v>
      </c>
    </row>
    <row r="669" ht="15.0" customHeight="1">
      <c r="A669" s="11"/>
      <c r="B669" s="11"/>
      <c r="C669" s="11"/>
      <c r="D669" s="10" t="s">
        <v>22</v>
      </c>
      <c r="E669" s="14">
        <v>0.2</v>
      </c>
      <c r="F669" s="15">
        <f>ROUND((G666+G667+G668),3)</f>
        <v>43.8</v>
      </c>
      <c r="G669" s="12">
        <f t="shared" si="123"/>
        <v>8.76</v>
      </c>
    </row>
    <row r="670" ht="15.0" customHeight="1">
      <c r="A670" s="16"/>
      <c r="B670" s="16"/>
      <c r="C670" s="16"/>
      <c r="D670" s="17" t="s">
        <v>267</v>
      </c>
      <c r="E670" s="16"/>
      <c r="F670" s="18">
        <f>ROUND((G663+G664+G665)*(1+G2/100),2)</f>
        <v>11.76</v>
      </c>
      <c r="G670" s="16"/>
    </row>
    <row r="671" ht="21.0" customHeight="1">
      <c r="A671" s="19" t="s">
        <v>272</v>
      </c>
      <c r="B671" s="20" t="s">
        <v>18</v>
      </c>
      <c r="C671" s="20" t="s">
        <v>251</v>
      </c>
      <c r="D671" s="20" t="s">
        <v>273</v>
      </c>
      <c r="E671" s="21"/>
      <c r="F671" s="22">
        <f>F680</f>
        <v>14.17</v>
      </c>
      <c r="G671" s="21"/>
    </row>
    <row r="672" ht="67.5" customHeight="1">
      <c r="A672" s="11"/>
      <c r="B672" s="11"/>
      <c r="C672" s="11"/>
      <c r="D672" s="10" t="s">
        <v>274</v>
      </c>
    </row>
    <row r="673" ht="30.0" customHeight="1">
      <c r="A673" s="10" t="s">
        <v>275</v>
      </c>
      <c r="B673" s="10" t="s">
        <v>42</v>
      </c>
      <c r="C673" s="10" t="s">
        <v>276</v>
      </c>
      <c r="D673" s="10" t="s">
        <v>277</v>
      </c>
      <c r="E673" s="14">
        <v>0.025</v>
      </c>
      <c r="F673" s="15">
        <f>ROUND(196.2,3)</f>
        <v>196.2</v>
      </c>
      <c r="G673" s="12">
        <f t="shared" ref="G673:G679" si="125">ROUND(E673*F673,2)</f>
        <v>4.91</v>
      </c>
    </row>
    <row r="674" ht="30.0" customHeight="1">
      <c r="A674" s="10" t="s">
        <v>278</v>
      </c>
      <c r="B674" s="10" t="s">
        <v>112</v>
      </c>
      <c r="C674" s="10" t="s">
        <v>23</v>
      </c>
      <c r="D674" s="10" t="s">
        <v>279</v>
      </c>
      <c r="E674" s="14">
        <v>0.2</v>
      </c>
      <c r="F674" s="15">
        <f>ROUND(2.5,3)</f>
        <v>2.5</v>
      </c>
      <c r="G674" s="12">
        <f t="shared" si="125"/>
        <v>0.5</v>
      </c>
    </row>
    <row r="675" ht="21.0" customHeight="1">
      <c r="A675" s="10" t="s">
        <v>22</v>
      </c>
      <c r="B675" s="10" t="s">
        <v>18</v>
      </c>
      <c r="C675" s="10" t="s">
        <v>23</v>
      </c>
      <c r="D675" s="10" t="s">
        <v>24</v>
      </c>
      <c r="E675" s="14">
        <v>0.2</v>
      </c>
      <c r="F675" s="15">
        <f>F679</f>
        <v>43.8</v>
      </c>
      <c r="G675" s="12">
        <f t="shared" si="125"/>
        <v>8.76</v>
      </c>
    </row>
    <row r="676" ht="24.0" customHeight="1">
      <c r="A676" s="10" t="s">
        <v>25</v>
      </c>
      <c r="B676" s="10" t="s">
        <v>26</v>
      </c>
      <c r="C676" s="10" t="s">
        <v>23</v>
      </c>
      <c r="D676" s="10" t="s">
        <v>27</v>
      </c>
      <c r="E676" s="14">
        <v>1.0</v>
      </c>
      <c r="F676" s="15">
        <f>ROUND(21,3)</f>
        <v>21</v>
      </c>
      <c r="G676" s="12">
        <f t="shared" si="125"/>
        <v>21</v>
      </c>
    </row>
    <row r="677" ht="24.0" customHeight="1">
      <c r="A677" s="10" t="s">
        <v>28</v>
      </c>
      <c r="B677" s="10" t="s">
        <v>26</v>
      </c>
      <c r="C677" s="10" t="s">
        <v>23</v>
      </c>
      <c r="D677" s="10" t="s">
        <v>29</v>
      </c>
      <c r="E677" s="14">
        <v>1.0</v>
      </c>
      <c r="F677" s="15">
        <f t="shared" ref="F677:F678" si="126">ROUND(19,3)</f>
        <v>19</v>
      </c>
      <c r="G677" s="12">
        <f t="shared" si="125"/>
        <v>19</v>
      </c>
    </row>
    <row r="678" ht="24.0" customHeight="1">
      <c r="A678" s="10" t="s">
        <v>30</v>
      </c>
      <c r="B678" s="10" t="s">
        <v>26</v>
      </c>
      <c r="C678" s="10" t="s">
        <v>23</v>
      </c>
      <c r="D678" s="10" t="s">
        <v>31</v>
      </c>
      <c r="E678" s="14">
        <v>0.2</v>
      </c>
      <c r="F678" s="15">
        <f t="shared" si="126"/>
        <v>19</v>
      </c>
      <c r="G678" s="12">
        <f t="shared" si="125"/>
        <v>3.8</v>
      </c>
    </row>
    <row r="679" ht="15.0" customHeight="1">
      <c r="A679" s="11"/>
      <c r="B679" s="11"/>
      <c r="C679" s="11"/>
      <c r="D679" s="10" t="s">
        <v>22</v>
      </c>
      <c r="E679" s="14">
        <v>0.2</v>
      </c>
      <c r="F679" s="15">
        <f>ROUND((G676+G677+G678),3)</f>
        <v>43.8</v>
      </c>
      <c r="G679" s="12">
        <f t="shared" si="125"/>
        <v>8.76</v>
      </c>
    </row>
    <row r="680" ht="15.0" customHeight="1">
      <c r="A680" s="16"/>
      <c r="B680" s="16"/>
      <c r="C680" s="16"/>
      <c r="D680" s="17" t="s">
        <v>272</v>
      </c>
      <c r="E680" s="16"/>
      <c r="F680" s="18">
        <f>ROUND((G673+G674+G675)*(1+G2/100),2)</f>
        <v>14.17</v>
      </c>
      <c r="G680" s="16"/>
    </row>
    <row r="681" ht="30.0" customHeight="1">
      <c r="A681" s="19" t="s">
        <v>280</v>
      </c>
      <c r="B681" s="20" t="s">
        <v>18</v>
      </c>
      <c r="C681" s="20" t="s">
        <v>251</v>
      </c>
      <c r="D681" s="20" t="s">
        <v>281</v>
      </c>
      <c r="E681" s="21"/>
      <c r="F681" s="22">
        <f>F692</f>
        <v>18.82</v>
      </c>
      <c r="G681" s="21"/>
    </row>
    <row r="682" ht="30.0" customHeight="1">
      <c r="A682" s="11"/>
      <c r="B682" s="11"/>
      <c r="C682" s="11"/>
      <c r="D682" s="10" t="s">
        <v>282</v>
      </c>
    </row>
    <row r="683" ht="30.0" customHeight="1">
      <c r="A683" s="10" t="s">
        <v>183</v>
      </c>
      <c r="B683" s="10" t="s">
        <v>42</v>
      </c>
      <c r="C683" s="10" t="s">
        <v>184</v>
      </c>
      <c r="D683" s="10" t="s">
        <v>185</v>
      </c>
      <c r="E683" s="14">
        <v>0.2</v>
      </c>
      <c r="F683" s="15">
        <f>ROUND(18.76,3)</f>
        <v>18.76</v>
      </c>
      <c r="G683" s="12">
        <f t="shared" ref="G683:G690" si="127">ROUND(E683*F683,2)</f>
        <v>3.75</v>
      </c>
    </row>
    <row r="684" ht="30.0" customHeight="1">
      <c r="A684" s="10" t="s">
        <v>186</v>
      </c>
      <c r="B684" s="10" t="s">
        <v>112</v>
      </c>
      <c r="C684" s="10" t="s">
        <v>23</v>
      </c>
      <c r="D684" s="10" t="s">
        <v>187</v>
      </c>
      <c r="E684" s="14">
        <v>0.26</v>
      </c>
      <c r="F684" s="15">
        <f>ROUND(5.28,3)</f>
        <v>5.28</v>
      </c>
      <c r="G684" s="12">
        <f t="shared" si="127"/>
        <v>1.37</v>
      </c>
    </row>
    <row r="685" ht="39.75" customHeight="1">
      <c r="A685" s="10" t="s">
        <v>188</v>
      </c>
      <c r="B685" s="10" t="s">
        <v>112</v>
      </c>
      <c r="C685" s="10" t="s">
        <v>23</v>
      </c>
      <c r="D685" s="10" t="s">
        <v>189</v>
      </c>
      <c r="E685" s="14">
        <v>0.26</v>
      </c>
      <c r="F685" s="15">
        <f>ROUND(7.565,3)</f>
        <v>7.565</v>
      </c>
      <c r="G685" s="12">
        <f t="shared" si="127"/>
        <v>1.97</v>
      </c>
    </row>
    <row r="686" ht="21.0" customHeight="1">
      <c r="A686" s="10" t="s">
        <v>22</v>
      </c>
      <c r="B686" s="10" t="s">
        <v>18</v>
      </c>
      <c r="C686" s="10" t="s">
        <v>23</v>
      </c>
      <c r="D686" s="10" t="s">
        <v>24</v>
      </c>
      <c r="E686" s="14">
        <v>0.26</v>
      </c>
      <c r="F686" s="15">
        <f>F690</f>
        <v>43.8</v>
      </c>
      <c r="G686" s="12">
        <f t="shared" si="127"/>
        <v>11.39</v>
      </c>
    </row>
    <row r="687" ht="24.0" customHeight="1">
      <c r="A687" s="10" t="s">
        <v>25</v>
      </c>
      <c r="B687" s="10" t="s">
        <v>26</v>
      </c>
      <c r="C687" s="10" t="s">
        <v>23</v>
      </c>
      <c r="D687" s="10" t="s">
        <v>27</v>
      </c>
      <c r="E687" s="14">
        <v>1.0</v>
      </c>
      <c r="F687" s="15">
        <f>ROUND(21,3)</f>
        <v>21</v>
      </c>
      <c r="G687" s="12">
        <f t="shared" si="127"/>
        <v>21</v>
      </c>
    </row>
    <row r="688" ht="24.0" customHeight="1">
      <c r="A688" s="10" t="s">
        <v>28</v>
      </c>
      <c r="B688" s="10" t="s">
        <v>26</v>
      </c>
      <c r="C688" s="10" t="s">
        <v>23</v>
      </c>
      <c r="D688" s="10" t="s">
        <v>29</v>
      </c>
      <c r="E688" s="14">
        <v>1.0</v>
      </c>
      <c r="F688" s="15">
        <f t="shared" ref="F688:F689" si="128">ROUND(19,3)</f>
        <v>19</v>
      </c>
      <c r="G688" s="12">
        <f t="shared" si="127"/>
        <v>19</v>
      </c>
    </row>
    <row r="689" ht="24.0" customHeight="1">
      <c r="A689" s="10" t="s">
        <v>30</v>
      </c>
      <c r="B689" s="10" t="s">
        <v>26</v>
      </c>
      <c r="C689" s="10" t="s">
        <v>23</v>
      </c>
      <c r="D689" s="10" t="s">
        <v>31</v>
      </c>
      <c r="E689" s="14">
        <v>0.2</v>
      </c>
      <c r="F689" s="15">
        <f t="shared" si="128"/>
        <v>19</v>
      </c>
      <c r="G689" s="12">
        <f t="shared" si="127"/>
        <v>3.8</v>
      </c>
    </row>
    <row r="690" ht="15.0" customHeight="1">
      <c r="A690" s="11"/>
      <c r="B690" s="11"/>
      <c r="C690" s="11"/>
      <c r="D690" s="10" t="s">
        <v>22</v>
      </c>
      <c r="E690" s="14">
        <v>0.26</v>
      </c>
      <c r="F690" s="15">
        <f>ROUND((G687+G688+G689),3)</f>
        <v>43.8</v>
      </c>
      <c r="G690" s="12">
        <f t="shared" si="127"/>
        <v>11.39</v>
      </c>
    </row>
    <row r="691" ht="15.0" customHeight="1">
      <c r="A691" s="10" t="s">
        <v>32</v>
      </c>
      <c r="B691" s="10"/>
      <c r="C691" s="10" t="s">
        <v>33</v>
      </c>
      <c r="D691" s="10" t="s">
        <v>34</v>
      </c>
      <c r="E691" s="14">
        <v>3.0</v>
      </c>
      <c r="F691" s="15">
        <f>ROUND(11.39,3)</f>
        <v>11.39</v>
      </c>
      <c r="G691" s="12">
        <f>ROUND((E691*F691)/100,2)</f>
        <v>0.34</v>
      </c>
    </row>
    <row r="692" ht="15.0" customHeight="1">
      <c r="A692" s="16"/>
      <c r="B692" s="16"/>
      <c r="C692" s="16"/>
      <c r="D692" s="17" t="s">
        <v>280</v>
      </c>
      <c r="E692" s="16"/>
      <c r="F692" s="18">
        <f>ROUND((G683+G684+G685+G686+G691)*(1+G2/100),2)</f>
        <v>18.82</v>
      </c>
      <c r="G692" s="16"/>
    </row>
    <row r="693" ht="39.75" customHeight="1">
      <c r="A693" s="19" t="s">
        <v>283</v>
      </c>
      <c r="B693" s="20" t="s">
        <v>18</v>
      </c>
      <c r="C693" s="20" t="s">
        <v>251</v>
      </c>
      <c r="D693" s="20" t="s">
        <v>284</v>
      </c>
      <c r="E693" s="21"/>
      <c r="F693" s="22">
        <f>F704</f>
        <v>36.94</v>
      </c>
      <c r="G693" s="21"/>
    </row>
    <row r="694" ht="30.0" customHeight="1">
      <c r="A694" s="11"/>
      <c r="B694" s="11"/>
      <c r="C694" s="11"/>
      <c r="D694" s="10" t="s">
        <v>285</v>
      </c>
    </row>
    <row r="695" ht="30.0" customHeight="1">
      <c r="A695" s="10" t="s">
        <v>183</v>
      </c>
      <c r="B695" s="10" t="s">
        <v>42</v>
      </c>
      <c r="C695" s="10" t="s">
        <v>184</v>
      </c>
      <c r="D695" s="10" t="s">
        <v>185</v>
      </c>
      <c r="E695" s="14">
        <v>0.2</v>
      </c>
      <c r="F695" s="15">
        <f>ROUND(18.76,3)</f>
        <v>18.76</v>
      </c>
      <c r="G695" s="12">
        <f t="shared" ref="G695:G702" si="129">ROUND(E695*F695,2)</f>
        <v>3.75</v>
      </c>
    </row>
    <row r="696" ht="30.0" customHeight="1">
      <c r="A696" s="10" t="s">
        <v>186</v>
      </c>
      <c r="B696" s="10" t="s">
        <v>112</v>
      </c>
      <c r="C696" s="10" t="s">
        <v>23</v>
      </c>
      <c r="D696" s="10" t="s">
        <v>187</v>
      </c>
      <c r="E696" s="14">
        <v>0.52</v>
      </c>
      <c r="F696" s="15">
        <f>ROUND(5.28,3)</f>
        <v>5.28</v>
      </c>
      <c r="G696" s="12">
        <f t="shared" si="129"/>
        <v>2.75</v>
      </c>
    </row>
    <row r="697" ht="39.75" customHeight="1">
      <c r="A697" s="10" t="s">
        <v>188</v>
      </c>
      <c r="B697" s="10" t="s">
        <v>112</v>
      </c>
      <c r="C697" s="10" t="s">
        <v>23</v>
      </c>
      <c r="D697" s="10" t="s">
        <v>189</v>
      </c>
      <c r="E697" s="14">
        <v>0.52</v>
      </c>
      <c r="F697" s="15">
        <f>ROUND(7.565,3)</f>
        <v>7.565</v>
      </c>
      <c r="G697" s="12">
        <f t="shared" si="129"/>
        <v>3.93</v>
      </c>
    </row>
    <row r="698" ht="24.0" customHeight="1">
      <c r="A698" s="10" t="s">
        <v>286</v>
      </c>
      <c r="B698" s="10" t="s">
        <v>18</v>
      </c>
      <c r="C698" s="10" t="s">
        <v>23</v>
      </c>
      <c r="D698" s="10" t="s">
        <v>287</v>
      </c>
      <c r="E698" s="14">
        <v>0.52</v>
      </c>
      <c r="F698" s="15">
        <f>F702</f>
        <v>49.5</v>
      </c>
      <c r="G698" s="12">
        <f t="shared" si="129"/>
        <v>25.74</v>
      </c>
    </row>
    <row r="699" ht="24.0" customHeight="1">
      <c r="A699" s="10" t="s">
        <v>288</v>
      </c>
      <c r="B699" s="10" t="s">
        <v>26</v>
      </c>
      <c r="C699" s="10" t="s">
        <v>23</v>
      </c>
      <c r="D699" s="10" t="s">
        <v>289</v>
      </c>
      <c r="E699" s="14">
        <v>1.0</v>
      </c>
      <c r="F699" s="15">
        <f>ROUND(21,3)</f>
        <v>21</v>
      </c>
      <c r="G699" s="12">
        <f t="shared" si="129"/>
        <v>21</v>
      </c>
    </row>
    <row r="700" ht="24.0" customHeight="1">
      <c r="A700" s="10" t="s">
        <v>290</v>
      </c>
      <c r="B700" s="10" t="s">
        <v>26</v>
      </c>
      <c r="C700" s="10" t="s">
        <v>23</v>
      </c>
      <c r="D700" s="10" t="s">
        <v>291</v>
      </c>
      <c r="E700" s="14">
        <v>1.0</v>
      </c>
      <c r="F700" s="15">
        <f t="shared" ref="F700:F701" si="130">ROUND(19,3)</f>
        <v>19</v>
      </c>
      <c r="G700" s="12">
        <f t="shared" si="129"/>
        <v>19</v>
      </c>
    </row>
    <row r="701" ht="24.0" customHeight="1">
      <c r="A701" s="10" t="s">
        <v>292</v>
      </c>
      <c r="B701" s="10" t="s">
        <v>26</v>
      </c>
      <c r="C701" s="10" t="s">
        <v>23</v>
      </c>
      <c r="D701" s="10" t="s">
        <v>293</v>
      </c>
      <c r="E701" s="14">
        <v>0.5</v>
      </c>
      <c r="F701" s="15">
        <f t="shared" si="130"/>
        <v>19</v>
      </c>
      <c r="G701" s="12">
        <f t="shared" si="129"/>
        <v>9.5</v>
      </c>
    </row>
    <row r="702" ht="15.0" customHeight="1">
      <c r="A702" s="11"/>
      <c r="B702" s="11"/>
      <c r="C702" s="11"/>
      <c r="D702" s="10" t="s">
        <v>286</v>
      </c>
      <c r="E702" s="14">
        <v>0.52</v>
      </c>
      <c r="F702" s="15">
        <f>ROUND((G699+G700+G701),3)</f>
        <v>49.5</v>
      </c>
      <c r="G702" s="12">
        <f t="shared" si="129"/>
        <v>25.74</v>
      </c>
    </row>
    <row r="703" ht="15.0" customHeight="1">
      <c r="A703" s="10" t="s">
        <v>32</v>
      </c>
      <c r="B703" s="10"/>
      <c r="C703" s="10" t="s">
        <v>33</v>
      </c>
      <c r="D703" s="10" t="s">
        <v>34</v>
      </c>
      <c r="E703" s="14">
        <v>3.0</v>
      </c>
      <c r="F703" s="15">
        <f>ROUND(25.74,3)</f>
        <v>25.74</v>
      </c>
      <c r="G703" s="12">
        <f>ROUND((E703*F703)/100,2)</f>
        <v>0.77</v>
      </c>
    </row>
    <row r="704" ht="15.0" customHeight="1">
      <c r="A704" s="16"/>
      <c r="B704" s="16"/>
      <c r="C704" s="16"/>
      <c r="D704" s="17" t="s">
        <v>283</v>
      </c>
      <c r="E704" s="16"/>
      <c r="F704" s="18">
        <f>ROUND((G695+G696+G697+G698+G703)*(1+G2/100),2)</f>
        <v>36.94</v>
      </c>
      <c r="G704" s="16"/>
    </row>
    <row r="705" ht="21.0" customHeight="1">
      <c r="A705" s="19" t="s">
        <v>294</v>
      </c>
      <c r="B705" s="20" t="s">
        <v>18</v>
      </c>
      <c r="C705" s="20" t="s">
        <v>295</v>
      </c>
      <c r="D705" s="20" t="s">
        <v>296</v>
      </c>
      <c r="E705" s="21"/>
      <c r="F705" s="22">
        <f>F715</f>
        <v>34.67</v>
      </c>
      <c r="G705" s="21"/>
    </row>
    <row r="706" ht="21.0" customHeight="1">
      <c r="A706" s="11"/>
      <c r="B706" s="11"/>
      <c r="C706" s="11"/>
      <c r="D706" s="10" t="s">
        <v>297</v>
      </c>
    </row>
    <row r="707" ht="21.0" customHeight="1">
      <c r="A707" s="10" t="s">
        <v>237</v>
      </c>
      <c r="B707" s="10" t="s">
        <v>42</v>
      </c>
      <c r="C707" s="10" t="s">
        <v>231</v>
      </c>
      <c r="D707" s="10" t="s">
        <v>238</v>
      </c>
      <c r="E707" s="14">
        <v>1.0</v>
      </c>
      <c r="F707" s="15">
        <f>ROUND(6.32,3)</f>
        <v>6.32</v>
      </c>
      <c r="G707" s="12">
        <f t="shared" ref="G707:G713" si="131">ROUND(E707*F707,2)</f>
        <v>6.32</v>
      </c>
    </row>
    <row r="708" ht="21.0" customHeight="1">
      <c r="A708" s="10" t="s">
        <v>298</v>
      </c>
      <c r="B708" s="10" t="s">
        <v>42</v>
      </c>
      <c r="C708" s="10" t="s">
        <v>226</v>
      </c>
      <c r="D708" s="10" t="s">
        <v>299</v>
      </c>
      <c r="E708" s="14">
        <v>1.0</v>
      </c>
      <c r="F708" s="15">
        <f>ROUND(1.28,3)</f>
        <v>1.28</v>
      </c>
      <c r="G708" s="12">
        <f t="shared" si="131"/>
        <v>1.28</v>
      </c>
    </row>
    <row r="709" ht="21.0" customHeight="1">
      <c r="A709" s="10" t="s">
        <v>22</v>
      </c>
      <c r="B709" s="10" t="s">
        <v>18</v>
      </c>
      <c r="C709" s="10" t="s">
        <v>23</v>
      </c>
      <c r="D709" s="10" t="s">
        <v>24</v>
      </c>
      <c r="E709" s="14">
        <v>0.6</v>
      </c>
      <c r="F709" s="15">
        <f>F713</f>
        <v>43.8</v>
      </c>
      <c r="G709" s="12">
        <f t="shared" si="131"/>
        <v>26.28</v>
      </c>
    </row>
    <row r="710" ht="24.0" customHeight="1">
      <c r="A710" s="10" t="s">
        <v>25</v>
      </c>
      <c r="B710" s="10" t="s">
        <v>26</v>
      </c>
      <c r="C710" s="10" t="s">
        <v>23</v>
      </c>
      <c r="D710" s="10" t="s">
        <v>27</v>
      </c>
      <c r="E710" s="14">
        <v>1.0</v>
      </c>
      <c r="F710" s="15">
        <f>ROUND(21,3)</f>
        <v>21</v>
      </c>
      <c r="G710" s="12">
        <f t="shared" si="131"/>
        <v>21</v>
      </c>
    </row>
    <row r="711" ht="24.0" customHeight="1">
      <c r="A711" s="10" t="s">
        <v>28</v>
      </c>
      <c r="B711" s="10" t="s">
        <v>26</v>
      </c>
      <c r="C711" s="10" t="s">
        <v>23</v>
      </c>
      <c r="D711" s="10" t="s">
        <v>29</v>
      </c>
      <c r="E711" s="14">
        <v>1.0</v>
      </c>
      <c r="F711" s="15">
        <f t="shared" ref="F711:F712" si="132">ROUND(19,3)</f>
        <v>19</v>
      </c>
      <c r="G711" s="12">
        <f t="shared" si="131"/>
        <v>19</v>
      </c>
    </row>
    <row r="712" ht="24.0" customHeight="1">
      <c r="A712" s="10" t="s">
        <v>30</v>
      </c>
      <c r="B712" s="10" t="s">
        <v>26</v>
      </c>
      <c r="C712" s="10" t="s">
        <v>23</v>
      </c>
      <c r="D712" s="10" t="s">
        <v>31</v>
      </c>
      <c r="E712" s="14">
        <v>0.2</v>
      </c>
      <c r="F712" s="15">
        <f t="shared" si="132"/>
        <v>19</v>
      </c>
      <c r="G712" s="12">
        <f t="shared" si="131"/>
        <v>3.8</v>
      </c>
    </row>
    <row r="713" ht="15.0" customHeight="1">
      <c r="A713" s="11"/>
      <c r="B713" s="11"/>
      <c r="C713" s="11"/>
      <c r="D713" s="10" t="s">
        <v>22</v>
      </c>
      <c r="E713" s="14">
        <v>0.6</v>
      </c>
      <c r="F713" s="15">
        <f>ROUND((G710+G711+G712),3)</f>
        <v>43.8</v>
      </c>
      <c r="G713" s="12">
        <f t="shared" si="131"/>
        <v>26.28</v>
      </c>
    </row>
    <row r="714" ht="15.0" customHeight="1">
      <c r="A714" s="10" t="s">
        <v>32</v>
      </c>
      <c r="B714" s="10"/>
      <c r="C714" s="10" t="s">
        <v>33</v>
      </c>
      <c r="D714" s="10" t="s">
        <v>34</v>
      </c>
      <c r="E714" s="14">
        <v>3.0</v>
      </c>
      <c r="F714" s="15">
        <f>ROUND(26.28,3)</f>
        <v>26.28</v>
      </c>
      <c r="G714" s="12">
        <f>ROUND((E714*F714)/100,2)</f>
        <v>0.79</v>
      </c>
    </row>
    <row r="715" ht="15.0" customHeight="1">
      <c r="A715" s="16"/>
      <c r="B715" s="16"/>
      <c r="C715" s="16"/>
      <c r="D715" s="17" t="s">
        <v>294</v>
      </c>
      <c r="E715" s="16"/>
      <c r="F715" s="18">
        <f>ROUND((G707+G708+G709+G714)*(1+G2/100),2)</f>
        <v>34.67</v>
      </c>
      <c r="G715" s="16"/>
    </row>
    <row r="716" ht="15.0" customHeight="1">
      <c r="A716" s="19" t="s">
        <v>300</v>
      </c>
      <c r="B716" s="20" t="s">
        <v>18</v>
      </c>
      <c r="C716" s="20" t="s">
        <v>251</v>
      </c>
      <c r="D716" s="20" t="s">
        <v>301</v>
      </c>
      <c r="E716" s="21"/>
      <c r="F716" s="22">
        <f>F725</f>
        <v>43.48</v>
      </c>
      <c r="G716" s="21"/>
    </row>
    <row r="717" ht="21.0" customHeight="1">
      <c r="A717" s="11"/>
      <c r="B717" s="11"/>
      <c r="C717" s="11"/>
      <c r="D717" s="10" t="s">
        <v>302</v>
      </c>
    </row>
    <row r="718" ht="21.0" customHeight="1">
      <c r="A718" s="10" t="s">
        <v>303</v>
      </c>
      <c r="B718" s="10" t="s">
        <v>42</v>
      </c>
      <c r="C718" s="10" t="s">
        <v>304</v>
      </c>
      <c r="D718" s="10" t="s">
        <v>305</v>
      </c>
      <c r="E718" s="14">
        <v>0.08</v>
      </c>
      <c r="F718" s="15">
        <f>ROUND(21.5,3)</f>
        <v>21.5</v>
      </c>
      <c r="G718" s="12">
        <f t="shared" ref="G718:G724" si="133">ROUND(E718*F718,2)</f>
        <v>1.72</v>
      </c>
    </row>
    <row r="719" ht="21.0" customHeight="1">
      <c r="A719" s="10" t="s">
        <v>306</v>
      </c>
      <c r="B719" s="10" t="s">
        <v>42</v>
      </c>
      <c r="C719" s="10" t="s">
        <v>304</v>
      </c>
      <c r="D719" s="10" t="s">
        <v>307</v>
      </c>
      <c r="E719" s="14">
        <v>0.13</v>
      </c>
      <c r="F719" s="15">
        <f>ROUND(29.8,3)</f>
        <v>29.8</v>
      </c>
      <c r="G719" s="12">
        <f t="shared" si="133"/>
        <v>3.87</v>
      </c>
    </row>
    <row r="720" ht="21.0" customHeight="1">
      <c r="A720" s="10" t="s">
        <v>22</v>
      </c>
      <c r="B720" s="10" t="s">
        <v>18</v>
      </c>
      <c r="C720" s="10" t="s">
        <v>23</v>
      </c>
      <c r="D720" s="10" t="s">
        <v>24</v>
      </c>
      <c r="E720" s="14">
        <v>0.865</v>
      </c>
      <c r="F720" s="15">
        <f>F724</f>
        <v>43.8</v>
      </c>
      <c r="G720" s="12">
        <f t="shared" si="133"/>
        <v>37.89</v>
      </c>
    </row>
    <row r="721" ht="24.0" customHeight="1">
      <c r="A721" s="10" t="s">
        <v>25</v>
      </c>
      <c r="B721" s="10" t="s">
        <v>26</v>
      </c>
      <c r="C721" s="10" t="s">
        <v>23</v>
      </c>
      <c r="D721" s="10" t="s">
        <v>27</v>
      </c>
      <c r="E721" s="14">
        <v>1.0</v>
      </c>
      <c r="F721" s="15">
        <f>ROUND(21,3)</f>
        <v>21</v>
      </c>
      <c r="G721" s="12">
        <f t="shared" si="133"/>
        <v>21</v>
      </c>
    </row>
    <row r="722" ht="24.0" customHeight="1">
      <c r="A722" s="10" t="s">
        <v>28</v>
      </c>
      <c r="B722" s="10" t="s">
        <v>26</v>
      </c>
      <c r="C722" s="10" t="s">
        <v>23</v>
      </c>
      <c r="D722" s="10" t="s">
        <v>29</v>
      </c>
      <c r="E722" s="14">
        <v>1.0</v>
      </c>
      <c r="F722" s="15">
        <f t="shared" ref="F722:F723" si="134">ROUND(19,3)</f>
        <v>19</v>
      </c>
      <c r="G722" s="12">
        <f t="shared" si="133"/>
        <v>19</v>
      </c>
    </row>
    <row r="723" ht="24.0" customHeight="1">
      <c r="A723" s="10" t="s">
        <v>30</v>
      </c>
      <c r="B723" s="10" t="s">
        <v>26</v>
      </c>
      <c r="C723" s="10" t="s">
        <v>23</v>
      </c>
      <c r="D723" s="10" t="s">
        <v>31</v>
      </c>
      <c r="E723" s="14">
        <v>0.2</v>
      </c>
      <c r="F723" s="15">
        <f t="shared" si="134"/>
        <v>19</v>
      </c>
      <c r="G723" s="12">
        <f t="shared" si="133"/>
        <v>3.8</v>
      </c>
    </row>
    <row r="724" ht="15.0" customHeight="1">
      <c r="A724" s="11"/>
      <c r="B724" s="11"/>
      <c r="C724" s="11"/>
      <c r="D724" s="10" t="s">
        <v>22</v>
      </c>
      <c r="E724" s="14">
        <v>0.865</v>
      </c>
      <c r="F724" s="15">
        <f>ROUND((G721+G722+G723),3)</f>
        <v>43.8</v>
      </c>
      <c r="G724" s="12">
        <f t="shared" si="133"/>
        <v>37.89</v>
      </c>
    </row>
    <row r="725" ht="15.0" customHeight="1">
      <c r="A725" s="16"/>
      <c r="B725" s="16"/>
      <c r="C725" s="16"/>
      <c r="D725" s="17" t="s">
        <v>300</v>
      </c>
      <c r="E725" s="16"/>
      <c r="F725" s="18">
        <f>ROUND((G718+G719+G720)*(1+G2/100),2)</f>
        <v>43.48</v>
      </c>
      <c r="G725" s="16"/>
    </row>
    <row r="726" ht="15.0" customHeight="1">
      <c r="A726" s="19" t="s">
        <v>308</v>
      </c>
      <c r="B726" s="20" t="s">
        <v>18</v>
      </c>
      <c r="C726" s="20" t="s">
        <v>295</v>
      </c>
      <c r="D726" s="20" t="s">
        <v>309</v>
      </c>
      <c r="E726" s="21"/>
      <c r="F726" s="22">
        <f>F735</f>
        <v>314.9</v>
      </c>
      <c r="G726" s="21"/>
    </row>
    <row r="727" ht="30.0" customHeight="1">
      <c r="A727" s="11"/>
      <c r="B727" s="11"/>
      <c r="C727" s="11"/>
      <c r="D727" s="10" t="s">
        <v>310</v>
      </c>
    </row>
    <row r="728" ht="30.0" customHeight="1">
      <c r="A728" s="10" t="s">
        <v>233</v>
      </c>
      <c r="B728" s="10" t="s">
        <v>42</v>
      </c>
      <c r="C728" s="10" t="s">
        <v>231</v>
      </c>
      <c r="D728" s="10" t="s">
        <v>234</v>
      </c>
      <c r="E728" s="14">
        <v>0.05</v>
      </c>
      <c r="F728" s="15">
        <f>ROUND(23.46,3)</f>
        <v>23.46</v>
      </c>
      <c r="G728" s="12">
        <f t="shared" ref="G728:G734" si="135">ROUND(E728*F728,2)</f>
        <v>1.17</v>
      </c>
    </row>
    <row r="729" ht="21.0" customHeight="1">
      <c r="A729" s="10" t="s">
        <v>311</v>
      </c>
      <c r="B729" s="10" t="s">
        <v>42</v>
      </c>
      <c r="C729" s="10" t="s">
        <v>231</v>
      </c>
      <c r="D729" s="10" t="s">
        <v>312</v>
      </c>
      <c r="E729" s="14">
        <v>0.25</v>
      </c>
      <c r="F729" s="15">
        <f>ROUND(28.5,3)</f>
        <v>28.5</v>
      </c>
      <c r="G729" s="12">
        <f t="shared" si="135"/>
        <v>7.13</v>
      </c>
    </row>
    <row r="730" ht="21.0" customHeight="1">
      <c r="A730" s="10" t="s">
        <v>22</v>
      </c>
      <c r="B730" s="10" t="s">
        <v>18</v>
      </c>
      <c r="C730" s="10" t="s">
        <v>23</v>
      </c>
      <c r="D730" s="10" t="s">
        <v>24</v>
      </c>
      <c r="E730" s="14">
        <v>7.0</v>
      </c>
      <c r="F730" s="15">
        <f>F734</f>
        <v>43.8</v>
      </c>
      <c r="G730" s="12">
        <f t="shared" si="135"/>
        <v>306.6</v>
      </c>
    </row>
    <row r="731" ht="24.0" customHeight="1">
      <c r="A731" s="10" t="s">
        <v>25</v>
      </c>
      <c r="B731" s="10" t="s">
        <v>26</v>
      </c>
      <c r="C731" s="10" t="s">
        <v>23</v>
      </c>
      <c r="D731" s="10" t="s">
        <v>27</v>
      </c>
      <c r="E731" s="14">
        <v>1.0</v>
      </c>
      <c r="F731" s="15">
        <f>ROUND(21,3)</f>
        <v>21</v>
      </c>
      <c r="G731" s="12">
        <f t="shared" si="135"/>
        <v>21</v>
      </c>
    </row>
    <row r="732" ht="24.0" customHeight="1">
      <c r="A732" s="10" t="s">
        <v>28</v>
      </c>
      <c r="B732" s="10" t="s">
        <v>26</v>
      </c>
      <c r="C732" s="10" t="s">
        <v>23</v>
      </c>
      <c r="D732" s="10" t="s">
        <v>29</v>
      </c>
      <c r="E732" s="14">
        <v>1.0</v>
      </c>
      <c r="F732" s="15">
        <f t="shared" ref="F732:F733" si="136">ROUND(19,3)</f>
        <v>19</v>
      </c>
      <c r="G732" s="12">
        <f t="shared" si="135"/>
        <v>19</v>
      </c>
    </row>
    <row r="733" ht="24.0" customHeight="1">
      <c r="A733" s="10" t="s">
        <v>30</v>
      </c>
      <c r="B733" s="10" t="s">
        <v>26</v>
      </c>
      <c r="C733" s="10" t="s">
        <v>23</v>
      </c>
      <c r="D733" s="10" t="s">
        <v>31</v>
      </c>
      <c r="E733" s="14">
        <v>0.2</v>
      </c>
      <c r="F733" s="15">
        <f t="shared" si="136"/>
        <v>19</v>
      </c>
      <c r="G733" s="12">
        <f t="shared" si="135"/>
        <v>3.8</v>
      </c>
    </row>
    <row r="734" ht="15.0" customHeight="1">
      <c r="A734" s="11"/>
      <c r="B734" s="11"/>
      <c r="C734" s="11"/>
      <c r="D734" s="10" t="s">
        <v>22</v>
      </c>
      <c r="E734" s="14">
        <v>7.0</v>
      </c>
      <c r="F734" s="15">
        <f>ROUND((G731+G732+G733),3)</f>
        <v>43.8</v>
      </c>
      <c r="G734" s="12">
        <f t="shared" si="135"/>
        <v>306.6</v>
      </c>
    </row>
    <row r="735" ht="15.0" customHeight="1">
      <c r="A735" s="16"/>
      <c r="B735" s="16"/>
      <c r="C735" s="16"/>
      <c r="D735" s="17" t="s">
        <v>308</v>
      </c>
      <c r="E735" s="16"/>
      <c r="F735" s="18">
        <f>ROUND((G728+G729+G730)*(1+G2/100),2)</f>
        <v>314.9</v>
      </c>
      <c r="G735" s="16"/>
    </row>
    <row r="736" ht="30.0" customHeight="1">
      <c r="A736" s="19" t="s">
        <v>313</v>
      </c>
      <c r="B736" s="20" t="s">
        <v>18</v>
      </c>
      <c r="C736" s="20" t="s">
        <v>295</v>
      </c>
      <c r="D736" s="20" t="s">
        <v>314</v>
      </c>
      <c r="E736" s="21"/>
      <c r="F736" s="22">
        <f>F745</f>
        <v>339.31</v>
      </c>
      <c r="G736" s="21"/>
    </row>
    <row r="737" ht="57.75" customHeight="1">
      <c r="A737" s="11"/>
      <c r="B737" s="11"/>
      <c r="C737" s="11"/>
      <c r="D737" s="10" t="s">
        <v>315</v>
      </c>
    </row>
    <row r="738" ht="24.0" customHeight="1">
      <c r="A738" s="10" t="s">
        <v>316</v>
      </c>
      <c r="B738" s="10" t="s">
        <v>42</v>
      </c>
      <c r="C738" s="10" t="s">
        <v>43</v>
      </c>
      <c r="D738" s="10" t="s">
        <v>317</v>
      </c>
      <c r="E738" s="14">
        <v>2.0</v>
      </c>
      <c r="F738" s="15">
        <f>ROUND(27.23,3)</f>
        <v>27.23</v>
      </c>
      <c r="G738" s="12">
        <f t="shared" ref="G738:G744" si="137">ROUND(E738*F738,2)</f>
        <v>54.46</v>
      </c>
    </row>
    <row r="739" ht="24.0" customHeight="1">
      <c r="A739" s="10" t="s">
        <v>318</v>
      </c>
      <c r="B739" s="10" t="s">
        <v>42</v>
      </c>
      <c r="C739" s="10" t="s">
        <v>43</v>
      </c>
      <c r="D739" s="10" t="s">
        <v>319</v>
      </c>
      <c r="E739" s="14">
        <v>0.025</v>
      </c>
      <c r="F739" s="15">
        <f>ROUND(5.8,3)</f>
        <v>5.8</v>
      </c>
      <c r="G739" s="12">
        <f t="shared" si="137"/>
        <v>0.15</v>
      </c>
    </row>
    <row r="740" ht="21.0" customHeight="1">
      <c r="A740" s="10" t="s">
        <v>22</v>
      </c>
      <c r="B740" s="10" t="s">
        <v>18</v>
      </c>
      <c r="C740" s="10" t="s">
        <v>23</v>
      </c>
      <c r="D740" s="10" t="s">
        <v>24</v>
      </c>
      <c r="E740" s="14">
        <v>6.5</v>
      </c>
      <c r="F740" s="15">
        <f>F744</f>
        <v>43.8</v>
      </c>
      <c r="G740" s="12">
        <f t="shared" si="137"/>
        <v>284.7</v>
      </c>
    </row>
    <row r="741" ht="24.0" customHeight="1">
      <c r="A741" s="10" t="s">
        <v>25</v>
      </c>
      <c r="B741" s="10" t="s">
        <v>26</v>
      </c>
      <c r="C741" s="10" t="s">
        <v>23</v>
      </c>
      <c r="D741" s="10" t="s">
        <v>27</v>
      </c>
      <c r="E741" s="14">
        <v>1.0</v>
      </c>
      <c r="F741" s="15">
        <f>ROUND(21,3)</f>
        <v>21</v>
      </c>
      <c r="G741" s="12">
        <f t="shared" si="137"/>
        <v>21</v>
      </c>
    </row>
    <row r="742" ht="24.0" customHeight="1">
      <c r="A742" s="10" t="s">
        <v>28</v>
      </c>
      <c r="B742" s="10" t="s">
        <v>26</v>
      </c>
      <c r="C742" s="10" t="s">
        <v>23</v>
      </c>
      <c r="D742" s="10" t="s">
        <v>29</v>
      </c>
      <c r="E742" s="14">
        <v>1.0</v>
      </c>
      <c r="F742" s="15">
        <f t="shared" ref="F742:F743" si="138">ROUND(19,3)</f>
        <v>19</v>
      </c>
      <c r="G742" s="12">
        <f t="shared" si="137"/>
        <v>19</v>
      </c>
    </row>
    <row r="743" ht="24.0" customHeight="1">
      <c r="A743" s="10" t="s">
        <v>30</v>
      </c>
      <c r="B743" s="10" t="s">
        <v>26</v>
      </c>
      <c r="C743" s="10" t="s">
        <v>23</v>
      </c>
      <c r="D743" s="10" t="s">
        <v>31</v>
      </c>
      <c r="E743" s="14">
        <v>0.2</v>
      </c>
      <c r="F743" s="15">
        <f t="shared" si="138"/>
        <v>19</v>
      </c>
      <c r="G743" s="12">
        <f t="shared" si="137"/>
        <v>3.8</v>
      </c>
    </row>
    <row r="744" ht="15.0" customHeight="1">
      <c r="A744" s="11"/>
      <c r="B744" s="11"/>
      <c r="C744" s="11"/>
      <c r="D744" s="10" t="s">
        <v>22</v>
      </c>
      <c r="E744" s="14">
        <v>6.5</v>
      </c>
      <c r="F744" s="15">
        <f>ROUND((G741+G742+G743),3)</f>
        <v>43.8</v>
      </c>
      <c r="G744" s="12">
        <f t="shared" si="137"/>
        <v>284.7</v>
      </c>
    </row>
    <row r="745" ht="15.0" customHeight="1">
      <c r="A745" s="16"/>
      <c r="B745" s="16"/>
      <c r="C745" s="16"/>
      <c r="D745" s="17" t="s">
        <v>313</v>
      </c>
      <c r="E745" s="16"/>
      <c r="F745" s="18">
        <f>ROUND((G738+G739+G740)*(1+G2/100),2)</f>
        <v>339.31</v>
      </c>
      <c r="G745" s="16"/>
    </row>
    <row r="746" ht="15.0" customHeight="1">
      <c r="A746" s="19" t="s">
        <v>320</v>
      </c>
      <c r="B746" s="20" t="s">
        <v>18</v>
      </c>
      <c r="C746" s="20" t="s">
        <v>321</v>
      </c>
      <c r="D746" s="20" t="s">
        <v>322</v>
      </c>
      <c r="E746" s="21"/>
      <c r="F746" s="22">
        <f>F756</f>
        <v>138.58</v>
      </c>
      <c r="G746" s="21"/>
    </row>
    <row r="747" ht="39.75" customHeight="1">
      <c r="A747" s="11"/>
      <c r="B747" s="11"/>
      <c r="C747" s="11"/>
      <c r="D747" s="10" t="s">
        <v>323</v>
      </c>
    </row>
    <row r="748" ht="39.75" customHeight="1">
      <c r="A748" s="10" t="s">
        <v>324</v>
      </c>
      <c r="B748" s="10" t="s">
        <v>42</v>
      </c>
      <c r="C748" s="10" t="s">
        <v>325</v>
      </c>
      <c r="D748" s="10" t="s">
        <v>326</v>
      </c>
      <c r="E748" s="14">
        <v>0.1</v>
      </c>
      <c r="F748" s="15">
        <f>ROUND(26.72,3)</f>
        <v>26.72</v>
      </c>
      <c r="G748" s="12">
        <f t="shared" ref="G748:G755" si="139">ROUND(E748*F748,2)</f>
        <v>2.67</v>
      </c>
    </row>
    <row r="749" ht="30.0" customHeight="1">
      <c r="A749" s="10" t="s">
        <v>327</v>
      </c>
      <c r="B749" s="10" t="s">
        <v>42</v>
      </c>
      <c r="C749" s="10" t="s">
        <v>231</v>
      </c>
      <c r="D749" s="10" t="s">
        <v>328</v>
      </c>
      <c r="E749" s="14">
        <v>1.0</v>
      </c>
      <c r="F749" s="15">
        <f>ROUND(92.03,3)</f>
        <v>92.03</v>
      </c>
      <c r="G749" s="12">
        <f t="shared" si="139"/>
        <v>92.03</v>
      </c>
    </row>
    <row r="750" ht="21.0" customHeight="1">
      <c r="A750" s="10" t="s">
        <v>329</v>
      </c>
      <c r="B750" s="10" t="s">
        <v>42</v>
      </c>
      <c r="C750" s="10" t="s">
        <v>330</v>
      </c>
      <c r="D750" s="10" t="s">
        <v>331</v>
      </c>
      <c r="E750" s="14">
        <v>0.016</v>
      </c>
      <c r="F750" s="15">
        <f>ROUND(4.8,3)</f>
        <v>4.8</v>
      </c>
      <c r="G750" s="12">
        <f t="shared" si="139"/>
        <v>0.08</v>
      </c>
    </row>
    <row r="751" ht="21.0" customHeight="1">
      <c r="A751" s="10" t="s">
        <v>22</v>
      </c>
      <c r="B751" s="10" t="s">
        <v>18</v>
      </c>
      <c r="C751" s="10" t="s">
        <v>23</v>
      </c>
      <c r="D751" s="10" t="s">
        <v>24</v>
      </c>
      <c r="E751" s="14">
        <v>1.0</v>
      </c>
      <c r="F751" s="15">
        <f>F755</f>
        <v>43.8</v>
      </c>
      <c r="G751" s="12">
        <f t="shared" si="139"/>
        <v>43.8</v>
      </c>
    </row>
    <row r="752" ht="24.0" customHeight="1">
      <c r="A752" s="10" t="s">
        <v>25</v>
      </c>
      <c r="B752" s="10" t="s">
        <v>26</v>
      </c>
      <c r="C752" s="10" t="s">
        <v>23</v>
      </c>
      <c r="D752" s="10" t="s">
        <v>27</v>
      </c>
      <c r="E752" s="14">
        <v>1.0</v>
      </c>
      <c r="F752" s="15">
        <f>ROUND(21,3)</f>
        <v>21</v>
      </c>
      <c r="G752" s="12">
        <f t="shared" si="139"/>
        <v>21</v>
      </c>
    </row>
    <row r="753" ht="24.0" customHeight="1">
      <c r="A753" s="10" t="s">
        <v>28</v>
      </c>
      <c r="B753" s="10" t="s">
        <v>26</v>
      </c>
      <c r="C753" s="10" t="s">
        <v>23</v>
      </c>
      <c r="D753" s="10" t="s">
        <v>29</v>
      </c>
      <c r="E753" s="14">
        <v>1.0</v>
      </c>
      <c r="F753" s="15">
        <f t="shared" ref="F753:F754" si="140">ROUND(19,3)</f>
        <v>19</v>
      </c>
      <c r="G753" s="12">
        <f t="shared" si="139"/>
        <v>19</v>
      </c>
    </row>
    <row r="754" ht="24.0" customHeight="1">
      <c r="A754" s="10" t="s">
        <v>30</v>
      </c>
      <c r="B754" s="10" t="s">
        <v>26</v>
      </c>
      <c r="C754" s="10" t="s">
        <v>23</v>
      </c>
      <c r="D754" s="10" t="s">
        <v>31</v>
      </c>
      <c r="E754" s="14">
        <v>0.2</v>
      </c>
      <c r="F754" s="15">
        <f t="shared" si="140"/>
        <v>19</v>
      </c>
      <c r="G754" s="12">
        <f t="shared" si="139"/>
        <v>3.8</v>
      </c>
    </row>
    <row r="755" ht="15.0" customHeight="1">
      <c r="A755" s="11"/>
      <c r="B755" s="11"/>
      <c r="C755" s="11"/>
      <c r="D755" s="10" t="s">
        <v>22</v>
      </c>
      <c r="E755" s="14">
        <v>1.0</v>
      </c>
      <c r="F755" s="15">
        <f>ROUND((G752+G753+G754),3)</f>
        <v>43.8</v>
      </c>
      <c r="G755" s="12">
        <f t="shared" si="139"/>
        <v>43.8</v>
      </c>
    </row>
    <row r="756" ht="15.0" customHeight="1">
      <c r="A756" s="16"/>
      <c r="B756" s="16"/>
      <c r="C756" s="16"/>
      <c r="D756" s="17" t="s">
        <v>320</v>
      </c>
      <c r="E756" s="16"/>
      <c r="F756" s="18">
        <f>ROUND((G748+G749+G750+G751)*(1+G2/100),2)</f>
        <v>138.58</v>
      </c>
      <c r="G756" s="16"/>
    </row>
    <row r="757" ht="30.0" customHeight="1">
      <c r="A757" s="19" t="s">
        <v>332</v>
      </c>
      <c r="B757" s="20" t="s">
        <v>18</v>
      </c>
      <c r="C757" s="20" t="s">
        <v>222</v>
      </c>
      <c r="D757" s="20" t="s">
        <v>333</v>
      </c>
      <c r="E757" s="21"/>
      <c r="F757" s="22">
        <f>F764</f>
        <v>219</v>
      </c>
      <c r="G757" s="21"/>
    </row>
    <row r="758" ht="48.75" customHeight="1">
      <c r="A758" s="11"/>
      <c r="B758" s="11"/>
      <c r="C758" s="11"/>
      <c r="D758" s="10" t="s">
        <v>334</v>
      </c>
    </row>
    <row r="759" ht="21.0" customHeight="1">
      <c r="A759" s="10" t="s">
        <v>22</v>
      </c>
      <c r="B759" s="10" t="s">
        <v>18</v>
      </c>
      <c r="C759" s="10" t="s">
        <v>23</v>
      </c>
      <c r="D759" s="10" t="s">
        <v>24</v>
      </c>
      <c r="E759" s="14">
        <v>5.0</v>
      </c>
      <c r="F759" s="15">
        <f>F763</f>
        <v>43.8</v>
      </c>
      <c r="G759" s="12">
        <f t="shared" ref="G759:G763" si="141">ROUND(E759*F759,2)</f>
        <v>219</v>
      </c>
    </row>
    <row r="760" ht="24.0" customHeight="1">
      <c r="A760" s="10" t="s">
        <v>25</v>
      </c>
      <c r="B760" s="10" t="s">
        <v>26</v>
      </c>
      <c r="C760" s="10" t="s">
        <v>23</v>
      </c>
      <c r="D760" s="10" t="s">
        <v>27</v>
      </c>
      <c r="E760" s="14">
        <v>1.0</v>
      </c>
      <c r="F760" s="15">
        <f>ROUND(21,3)</f>
        <v>21</v>
      </c>
      <c r="G760" s="12">
        <f t="shared" si="141"/>
        <v>21</v>
      </c>
    </row>
    <row r="761" ht="24.0" customHeight="1">
      <c r="A761" s="10" t="s">
        <v>28</v>
      </c>
      <c r="B761" s="10" t="s">
        <v>26</v>
      </c>
      <c r="C761" s="10" t="s">
        <v>23</v>
      </c>
      <c r="D761" s="10" t="s">
        <v>29</v>
      </c>
      <c r="E761" s="14">
        <v>1.0</v>
      </c>
      <c r="F761" s="15">
        <f t="shared" ref="F761:F762" si="142">ROUND(19,3)</f>
        <v>19</v>
      </c>
      <c r="G761" s="12">
        <f t="shared" si="141"/>
        <v>19</v>
      </c>
    </row>
    <row r="762" ht="24.0" customHeight="1">
      <c r="A762" s="10" t="s">
        <v>30</v>
      </c>
      <c r="B762" s="10" t="s">
        <v>26</v>
      </c>
      <c r="C762" s="10" t="s">
        <v>23</v>
      </c>
      <c r="D762" s="10" t="s">
        <v>31</v>
      </c>
      <c r="E762" s="14">
        <v>0.2</v>
      </c>
      <c r="F762" s="15">
        <f t="shared" si="142"/>
        <v>19</v>
      </c>
      <c r="G762" s="12">
        <f t="shared" si="141"/>
        <v>3.8</v>
      </c>
    </row>
    <row r="763" ht="15.0" customHeight="1">
      <c r="A763" s="11"/>
      <c r="B763" s="11"/>
      <c r="C763" s="11"/>
      <c r="D763" s="10" t="s">
        <v>22</v>
      </c>
      <c r="E763" s="14">
        <v>5.0</v>
      </c>
      <c r="F763" s="15">
        <f>ROUND((G760+G761+G762),3)</f>
        <v>43.8</v>
      </c>
      <c r="G763" s="12">
        <f t="shared" si="141"/>
        <v>219</v>
      </c>
    </row>
    <row r="764" ht="15.0" customHeight="1">
      <c r="A764" s="16"/>
      <c r="B764" s="16"/>
      <c r="C764" s="16"/>
      <c r="D764" s="17" t="s">
        <v>332</v>
      </c>
      <c r="E764" s="16"/>
      <c r="F764" s="18">
        <f>ROUND((G759)*(1+G2/100),2)</f>
        <v>219</v>
      </c>
      <c r="G764" s="16"/>
    </row>
    <row r="765" ht="30.0" customHeight="1">
      <c r="A765" s="19" t="s">
        <v>335</v>
      </c>
      <c r="B765" s="20" t="s">
        <v>18</v>
      </c>
      <c r="C765" s="20" t="s">
        <v>295</v>
      </c>
      <c r="D765" s="20" t="s">
        <v>336</v>
      </c>
      <c r="E765" s="21"/>
      <c r="F765" s="22">
        <f>F781</f>
        <v>281.06</v>
      </c>
      <c r="G765" s="21"/>
    </row>
    <row r="766" ht="12.0" customHeight="1">
      <c r="A766" s="11"/>
      <c r="B766" s="11"/>
      <c r="C766" s="11"/>
      <c r="D766" s="10" t="s">
        <v>337</v>
      </c>
    </row>
    <row r="767" ht="21.0" customHeight="1">
      <c r="A767" s="10" t="s">
        <v>338</v>
      </c>
      <c r="B767" s="10" t="s">
        <v>42</v>
      </c>
      <c r="C767" s="10" t="s">
        <v>226</v>
      </c>
      <c r="D767" s="10" t="s">
        <v>339</v>
      </c>
      <c r="E767" s="14">
        <v>0.8</v>
      </c>
      <c r="F767" s="15">
        <f>ROUND(49.95,3)</f>
        <v>49.95</v>
      </c>
      <c r="G767" s="12">
        <f t="shared" ref="G767:G779" si="143">ROUND(E767*F767,2)</f>
        <v>39.96</v>
      </c>
    </row>
    <row r="768" ht="30.0" customHeight="1">
      <c r="A768" s="10" t="s">
        <v>340</v>
      </c>
      <c r="B768" s="10" t="s">
        <v>42</v>
      </c>
      <c r="C768" s="10" t="s">
        <v>341</v>
      </c>
      <c r="D768" s="10" t="s">
        <v>342</v>
      </c>
      <c r="E768" s="14">
        <v>1.0</v>
      </c>
      <c r="F768" s="15">
        <f>ROUND(15.87,3)</f>
        <v>15.87</v>
      </c>
      <c r="G768" s="12">
        <f t="shared" si="143"/>
        <v>15.87</v>
      </c>
    </row>
    <row r="769" ht="30.0" customHeight="1">
      <c r="A769" s="10" t="s">
        <v>343</v>
      </c>
      <c r="B769" s="10" t="s">
        <v>42</v>
      </c>
      <c r="C769" s="10" t="s">
        <v>344</v>
      </c>
      <c r="D769" s="10" t="s">
        <v>345</v>
      </c>
      <c r="E769" s="14">
        <v>2.0</v>
      </c>
      <c r="F769" s="15">
        <f>ROUND(1.59,3)</f>
        <v>1.59</v>
      </c>
      <c r="G769" s="12">
        <f t="shared" si="143"/>
        <v>3.18</v>
      </c>
    </row>
    <row r="770" ht="30.0" customHeight="1">
      <c r="A770" s="10" t="s">
        <v>346</v>
      </c>
      <c r="B770" s="10" t="s">
        <v>42</v>
      </c>
      <c r="C770" s="10" t="s">
        <v>344</v>
      </c>
      <c r="D770" s="10" t="s">
        <v>347</v>
      </c>
      <c r="E770" s="14">
        <v>1.0</v>
      </c>
      <c r="F770" s="15">
        <f>ROUND(4.47,3)</f>
        <v>4.47</v>
      </c>
      <c r="G770" s="12">
        <f t="shared" si="143"/>
        <v>4.47</v>
      </c>
    </row>
    <row r="771" ht="21.0" customHeight="1">
      <c r="A771" s="10" t="s">
        <v>348</v>
      </c>
      <c r="B771" s="10" t="s">
        <v>42</v>
      </c>
      <c r="C771" s="10" t="s">
        <v>226</v>
      </c>
      <c r="D771" s="10" t="s">
        <v>349</v>
      </c>
      <c r="E771" s="14">
        <v>1.0</v>
      </c>
      <c r="F771" s="15">
        <f>ROUND(4.95,3)</f>
        <v>4.95</v>
      </c>
      <c r="G771" s="12">
        <f t="shared" si="143"/>
        <v>4.95</v>
      </c>
    </row>
    <row r="772" ht="30.0" customHeight="1">
      <c r="A772" s="10" t="s">
        <v>350</v>
      </c>
      <c r="B772" s="10" t="s">
        <v>42</v>
      </c>
      <c r="C772" s="10" t="s">
        <v>351</v>
      </c>
      <c r="D772" s="10" t="s">
        <v>352</v>
      </c>
      <c r="E772" s="14">
        <v>15.0</v>
      </c>
      <c r="F772" s="15">
        <f>ROUND(1.33,3)</f>
        <v>1.33</v>
      </c>
      <c r="G772" s="12">
        <f t="shared" si="143"/>
        <v>19.95</v>
      </c>
    </row>
    <row r="773" ht="21.0" customHeight="1">
      <c r="A773" s="10" t="s">
        <v>353</v>
      </c>
      <c r="B773" s="10" t="s">
        <v>42</v>
      </c>
      <c r="C773" s="10" t="s">
        <v>344</v>
      </c>
      <c r="D773" s="10" t="s">
        <v>354</v>
      </c>
      <c r="E773" s="14">
        <v>2.0</v>
      </c>
      <c r="F773" s="15">
        <f>ROUND(4.06,3)</f>
        <v>4.06</v>
      </c>
      <c r="G773" s="12">
        <f t="shared" si="143"/>
        <v>8.12</v>
      </c>
    </row>
    <row r="774" ht="30.0" customHeight="1">
      <c r="A774" s="10" t="s">
        <v>355</v>
      </c>
      <c r="B774" s="10" t="s">
        <v>42</v>
      </c>
      <c r="C774" s="10" t="s">
        <v>226</v>
      </c>
      <c r="D774" s="10" t="s">
        <v>356</v>
      </c>
      <c r="E774" s="14">
        <v>1.0</v>
      </c>
      <c r="F774" s="15">
        <f>ROUND(4.1,3)</f>
        <v>4.1</v>
      </c>
      <c r="G774" s="12">
        <f t="shared" si="143"/>
        <v>4.1</v>
      </c>
    </row>
    <row r="775" ht="21.0" customHeight="1">
      <c r="A775" s="10" t="s">
        <v>22</v>
      </c>
      <c r="B775" s="10" t="s">
        <v>18</v>
      </c>
      <c r="C775" s="10" t="s">
        <v>23</v>
      </c>
      <c r="D775" s="10" t="s">
        <v>24</v>
      </c>
      <c r="E775" s="14">
        <v>4.0</v>
      </c>
      <c r="F775" s="15">
        <f>F779</f>
        <v>43.8</v>
      </c>
      <c r="G775" s="12">
        <f t="shared" si="143"/>
        <v>175.2</v>
      </c>
    </row>
    <row r="776" ht="24.0" customHeight="1">
      <c r="A776" s="10" t="s">
        <v>25</v>
      </c>
      <c r="B776" s="10" t="s">
        <v>26</v>
      </c>
      <c r="C776" s="10" t="s">
        <v>23</v>
      </c>
      <c r="D776" s="10" t="s">
        <v>27</v>
      </c>
      <c r="E776" s="14">
        <v>1.0</v>
      </c>
      <c r="F776" s="15">
        <f>ROUND(21,3)</f>
        <v>21</v>
      </c>
      <c r="G776" s="12">
        <f t="shared" si="143"/>
        <v>21</v>
      </c>
    </row>
    <row r="777" ht="24.0" customHeight="1">
      <c r="A777" s="10" t="s">
        <v>28</v>
      </c>
      <c r="B777" s="10" t="s">
        <v>26</v>
      </c>
      <c r="C777" s="10" t="s">
        <v>23</v>
      </c>
      <c r="D777" s="10" t="s">
        <v>29</v>
      </c>
      <c r="E777" s="14">
        <v>1.0</v>
      </c>
      <c r="F777" s="15">
        <f t="shared" ref="F777:F778" si="144">ROUND(19,3)</f>
        <v>19</v>
      </c>
      <c r="G777" s="12">
        <f t="shared" si="143"/>
        <v>19</v>
      </c>
    </row>
    <row r="778" ht="24.0" customHeight="1">
      <c r="A778" s="10" t="s">
        <v>30</v>
      </c>
      <c r="B778" s="10" t="s">
        <v>26</v>
      </c>
      <c r="C778" s="10" t="s">
        <v>23</v>
      </c>
      <c r="D778" s="10" t="s">
        <v>31</v>
      </c>
      <c r="E778" s="14">
        <v>0.2</v>
      </c>
      <c r="F778" s="15">
        <f t="shared" si="144"/>
        <v>19</v>
      </c>
      <c r="G778" s="12">
        <f t="shared" si="143"/>
        <v>3.8</v>
      </c>
    </row>
    <row r="779" ht="15.0" customHeight="1">
      <c r="A779" s="11"/>
      <c r="B779" s="11"/>
      <c r="C779" s="11"/>
      <c r="D779" s="10" t="s">
        <v>22</v>
      </c>
      <c r="E779" s="14">
        <v>4.0</v>
      </c>
      <c r="F779" s="15">
        <f>ROUND((G776+G777+G778),3)</f>
        <v>43.8</v>
      </c>
      <c r="G779" s="12">
        <f t="shared" si="143"/>
        <v>175.2</v>
      </c>
    </row>
    <row r="780" ht="15.0" customHeight="1">
      <c r="A780" s="10" t="s">
        <v>32</v>
      </c>
      <c r="B780" s="10"/>
      <c r="C780" s="10" t="s">
        <v>33</v>
      </c>
      <c r="D780" s="10" t="s">
        <v>34</v>
      </c>
      <c r="E780" s="14">
        <v>3.0</v>
      </c>
      <c r="F780" s="15">
        <f>ROUND(175.2,3)</f>
        <v>175.2</v>
      </c>
      <c r="G780" s="12">
        <f>ROUND((E780*F780)/100,2)</f>
        <v>5.26</v>
      </c>
    </row>
    <row r="781" ht="15.0" customHeight="1">
      <c r="A781" s="16"/>
      <c r="B781" s="16"/>
      <c r="C781" s="16"/>
      <c r="D781" s="17" t="s">
        <v>335</v>
      </c>
      <c r="E781" s="16"/>
      <c r="F781" s="18">
        <f>ROUND((G767+G768+G769+G770+G771+G772+G773+G774+G775+G780)*(1+G2/100),2)</f>
        <v>281.06</v>
      </c>
      <c r="G781" s="16"/>
    </row>
    <row r="782" ht="48.75" customHeight="1">
      <c r="A782" s="19" t="s">
        <v>357</v>
      </c>
      <c r="B782" s="20" t="s">
        <v>18</v>
      </c>
      <c r="C782" s="20" t="s">
        <v>351</v>
      </c>
      <c r="D782" s="20" t="s">
        <v>358</v>
      </c>
      <c r="E782" s="21"/>
      <c r="F782" s="22">
        <f>F793</f>
        <v>11.57</v>
      </c>
      <c r="G782" s="21"/>
    </row>
    <row r="783" ht="21.0" customHeight="1">
      <c r="A783" s="11"/>
      <c r="B783" s="11"/>
      <c r="C783" s="11"/>
      <c r="D783" s="10" t="s">
        <v>359</v>
      </c>
    </row>
    <row r="784" ht="39.75" customHeight="1">
      <c r="A784" s="10" t="s">
        <v>270</v>
      </c>
      <c r="B784" s="10" t="s">
        <v>42</v>
      </c>
      <c r="C784" s="10" t="s">
        <v>43</v>
      </c>
      <c r="D784" s="10" t="s">
        <v>271</v>
      </c>
      <c r="E784" s="14">
        <v>0.01667</v>
      </c>
      <c r="F784" s="15">
        <f>ROUND(40.99,3)</f>
        <v>40.99</v>
      </c>
      <c r="G784" s="12">
        <f t="shared" ref="G784:G791" si="145">ROUND(E784*F784,2)</f>
        <v>0.68</v>
      </c>
    </row>
    <row r="785" ht="30.0" customHeight="1">
      <c r="A785" s="10" t="s">
        <v>265</v>
      </c>
      <c r="B785" s="10" t="s">
        <v>42</v>
      </c>
      <c r="C785" s="10" t="s">
        <v>43</v>
      </c>
      <c r="D785" s="10" t="s">
        <v>266</v>
      </c>
      <c r="E785" s="14">
        <v>0.01</v>
      </c>
      <c r="F785" s="15">
        <f>ROUND(48.9,3)</f>
        <v>48.9</v>
      </c>
      <c r="G785" s="12">
        <f t="shared" si="145"/>
        <v>0.49</v>
      </c>
    </row>
    <row r="786" ht="24.0" customHeight="1">
      <c r="A786" s="10" t="s">
        <v>111</v>
      </c>
      <c r="B786" s="10" t="s">
        <v>112</v>
      </c>
      <c r="C786" s="10" t="s">
        <v>23</v>
      </c>
      <c r="D786" s="10" t="s">
        <v>113</v>
      </c>
      <c r="E786" s="14">
        <v>0.16</v>
      </c>
      <c r="F786" s="15">
        <f>ROUND(7.526,3)</f>
        <v>7.526</v>
      </c>
      <c r="G786" s="12">
        <f t="shared" si="145"/>
        <v>1.2</v>
      </c>
    </row>
    <row r="787" ht="21.0" customHeight="1">
      <c r="A787" s="10" t="s">
        <v>22</v>
      </c>
      <c r="B787" s="10" t="s">
        <v>18</v>
      </c>
      <c r="C787" s="10" t="s">
        <v>23</v>
      </c>
      <c r="D787" s="10" t="s">
        <v>24</v>
      </c>
      <c r="E787" s="14">
        <v>0.2</v>
      </c>
      <c r="F787" s="15">
        <f>F791</f>
        <v>43.8</v>
      </c>
      <c r="G787" s="12">
        <f t="shared" si="145"/>
        <v>8.76</v>
      </c>
    </row>
    <row r="788" ht="24.0" customHeight="1">
      <c r="A788" s="10" t="s">
        <v>25</v>
      </c>
      <c r="B788" s="10" t="s">
        <v>26</v>
      </c>
      <c r="C788" s="10" t="s">
        <v>23</v>
      </c>
      <c r="D788" s="10" t="s">
        <v>27</v>
      </c>
      <c r="E788" s="14">
        <v>1.0</v>
      </c>
      <c r="F788" s="15">
        <f>ROUND(21,3)</f>
        <v>21</v>
      </c>
      <c r="G788" s="12">
        <f t="shared" si="145"/>
        <v>21</v>
      </c>
    </row>
    <row r="789" ht="24.0" customHeight="1">
      <c r="A789" s="10" t="s">
        <v>28</v>
      </c>
      <c r="B789" s="10" t="s">
        <v>26</v>
      </c>
      <c r="C789" s="10" t="s">
        <v>23</v>
      </c>
      <c r="D789" s="10" t="s">
        <v>29</v>
      </c>
      <c r="E789" s="14">
        <v>1.0</v>
      </c>
      <c r="F789" s="15">
        <f t="shared" ref="F789:F790" si="146">ROUND(19,3)</f>
        <v>19</v>
      </c>
      <c r="G789" s="12">
        <f t="shared" si="145"/>
        <v>19</v>
      </c>
    </row>
    <row r="790" ht="24.0" customHeight="1">
      <c r="A790" s="10" t="s">
        <v>30</v>
      </c>
      <c r="B790" s="10" t="s">
        <v>26</v>
      </c>
      <c r="C790" s="10" t="s">
        <v>23</v>
      </c>
      <c r="D790" s="10" t="s">
        <v>31</v>
      </c>
      <c r="E790" s="14">
        <v>0.2</v>
      </c>
      <c r="F790" s="15">
        <f t="shared" si="146"/>
        <v>19</v>
      </c>
      <c r="G790" s="12">
        <f t="shared" si="145"/>
        <v>3.8</v>
      </c>
    </row>
    <row r="791" ht="15.0" customHeight="1">
      <c r="A791" s="11"/>
      <c r="B791" s="11"/>
      <c r="C791" s="11"/>
      <c r="D791" s="10" t="s">
        <v>22</v>
      </c>
      <c r="E791" s="14">
        <v>0.2</v>
      </c>
      <c r="F791" s="15">
        <f>ROUND((G788+G789+G790),3)</f>
        <v>43.8</v>
      </c>
      <c r="G791" s="12">
        <f t="shared" si="145"/>
        <v>8.76</v>
      </c>
    </row>
    <row r="792" ht="15.0" customHeight="1">
      <c r="A792" s="10" t="s">
        <v>32</v>
      </c>
      <c r="B792" s="10"/>
      <c r="C792" s="10" t="s">
        <v>33</v>
      </c>
      <c r="D792" s="10" t="s">
        <v>34</v>
      </c>
      <c r="E792" s="14">
        <v>5.0</v>
      </c>
      <c r="F792" s="15">
        <f>ROUND(8.76,3)</f>
        <v>8.76</v>
      </c>
      <c r="G792" s="12">
        <f>ROUND((E792*F792)/100,2)</f>
        <v>0.44</v>
      </c>
    </row>
    <row r="793" ht="15.0" customHeight="1">
      <c r="A793" s="16"/>
      <c r="B793" s="16"/>
      <c r="C793" s="16"/>
      <c r="D793" s="17" t="s">
        <v>357</v>
      </c>
      <c r="E793" s="16"/>
      <c r="F793" s="18">
        <f>ROUND((G784+G785+G786+G787+G792)*(1+G2/100),2)</f>
        <v>11.57</v>
      </c>
      <c r="G793" s="16"/>
    </row>
    <row r="794" ht="21.0" customHeight="1">
      <c r="A794" s="19" t="s">
        <v>360</v>
      </c>
      <c r="B794" s="20" t="s">
        <v>18</v>
      </c>
      <c r="C794" s="20" t="s">
        <v>222</v>
      </c>
      <c r="D794" s="20" t="s">
        <v>361</v>
      </c>
      <c r="E794" s="21"/>
      <c r="F794" s="22">
        <f>F799</f>
        <v>185.7</v>
      </c>
      <c r="G794" s="21"/>
    </row>
    <row r="795" ht="57.75" customHeight="1">
      <c r="A795" s="11"/>
      <c r="B795" s="11"/>
      <c r="C795" s="11"/>
      <c r="D795" s="10" t="s">
        <v>362</v>
      </c>
    </row>
    <row r="796" ht="30.0" customHeight="1">
      <c r="A796" s="10" t="s">
        <v>363</v>
      </c>
      <c r="B796" s="10" t="s">
        <v>42</v>
      </c>
      <c r="C796" s="10" t="s">
        <v>231</v>
      </c>
      <c r="D796" s="10" t="s">
        <v>364</v>
      </c>
      <c r="E796" s="14">
        <v>10.0</v>
      </c>
      <c r="F796" s="15">
        <f>ROUND(0.17,3)</f>
        <v>0.17</v>
      </c>
      <c r="G796" s="12">
        <f t="shared" ref="G796:G798" si="147">ROUND(E796*F796,2)</f>
        <v>1.7</v>
      </c>
    </row>
    <row r="797" ht="15.0" customHeight="1">
      <c r="A797" s="10" t="s">
        <v>365</v>
      </c>
      <c r="B797" s="10" t="s">
        <v>42</v>
      </c>
      <c r="C797" s="10" t="s">
        <v>184</v>
      </c>
      <c r="D797" s="10" t="s">
        <v>366</v>
      </c>
      <c r="E797" s="14">
        <v>1.0</v>
      </c>
      <c r="F797" s="15">
        <f>ROUND(32,3)</f>
        <v>32</v>
      </c>
      <c r="G797" s="12">
        <f t="shared" si="147"/>
        <v>32</v>
      </c>
    </row>
    <row r="798" ht="24.0" customHeight="1">
      <c r="A798" s="10" t="s">
        <v>28</v>
      </c>
      <c r="B798" s="10" t="s">
        <v>26</v>
      </c>
      <c r="C798" s="10" t="s">
        <v>23</v>
      </c>
      <c r="D798" s="10" t="s">
        <v>29</v>
      </c>
      <c r="E798" s="14">
        <v>8.0</v>
      </c>
      <c r="F798" s="15">
        <f>ROUND(19,3)</f>
        <v>19</v>
      </c>
      <c r="G798" s="12">
        <f t="shared" si="147"/>
        <v>152</v>
      </c>
    </row>
    <row r="799" ht="15.0" customHeight="1">
      <c r="A799" s="16"/>
      <c r="B799" s="16"/>
      <c r="C799" s="16"/>
      <c r="D799" s="17" t="s">
        <v>360</v>
      </c>
      <c r="E799" s="16"/>
      <c r="F799" s="18">
        <f>ROUND((G796+G797+G798)*(1+G2/100),2)</f>
        <v>185.7</v>
      </c>
      <c r="G799" s="16"/>
    </row>
    <row r="800" ht="15.0" customHeight="1">
      <c r="A800" s="19" t="s">
        <v>367</v>
      </c>
      <c r="B800" s="20" t="s">
        <v>18</v>
      </c>
      <c r="C800" s="20" t="s">
        <v>222</v>
      </c>
      <c r="D800" s="20" t="s">
        <v>368</v>
      </c>
      <c r="E800" s="21"/>
      <c r="F800" s="22">
        <f>F816</f>
        <v>276.54</v>
      </c>
      <c r="G800" s="21"/>
    </row>
    <row r="801" ht="39.75" customHeight="1">
      <c r="A801" s="11"/>
      <c r="B801" s="11"/>
      <c r="C801" s="11"/>
      <c r="D801" s="10" t="s">
        <v>369</v>
      </c>
    </row>
    <row r="802" ht="21.0" customHeight="1">
      <c r="A802" s="10" t="s">
        <v>338</v>
      </c>
      <c r="B802" s="10" t="s">
        <v>42</v>
      </c>
      <c r="C802" s="10" t="s">
        <v>226</v>
      </c>
      <c r="D802" s="10" t="s">
        <v>339</v>
      </c>
      <c r="E802" s="14">
        <v>0.8</v>
      </c>
      <c r="F802" s="15">
        <f>ROUND(49.95,3)</f>
        <v>49.95</v>
      </c>
      <c r="G802" s="12">
        <f t="shared" ref="G802:G814" si="148">ROUND(E802*F802,2)</f>
        <v>39.96</v>
      </c>
    </row>
    <row r="803" ht="30.0" customHeight="1">
      <c r="A803" s="10" t="s">
        <v>340</v>
      </c>
      <c r="B803" s="10" t="s">
        <v>42</v>
      </c>
      <c r="C803" s="10" t="s">
        <v>341</v>
      </c>
      <c r="D803" s="10" t="s">
        <v>342</v>
      </c>
      <c r="E803" s="14">
        <v>1.0</v>
      </c>
      <c r="F803" s="15">
        <f>ROUND(15.87,3)</f>
        <v>15.87</v>
      </c>
      <c r="G803" s="12">
        <f t="shared" si="148"/>
        <v>15.87</v>
      </c>
    </row>
    <row r="804" ht="30.0" customHeight="1">
      <c r="A804" s="10" t="s">
        <v>343</v>
      </c>
      <c r="B804" s="10" t="s">
        <v>42</v>
      </c>
      <c r="C804" s="10" t="s">
        <v>344</v>
      </c>
      <c r="D804" s="10" t="s">
        <v>345</v>
      </c>
      <c r="E804" s="14">
        <v>2.0</v>
      </c>
      <c r="F804" s="15">
        <f>ROUND(1.59,3)</f>
        <v>1.59</v>
      </c>
      <c r="G804" s="12">
        <f t="shared" si="148"/>
        <v>3.18</v>
      </c>
    </row>
    <row r="805" ht="30.0" customHeight="1">
      <c r="A805" s="10" t="s">
        <v>346</v>
      </c>
      <c r="B805" s="10" t="s">
        <v>42</v>
      </c>
      <c r="C805" s="10" t="s">
        <v>344</v>
      </c>
      <c r="D805" s="10" t="s">
        <v>347</v>
      </c>
      <c r="E805" s="14">
        <v>1.0</v>
      </c>
      <c r="F805" s="15">
        <f>ROUND(4.47,3)</f>
        <v>4.47</v>
      </c>
      <c r="G805" s="12">
        <f t="shared" si="148"/>
        <v>4.47</v>
      </c>
    </row>
    <row r="806" ht="21.0" customHeight="1">
      <c r="A806" s="10" t="s">
        <v>348</v>
      </c>
      <c r="B806" s="10" t="s">
        <v>42</v>
      </c>
      <c r="C806" s="10" t="s">
        <v>226</v>
      </c>
      <c r="D806" s="10" t="s">
        <v>349</v>
      </c>
      <c r="E806" s="14">
        <v>1.0</v>
      </c>
      <c r="F806" s="15">
        <f>ROUND(4.95,3)</f>
        <v>4.95</v>
      </c>
      <c r="G806" s="12">
        <f t="shared" si="148"/>
        <v>4.95</v>
      </c>
    </row>
    <row r="807" ht="30.0" customHeight="1">
      <c r="A807" s="10" t="s">
        <v>350</v>
      </c>
      <c r="B807" s="10" t="s">
        <v>42</v>
      </c>
      <c r="C807" s="10" t="s">
        <v>351</v>
      </c>
      <c r="D807" s="10" t="s">
        <v>352</v>
      </c>
      <c r="E807" s="14">
        <v>15.0</v>
      </c>
      <c r="F807" s="15">
        <f>ROUND(1.33,3)</f>
        <v>1.33</v>
      </c>
      <c r="G807" s="12">
        <f t="shared" si="148"/>
        <v>19.95</v>
      </c>
    </row>
    <row r="808" ht="21.0" customHeight="1">
      <c r="A808" s="10" t="s">
        <v>353</v>
      </c>
      <c r="B808" s="10" t="s">
        <v>42</v>
      </c>
      <c r="C808" s="10" t="s">
        <v>344</v>
      </c>
      <c r="D808" s="10" t="s">
        <v>354</v>
      </c>
      <c r="E808" s="14">
        <v>2.0</v>
      </c>
      <c r="F808" s="15">
        <f>ROUND(4.06,3)</f>
        <v>4.06</v>
      </c>
      <c r="G808" s="12">
        <f t="shared" si="148"/>
        <v>8.12</v>
      </c>
    </row>
    <row r="809" ht="30.0" customHeight="1">
      <c r="A809" s="10" t="s">
        <v>355</v>
      </c>
      <c r="B809" s="10" t="s">
        <v>42</v>
      </c>
      <c r="C809" s="10" t="s">
        <v>226</v>
      </c>
      <c r="D809" s="10" t="s">
        <v>356</v>
      </c>
      <c r="E809" s="14">
        <v>1.0</v>
      </c>
      <c r="F809" s="15">
        <f>ROUND(4.1,3)</f>
        <v>4.1</v>
      </c>
      <c r="G809" s="12">
        <f t="shared" si="148"/>
        <v>4.1</v>
      </c>
    </row>
    <row r="810" ht="21.0" customHeight="1">
      <c r="A810" s="10" t="s">
        <v>22</v>
      </c>
      <c r="B810" s="10" t="s">
        <v>18</v>
      </c>
      <c r="C810" s="10" t="s">
        <v>23</v>
      </c>
      <c r="D810" s="10" t="s">
        <v>24</v>
      </c>
      <c r="E810" s="14">
        <v>3.9</v>
      </c>
      <c r="F810" s="15">
        <f>F814</f>
        <v>43.8</v>
      </c>
      <c r="G810" s="12">
        <f t="shared" si="148"/>
        <v>170.82</v>
      </c>
    </row>
    <row r="811" ht="24.0" customHeight="1">
      <c r="A811" s="10" t="s">
        <v>25</v>
      </c>
      <c r="B811" s="10" t="s">
        <v>26</v>
      </c>
      <c r="C811" s="10" t="s">
        <v>23</v>
      </c>
      <c r="D811" s="10" t="s">
        <v>27</v>
      </c>
      <c r="E811" s="14">
        <v>1.0</v>
      </c>
      <c r="F811" s="15">
        <f>ROUND(21,3)</f>
        <v>21</v>
      </c>
      <c r="G811" s="12">
        <f t="shared" si="148"/>
        <v>21</v>
      </c>
    </row>
    <row r="812" ht="24.0" customHeight="1">
      <c r="A812" s="10" t="s">
        <v>28</v>
      </c>
      <c r="B812" s="10" t="s">
        <v>26</v>
      </c>
      <c r="C812" s="10" t="s">
        <v>23</v>
      </c>
      <c r="D812" s="10" t="s">
        <v>29</v>
      </c>
      <c r="E812" s="14">
        <v>1.0</v>
      </c>
      <c r="F812" s="15">
        <f t="shared" ref="F812:F813" si="149">ROUND(19,3)</f>
        <v>19</v>
      </c>
      <c r="G812" s="12">
        <f t="shared" si="148"/>
        <v>19</v>
      </c>
    </row>
    <row r="813" ht="24.0" customHeight="1">
      <c r="A813" s="10" t="s">
        <v>30</v>
      </c>
      <c r="B813" s="10" t="s">
        <v>26</v>
      </c>
      <c r="C813" s="10" t="s">
        <v>23</v>
      </c>
      <c r="D813" s="10" t="s">
        <v>31</v>
      </c>
      <c r="E813" s="14">
        <v>0.2</v>
      </c>
      <c r="F813" s="15">
        <f t="shared" si="149"/>
        <v>19</v>
      </c>
      <c r="G813" s="12">
        <f t="shared" si="148"/>
        <v>3.8</v>
      </c>
    </row>
    <row r="814" ht="15.0" customHeight="1">
      <c r="A814" s="11"/>
      <c r="B814" s="11"/>
      <c r="C814" s="11"/>
      <c r="D814" s="10" t="s">
        <v>22</v>
      </c>
      <c r="E814" s="14">
        <v>3.9</v>
      </c>
      <c r="F814" s="15">
        <f>ROUND((G811+G812+G813),3)</f>
        <v>43.8</v>
      </c>
      <c r="G814" s="12">
        <f t="shared" si="148"/>
        <v>170.82</v>
      </c>
    </row>
    <row r="815" ht="15.0" customHeight="1">
      <c r="A815" s="10" t="s">
        <v>32</v>
      </c>
      <c r="B815" s="10"/>
      <c r="C815" s="10" t="s">
        <v>33</v>
      </c>
      <c r="D815" s="10" t="s">
        <v>34</v>
      </c>
      <c r="E815" s="14">
        <v>3.0</v>
      </c>
      <c r="F815" s="15">
        <f>ROUND(170.82,3)</f>
        <v>170.82</v>
      </c>
      <c r="G815" s="12">
        <f>ROUND((E815*F815)/100,2)</f>
        <v>5.12</v>
      </c>
    </row>
    <row r="816" ht="15.0" customHeight="1">
      <c r="A816" s="16"/>
      <c r="B816" s="16"/>
      <c r="C816" s="16"/>
      <c r="D816" s="17" t="s">
        <v>367</v>
      </c>
      <c r="E816" s="16"/>
      <c r="F816" s="18">
        <f>ROUND((G802+G803+G804+G805+G806+G807+G808+G809+G810+G815)*(1+G2/100),2)</f>
        <v>276.54</v>
      </c>
      <c r="G816" s="16"/>
    </row>
    <row r="817" ht="21.0" customHeight="1">
      <c r="A817" s="19" t="s">
        <v>370</v>
      </c>
      <c r="B817" s="20" t="s">
        <v>18</v>
      </c>
      <c r="C817" s="20" t="s">
        <v>222</v>
      </c>
      <c r="D817" s="20" t="s">
        <v>371</v>
      </c>
      <c r="E817" s="21"/>
      <c r="F817" s="22">
        <f>F824</f>
        <v>262.8</v>
      </c>
      <c r="G817" s="21"/>
    </row>
    <row r="818" ht="95.25" customHeight="1">
      <c r="A818" s="11"/>
      <c r="B818" s="11"/>
      <c r="C818" s="11"/>
      <c r="D818" s="10" t="s">
        <v>372</v>
      </c>
    </row>
    <row r="819" ht="21.0" customHeight="1">
      <c r="A819" s="10" t="s">
        <v>22</v>
      </c>
      <c r="B819" s="10" t="s">
        <v>18</v>
      </c>
      <c r="C819" s="10" t="s">
        <v>23</v>
      </c>
      <c r="D819" s="10" t="s">
        <v>24</v>
      </c>
      <c r="E819" s="14">
        <v>6.0</v>
      </c>
      <c r="F819" s="15">
        <f>F823</f>
        <v>43.8</v>
      </c>
      <c r="G819" s="12">
        <f t="shared" ref="G819:G823" si="150">ROUND(E819*F819,2)</f>
        <v>262.8</v>
      </c>
    </row>
    <row r="820" ht="24.0" customHeight="1">
      <c r="A820" s="10" t="s">
        <v>25</v>
      </c>
      <c r="B820" s="10" t="s">
        <v>26</v>
      </c>
      <c r="C820" s="10" t="s">
        <v>23</v>
      </c>
      <c r="D820" s="10" t="s">
        <v>27</v>
      </c>
      <c r="E820" s="14">
        <v>1.0</v>
      </c>
      <c r="F820" s="15">
        <f>ROUND(21,3)</f>
        <v>21</v>
      </c>
      <c r="G820" s="12">
        <f t="shared" si="150"/>
        <v>21</v>
      </c>
    </row>
    <row r="821" ht="24.0" customHeight="1">
      <c r="A821" s="10" t="s">
        <v>28</v>
      </c>
      <c r="B821" s="10" t="s">
        <v>26</v>
      </c>
      <c r="C821" s="10" t="s">
        <v>23</v>
      </c>
      <c r="D821" s="10" t="s">
        <v>29</v>
      </c>
      <c r="E821" s="14">
        <v>1.0</v>
      </c>
      <c r="F821" s="15">
        <f t="shared" ref="F821:F822" si="151">ROUND(19,3)</f>
        <v>19</v>
      </c>
      <c r="G821" s="12">
        <f t="shared" si="150"/>
        <v>19</v>
      </c>
    </row>
    <row r="822" ht="24.0" customHeight="1">
      <c r="A822" s="10" t="s">
        <v>30</v>
      </c>
      <c r="B822" s="10" t="s">
        <v>26</v>
      </c>
      <c r="C822" s="10" t="s">
        <v>23</v>
      </c>
      <c r="D822" s="10" t="s">
        <v>31</v>
      </c>
      <c r="E822" s="14">
        <v>0.2</v>
      </c>
      <c r="F822" s="15">
        <f t="shared" si="151"/>
        <v>19</v>
      </c>
      <c r="G822" s="12">
        <f t="shared" si="150"/>
        <v>3.8</v>
      </c>
    </row>
    <row r="823" ht="15.0" customHeight="1">
      <c r="A823" s="11"/>
      <c r="B823" s="11"/>
      <c r="C823" s="11"/>
      <c r="D823" s="10" t="s">
        <v>22</v>
      </c>
      <c r="E823" s="14">
        <v>6.0</v>
      </c>
      <c r="F823" s="15">
        <f>ROUND((G820+G821+G822),3)</f>
        <v>43.8</v>
      </c>
      <c r="G823" s="12">
        <f t="shared" si="150"/>
        <v>262.8</v>
      </c>
    </row>
    <row r="824" ht="15.0" customHeight="1">
      <c r="A824" s="16"/>
      <c r="B824" s="16"/>
      <c r="C824" s="16"/>
      <c r="D824" s="17" t="s">
        <v>370</v>
      </c>
      <c r="E824" s="16"/>
      <c r="F824" s="18">
        <f>ROUND((G819)*(1+G2/100),2)</f>
        <v>262.8</v>
      </c>
      <c r="G824" s="16"/>
    </row>
    <row r="825" ht="21.0" customHeight="1">
      <c r="A825" s="19" t="s">
        <v>373</v>
      </c>
      <c r="B825" s="20" t="s">
        <v>18</v>
      </c>
      <c r="C825" s="20" t="s">
        <v>374</v>
      </c>
      <c r="D825" s="20" t="s">
        <v>375</v>
      </c>
      <c r="E825" s="21"/>
      <c r="F825" s="22">
        <f>F835</f>
        <v>60.06</v>
      </c>
      <c r="G825" s="21"/>
    </row>
    <row r="826" ht="39.75" customHeight="1">
      <c r="A826" s="11"/>
      <c r="B826" s="11"/>
      <c r="C826" s="11"/>
      <c r="D826" s="10" t="s">
        <v>376</v>
      </c>
    </row>
    <row r="827" ht="21.0" customHeight="1">
      <c r="A827" s="10" t="s">
        <v>225</v>
      </c>
      <c r="B827" s="10" t="s">
        <v>42</v>
      </c>
      <c r="C827" s="10" t="s">
        <v>226</v>
      </c>
      <c r="D827" s="10" t="s">
        <v>227</v>
      </c>
      <c r="E827" s="14">
        <v>1.0</v>
      </c>
      <c r="F827" s="15">
        <f>ROUND(13.14,3)</f>
        <v>13.14</v>
      </c>
      <c r="G827" s="12">
        <f t="shared" ref="G827:G833" si="152">ROUND(E827*F827,2)</f>
        <v>13.14</v>
      </c>
    </row>
    <row r="828" ht="21.0" customHeight="1">
      <c r="A828" s="10" t="s">
        <v>237</v>
      </c>
      <c r="B828" s="10" t="s">
        <v>42</v>
      </c>
      <c r="C828" s="10" t="s">
        <v>231</v>
      </c>
      <c r="D828" s="10" t="s">
        <v>238</v>
      </c>
      <c r="E828" s="14">
        <v>1.0</v>
      </c>
      <c r="F828" s="15">
        <f>ROUND(6.32,3)</f>
        <v>6.32</v>
      </c>
      <c r="G828" s="12">
        <f t="shared" si="152"/>
        <v>6.32</v>
      </c>
    </row>
    <row r="829" ht="21.0" customHeight="1">
      <c r="A829" s="10" t="s">
        <v>22</v>
      </c>
      <c r="B829" s="10" t="s">
        <v>18</v>
      </c>
      <c r="C829" s="10" t="s">
        <v>23</v>
      </c>
      <c r="D829" s="10" t="s">
        <v>24</v>
      </c>
      <c r="E829" s="14">
        <v>0.9</v>
      </c>
      <c r="F829" s="15">
        <f>F833</f>
        <v>43.8</v>
      </c>
      <c r="G829" s="12">
        <f t="shared" si="152"/>
        <v>39.42</v>
      </c>
    </row>
    <row r="830" ht="24.0" customHeight="1">
      <c r="A830" s="10" t="s">
        <v>25</v>
      </c>
      <c r="B830" s="10" t="s">
        <v>26</v>
      </c>
      <c r="C830" s="10" t="s">
        <v>23</v>
      </c>
      <c r="D830" s="10" t="s">
        <v>27</v>
      </c>
      <c r="E830" s="14">
        <v>1.0</v>
      </c>
      <c r="F830" s="15">
        <f>ROUND(21,3)</f>
        <v>21</v>
      </c>
      <c r="G830" s="12">
        <f t="shared" si="152"/>
        <v>21</v>
      </c>
    </row>
    <row r="831" ht="24.0" customHeight="1">
      <c r="A831" s="10" t="s">
        <v>28</v>
      </c>
      <c r="B831" s="10" t="s">
        <v>26</v>
      </c>
      <c r="C831" s="10" t="s">
        <v>23</v>
      </c>
      <c r="D831" s="10" t="s">
        <v>29</v>
      </c>
      <c r="E831" s="14">
        <v>1.0</v>
      </c>
      <c r="F831" s="15">
        <f t="shared" ref="F831:F832" si="153">ROUND(19,3)</f>
        <v>19</v>
      </c>
      <c r="G831" s="12">
        <f t="shared" si="152"/>
        <v>19</v>
      </c>
    </row>
    <row r="832" ht="24.0" customHeight="1">
      <c r="A832" s="10" t="s">
        <v>30</v>
      </c>
      <c r="B832" s="10" t="s">
        <v>26</v>
      </c>
      <c r="C832" s="10" t="s">
        <v>23</v>
      </c>
      <c r="D832" s="10" t="s">
        <v>31</v>
      </c>
      <c r="E832" s="14">
        <v>0.2</v>
      </c>
      <c r="F832" s="15">
        <f t="shared" si="153"/>
        <v>19</v>
      </c>
      <c r="G832" s="12">
        <f t="shared" si="152"/>
        <v>3.8</v>
      </c>
    </row>
    <row r="833" ht="15.0" customHeight="1">
      <c r="A833" s="11"/>
      <c r="B833" s="11"/>
      <c r="C833" s="11"/>
      <c r="D833" s="10" t="s">
        <v>22</v>
      </c>
      <c r="E833" s="14">
        <v>0.9</v>
      </c>
      <c r="F833" s="15">
        <f>ROUND((G830+G831+G832),3)</f>
        <v>43.8</v>
      </c>
      <c r="G833" s="12">
        <f t="shared" si="152"/>
        <v>39.42</v>
      </c>
    </row>
    <row r="834" ht="15.0" customHeight="1">
      <c r="A834" s="10" t="s">
        <v>32</v>
      </c>
      <c r="B834" s="10"/>
      <c r="C834" s="10" t="s">
        <v>33</v>
      </c>
      <c r="D834" s="10" t="s">
        <v>34</v>
      </c>
      <c r="E834" s="14">
        <v>3.0</v>
      </c>
      <c r="F834" s="15">
        <f>ROUND(39.42,3)</f>
        <v>39.42</v>
      </c>
      <c r="G834" s="12">
        <f>ROUND((E834*F834)/100,2)</f>
        <v>1.18</v>
      </c>
    </row>
    <row r="835" ht="15.0" customHeight="1">
      <c r="A835" s="16"/>
      <c r="B835" s="16"/>
      <c r="C835" s="16"/>
      <c r="D835" s="17" t="s">
        <v>373</v>
      </c>
      <c r="E835" s="16"/>
      <c r="F835" s="18">
        <f>ROUND((G827+G828+G829+G834)*(1+G2/100),2)</f>
        <v>60.06</v>
      </c>
      <c r="G835" s="16"/>
    </row>
    <row r="836" ht="21.0" customHeight="1">
      <c r="A836" s="19" t="s">
        <v>377</v>
      </c>
      <c r="B836" s="20" t="s">
        <v>18</v>
      </c>
      <c r="C836" s="20" t="s">
        <v>251</v>
      </c>
      <c r="D836" s="20" t="s">
        <v>378</v>
      </c>
      <c r="E836" s="21"/>
      <c r="F836" s="22">
        <f>F845</f>
        <v>9.83</v>
      </c>
      <c r="G836" s="21"/>
    </row>
    <row r="837" ht="48.75" customHeight="1">
      <c r="A837" s="11"/>
      <c r="B837" s="11"/>
      <c r="C837" s="11"/>
      <c r="D837" s="10" t="s">
        <v>379</v>
      </c>
    </row>
    <row r="838" ht="15.0" customHeight="1">
      <c r="A838" s="10" t="s">
        <v>380</v>
      </c>
      <c r="B838" s="10" t="s">
        <v>42</v>
      </c>
      <c r="C838" s="10" t="s">
        <v>255</v>
      </c>
      <c r="D838" s="10" t="s">
        <v>381</v>
      </c>
      <c r="E838" s="14">
        <v>0.013</v>
      </c>
      <c r="F838" s="15">
        <f>ROUND(81,3)</f>
        <v>81</v>
      </c>
      <c r="G838" s="12">
        <f t="shared" ref="G838:G844" si="154">ROUND(E838*F838,2)</f>
        <v>1.05</v>
      </c>
    </row>
    <row r="839" ht="24.0" customHeight="1">
      <c r="A839" s="10" t="s">
        <v>111</v>
      </c>
      <c r="B839" s="10" t="s">
        <v>112</v>
      </c>
      <c r="C839" s="10" t="s">
        <v>23</v>
      </c>
      <c r="D839" s="10" t="s">
        <v>113</v>
      </c>
      <c r="E839" s="14">
        <v>0.12</v>
      </c>
      <c r="F839" s="15">
        <f>ROUND(7.526,3)</f>
        <v>7.526</v>
      </c>
      <c r="G839" s="12">
        <f t="shared" si="154"/>
        <v>0.9</v>
      </c>
    </row>
    <row r="840" ht="21.0" customHeight="1">
      <c r="A840" s="10" t="s">
        <v>22</v>
      </c>
      <c r="B840" s="10" t="s">
        <v>18</v>
      </c>
      <c r="C840" s="10" t="s">
        <v>23</v>
      </c>
      <c r="D840" s="10" t="s">
        <v>24</v>
      </c>
      <c r="E840" s="14">
        <v>0.18</v>
      </c>
      <c r="F840" s="15">
        <f>F844</f>
        <v>43.8</v>
      </c>
      <c r="G840" s="12">
        <f t="shared" si="154"/>
        <v>7.88</v>
      </c>
    </row>
    <row r="841" ht="24.0" customHeight="1">
      <c r="A841" s="10" t="s">
        <v>25</v>
      </c>
      <c r="B841" s="10" t="s">
        <v>26</v>
      </c>
      <c r="C841" s="10" t="s">
        <v>23</v>
      </c>
      <c r="D841" s="10" t="s">
        <v>27</v>
      </c>
      <c r="E841" s="14">
        <v>1.0</v>
      </c>
      <c r="F841" s="15">
        <f>ROUND(21,3)</f>
        <v>21</v>
      </c>
      <c r="G841" s="12">
        <f t="shared" si="154"/>
        <v>21</v>
      </c>
    </row>
    <row r="842" ht="24.0" customHeight="1">
      <c r="A842" s="10" t="s">
        <v>28</v>
      </c>
      <c r="B842" s="10" t="s">
        <v>26</v>
      </c>
      <c r="C842" s="10" t="s">
        <v>23</v>
      </c>
      <c r="D842" s="10" t="s">
        <v>29</v>
      </c>
      <c r="E842" s="14">
        <v>1.0</v>
      </c>
      <c r="F842" s="15">
        <f t="shared" ref="F842:F843" si="155">ROUND(19,3)</f>
        <v>19</v>
      </c>
      <c r="G842" s="12">
        <f t="shared" si="154"/>
        <v>19</v>
      </c>
    </row>
    <row r="843" ht="24.0" customHeight="1">
      <c r="A843" s="10" t="s">
        <v>30</v>
      </c>
      <c r="B843" s="10" t="s">
        <v>26</v>
      </c>
      <c r="C843" s="10" t="s">
        <v>23</v>
      </c>
      <c r="D843" s="10" t="s">
        <v>31</v>
      </c>
      <c r="E843" s="14">
        <v>0.2</v>
      </c>
      <c r="F843" s="15">
        <f t="shared" si="155"/>
        <v>19</v>
      </c>
      <c r="G843" s="12">
        <f t="shared" si="154"/>
        <v>3.8</v>
      </c>
    </row>
    <row r="844" ht="15.0" customHeight="1">
      <c r="A844" s="11"/>
      <c r="B844" s="11"/>
      <c r="C844" s="11"/>
      <c r="D844" s="10" t="s">
        <v>22</v>
      </c>
      <c r="E844" s="14">
        <v>0.18</v>
      </c>
      <c r="F844" s="15">
        <f>ROUND((G841+G842+G843),3)</f>
        <v>43.8</v>
      </c>
      <c r="G844" s="12">
        <f t="shared" si="154"/>
        <v>7.88</v>
      </c>
    </row>
    <row r="845" ht="15.0" customHeight="1">
      <c r="A845" s="16"/>
      <c r="B845" s="16"/>
      <c r="C845" s="16"/>
      <c r="D845" s="17" t="s">
        <v>377</v>
      </c>
      <c r="E845" s="16"/>
      <c r="F845" s="18">
        <f>ROUND((G838+G839+G840)*(1+G2/100),2)</f>
        <v>9.83</v>
      </c>
      <c r="G845" s="16"/>
    </row>
    <row r="846" ht="39.75" customHeight="1">
      <c r="A846" s="19" t="s">
        <v>382</v>
      </c>
      <c r="B846" s="20" t="s">
        <v>18</v>
      </c>
      <c r="C846" s="20" t="s">
        <v>251</v>
      </c>
      <c r="D846" s="20" t="s">
        <v>383</v>
      </c>
      <c r="E846" s="21"/>
      <c r="F846" s="22">
        <f>F855</f>
        <v>12.31</v>
      </c>
      <c r="G846" s="21"/>
    </row>
    <row r="847" ht="30.0" customHeight="1">
      <c r="A847" s="11"/>
      <c r="B847" s="11"/>
      <c r="C847" s="11"/>
      <c r="D847" s="10" t="s">
        <v>384</v>
      </c>
    </row>
    <row r="848" ht="21.0" customHeight="1">
      <c r="A848" s="10" t="s">
        <v>385</v>
      </c>
      <c r="B848" s="10" t="s">
        <v>42</v>
      </c>
      <c r="C848" s="10" t="s">
        <v>374</v>
      </c>
      <c r="D848" s="10" t="s">
        <v>386</v>
      </c>
      <c r="E848" s="14">
        <v>0.1</v>
      </c>
      <c r="F848" s="15">
        <f>ROUND(48.36,3)</f>
        <v>48.36</v>
      </c>
      <c r="G848" s="12">
        <f t="shared" ref="G848:G854" si="156">ROUND(E848*F848,2)</f>
        <v>4.84</v>
      </c>
    </row>
    <row r="849" ht="24.0" customHeight="1">
      <c r="A849" s="10" t="s">
        <v>111</v>
      </c>
      <c r="B849" s="10" t="s">
        <v>112</v>
      </c>
      <c r="C849" s="10" t="s">
        <v>23</v>
      </c>
      <c r="D849" s="10" t="s">
        <v>113</v>
      </c>
      <c r="E849" s="14">
        <v>0.12</v>
      </c>
      <c r="F849" s="15">
        <f>ROUND(7.526,3)</f>
        <v>7.526</v>
      </c>
      <c r="G849" s="12">
        <f t="shared" si="156"/>
        <v>0.9</v>
      </c>
    </row>
    <row r="850" ht="21.0" customHeight="1">
      <c r="A850" s="10" t="s">
        <v>22</v>
      </c>
      <c r="B850" s="10" t="s">
        <v>18</v>
      </c>
      <c r="C850" s="10" t="s">
        <v>23</v>
      </c>
      <c r="D850" s="10" t="s">
        <v>24</v>
      </c>
      <c r="E850" s="14">
        <v>0.15</v>
      </c>
      <c r="F850" s="15">
        <f>F854</f>
        <v>43.8</v>
      </c>
      <c r="G850" s="12">
        <f t="shared" si="156"/>
        <v>6.57</v>
      </c>
    </row>
    <row r="851" ht="24.0" customHeight="1">
      <c r="A851" s="10" t="s">
        <v>25</v>
      </c>
      <c r="B851" s="10" t="s">
        <v>26</v>
      </c>
      <c r="C851" s="10" t="s">
        <v>23</v>
      </c>
      <c r="D851" s="10" t="s">
        <v>27</v>
      </c>
      <c r="E851" s="14">
        <v>1.0</v>
      </c>
      <c r="F851" s="15">
        <f>ROUND(21,3)</f>
        <v>21</v>
      </c>
      <c r="G851" s="12">
        <f t="shared" si="156"/>
        <v>21</v>
      </c>
    </row>
    <row r="852" ht="24.0" customHeight="1">
      <c r="A852" s="10" t="s">
        <v>28</v>
      </c>
      <c r="B852" s="10" t="s">
        <v>26</v>
      </c>
      <c r="C852" s="10" t="s">
        <v>23</v>
      </c>
      <c r="D852" s="10" t="s">
        <v>29</v>
      </c>
      <c r="E852" s="14">
        <v>1.0</v>
      </c>
      <c r="F852" s="15">
        <f t="shared" ref="F852:F853" si="157">ROUND(19,3)</f>
        <v>19</v>
      </c>
      <c r="G852" s="12">
        <f t="shared" si="156"/>
        <v>19</v>
      </c>
    </row>
    <row r="853" ht="24.0" customHeight="1">
      <c r="A853" s="10" t="s">
        <v>30</v>
      </c>
      <c r="B853" s="10" t="s">
        <v>26</v>
      </c>
      <c r="C853" s="10" t="s">
        <v>23</v>
      </c>
      <c r="D853" s="10" t="s">
        <v>31</v>
      </c>
      <c r="E853" s="14">
        <v>0.2</v>
      </c>
      <c r="F853" s="15">
        <f t="shared" si="157"/>
        <v>19</v>
      </c>
      <c r="G853" s="12">
        <f t="shared" si="156"/>
        <v>3.8</v>
      </c>
    </row>
    <row r="854" ht="15.0" customHeight="1">
      <c r="A854" s="11"/>
      <c r="B854" s="11"/>
      <c r="C854" s="11"/>
      <c r="D854" s="10" t="s">
        <v>22</v>
      </c>
      <c r="E854" s="14">
        <v>0.15</v>
      </c>
      <c r="F854" s="15">
        <f>ROUND((G851+G852+G853),3)</f>
        <v>43.8</v>
      </c>
      <c r="G854" s="12">
        <f t="shared" si="156"/>
        <v>6.57</v>
      </c>
    </row>
    <row r="855" ht="15.0" customHeight="1">
      <c r="A855" s="16"/>
      <c r="B855" s="16"/>
      <c r="C855" s="16"/>
      <c r="D855" s="17" t="s">
        <v>382</v>
      </c>
      <c r="E855" s="16"/>
      <c r="F855" s="18">
        <f>ROUND((G848+G849+G850)*(1+G2/100),2)</f>
        <v>12.31</v>
      </c>
      <c r="G855" s="16"/>
    </row>
    <row r="856" ht="21.0" customHeight="1">
      <c r="A856" s="19" t="s">
        <v>387</v>
      </c>
      <c r="B856" s="20" t="s">
        <v>18</v>
      </c>
      <c r="C856" s="20" t="s">
        <v>222</v>
      </c>
      <c r="D856" s="20" t="s">
        <v>388</v>
      </c>
      <c r="E856" s="21"/>
      <c r="F856" s="22">
        <f>F869</f>
        <v>248.57</v>
      </c>
      <c r="G856" s="21"/>
    </row>
    <row r="857" ht="39.75" customHeight="1">
      <c r="A857" s="11"/>
      <c r="B857" s="11"/>
      <c r="C857" s="11"/>
      <c r="D857" s="10" t="s">
        <v>389</v>
      </c>
    </row>
    <row r="858" ht="21.0" customHeight="1">
      <c r="A858" s="10" t="s">
        <v>225</v>
      </c>
      <c r="B858" s="10" t="s">
        <v>42</v>
      </c>
      <c r="C858" s="10" t="s">
        <v>226</v>
      </c>
      <c r="D858" s="10" t="s">
        <v>227</v>
      </c>
      <c r="E858" s="14">
        <v>2.0</v>
      </c>
      <c r="F858" s="15">
        <f>ROUND(13.14,3)</f>
        <v>13.14</v>
      </c>
      <c r="G858" s="12">
        <f t="shared" ref="G858:G867" si="158">ROUND(E858*F858,2)</f>
        <v>26.28</v>
      </c>
    </row>
    <row r="859" ht="21.0" customHeight="1">
      <c r="A859" s="10" t="s">
        <v>228</v>
      </c>
      <c r="B859" s="10" t="s">
        <v>42</v>
      </c>
      <c r="C859" s="10" t="s">
        <v>226</v>
      </c>
      <c r="D859" s="10" t="s">
        <v>229</v>
      </c>
      <c r="E859" s="14">
        <v>5.0</v>
      </c>
      <c r="F859" s="15">
        <f>ROUND(1.32,3)</f>
        <v>1.32</v>
      </c>
      <c r="G859" s="12">
        <f t="shared" si="158"/>
        <v>6.6</v>
      </c>
    </row>
    <row r="860" ht="21.0" customHeight="1">
      <c r="A860" s="10" t="s">
        <v>230</v>
      </c>
      <c r="B860" s="10" t="s">
        <v>42</v>
      </c>
      <c r="C860" s="10" t="s">
        <v>231</v>
      </c>
      <c r="D860" s="10" t="s">
        <v>232</v>
      </c>
      <c r="E860" s="14">
        <v>5.0</v>
      </c>
      <c r="F860" s="15">
        <f>ROUND(3.47,3)</f>
        <v>3.47</v>
      </c>
      <c r="G860" s="12">
        <f t="shared" si="158"/>
        <v>17.35</v>
      </c>
    </row>
    <row r="861" ht="30.0" customHeight="1">
      <c r="A861" s="10" t="s">
        <v>233</v>
      </c>
      <c r="B861" s="10" t="s">
        <v>42</v>
      </c>
      <c r="C861" s="10" t="s">
        <v>231</v>
      </c>
      <c r="D861" s="10" t="s">
        <v>234</v>
      </c>
      <c r="E861" s="14">
        <v>0.33333</v>
      </c>
      <c r="F861" s="15">
        <f>ROUND(23.46,3)</f>
        <v>23.46</v>
      </c>
      <c r="G861" s="12">
        <f t="shared" si="158"/>
        <v>7.82</v>
      </c>
    </row>
    <row r="862" ht="21.0" customHeight="1">
      <c r="A862" s="10" t="s">
        <v>235</v>
      </c>
      <c r="B862" s="10" t="s">
        <v>42</v>
      </c>
      <c r="C862" s="10" t="s">
        <v>231</v>
      </c>
      <c r="D862" s="10" t="s">
        <v>236</v>
      </c>
      <c r="E862" s="14">
        <v>0.33333</v>
      </c>
      <c r="F862" s="15">
        <f>ROUND(30.17,3)</f>
        <v>30.17</v>
      </c>
      <c r="G862" s="12">
        <f t="shared" si="158"/>
        <v>10.06</v>
      </c>
    </row>
    <row r="863" ht="21.0" customHeight="1">
      <c r="A863" s="10" t="s">
        <v>22</v>
      </c>
      <c r="B863" s="10" t="s">
        <v>18</v>
      </c>
      <c r="C863" s="10" t="s">
        <v>23</v>
      </c>
      <c r="D863" s="10" t="s">
        <v>24</v>
      </c>
      <c r="E863" s="14">
        <v>4.0</v>
      </c>
      <c r="F863" s="15">
        <f>F867</f>
        <v>43.8</v>
      </c>
      <c r="G863" s="12">
        <f t="shared" si="158"/>
        <v>175.2</v>
      </c>
    </row>
    <row r="864" ht="24.0" customHeight="1">
      <c r="A864" s="10" t="s">
        <v>25</v>
      </c>
      <c r="B864" s="10" t="s">
        <v>26</v>
      </c>
      <c r="C864" s="10" t="s">
        <v>23</v>
      </c>
      <c r="D864" s="10" t="s">
        <v>27</v>
      </c>
      <c r="E864" s="14">
        <v>1.0</v>
      </c>
      <c r="F864" s="15">
        <f>ROUND(21,3)</f>
        <v>21</v>
      </c>
      <c r="G864" s="12">
        <f t="shared" si="158"/>
        <v>21</v>
      </c>
    </row>
    <row r="865" ht="24.0" customHeight="1">
      <c r="A865" s="10" t="s">
        <v>28</v>
      </c>
      <c r="B865" s="10" t="s">
        <v>26</v>
      </c>
      <c r="C865" s="10" t="s">
        <v>23</v>
      </c>
      <c r="D865" s="10" t="s">
        <v>29</v>
      </c>
      <c r="E865" s="14">
        <v>1.0</v>
      </c>
      <c r="F865" s="15">
        <f t="shared" ref="F865:F866" si="159">ROUND(19,3)</f>
        <v>19</v>
      </c>
      <c r="G865" s="12">
        <f t="shared" si="158"/>
        <v>19</v>
      </c>
    </row>
    <row r="866" ht="24.0" customHeight="1">
      <c r="A866" s="10" t="s">
        <v>30</v>
      </c>
      <c r="B866" s="10" t="s">
        <v>26</v>
      </c>
      <c r="C866" s="10" t="s">
        <v>23</v>
      </c>
      <c r="D866" s="10" t="s">
        <v>31</v>
      </c>
      <c r="E866" s="14">
        <v>0.2</v>
      </c>
      <c r="F866" s="15">
        <f t="shared" si="159"/>
        <v>19</v>
      </c>
      <c r="G866" s="12">
        <f t="shared" si="158"/>
        <v>3.8</v>
      </c>
    </row>
    <row r="867" ht="15.0" customHeight="1">
      <c r="A867" s="11"/>
      <c r="B867" s="11"/>
      <c r="C867" s="11"/>
      <c r="D867" s="10" t="s">
        <v>22</v>
      </c>
      <c r="E867" s="14">
        <v>4.0</v>
      </c>
      <c r="F867" s="15">
        <f>ROUND((G864+G865+G866),3)</f>
        <v>43.8</v>
      </c>
      <c r="G867" s="12">
        <f t="shared" si="158"/>
        <v>175.2</v>
      </c>
    </row>
    <row r="868" ht="15.0" customHeight="1">
      <c r="A868" s="10" t="s">
        <v>32</v>
      </c>
      <c r="B868" s="10"/>
      <c r="C868" s="10" t="s">
        <v>33</v>
      </c>
      <c r="D868" s="10" t="s">
        <v>34</v>
      </c>
      <c r="E868" s="14">
        <v>3.0</v>
      </c>
      <c r="F868" s="15">
        <f>ROUND(175.2,3)</f>
        <v>175.2</v>
      </c>
      <c r="G868" s="12">
        <f>ROUND((E868*F868)/100,2)</f>
        <v>5.26</v>
      </c>
    </row>
    <row r="869" ht="15.0" customHeight="1">
      <c r="A869" s="16"/>
      <c r="B869" s="16"/>
      <c r="C869" s="16"/>
      <c r="D869" s="17" t="s">
        <v>387</v>
      </c>
      <c r="E869" s="16"/>
      <c r="F869" s="18">
        <f>ROUND((G858+G859+G860+G861+G862+G863+G868)*(1+G2/100),2)</f>
        <v>248.57</v>
      </c>
      <c r="G869" s="16"/>
    </row>
    <row r="870" ht="21.0" customHeight="1">
      <c r="A870" s="19" t="s">
        <v>390</v>
      </c>
      <c r="B870" s="20" t="s">
        <v>18</v>
      </c>
      <c r="C870" s="20" t="s">
        <v>374</v>
      </c>
      <c r="D870" s="20" t="s">
        <v>391</v>
      </c>
      <c r="E870" s="21"/>
      <c r="F870" s="22">
        <f>F880</f>
        <v>67.85</v>
      </c>
      <c r="G870" s="21"/>
    </row>
    <row r="871" ht="30.0" customHeight="1">
      <c r="A871" s="11"/>
      <c r="B871" s="11"/>
      <c r="C871" s="11"/>
      <c r="D871" s="10" t="s">
        <v>392</v>
      </c>
    </row>
    <row r="872" ht="15.0" customHeight="1">
      <c r="A872" s="10" t="s">
        <v>393</v>
      </c>
      <c r="B872" s="10" t="s">
        <v>42</v>
      </c>
      <c r="C872" s="10" t="s">
        <v>255</v>
      </c>
      <c r="D872" s="10" t="s">
        <v>394</v>
      </c>
      <c r="E872" s="14">
        <v>0.143</v>
      </c>
      <c r="F872" s="15">
        <f>ROUND(22.82,3)</f>
        <v>22.82</v>
      </c>
      <c r="G872" s="12">
        <f t="shared" ref="G872:G878" si="160">ROUND(E872*F872,2)</f>
        <v>3.26</v>
      </c>
    </row>
    <row r="873" ht="15.0" customHeight="1">
      <c r="A873" s="10" t="s">
        <v>395</v>
      </c>
      <c r="B873" s="10" t="s">
        <v>42</v>
      </c>
      <c r="C873" s="10" t="s">
        <v>304</v>
      </c>
      <c r="D873" s="10" t="s">
        <v>396</v>
      </c>
      <c r="E873" s="14">
        <v>1.0</v>
      </c>
      <c r="F873" s="15">
        <f>ROUND(28.5,3)</f>
        <v>28.5</v>
      </c>
      <c r="G873" s="12">
        <f t="shared" si="160"/>
        <v>28.5</v>
      </c>
    </row>
    <row r="874" ht="21.0" customHeight="1">
      <c r="A874" s="10" t="s">
        <v>22</v>
      </c>
      <c r="B874" s="10" t="s">
        <v>18</v>
      </c>
      <c r="C874" s="10" t="s">
        <v>23</v>
      </c>
      <c r="D874" s="10" t="s">
        <v>24</v>
      </c>
      <c r="E874" s="14">
        <v>0.8</v>
      </c>
      <c r="F874" s="15">
        <f>F878</f>
        <v>43.8</v>
      </c>
      <c r="G874" s="12">
        <f t="shared" si="160"/>
        <v>35.04</v>
      </c>
    </row>
    <row r="875" ht="24.0" customHeight="1">
      <c r="A875" s="10" t="s">
        <v>25</v>
      </c>
      <c r="B875" s="10" t="s">
        <v>26</v>
      </c>
      <c r="C875" s="10" t="s">
        <v>23</v>
      </c>
      <c r="D875" s="10" t="s">
        <v>27</v>
      </c>
      <c r="E875" s="14">
        <v>1.0</v>
      </c>
      <c r="F875" s="15">
        <f>ROUND(21,3)</f>
        <v>21</v>
      </c>
      <c r="G875" s="12">
        <f t="shared" si="160"/>
        <v>21</v>
      </c>
    </row>
    <row r="876" ht="24.0" customHeight="1">
      <c r="A876" s="10" t="s">
        <v>28</v>
      </c>
      <c r="B876" s="10" t="s">
        <v>26</v>
      </c>
      <c r="C876" s="10" t="s">
        <v>23</v>
      </c>
      <c r="D876" s="10" t="s">
        <v>29</v>
      </c>
      <c r="E876" s="14">
        <v>1.0</v>
      </c>
      <c r="F876" s="15">
        <f t="shared" ref="F876:F877" si="161">ROUND(19,3)</f>
        <v>19</v>
      </c>
      <c r="G876" s="12">
        <f t="shared" si="160"/>
        <v>19</v>
      </c>
    </row>
    <row r="877" ht="24.0" customHeight="1">
      <c r="A877" s="10" t="s">
        <v>30</v>
      </c>
      <c r="B877" s="10" t="s">
        <v>26</v>
      </c>
      <c r="C877" s="10" t="s">
        <v>23</v>
      </c>
      <c r="D877" s="10" t="s">
        <v>31</v>
      </c>
      <c r="E877" s="14">
        <v>0.2</v>
      </c>
      <c r="F877" s="15">
        <f t="shared" si="161"/>
        <v>19</v>
      </c>
      <c r="G877" s="12">
        <f t="shared" si="160"/>
        <v>3.8</v>
      </c>
    </row>
    <row r="878" ht="15.0" customHeight="1">
      <c r="A878" s="11"/>
      <c r="B878" s="11"/>
      <c r="C878" s="11"/>
      <c r="D878" s="10" t="s">
        <v>22</v>
      </c>
      <c r="E878" s="14">
        <v>0.8</v>
      </c>
      <c r="F878" s="15">
        <f>ROUND((G875+G876+G877),3)</f>
        <v>43.8</v>
      </c>
      <c r="G878" s="12">
        <f t="shared" si="160"/>
        <v>35.04</v>
      </c>
    </row>
    <row r="879" ht="15.0" customHeight="1">
      <c r="A879" s="10" t="s">
        <v>32</v>
      </c>
      <c r="B879" s="10"/>
      <c r="C879" s="10" t="s">
        <v>33</v>
      </c>
      <c r="D879" s="10" t="s">
        <v>34</v>
      </c>
      <c r="E879" s="14">
        <v>3.0</v>
      </c>
      <c r="F879" s="15">
        <f>ROUND(35.04,3)</f>
        <v>35.04</v>
      </c>
      <c r="G879" s="12">
        <f>ROUND((E879*F879)/100,2)</f>
        <v>1.05</v>
      </c>
    </row>
    <row r="880" ht="15.0" customHeight="1">
      <c r="A880" s="16"/>
      <c r="B880" s="16"/>
      <c r="C880" s="16"/>
      <c r="D880" s="17" t="s">
        <v>390</v>
      </c>
      <c r="E880" s="16"/>
      <c r="F880" s="18">
        <f>ROUND((G872+G873+G874+G879)*(1+G2/100),2)</f>
        <v>67.85</v>
      </c>
      <c r="G880" s="16"/>
    </row>
    <row r="881" ht="15.0" customHeight="1">
      <c r="A881" s="19" t="s">
        <v>397</v>
      </c>
      <c r="B881" s="20" t="s">
        <v>18</v>
      </c>
      <c r="C881" s="20" t="s">
        <v>251</v>
      </c>
      <c r="D881" s="20" t="s">
        <v>398</v>
      </c>
      <c r="E881" s="21"/>
      <c r="F881" s="22">
        <f>F890</f>
        <v>12.16</v>
      </c>
      <c r="G881" s="21"/>
    </row>
    <row r="882" ht="12.0" customHeight="1">
      <c r="A882" s="11"/>
      <c r="B882" s="11"/>
      <c r="C882" s="11"/>
      <c r="D882" s="10" t="s">
        <v>399</v>
      </c>
    </row>
    <row r="883" ht="15.0" customHeight="1">
      <c r="A883" s="10" t="s">
        <v>400</v>
      </c>
      <c r="B883" s="10" t="s">
        <v>42</v>
      </c>
      <c r="C883" s="10" t="s">
        <v>255</v>
      </c>
      <c r="D883" s="10" t="s">
        <v>401</v>
      </c>
      <c r="E883" s="14">
        <v>0.2</v>
      </c>
      <c r="F883" s="15">
        <f>ROUND(30,3)</f>
        <v>30</v>
      </c>
      <c r="G883" s="12">
        <f t="shared" ref="G883:G889" si="162">ROUND(E883*F883,2)</f>
        <v>6</v>
      </c>
    </row>
    <row r="884" ht="24.0" customHeight="1">
      <c r="A884" s="10" t="s">
        <v>111</v>
      </c>
      <c r="B884" s="10" t="s">
        <v>112</v>
      </c>
      <c r="C884" s="10" t="s">
        <v>23</v>
      </c>
      <c r="D884" s="10" t="s">
        <v>113</v>
      </c>
      <c r="E884" s="14">
        <v>0.12</v>
      </c>
      <c r="F884" s="15">
        <f>ROUND(7.526,3)</f>
        <v>7.526</v>
      </c>
      <c r="G884" s="12">
        <f t="shared" si="162"/>
        <v>0.9</v>
      </c>
    </row>
    <row r="885" ht="21.0" customHeight="1">
      <c r="A885" s="10" t="s">
        <v>22</v>
      </c>
      <c r="B885" s="10" t="s">
        <v>18</v>
      </c>
      <c r="C885" s="10" t="s">
        <v>23</v>
      </c>
      <c r="D885" s="10" t="s">
        <v>24</v>
      </c>
      <c r="E885" s="14">
        <v>0.12</v>
      </c>
      <c r="F885" s="15">
        <f>F889</f>
        <v>43.8</v>
      </c>
      <c r="G885" s="12">
        <f t="shared" si="162"/>
        <v>5.26</v>
      </c>
    </row>
    <row r="886" ht="24.0" customHeight="1">
      <c r="A886" s="10" t="s">
        <v>25</v>
      </c>
      <c r="B886" s="10" t="s">
        <v>26</v>
      </c>
      <c r="C886" s="10" t="s">
        <v>23</v>
      </c>
      <c r="D886" s="10" t="s">
        <v>27</v>
      </c>
      <c r="E886" s="14">
        <v>1.0</v>
      </c>
      <c r="F886" s="15">
        <f>ROUND(21,3)</f>
        <v>21</v>
      </c>
      <c r="G886" s="12">
        <f t="shared" si="162"/>
        <v>21</v>
      </c>
    </row>
    <row r="887" ht="24.0" customHeight="1">
      <c r="A887" s="10" t="s">
        <v>28</v>
      </c>
      <c r="B887" s="10" t="s">
        <v>26</v>
      </c>
      <c r="C887" s="10" t="s">
        <v>23</v>
      </c>
      <c r="D887" s="10" t="s">
        <v>29</v>
      </c>
      <c r="E887" s="14">
        <v>1.0</v>
      </c>
      <c r="F887" s="15">
        <f t="shared" ref="F887:F888" si="163">ROUND(19,3)</f>
        <v>19</v>
      </c>
      <c r="G887" s="12">
        <f t="shared" si="162"/>
        <v>19</v>
      </c>
    </row>
    <row r="888" ht="24.0" customHeight="1">
      <c r="A888" s="10" t="s">
        <v>30</v>
      </c>
      <c r="B888" s="10" t="s">
        <v>26</v>
      </c>
      <c r="C888" s="10" t="s">
        <v>23</v>
      </c>
      <c r="D888" s="10" t="s">
        <v>31</v>
      </c>
      <c r="E888" s="14">
        <v>0.2</v>
      </c>
      <c r="F888" s="15">
        <f t="shared" si="163"/>
        <v>19</v>
      </c>
      <c r="G888" s="12">
        <f t="shared" si="162"/>
        <v>3.8</v>
      </c>
    </row>
    <row r="889" ht="15.0" customHeight="1">
      <c r="A889" s="11"/>
      <c r="B889" s="11"/>
      <c r="C889" s="11"/>
      <c r="D889" s="10" t="s">
        <v>22</v>
      </c>
      <c r="E889" s="14">
        <v>0.12</v>
      </c>
      <c r="F889" s="15">
        <f>ROUND((G886+G887+G888),3)</f>
        <v>43.8</v>
      </c>
      <c r="G889" s="12">
        <f t="shared" si="162"/>
        <v>5.26</v>
      </c>
    </row>
    <row r="890" ht="15.0" customHeight="1">
      <c r="A890" s="16"/>
      <c r="B890" s="16"/>
      <c r="C890" s="16"/>
      <c r="D890" s="17" t="s">
        <v>397</v>
      </c>
      <c r="E890" s="16"/>
      <c r="F890" s="18">
        <f>ROUND((G883+G884+G885)*(1+G2/100),2)</f>
        <v>12.16</v>
      </c>
      <c r="G890" s="16"/>
    </row>
    <row r="891" ht="15.0" customHeight="1">
      <c r="A891" s="19" t="s">
        <v>402</v>
      </c>
      <c r="B891" s="20" t="s">
        <v>18</v>
      </c>
      <c r="C891" s="20" t="s">
        <v>251</v>
      </c>
      <c r="D891" s="20" t="s">
        <v>403</v>
      </c>
      <c r="E891" s="21"/>
      <c r="F891" s="22">
        <f>F898</f>
        <v>14.09</v>
      </c>
      <c r="G891" s="21"/>
    </row>
    <row r="892" ht="57.75" customHeight="1">
      <c r="A892" s="11"/>
      <c r="B892" s="11"/>
      <c r="C892" s="11"/>
      <c r="D892" s="10" t="s">
        <v>404</v>
      </c>
    </row>
    <row r="893" ht="39.75" customHeight="1">
      <c r="A893" s="10" t="s">
        <v>405</v>
      </c>
      <c r="B893" s="10" t="s">
        <v>112</v>
      </c>
      <c r="C893" s="10" t="s">
        <v>19</v>
      </c>
      <c r="D893" s="10" t="s">
        <v>406</v>
      </c>
      <c r="E893" s="14">
        <v>1.0</v>
      </c>
      <c r="F893" s="15">
        <f>ROUND(10.5,3)</f>
        <v>10.5</v>
      </c>
      <c r="G893" s="12">
        <f t="shared" ref="G893:G897" si="164">ROUND(E893*F893,2)</f>
        <v>10.5</v>
      </c>
    </row>
    <row r="894" ht="30.0" customHeight="1">
      <c r="A894" s="10" t="s">
        <v>327</v>
      </c>
      <c r="B894" s="10" t="s">
        <v>42</v>
      </c>
      <c r="C894" s="10" t="s">
        <v>231</v>
      </c>
      <c r="D894" s="10" t="s">
        <v>328</v>
      </c>
      <c r="E894" s="14">
        <v>0.00916</v>
      </c>
      <c r="F894" s="15">
        <f>ROUND(92.03,3)</f>
        <v>92.03</v>
      </c>
      <c r="G894" s="12">
        <f t="shared" si="164"/>
        <v>0.84</v>
      </c>
    </row>
    <row r="895" ht="21.0" customHeight="1">
      <c r="A895" s="10" t="s">
        <v>237</v>
      </c>
      <c r="B895" s="10" t="s">
        <v>42</v>
      </c>
      <c r="C895" s="10" t="s">
        <v>231</v>
      </c>
      <c r="D895" s="10" t="s">
        <v>238</v>
      </c>
      <c r="E895" s="14">
        <v>0.021</v>
      </c>
      <c r="F895" s="15">
        <f>ROUND(6.32,3)</f>
        <v>6.32</v>
      </c>
      <c r="G895" s="12">
        <f t="shared" si="164"/>
        <v>0.13</v>
      </c>
    </row>
    <row r="896" ht="21.0" customHeight="1">
      <c r="A896" s="10" t="s">
        <v>329</v>
      </c>
      <c r="B896" s="10" t="s">
        <v>42</v>
      </c>
      <c r="C896" s="10" t="s">
        <v>330</v>
      </c>
      <c r="D896" s="10" t="s">
        <v>331</v>
      </c>
      <c r="E896" s="14">
        <v>0.004</v>
      </c>
      <c r="F896" s="15">
        <f>ROUND(4.8,3)</f>
        <v>4.8</v>
      </c>
      <c r="G896" s="12">
        <f t="shared" si="164"/>
        <v>0.02</v>
      </c>
    </row>
    <row r="897" ht="24.0" customHeight="1">
      <c r="A897" s="10" t="s">
        <v>407</v>
      </c>
      <c r="B897" s="10" t="s">
        <v>26</v>
      </c>
      <c r="C897" s="10" t="s">
        <v>23</v>
      </c>
      <c r="D897" s="10" t="s">
        <v>408</v>
      </c>
      <c r="E897" s="14">
        <v>0.065</v>
      </c>
      <c r="F897" s="15">
        <f>ROUND(40,3)</f>
        <v>40</v>
      </c>
      <c r="G897" s="12">
        <f t="shared" si="164"/>
        <v>2.6</v>
      </c>
    </row>
    <row r="898" ht="15.0" customHeight="1">
      <c r="A898" s="16"/>
      <c r="B898" s="16"/>
      <c r="C898" s="16"/>
      <c r="D898" s="17" t="s">
        <v>402</v>
      </c>
      <c r="E898" s="16"/>
      <c r="F898" s="18">
        <f>ROUND((G893+G894+G895+G896+G897)*(1+G2/100),2)</f>
        <v>14.09</v>
      </c>
      <c r="G898" s="16"/>
    </row>
    <row r="899" ht="30.0" customHeight="1">
      <c r="A899" s="19" t="s">
        <v>409</v>
      </c>
      <c r="B899" s="20" t="s">
        <v>18</v>
      </c>
      <c r="C899" s="20" t="s">
        <v>410</v>
      </c>
      <c r="D899" s="20" t="s">
        <v>411</v>
      </c>
      <c r="E899" s="21"/>
      <c r="F899" s="22">
        <f>F902</f>
        <v>50</v>
      </c>
      <c r="G899" s="21"/>
    </row>
    <row r="900" ht="48.75" customHeight="1">
      <c r="A900" s="11"/>
      <c r="B900" s="11"/>
      <c r="C900" s="11"/>
      <c r="D900" s="10" t="s">
        <v>412</v>
      </c>
    </row>
    <row r="901" ht="15.0" customHeight="1">
      <c r="A901" s="10" t="s">
        <v>413</v>
      </c>
      <c r="B901" s="10" t="s">
        <v>42</v>
      </c>
      <c r="C901" s="10" t="s">
        <v>19</v>
      </c>
      <c r="D901" s="10" t="s">
        <v>414</v>
      </c>
      <c r="E901" s="14">
        <v>500.0</v>
      </c>
      <c r="F901" s="15">
        <f>ROUND(0.1,3)</f>
        <v>0.1</v>
      </c>
      <c r="G901" s="12">
        <f>ROUND(E901*F901,2)</f>
        <v>50</v>
      </c>
    </row>
    <row r="902" ht="15.0" customHeight="1">
      <c r="A902" s="16"/>
      <c r="B902" s="16"/>
      <c r="C902" s="16"/>
      <c r="D902" s="17" t="s">
        <v>409</v>
      </c>
      <c r="E902" s="16"/>
      <c r="F902" s="18">
        <f>ROUND((G901)*(1+G2/100),2)</f>
        <v>50</v>
      </c>
      <c r="G902" s="16"/>
    </row>
    <row r="903" ht="30.0" customHeight="1">
      <c r="A903" s="19" t="s">
        <v>415</v>
      </c>
      <c r="B903" s="20" t="s">
        <v>18</v>
      </c>
      <c r="C903" s="20" t="s">
        <v>416</v>
      </c>
      <c r="D903" s="20" t="s">
        <v>417</v>
      </c>
      <c r="E903" s="21"/>
      <c r="F903" s="22">
        <f>F906</f>
        <v>1500</v>
      </c>
      <c r="G903" s="21"/>
    </row>
    <row r="904" ht="57.75" customHeight="1">
      <c r="A904" s="11"/>
      <c r="B904" s="11"/>
      <c r="C904" s="11"/>
      <c r="D904" s="10" t="s">
        <v>418</v>
      </c>
    </row>
    <row r="905" ht="15.0" customHeight="1">
      <c r="A905" s="10" t="s">
        <v>413</v>
      </c>
      <c r="B905" s="10" t="s">
        <v>42</v>
      </c>
      <c r="C905" s="10" t="s">
        <v>19</v>
      </c>
      <c r="D905" s="10" t="s">
        <v>414</v>
      </c>
      <c r="E905" s="14">
        <v>15000.0</v>
      </c>
      <c r="F905" s="15">
        <f>ROUND(0.1,3)</f>
        <v>0.1</v>
      </c>
      <c r="G905" s="12">
        <f>ROUND(E905*F905,2)</f>
        <v>1500</v>
      </c>
    </row>
    <row r="906" ht="15.0" customHeight="1">
      <c r="A906" s="16"/>
      <c r="B906" s="16"/>
      <c r="C906" s="16"/>
      <c r="D906" s="17" t="s">
        <v>415</v>
      </c>
      <c r="E906" s="16"/>
      <c r="F906" s="18">
        <f>ROUND((G905)*(1+G2/100),2)</f>
        <v>1500</v>
      </c>
      <c r="G906" s="16"/>
    </row>
    <row r="907" ht="30.0" customHeight="1">
      <c r="A907" s="19" t="s">
        <v>419</v>
      </c>
      <c r="B907" s="20" t="s">
        <v>18</v>
      </c>
      <c r="C907" s="20" t="s">
        <v>374</v>
      </c>
      <c r="D907" s="20" t="s">
        <v>420</v>
      </c>
      <c r="E907" s="21"/>
      <c r="F907" s="22">
        <f>F911</f>
        <v>1020</v>
      </c>
      <c r="G907" s="21"/>
    </row>
    <row r="908" ht="39.75" customHeight="1">
      <c r="A908" s="11"/>
      <c r="B908" s="11"/>
      <c r="C908" s="11"/>
      <c r="D908" s="10" t="s">
        <v>421</v>
      </c>
    </row>
    <row r="909" ht="196.5" customHeight="1">
      <c r="A909" s="10" t="s">
        <v>422</v>
      </c>
      <c r="B909" s="10" t="s">
        <v>112</v>
      </c>
      <c r="C909" s="10" t="s">
        <v>5</v>
      </c>
      <c r="D909" s="10" t="s">
        <v>423</v>
      </c>
      <c r="E909" s="14">
        <v>500.0</v>
      </c>
      <c r="F909" s="15">
        <f>ROUND(2,3)</f>
        <v>2</v>
      </c>
      <c r="G909" s="12">
        <f>ROUND(E909*F909,2)</f>
        <v>1000</v>
      </c>
    </row>
    <row r="910" ht="15.0" customHeight="1">
      <c r="A910" s="10" t="s">
        <v>33</v>
      </c>
      <c r="B910" s="10"/>
      <c r="C910" s="10" t="s">
        <v>33</v>
      </c>
      <c r="D910" s="10" t="s">
        <v>424</v>
      </c>
      <c r="E910" s="14">
        <v>2.0</v>
      </c>
      <c r="F910" s="15">
        <f>ROUND(1000,3)</f>
        <v>1000</v>
      </c>
      <c r="G910" s="12">
        <f>ROUND((E910*F910)/100,2)</f>
        <v>20</v>
      </c>
    </row>
    <row r="911" ht="15.0" customHeight="1">
      <c r="A911" s="16"/>
      <c r="B911" s="16"/>
      <c r="C911" s="16"/>
      <c r="D911" s="17" t="s">
        <v>419</v>
      </c>
      <c r="E911" s="16"/>
      <c r="F911" s="18">
        <f>ROUND((G909+G910)*(1+G2/100),2)</f>
        <v>1020</v>
      </c>
      <c r="G911" s="16"/>
    </row>
    <row r="912" ht="30.0" customHeight="1">
      <c r="A912" s="19" t="s">
        <v>425</v>
      </c>
      <c r="B912" s="20" t="s">
        <v>18</v>
      </c>
      <c r="C912" s="20" t="s">
        <v>374</v>
      </c>
      <c r="D912" s="20" t="s">
        <v>426</v>
      </c>
      <c r="E912" s="21"/>
      <c r="F912" s="22">
        <f>F917</f>
        <v>3315</v>
      </c>
      <c r="G912" s="21"/>
    </row>
    <row r="913" ht="67.5" customHeight="1">
      <c r="A913" s="11"/>
      <c r="B913" s="11"/>
      <c r="C913" s="11"/>
      <c r="D913" s="10" t="s">
        <v>427</v>
      </c>
    </row>
    <row r="914" ht="187.5" customHeight="1">
      <c r="A914" s="10" t="s">
        <v>428</v>
      </c>
      <c r="B914" s="10" t="s">
        <v>112</v>
      </c>
      <c r="C914" s="10" t="s">
        <v>5</v>
      </c>
      <c r="D914" s="10" t="s">
        <v>429</v>
      </c>
      <c r="E914" s="14">
        <v>500.0</v>
      </c>
      <c r="F914" s="15">
        <f>ROUND(4,3)</f>
        <v>4</v>
      </c>
      <c r="G914" s="12">
        <f t="shared" ref="G914:G915" si="165">ROUND(E914*F914,2)</f>
        <v>2000</v>
      </c>
    </row>
    <row r="915" ht="187.5" customHeight="1">
      <c r="A915" s="10" t="s">
        <v>430</v>
      </c>
      <c r="B915" s="10" t="s">
        <v>112</v>
      </c>
      <c r="C915" s="10" t="s">
        <v>5</v>
      </c>
      <c r="D915" s="10" t="s">
        <v>431</v>
      </c>
      <c r="E915" s="14">
        <v>500.0</v>
      </c>
      <c r="F915" s="15">
        <f>ROUND(2.5,3)</f>
        <v>2.5</v>
      </c>
      <c r="G915" s="12">
        <f t="shared" si="165"/>
        <v>1250</v>
      </c>
    </row>
    <row r="916" ht="15.0" customHeight="1">
      <c r="A916" s="10" t="s">
        <v>33</v>
      </c>
      <c r="B916" s="10"/>
      <c r="C916" s="10" t="s">
        <v>33</v>
      </c>
      <c r="D916" s="10" t="s">
        <v>424</v>
      </c>
      <c r="E916" s="14">
        <v>2.0</v>
      </c>
      <c r="F916" s="15">
        <f>ROUND(3250,3)</f>
        <v>3250</v>
      </c>
      <c r="G916" s="12">
        <f>ROUND((E916*F916)/100,2)</f>
        <v>65</v>
      </c>
    </row>
    <row r="917" ht="15.0" customHeight="1">
      <c r="A917" s="16"/>
      <c r="B917" s="16"/>
      <c r="C917" s="16"/>
      <c r="D917" s="17" t="s">
        <v>425</v>
      </c>
      <c r="E917" s="16"/>
      <c r="F917" s="18">
        <f>ROUND((G914+G915+G916)*(1+G2/100),2)</f>
        <v>3315</v>
      </c>
      <c r="G917" s="16"/>
    </row>
    <row r="918" ht="21.0" customHeight="1">
      <c r="A918" s="19" t="s">
        <v>432</v>
      </c>
      <c r="B918" s="20" t="s">
        <v>18</v>
      </c>
      <c r="C918" s="20" t="s">
        <v>251</v>
      </c>
      <c r="D918" s="20" t="s">
        <v>433</v>
      </c>
      <c r="E918" s="21"/>
      <c r="F918" s="22">
        <f>F925</f>
        <v>20.29</v>
      </c>
      <c r="G918" s="21"/>
    </row>
    <row r="919" ht="67.5" customHeight="1">
      <c r="A919" s="11"/>
      <c r="B919" s="11"/>
      <c r="C919" s="11"/>
      <c r="D919" s="10" t="s">
        <v>434</v>
      </c>
    </row>
    <row r="920" ht="39.75" customHeight="1">
      <c r="A920" s="10" t="s">
        <v>405</v>
      </c>
      <c r="B920" s="10" t="s">
        <v>112</v>
      </c>
      <c r="C920" s="10" t="s">
        <v>19</v>
      </c>
      <c r="D920" s="10" t="s">
        <v>406</v>
      </c>
      <c r="E920" s="14">
        <v>1.0</v>
      </c>
      <c r="F920" s="15">
        <f>ROUND(10.5,3)</f>
        <v>10.5</v>
      </c>
      <c r="G920" s="12">
        <f t="shared" ref="G920:G924" si="166">ROUND(E920*F920,2)</f>
        <v>10.5</v>
      </c>
    </row>
    <row r="921" ht="30.0" customHeight="1">
      <c r="A921" s="10" t="s">
        <v>327</v>
      </c>
      <c r="B921" s="10" t="s">
        <v>42</v>
      </c>
      <c r="C921" s="10" t="s">
        <v>231</v>
      </c>
      <c r="D921" s="10" t="s">
        <v>328</v>
      </c>
      <c r="E921" s="14">
        <v>0.00916</v>
      </c>
      <c r="F921" s="15">
        <f>ROUND(92.03,3)</f>
        <v>92.03</v>
      </c>
      <c r="G921" s="12">
        <f t="shared" si="166"/>
        <v>0.84</v>
      </c>
    </row>
    <row r="922" ht="21.0" customHeight="1">
      <c r="A922" s="10" t="s">
        <v>237</v>
      </c>
      <c r="B922" s="10" t="s">
        <v>42</v>
      </c>
      <c r="C922" s="10" t="s">
        <v>231</v>
      </c>
      <c r="D922" s="10" t="s">
        <v>238</v>
      </c>
      <c r="E922" s="14">
        <v>0.021</v>
      </c>
      <c r="F922" s="15">
        <f>ROUND(6.32,3)</f>
        <v>6.32</v>
      </c>
      <c r="G922" s="12">
        <f t="shared" si="166"/>
        <v>0.13</v>
      </c>
    </row>
    <row r="923" ht="21.0" customHeight="1">
      <c r="A923" s="10" t="s">
        <v>329</v>
      </c>
      <c r="B923" s="10" t="s">
        <v>42</v>
      </c>
      <c r="C923" s="10" t="s">
        <v>330</v>
      </c>
      <c r="D923" s="10" t="s">
        <v>331</v>
      </c>
      <c r="E923" s="14">
        <v>0.004</v>
      </c>
      <c r="F923" s="15">
        <f>ROUND(4.8,3)</f>
        <v>4.8</v>
      </c>
      <c r="G923" s="12">
        <f t="shared" si="166"/>
        <v>0.02</v>
      </c>
    </row>
    <row r="924" ht="24.0" customHeight="1">
      <c r="A924" s="10" t="s">
        <v>407</v>
      </c>
      <c r="B924" s="10" t="s">
        <v>26</v>
      </c>
      <c r="C924" s="10" t="s">
        <v>23</v>
      </c>
      <c r="D924" s="10" t="s">
        <v>408</v>
      </c>
      <c r="E924" s="14">
        <v>0.22</v>
      </c>
      <c r="F924" s="15">
        <f>ROUND(40,3)</f>
        <v>40</v>
      </c>
      <c r="G924" s="12">
        <f t="shared" si="166"/>
        <v>8.8</v>
      </c>
    </row>
    <row r="925" ht="15.0" customHeight="1">
      <c r="A925" s="16"/>
      <c r="B925" s="16"/>
      <c r="C925" s="16"/>
      <c r="D925" s="17" t="s">
        <v>432</v>
      </c>
      <c r="E925" s="16"/>
      <c r="F925" s="18">
        <f>ROUND((G920+G921+G922+G923+G924)*(1+G2/100),2)</f>
        <v>20.29</v>
      </c>
      <c r="G925" s="16"/>
    </row>
    <row r="926" ht="15.0" customHeight="1">
      <c r="A926" s="19" t="s">
        <v>435</v>
      </c>
      <c r="B926" s="20" t="s">
        <v>18</v>
      </c>
      <c r="C926" s="20" t="s">
        <v>251</v>
      </c>
      <c r="D926" s="20" t="s">
        <v>436</v>
      </c>
      <c r="E926" s="21"/>
      <c r="F926" s="22">
        <f>F933</f>
        <v>18.09</v>
      </c>
      <c r="G926" s="21"/>
    </row>
    <row r="927" ht="57.75" customHeight="1">
      <c r="A927" s="11"/>
      <c r="B927" s="11"/>
      <c r="C927" s="11"/>
      <c r="D927" s="10" t="s">
        <v>404</v>
      </c>
    </row>
    <row r="928" ht="39.75" customHeight="1">
      <c r="A928" s="10" t="s">
        <v>405</v>
      </c>
      <c r="B928" s="10" t="s">
        <v>112</v>
      </c>
      <c r="C928" s="10" t="s">
        <v>19</v>
      </c>
      <c r="D928" s="10" t="s">
        <v>406</v>
      </c>
      <c r="E928" s="14">
        <v>1.0</v>
      </c>
      <c r="F928" s="15">
        <f>ROUND(10.5,3)</f>
        <v>10.5</v>
      </c>
      <c r="G928" s="12">
        <f t="shared" ref="G928:G932" si="167">ROUND(E928*F928,2)</f>
        <v>10.5</v>
      </c>
    </row>
    <row r="929" ht="30.0" customHeight="1">
      <c r="A929" s="10" t="s">
        <v>327</v>
      </c>
      <c r="B929" s="10" t="s">
        <v>42</v>
      </c>
      <c r="C929" s="10" t="s">
        <v>231</v>
      </c>
      <c r="D929" s="10" t="s">
        <v>328</v>
      </c>
      <c r="E929" s="14">
        <v>0.00916</v>
      </c>
      <c r="F929" s="15">
        <f>ROUND(92.03,3)</f>
        <v>92.03</v>
      </c>
      <c r="G929" s="12">
        <f t="shared" si="167"/>
        <v>0.84</v>
      </c>
    </row>
    <row r="930" ht="21.0" customHeight="1">
      <c r="A930" s="10" t="s">
        <v>237</v>
      </c>
      <c r="B930" s="10" t="s">
        <v>42</v>
      </c>
      <c r="C930" s="10" t="s">
        <v>231</v>
      </c>
      <c r="D930" s="10" t="s">
        <v>238</v>
      </c>
      <c r="E930" s="14">
        <v>0.021</v>
      </c>
      <c r="F930" s="15">
        <f>ROUND(6.32,3)</f>
        <v>6.32</v>
      </c>
      <c r="G930" s="12">
        <f t="shared" si="167"/>
        <v>0.13</v>
      </c>
    </row>
    <row r="931" ht="21.0" customHeight="1">
      <c r="A931" s="10" t="s">
        <v>329</v>
      </c>
      <c r="B931" s="10" t="s">
        <v>42</v>
      </c>
      <c r="C931" s="10" t="s">
        <v>330</v>
      </c>
      <c r="D931" s="10" t="s">
        <v>331</v>
      </c>
      <c r="E931" s="14">
        <v>0.004</v>
      </c>
      <c r="F931" s="15">
        <f>ROUND(4.8,3)</f>
        <v>4.8</v>
      </c>
      <c r="G931" s="12">
        <f t="shared" si="167"/>
        <v>0.02</v>
      </c>
    </row>
    <row r="932" ht="24.0" customHeight="1">
      <c r="A932" s="10" t="s">
        <v>407</v>
      </c>
      <c r="B932" s="10" t="s">
        <v>26</v>
      </c>
      <c r="C932" s="10" t="s">
        <v>23</v>
      </c>
      <c r="D932" s="10" t="s">
        <v>408</v>
      </c>
      <c r="E932" s="14">
        <v>0.165</v>
      </c>
      <c r="F932" s="15">
        <f>ROUND(40,3)</f>
        <v>40</v>
      </c>
      <c r="G932" s="12">
        <f t="shared" si="167"/>
        <v>6.6</v>
      </c>
    </row>
    <row r="933" ht="15.0" customHeight="1">
      <c r="A933" s="16"/>
      <c r="B933" s="16"/>
      <c r="C933" s="16"/>
      <c r="D933" s="17" t="s">
        <v>435</v>
      </c>
      <c r="E933" s="16"/>
      <c r="F933" s="18">
        <f>ROUND((G928+G929+G930+G931+G932)*(1+G2/100),2)</f>
        <v>18.09</v>
      </c>
      <c r="G933" s="16"/>
    </row>
    <row r="934" ht="21.0" customHeight="1">
      <c r="A934" s="19" t="s">
        <v>437</v>
      </c>
      <c r="B934" s="20" t="s">
        <v>18</v>
      </c>
      <c r="C934" s="20" t="s">
        <v>410</v>
      </c>
      <c r="D934" s="20" t="s">
        <v>438</v>
      </c>
      <c r="E934" s="21"/>
      <c r="F934" s="22">
        <f>F937</f>
        <v>22</v>
      </c>
      <c r="G934" s="21"/>
    </row>
    <row r="935" ht="39.75" customHeight="1">
      <c r="A935" s="11"/>
      <c r="B935" s="11"/>
      <c r="C935" s="11"/>
      <c r="D935" s="10" t="s">
        <v>439</v>
      </c>
    </row>
    <row r="936" ht="39.75" customHeight="1">
      <c r="A936" s="10" t="s">
        <v>440</v>
      </c>
      <c r="B936" s="10" t="s">
        <v>112</v>
      </c>
      <c r="C936" s="10" t="s">
        <v>441</v>
      </c>
      <c r="D936" s="10" t="s">
        <v>442</v>
      </c>
      <c r="E936" s="14">
        <v>1.0</v>
      </c>
      <c r="F936" s="15">
        <f>ROUND(22,3)</f>
        <v>22</v>
      </c>
      <c r="G936" s="12">
        <f>ROUND(E936*F936,2)</f>
        <v>22</v>
      </c>
    </row>
    <row r="937" ht="15.0" customHeight="1">
      <c r="A937" s="16"/>
      <c r="B937" s="16"/>
      <c r="C937" s="16"/>
      <c r="D937" s="17" t="s">
        <v>437</v>
      </c>
      <c r="E937" s="16"/>
      <c r="F937" s="18">
        <f>ROUND((G936)*(1+G2/100),2)</f>
        <v>22</v>
      </c>
      <c r="G937" s="16"/>
    </row>
    <row r="938" ht="21.0" customHeight="1">
      <c r="A938" s="19" t="s">
        <v>443</v>
      </c>
      <c r="B938" s="20" t="s">
        <v>18</v>
      </c>
      <c r="C938" s="20" t="s">
        <v>416</v>
      </c>
      <c r="D938" s="20" t="s">
        <v>444</v>
      </c>
      <c r="E938" s="21"/>
      <c r="F938" s="22">
        <f>F941</f>
        <v>600</v>
      </c>
      <c r="G938" s="21"/>
    </row>
    <row r="939" ht="39.75" customHeight="1">
      <c r="A939" s="11"/>
      <c r="B939" s="11"/>
      <c r="C939" s="11"/>
      <c r="D939" s="10" t="s">
        <v>445</v>
      </c>
    </row>
    <row r="940" ht="21.0" customHeight="1">
      <c r="A940" s="10" t="s">
        <v>446</v>
      </c>
      <c r="B940" s="10" t="s">
        <v>42</v>
      </c>
      <c r="C940" s="10" t="s">
        <v>304</v>
      </c>
      <c r="D940" s="10" t="s">
        <v>447</v>
      </c>
      <c r="E940" s="14">
        <v>1.0</v>
      </c>
      <c r="F940" s="15">
        <f>ROUND(600,3)</f>
        <v>600</v>
      </c>
      <c r="G940" s="12">
        <f>ROUND(E940*F940,2)</f>
        <v>600</v>
      </c>
    </row>
    <row r="941" ht="15.0" customHeight="1">
      <c r="A941" s="16"/>
      <c r="B941" s="16"/>
      <c r="C941" s="16"/>
      <c r="D941" s="17" t="s">
        <v>443</v>
      </c>
      <c r="E941" s="16"/>
      <c r="F941" s="18">
        <f>ROUND((G940)*(1+G2/100),2)</f>
        <v>600</v>
      </c>
      <c r="G941" s="16"/>
    </row>
    <row r="942" ht="21.0" customHeight="1">
      <c r="A942" s="19" t="s">
        <v>448</v>
      </c>
      <c r="B942" s="20" t="s">
        <v>18</v>
      </c>
      <c r="C942" s="20" t="s">
        <v>251</v>
      </c>
      <c r="D942" s="20" t="s">
        <v>449</v>
      </c>
      <c r="E942" s="21"/>
      <c r="F942" s="22">
        <f>F951</f>
        <v>1.2</v>
      </c>
      <c r="G942" s="21"/>
    </row>
    <row r="943" ht="21.0" customHeight="1">
      <c r="A943" s="11"/>
      <c r="B943" s="11"/>
      <c r="C943" s="11"/>
      <c r="D943" s="10" t="s">
        <v>450</v>
      </c>
    </row>
    <row r="944" ht="30.0" customHeight="1">
      <c r="A944" s="10" t="s">
        <v>327</v>
      </c>
      <c r="B944" s="10" t="s">
        <v>42</v>
      </c>
      <c r="C944" s="10" t="s">
        <v>231</v>
      </c>
      <c r="D944" s="10" t="s">
        <v>328</v>
      </c>
      <c r="E944" s="14">
        <v>0.00916</v>
      </c>
      <c r="F944" s="15">
        <f>ROUND(92.03,3)</f>
        <v>92.03</v>
      </c>
      <c r="G944" s="12">
        <f t="shared" ref="G944:G949" si="168">ROUND(E944*F944,2)</f>
        <v>0.84</v>
      </c>
    </row>
    <row r="945" ht="21.0" customHeight="1">
      <c r="A945" s="10" t="s">
        <v>237</v>
      </c>
      <c r="B945" s="10" t="s">
        <v>42</v>
      </c>
      <c r="C945" s="10" t="s">
        <v>231</v>
      </c>
      <c r="D945" s="10" t="s">
        <v>238</v>
      </c>
      <c r="E945" s="14">
        <v>0.021</v>
      </c>
      <c r="F945" s="15">
        <f>ROUND(6.32,3)</f>
        <v>6.32</v>
      </c>
      <c r="G945" s="12">
        <f t="shared" si="168"/>
        <v>0.13</v>
      </c>
    </row>
    <row r="946" ht="21.0" customHeight="1">
      <c r="A946" s="10" t="s">
        <v>329</v>
      </c>
      <c r="B946" s="10" t="s">
        <v>42</v>
      </c>
      <c r="C946" s="10" t="s">
        <v>330</v>
      </c>
      <c r="D946" s="10" t="s">
        <v>331</v>
      </c>
      <c r="E946" s="14">
        <v>0.004</v>
      </c>
      <c r="F946" s="15">
        <f>ROUND(4.8,3)</f>
        <v>4.8</v>
      </c>
      <c r="G946" s="12">
        <f t="shared" si="168"/>
        <v>0.02</v>
      </c>
    </row>
    <row r="947" ht="21.0" customHeight="1">
      <c r="A947" s="10" t="s">
        <v>451</v>
      </c>
      <c r="B947" s="10" t="s">
        <v>18</v>
      </c>
      <c r="C947" s="10" t="s">
        <v>23</v>
      </c>
      <c r="D947" s="10" t="s">
        <v>452</v>
      </c>
      <c r="E947" s="14">
        <v>0.005</v>
      </c>
      <c r="F947" s="15">
        <f>F949</f>
        <v>40</v>
      </c>
      <c r="G947" s="12">
        <f t="shared" si="168"/>
        <v>0.2</v>
      </c>
    </row>
    <row r="948" ht="24.0" customHeight="1">
      <c r="A948" s="10" t="s">
        <v>407</v>
      </c>
      <c r="B948" s="10" t="s">
        <v>26</v>
      </c>
      <c r="C948" s="10" t="s">
        <v>23</v>
      </c>
      <c r="D948" s="10" t="s">
        <v>408</v>
      </c>
      <c r="E948" s="14">
        <v>1.0</v>
      </c>
      <c r="F948" s="15">
        <f>ROUND(40,3)</f>
        <v>40</v>
      </c>
      <c r="G948" s="12">
        <f t="shared" si="168"/>
        <v>40</v>
      </c>
    </row>
    <row r="949" ht="15.0" customHeight="1">
      <c r="A949" s="11"/>
      <c r="B949" s="11"/>
      <c r="C949" s="11"/>
      <c r="D949" s="10" t="s">
        <v>451</v>
      </c>
      <c r="E949" s="14">
        <v>0.005</v>
      </c>
      <c r="F949" s="15">
        <f>ROUND((G948),3)</f>
        <v>40</v>
      </c>
      <c r="G949" s="12">
        <f t="shared" si="168"/>
        <v>0.2</v>
      </c>
    </row>
    <row r="950" ht="15.0" customHeight="1">
      <c r="A950" s="10" t="s">
        <v>32</v>
      </c>
      <c r="B950" s="10"/>
      <c r="C950" s="10" t="s">
        <v>33</v>
      </c>
      <c r="D950" s="10" t="s">
        <v>34</v>
      </c>
      <c r="E950" s="14">
        <v>3.0</v>
      </c>
      <c r="F950" s="15">
        <f>ROUND(0.2,3)</f>
        <v>0.2</v>
      </c>
      <c r="G950" s="12">
        <f>ROUND((E950*F950)/100,2)</f>
        <v>0.01</v>
      </c>
    </row>
    <row r="951" ht="15.0" customHeight="1">
      <c r="A951" s="16"/>
      <c r="B951" s="16"/>
      <c r="C951" s="16"/>
      <c r="D951" s="17" t="s">
        <v>448</v>
      </c>
      <c r="E951" s="16"/>
      <c r="F951" s="18">
        <f>ROUND((G944+G945+G946+G947+G950)*(1+G2/100),2)</f>
        <v>1.2</v>
      </c>
      <c r="G951" s="16"/>
    </row>
    <row r="952" ht="21.0" customHeight="1">
      <c r="A952" s="19" t="s">
        <v>453</v>
      </c>
      <c r="B952" s="20" t="s">
        <v>18</v>
      </c>
      <c r="C952" s="20" t="s">
        <v>321</v>
      </c>
      <c r="D952" s="20" t="s">
        <v>454</v>
      </c>
      <c r="E952" s="21"/>
      <c r="F952" s="22">
        <f>F967</f>
        <v>27.1</v>
      </c>
      <c r="G952" s="21"/>
    </row>
    <row r="953" ht="57.75" customHeight="1">
      <c r="A953" s="11"/>
      <c r="B953" s="11"/>
      <c r="C953" s="11"/>
      <c r="D953" s="10" t="s">
        <v>455</v>
      </c>
    </row>
    <row r="954" ht="39.75" customHeight="1">
      <c r="A954" s="10" t="s">
        <v>456</v>
      </c>
      <c r="B954" s="10" t="s">
        <v>42</v>
      </c>
      <c r="C954" s="10" t="s">
        <v>457</v>
      </c>
      <c r="D954" s="10" t="s">
        <v>458</v>
      </c>
      <c r="E954" s="14">
        <v>0.07</v>
      </c>
      <c r="F954" s="15">
        <f>ROUND(36.98,3)</f>
        <v>36.98</v>
      </c>
      <c r="G954" s="12">
        <f t="shared" ref="G954:G965" si="169">ROUND(E954*F954,2)</f>
        <v>2.59</v>
      </c>
    </row>
    <row r="955" ht="30.0" customHeight="1">
      <c r="A955" s="10" t="s">
        <v>459</v>
      </c>
      <c r="B955" s="10" t="s">
        <v>42</v>
      </c>
      <c r="C955" s="10" t="s">
        <v>344</v>
      </c>
      <c r="D955" s="10" t="s">
        <v>460</v>
      </c>
      <c r="E955" s="14">
        <v>0.5</v>
      </c>
      <c r="F955" s="15">
        <f>ROUND(4.26,3)</f>
        <v>4.26</v>
      </c>
      <c r="G955" s="12">
        <f t="shared" si="169"/>
        <v>2.13</v>
      </c>
    </row>
    <row r="956" ht="21.0" customHeight="1">
      <c r="A956" s="10" t="s">
        <v>461</v>
      </c>
      <c r="B956" s="10" t="s">
        <v>42</v>
      </c>
      <c r="C956" s="10" t="s">
        <v>344</v>
      </c>
      <c r="D956" s="10" t="s">
        <v>462</v>
      </c>
      <c r="E956" s="14">
        <v>0.5</v>
      </c>
      <c r="F956" s="15">
        <f>ROUND(1.69,3)</f>
        <v>1.69</v>
      </c>
      <c r="G956" s="12">
        <f t="shared" si="169"/>
        <v>0.85</v>
      </c>
    </row>
    <row r="957" ht="30.0" customHeight="1">
      <c r="A957" s="10" t="s">
        <v>463</v>
      </c>
      <c r="B957" s="10" t="s">
        <v>42</v>
      </c>
      <c r="C957" s="10" t="s">
        <v>226</v>
      </c>
      <c r="D957" s="10" t="s">
        <v>464</v>
      </c>
      <c r="E957" s="14">
        <v>0.1</v>
      </c>
      <c r="F957" s="15">
        <f>ROUND(24.14,3)</f>
        <v>24.14</v>
      </c>
      <c r="G957" s="12">
        <f t="shared" si="169"/>
        <v>2.41</v>
      </c>
    </row>
    <row r="958" ht="30.0" customHeight="1">
      <c r="A958" s="10" t="s">
        <v>465</v>
      </c>
      <c r="B958" s="10" t="s">
        <v>42</v>
      </c>
      <c r="C958" s="10" t="s">
        <v>43</v>
      </c>
      <c r="D958" s="10" t="s">
        <v>466</v>
      </c>
      <c r="E958" s="14">
        <v>0.01</v>
      </c>
      <c r="F958" s="15">
        <f>ROUND(4.58,3)</f>
        <v>4.58</v>
      </c>
      <c r="G958" s="12">
        <f t="shared" si="169"/>
        <v>0.05</v>
      </c>
    </row>
    <row r="959" ht="30.0" customHeight="1">
      <c r="A959" s="10" t="s">
        <v>467</v>
      </c>
      <c r="B959" s="10" t="s">
        <v>42</v>
      </c>
      <c r="C959" s="10" t="s">
        <v>43</v>
      </c>
      <c r="D959" s="10" t="s">
        <v>468</v>
      </c>
      <c r="E959" s="14">
        <v>0.05</v>
      </c>
      <c r="F959" s="15">
        <f>ROUND(6.09,3)</f>
        <v>6.09</v>
      </c>
      <c r="G959" s="12">
        <f t="shared" si="169"/>
        <v>0.3</v>
      </c>
    </row>
    <row r="960" ht="21.0" customHeight="1">
      <c r="A960" s="10" t="s">
        <v>329</v>
      </c>
      <c r="B960" s="10" t="s">
        <v>42</v>
      </c>
      <c r="C960" s="10" t="s">
        <v>330</v>
      </c>
      <c r="D960" s="10" t="s">
        <v>331</v>
      </c>
      <c r="E960" s="14">
        <v>0.15</v>
      </c>
      <c r="F960" s="15">
        <f>ROUND(4.8,3)</f>
        <v>4.8</v>
      </c>
      <c r="G960" s="12">
        <f t="shared" si="169"/>
        <v>0.72</v>
      </c>
    </row>
    <row r="961" ht="21.0" customHeight="1">
      <c r="A961" s="10" t="s">
        <v>22</v>
      </c>
      <c r="B961" s="10" t="s">
        <v>18</v>
      </c>
      <c r="C961" s="10" t="s">
        <v>23</v>
      </c>
      <c r="D961" s="10" t="s">
        <v>24</v>
      </c>
      <c r="E961" s="14">
        <v>0.4</v>
      </c>
      <c r="F961" s="15">
        <f>F965</f>
        <v>43.8</v>
      </c>
      <c r="G961" s="12">
        <f t="shared" si="169"/>
        <v>17.52</v>
      </c>
    </row>
    <row r="962" ht="24.0" customHeight="1">
      <c r="A962" s="10" t="s">
        <v>25</v>
      </c>
      <c r="B962" s="10" t="s">
        <v>26</v>
      </c>
      <c r="C962" s="10" t="s">
        <v>23</v>
      </c>
      <c r="D962" s="10" t="s">
        <v>27</v>
      </c>
      <c r="E962" s="14">
        <v>1.0</v>
      </c>
      <c r="F962" s="15">
        <f>ROUND(21,3)</f>
        <v>21</v>
      </c>
      <c r="G962" s="12">
        <f t="shared" si="169"/>
        <v>21</v>
      </c>
    </row>
    <row r="963" ht="24.0" customHeight="1">
      <c r="A963" s="10" t="s">
        <v>28</v>
      </c>
      <c r="B963" s="10" t="s">
        <v>26</v>
      </c>
      <c r="C963" s="10" t="s">
        <v>23</v>
      </c>
      <c r="D963" s="10" t="s">
        <v>29</v>
      </c>
      <c r="E963" s="14">
        <v>1.0</v>
      </c>
      <c r="F963" s="15">
        <f t="shared" ref="F963:F964" si="170">ROUND(19,3)</f>
        <v>19</v>
      </c>
      <c r="G963" s="12">
        <f t="shared" si="169"/>
        <v>19</v>
      </c>
    </row>
    <row r="964" ht="24.0" customHeight="1">
      <c r="A964" s="10" t="s">
        <v>30</v>
      </c>
      <c r="B964" s="10" t="s">
        <v>26</v>
      </c>
      <c r="C964" s="10" t="s">
        <v>23</v>
      </c>
      <c r="D964" s="10" t="s">
        <v>31</v>
      </c>
      <c r="E964" s="14">
        <v>0.2</v>
      </c>
      <c r="F964" s="15">
        <f t="shared" si="170"/>
        <v>19</v>
      </c>
      <c r="G964" s="12">
        <f t="shared" si="169"/>
        <v>3.8</v>
      </c>
    </row>
    <row r="965" ht="15.0" customHeight="1">
      <c r="A965" s="11"/>
      <c r="B965" s="11"/>
      <c r="C965" s="11"/>
      <c r="D965" s="10" t="s">
        <v>22</v>
      </c>
      <c r="E965" s="14">
        <v>0.4</v>
      </c>
      <c r="F965" s="15">
        <f>ROUND((G962+G963+G964),3)</f>
        <v>43.8</v>
      </c>
      <c r="G965" s="12">
        <f t="shared" si="169"/>
        <v>17.52</v>
      </c>
    </row>
    <row r="966" ht="15.0" customHeight="1">
      <c r="A966" s="10" t="s">
        <v>32</v>
      </c>
      <c r="B966" s="10"/>
      <c r="C966" s="10" t="s">
        <v>33</v>
      </c>
      <c r="D966" s="10" t="s">
        <v>34</v>
      </c>
      <c r="E966" s="14">
        <v>3.0</v>
      </c>
      <c r="F966" s="15">
        <f>ROUND(17.52,3)</f>
        <v>17.52</v>
      </c>
      <c r="G966" s="12">
        <f>ROUND((E966*F966)/100,2)</f>
        <v>0.53</v>
      </c>
    </row>
    <row r="967" ht="15.0" customHeight="1">
      <c r="A967" s="16"/>
      <c r="B967" s="16"/>
      <c r="C967" s="16"/>
      <c r="D967" s="17" t="s">
        <v>453</v>
      </c>
      <c r="E967" s="16"/>
      <c r="F967" s="18">
        <f>ROUND((G954+G955+G956+G957+G958+G959+G960+G961+G966)*(1+G2/100),2)</f>
        <v>27.1</v>
      </c>
      <c r="G967" s="16"/>
    </row>
    <row r="968" ht="15.0" customHeight="1">
      <c r="A968" s="19" t="s">
        <v>469</v>
      </c>
      <c r="B968" s="20" t="s">
        <v>18</v>
      </c>
      <c r="C968" s="20" t="s">
        <v>416</v>
      </c>
      <c r="D968" s="20" t="s">
        <v>470</v>
      </c>
      <c r="E968" s="21"/>
      <c r="F968" s="22">
        <f>F971</f>
        <v>1190</v>
      </c>
      <c r="G968" s="21"/>
    </row>
    <row r="969" ht="39.75" customHeight="1">
      <c r="A969" s="11"/>
      <c r="B969" s="11"/>
      <c r="C969" s="11"/>
      <c r="D969" s="10" t="s">
        <v>471</v>
      </c>
    </row>
    <row r="970" ht="24.0" customHeight="1">
      <c r="A970" s="10" t="s">
        <v>472</v>
      </c>
      <c r="B970" s="10" t="s">
        <v>473</v>
      </c>
      <c r="C970" s="10" t="s">
        <v>231</v>
      </c>
      <c r="D970" s="10" t="s">
        <v>474</v>
      </c>
      <c r="E970" s="14">
        <v>1.0</v>
      </c>
      <c r="F970" s="15">
        <f>ROUND(1190,3)</f>
        <v>1190</v>
      </c>
      <c r="G970" s="12">
        <f>ROUND(E970*F970,2)</f>
        <v>1190</v>
      </c>
    </row>
    <row r="971" ht="15.0" customHeight="1">
      <c r="A971" s="16"/>
      <c r="B971" s="16"/>
      <c r="C971" s="16"/>
      <c r="D971" s="17" t="s">
        <v>469</v>
      </c>
      <c r="E971" s="16"/>
      <c r="F971" s="18">
        <f>ROUND((G970)*(1+G2/100),2)</f>
        <v>1190</v>
      </c>
      <c r="G971" s="16"/>
    </row>
    <row r="972" ht="15.0" customHeight="1">
      <c r="A972" s="19" t="s">
        <v>475</v>
      </c>
      <c r="B972" s="20" t="s">
        <v>18</v>
      </c>
      <c r="C972" s="20" t="s">
        <v>374</v>
      </c>
      <c r="D972" s="20" t="s">
        <v>476</v>
      </c>
      <c r="E972" s="21"/>
      <c r="F972" s="22">
        <f>F980</f>
        <v>56.9</v>
      </c>
      <c r="G972" s="21"/>
    </row>
    <row r="973" ht="30.0" customHeight="1">
      <c r="A973" s="11"/>
      <c r="B973" s="11"/>
      <c r="C973" s="11"/>
      <c r="D973" s="10" t="s">
        <v>477</v>
      </c>
    </row>
    <row r="974" ht="39.75" customHeight="1">
      <c r="A974" s="10" t="s">
        <v>478</v>
      </c>
      <c r="B974" s="10" t="s">
        <v>42</v>
      </c>
      <c r="C974" s="10" t="s">
        <v>255</v>
      </c>
      <c r="D974" s="10" t="s">
        <v>479</v>
      </c>
      <c r="E974" s="14">
        <v>1.0</v>
      </c>
      <c r="F974" s="15">
        <f>ROUND(35,3)</f>
        <v>35</v>
      </c>
      <c r="G974" s="12">
        <f t="shared" ref="G974:G979" si="171">ROUND(E974*F974,2)</f>
        <v>35</v>
      </c>
    </row>
    <row r="975" ht="21.0" customHeight="1">
      <c r="A975" s="10" t="s">
        <v>22</v>
      </c>
      <c r="B975" s="10" t="s">
        <v>18</v>
      </c>
      <c r="C975" s="10" t="s">
        <v>23</v>
      </c>
      <c r="D975" s="10" t="s">
        <v>24</v>
      </c>
      <c r="E975" s="14">
        <v>0.5</v>
      </c>
      <c r="F975" s="15">
        <f>F979</f>
        <v>43.8</v>
      </c>
      <c r="G975" s="12">
        <f t="shared" si="171"/>
        <v>21.9</v>
      </c>
    </row>
    <row r="976" ht="24.0" customHeight="1">
      <c r="A976" s="10" t="s">
        <v>25</v>
      </c>
      <c r="B976" s="10" t="s">
        <v>26</v>
      </c>
      <c r="C976" s="10" t="s">
        <v>23</v>
      </c>
      <c r="D976" s="10" t="s">
        <v>27</v>
      </c>
      <c r="E976" s="14">
        <v>1.0</v>
      </c>
      <c r="F976" s="15">
        <f>ROUND(21,3)</f>
        <v>21</v>
      </c>
      <c r="G976" s="12">
        <f t="shared" si="171"/>
        <v>21</v>
      </c>
    </row>
    <row r="977" ht="24.0" customHeight="1">
      <c r="A977" s="10" t="s">
        <v>28</v>
      </c>
      <c r="B977" s="10" t="s">
        <v>26</v>
      </c>
      <c r="C977" s="10" t="s">
        <v>23</v>
      </c>
      <c r="D977" s="10" t="s">
        <v>29</v>
      </c>
      <c r="E977" s="14">
        <v>1.0</v>
      </c>
      <c r="F977" s="15">
        <f t="shared" ref="F977:F978" si="172">ROUND(19,3)</f>
        <v>19</v>
      </c>
      <c r="G977" s="12">
        <f t="shared" si="171"/>
        <v>19</v>
      </c>
    </row>
    <row r="978" ht="24.0" customHeight="1">
      <c r="A978" s="10" t="s">
        <v>30</v>
      </c>
      <c r="B978" s="10" t="s">
        <v>26</v>
      </c>
      <c r="C978" s="10" t="s">
        <v>23</v>
      </c>
      <c r="D978" s="10" t="s">
        <v>31</v>
      </c>
      <c r="E978" s="14">
        <v>0.2</v>
      </c>
      <c r="F978" s="15">
        <f t="shared" si="172"/>
        <v>19</v>
      </c>
      <c r="G978" s="12">
        <f t="shared" si="171"/>
        <v>3.8</v>
      </c>
    </row>
    <row r="979" ht="15.0" customHeight="1">
      <c r="A979" s="11"/>
      <c r="B979" s="11"/>
      <c r="C979" s="11"/>
      <c r="D979" s="10" t="s">
        <v>22</v>
      </c>
      <c r="E979" s="14">
        <v>0.5</v>
      </c>
      <c r="F979" s="15">
        <f>ROUND((G976+G977+G978),3)</f>
        <v>43.8</v>
      </c>
      <c r="G979" s="12">
        <f t="shared" si="171"/>
        <v>21.9</v>
      </c>
    </row>
    <row r="980" ht="15.0" customHeight="1">
      <c r="A980" s="16"/>
      <c r="B980" s="16"/>
      <c r="C980" s="16"/>
      <c r="D980" s="17" t="s">
        <v>475</v>
      </c>
      <c r="E980" s="16"/>
      <c r="F980" s="18">
        <f>ROUND((G974+G975)*(1+G2/100),2)</f>
        <v>56.9</v>
      </c>
      <c r="G980" s="16"/>
    </row>
    <row r="981" ht="15.0" customHeight="1">
      <c r="A981" s="19" t="s">
        <v>480</v>
      </c>
      <c r="B981" s="20" t="s">
        <v>18</v>
      </c>
      <c r="C981" s="20" t="s">
        <v>481</v>
      </c>
      <c r="D981" s="20" t="s">
        <v>482</v>
      </c>
      <c r="E981" s="21"/>
      <c r="F981" s="22">
        <f>F985</f>
        <v>535</v>
      </c>
      <c r="G981" s="21"/>
    </row>
    <row r="982" ht="48.75" customHeight="1">
      <c r="A982" s="11"/>
      <c r="B982" s="11"/>
      <c r="C982" s="11"/>
      <c r="D982" s="10" t="s">
        <v>483</v>
      </c>
    </row>
    <row r="983" ht="39.75" customHeight="1">
      <c r="A983" s="10" t="s">
        <v>484</v>
      </c>
      <c r="B983" s="10" t="s">
        <v>42</v>
      </c>
      <c r="C983" s="10" t="s">
        <v>485</v>
      </c>
      <c r="D983" s="10" t="s">
        <v>486</v>
      </c>
      <c r="E983" s="14">
        <v>0.5</v>
      </c>
      <c r="F983" s="15">
        <f>ROUND(750,3)</f>
        <v>750</v>
      </c>
      <c r="G983" s="12">
        <f t="shared" ref="G983:G984" si="173">ROUND(E983*F983,2)</f>
        <v>375</v>
      </c>
    </row>
    <row r="984" ht="24.0" customHeight="1">
      <c r="A984" s="10" t="s">
        <v>487</v>
      </c>
      <c r="B984" s="10" t="s">
        <v>26</v>
      </c>
      <c r="C984" s="10" t="s">
        <v>23</v>
      </c>
      <c r="D984" s="10" t="s">
        <v>488</v>
      </c>
      <c r="E984" s="14">
        <v>4.0</v>
      </c>
      <c r="F984" s="15">
        <f>ROUND(40,3)</f>
        <v>40</v>
      </c>
      <c r="G984" s="12">
        <f t="shared" si="173"/>
        <v>160</v>
      </c>
    </row>
    <row r="985" ht="15.0" customHeight="1">
      <c r="A985" s="16"/>
      <c r="B985" s="16"/>
      <c r="C985" s="16"/>
      <c r="D985" s="17" t="s">
        <v>480</v>
      </c>
      <c r="E985" s="16"/>
      <c r="F985" s="18">
        <f>ROUND((G983+G984)*(1+G2/100),2)</f>
        <v>535</v>
      </c>
      <c r="G985" s="16"/>
    </row>
    <row r="986" ht="15.0" customHeight="1">
      <c r="A986" s="19" t="s">
        <v>489</v>
      </c>
      <c r="B986" s="20" t="s">
        <v>18</v>
      </c>
      <c r="C986" s="20" t="s">
        <v>416</v>
      </c>
      <c r="D986" s="20" t="s">
        <v>490</v>
      </c>
      <c r="E986" s="21"/>
      <c r="F986" s="22">
        <f>F991</f>
        <v>1550</v>
      </c>
      <c r="G986" s="21"/>
    </row>
    <row r="987" ht="57.75" customHeight="1">
      <c r="A987" s="11"/>
      <c r="B987" s="11"/>
      <c r="C987" s="11"/>
      <c r="D987" s="10" t="s">
        <v>491</v>
      </c>
    </row>
    <row r="988" ht="21.0" customHeight="1">
      <c r="A988" s="10" t="s">
        <v>492</v>
      </c>
      <c r="B988" s="10" t="s">
        <v>112</v>
      </c>
      <c r="C988" s="10" t="s">
        <v>416</v>
      </c>
      <c r="D988" s="10" t="s">
        <v>493</v>
      </c>
      <c r="E988" s="14">
        <v>1.0</v>
      </c>
      <c r="F988" s="15">
        <f>ROUND(1200,3)</f>
        <v>1200</v>
      </c>
      <c r="G988" s="12">
        <f t="shared" ref="G988:G990" si="174">ROUND(E988*F988,2)</f>
        <v>1200</v>
      </c>
    </row>
    <row r="989" ht="15.0" customHeight="1">
      <c r="A989" s="10" t="s">
        <v>494</v>
      </c>
      <c r="B989" s="10" t="s">
        <v>112</v>
      </c>
      <c r="C989" s="10" t="s">
        <v>485</v>
      </c>
      <c r="D989" s="10" t="s">
        <v>495</v>
      </c>
      <c r="E989" s="14">
        <v>2.0</v>
      </c>
      <c r="F989" s="15">
        <f>ROUND(75,3)</f>
        <v>75</v>
      </c>
      <c r="G989" s="12">
        <f t="shared" si="174"/>
        <v>150</v>
      </c>
    </row>
    <row r="990" ht="24.0" customHeight="1">
      <c r="A990" s="10" t="s">
        <v>496</v>
      </c>
      <c r="B990" s="10" t="s">
        <v>26</v>
      </c>
      <c r="C990" s="10" t="s">
        <v>23</v>
      </c>
      <c r="D990" s="10" t="s">
        <v>497</v>
      </c>
      <c r="E990" s="14">
        <v>5.0</v>
      </c>
      <c r="F990" s="15">
        <f>ROUND(40,3)</f>
        <v>40</v>
      </c>
      <c r="G990" s="12">
        <f t="shared" si="174"/>
        <v>200</v>
      </c>
    </row>
    <row r="991" ht="15.0" customHeight="1">
      <c r="A991" s="16"/>
      <c r="B991" s="16"/>
      <c r="C991" s="16"/>
      <c r="D991" s="17" t="s">
        <v>489</v>
      </c>
      <c r="E991" s="16"/>
      <c r="F991" s="18">
        <f>ROUND((G988+G989+G990)*(1+G2/100),2)</f>
        <v>1550</v>
      </c>
      <c r="G991" s="16"/>
    </row>
    <row r="992" ht="15.0" customHeight="1">
      <c r="A992" s="19" t="s">
        <v>498</v>
      </c>
      <c r="B992" s="20" t="s">
        <v>18</v>
      </c>
      <c r="C992" s="20" t="s">
        <v>374</v>
      </c>
      <c r="D992" s="20" t="s">
        <v>499</v>
      </c>
      <c r="E992" s="21"/>
      <c r="F992" s="22">
        <f>F1000</f>
        <v>426.3</v>
      </c>
      <c r="G992" s="21"/>
    </row>
    <row r="993" ht="57.75" customHeight="1">
      <c r="A993" s="11"/>
      <c r="B993" s="11"/>
      <c r="C993" s="11"/>
      <c r="D993" s="10" t="s">
        <v>500</v>
      </c>
    </row>
    <row r="994" ht="21.0" customHeight="1">
      <c r="A994" s="10" t="s">
        <v>501</v>
      </c>
      <c r="B994" s="10" t="s">
        <v>42</v>
      </c>
      <c r="C994" s="10" t="s">
        <v>304</v>
      </c>
      <c r="D994" s="10" t="s">
        <v>502</v>
      </c>
      <c r="E994" s="14">
        <v>1.0</v>
      </c>
      <c r="F994" s="15">
        <f>ROUND(382.5,3)</f>
        <v>382.5</v>
      </c>
      <c r="G994" s="12">
        <f t="shared" ref="G994:G999" si="175">ROUND(E994*F994,2)</f>
        <v>382.5</v>
      </c>
    </row>
    <row r="995" ht="21.0" customHeight="1">
      <c r="A995" s="10" t="s">
        <v>22</v>
      </c>
      <c r="B995" s="10" t="s">
        <v>18</v>
      </c>
      <c r="C995" s="10" t="s">
        <v>23</v>
      </c>
      <c r="D995" s="10" t="s">
        <v>24</v>
      </c>
      <c r="E995" s="14">
        <v>1.0</v>
      </c>
      <c r="F995" s="15">
        <f>F999</f>
        <v>43.8</v>
      </c>
      <c r="G995" s="12">
        <f t="shared" si="175"/>
        <v>43.8</v>
      </c>
    </row>
    <row r="996" ht="24.0" customHeight="1">
      <c r="A996" s="10" t="s">
        <v>25</v>
      </c>
      <c r="B996" s="10" t="s">
        <v>26</v>
      </c>
      <c r="C996" s="10" t="s">
        <v>23</v>
      </c>
      <c r="D996" s="10" t="s">
        <v>27</v>
      </c>
      <c r="E996" s="14">
        <v>1.0</v>
      </c>
      <c r="F996" s="15">
        <f>ROUND(21,3)</f>
        <v>21</v>
      </c>
      <c r="G996" s="12">
        <f t="shared" si="175"/>
        <v>21</v>
      </c>
    </row>
    <row r="997" ht="24.0" customHeight="1">
      <c r="A997" s="10" t="s">
        <v>28</v>
      </c>
      <c r="B997" s="10" t="s">
        <v>26</v>
      </c>
      <c r="C997" s="10" t="s">
        <v>23</v>
      </c>
      <c r="D997" s="10" t="s">
        <v>29</v>
      </c>
      <c r="E997" s="14">
        <v>1.0</v>
      </c>
      <c r="F997" s="15">
        <f t="shared" ref="F997:F998" si="176">ROUND(19,3)</f>
        <v>19</v>
      </c>
      <c r="G997" s="12">
        <f t="shared" si="175"/>
        <v>19</v>
      </c>
    </row>
    <row r="998" ht="24.0" customHeight="1">
      <c r="A998" s="10" t="s">
        <v>30</v>
      </c>
      <c r="B998" s="10" t="s">
        <v>26</v>
      </c>
      <c r="C998" s="10" t="s">
        <v>23</v>
      </c>
      <c r="D998" s="10" t="s">
        <v>31</v>
      </c>
      <c r="E998" s="14">
        <v>0.2</v>
      </c>
      <c r="F998" s="15">
        <f t="shared" si="176"/>
        <v>19</v>
      </c>
      <c r="G998" s="12">
        <f t="shared" si="175"/>
        <v>3.8</v>
      </c>
    </row>
    <row r="999" ht="15.0" customHeight="1">
      <c r="A999" s="11"/>
      <c r="B999" s="11"/>
      <c r="C999" s="11"/>
      <c r="D999" s="10" t="s">
        <v>22</v>
      </c>
      <c r="E999" s="14">
        <v>1.0</v>
      </c>
      <c r="F999" s="15">
        <f>ROUND((G996+G997+G998),3)</f>
        <v>43.8</v>
      </c>
      <c r="G999" s="12">
        <f t="shared" si="175"/>
        <v>43.8</v>
      </c>
    </row>
    <row r="1000" ht="15.0" customHeight="1">
      <c r="A1000" s="16"/>
      <c r="B1000" s="16"/>
      <c r="C1000" s="16"/>
      <c r="D1000" s="17" t="s">
        <v>498</v>
      </c>
      <c r="E1000" s="16"/>
      <c r="F1000" s="18">
        <f>ROUND((G994+G995)*(1+G2/100),2)</f>
        <v>426.3</v>
      </c>
      <c r="G1000" s="16"/>
    </row>
    <row r="1001" ht="21.0" customHeight="1">
      <c r="A1001" s="19" t="s">
        <v>503</v>
      </c>
      <c r="B1001" s="20" t="s">
        <v>18</v>
      </c>
      <c r="C1001" s="20" t="s">
        <v>416</v>
      </c>
      <c r="D1001" s="20" t="s">
        <v>504</v>
      </c>
      <c r="E1001" s="21"/>
      <c r="F1001" s="22">
        <f>F1012</f>
        <v>3270.54</v>
      </c>
      <c r="G1001" s="21"/>
    </row>
    <row r="1002" ht="21.0" customHeight="1">
      <c r="A1002" s="11"/>
      <c r="B1002" s="11"/>
      <c r="C1002" s="11"/>
      <c r="D1002" s="10" t="s">
        <v>505</v>
      </c>
    </row>
    <row r="1003" ht="21.0" customHeight="1">
      <c r="A1003" s="10" t="s">
        <v>506</v>
      </c>
      <c r="B1003" s="10" t="s">
        <v>112</v>
      </c>
      <c r="C1003" s="10" t="s">
        <v>410</v>
      </c>
      <c r="D1003" s="10" t="s">
        <v>507</v>
      </c>
      <c r="E1003" s="14">
        <v>30.0</v>
      </c>
      <c r="F1003" s="15">
        <f>ROUND(63.27,3)</f>
        <v>63.27</v>
      </c>
      <c r="G1003" s="12">
        <f t="shared" ref="G1003:G1011" si="177">ROUND(E1003*F1003,2)</f>
        <v>1898.1</v>
      </c>
    </row>
    <row r="1004" ht="15.0" customHeight="1">
      <c r="A1004" s="10" t="s">
        <v>508</v>
      </c>
      <c r="B1004" s="10" t="s">
        <v>42</v>
      </c>
      <c r="C1004" s="10" t="s">
        <v>222</v>
      </c>
      <c r="D1004" s="10" t="s">
        <v>509</v>
      </c>
      <c r="E1004" s="14">
        <v>1.0</v>
      </c>
      <c r="F1004" s="15">
        <f>ROUND(8.86,3)</f>
        <v>8.86</v>
      </c>
      <c r="G1004" s="12">
        <f t="shared" si="177"/>
        <v>8.86</v>
      </c>
    </row>
    <row r="1005" ht="21.0" customHeight="1">
      <c r="A1005" s="10" t="s">
        <v>510</v>
      </c>
      <c r="B1005" s="10" t="s">
        <v>42</v>
      </c>
      <c r="C1005" s="10" t="s">
        <v>222</v>
      </c>
      <c r="D1005" s="10" t="s">
        <v>511</v>
      </c>
      <c r="E1005" s="14">
        <v>1.0</v>
      </c>
      <c r="F1005" s="15">
        <f>ROUND(14,3)</f>
        <v>14</v>
      </c>
      <c r="G1005" s="12">
        <f t="shared" si="177"/>
        <v>14</v>
      </c>
    </row>
    <row r="1006" ht="15.0" customHeight="1">
      <c r="A1006" s="10" t="s">
        <v>512</v>
      </c>
      <c r="B1006" s="10" t="s">
        <v>42</v>
      </c>
      <c r="C1006" s="10" t="s">
        <v>222</v>
      </c>
      <c r="D1006" s="10" t="s">
        <v>513</v>
      </c>
      <c r="E1006" s="14">
        <v>1.0</v>
      </c>
      <c r="F1006" s="15">
        <f t="shared" ref="F1006:F1007" si="178">ROUND(140,3)</f>
        <v>140</v>
      </c>
      <c r="G1006" s="12">
        <f t="shared" si="177"/>
        <v>140</v>
      </c>
    </row>
    <row r="1007" ht="15.0" customHeight="1">
      <c r="A1007" s="10" t="s">
        <v>514</v>
      </c>
      <c r="B1007" s="10" t="s">
        <v>42</v>
      </c>
      <c r="C1007" s="10" t="s">
        <v>222</v>
      </c>
      <c r="D1007" s="10" t="s">
        <v>515</v>
      </c>
      <c r="E1007" s="14">
        <v>1.0</v>
      </c>
      <c r="F1007" s="15">
        <f t="shared" si="178"/>
        <v>140</v>
      </c>
      <c r="G1007" s="12">
        <f t="shared" si="177"/>
        <v>140</v>
      </c>
    </row>
    <row r="1008" ht="21.0" customHeight="1">
      <c r="A1008" s="10" t="s">
        <v>516</v>
      </c>
      <c r="B1008" s="10" t="s">
        <v>42</v>
      </c>
      <c r="C1008" s="10" t="s">
        <v>222</v>
      </c>
      <c r="D1008" s="10" t="s">
        <v>517</v>
      </c>
      <c r="E1008" s="14">
        <v>0.1</v>
      </c>
      <c r="F1008" s="15">
        <f>ROUND(150,3)</f>
        <v>150</v>
      </c>
      <c r="G1008" s="12">
        <f t="shared" si="177"/>
        <v>15</v>
      </c>
    </row>
    <row r="1009" ht="21.0" customHeight="1">
      <c r="A1009" s="10" t="s">
        <v>518</v>
      </c>
      <c r="B1009" s="10" t="s">
        <v>42</v>
      </c>
      <c r="C1009" s="10" t="s">
        <v>485</v>
      </c>
      <c r="D1009" s="10" t="s">
        <v>519</v>
      </c>
      <c r="E1009" s="14">
        <v>0.14</v>
      </c>
      <c r="F1009" s="15">
        <f>ROUND(72,3)</f>
        <v>72</v>
      </c>
      <c r="G1009" s="12">
        <f t="shared" si="177"/>
        <v>10.08</v>
      </c>
    </row>
    <row r="1010" ht="15.0" customHeight="1">
      <c r="A1010" s="10" t="s">
        <v>520</v>
      </c>
      <c r="B1010" s="10" t="s">
        <v>42</v>
      </c>
      <c r="C1010" s="10" t="s">
        <v>521</v>
      </c>
      <c r="D1010" s="10" t="s">
        <v>522</v>
      </c>
      <c r="E1010" s="14">
        <v>155.0</v>
      </c>
      <c r="F1010" s="15">
        <f>ROUND(1.9,3)</f>
        <v>1.9</v>
      </c>
      <c r="G1010" s="12">
        <f t="shared" si="177"/>
        <v>294.5</v>
      </c>
    </row>
    <row r="1011" ht="24.0" customHeight="1">
      <c r="A1011" s="10" t="s">
        <v>523</v>
      </c>
      <c r="B1011" s="10" t="s">
        <v>26</v>
      </c>
      <c r="C1011" s="10" t="s">
        <v>23</v>
      </c>
      <c r="D1011" s="10" t="s">
        <v>524</v>
      </c>
      <c r="E1011" s="14">
        <v>30.0</v>
      </c>
      <c r="F1011" s="15">
        <f>ROUND(25,3)</f>
        <v>25</v>
      </c>
      <c r="G1011" s="12">
        <f t="shared" si="177"/>
        <v>750</v>
      </c>
    </row>
    <row r="1012" ht="15.0" customHeight="1">
      <c r="A1012" s="16"/>
      <c r="B1012" s="16"/>
      <c r="C1012" s="16"/>
      <c r="D1012" s="17" t="s">
        <v>503</v>
      </c>
      <c r="E1012" s="16"/>
      <c r="F1012" s="18">
        <f>ROUND((G1003+G1004+G1005+G1006+G1007+G1008+G1009+G1010+G1011)*(1+G2/100),2)</f>
        <v>3270.54</v>
      </c>
      <c r="G1012" s="16"/>
    </row>
    <row r="1013" ht="21.0" customHeight="1">
      <c r="A1013" s="19" t="s">
        <v>525</v>
      </c>
      <c r="B1013" s="20" t="s">
        <v>18</v>
      </c>
      <c r="C1013" s="20" t="s">
        <v>410</v>
      </c>
      <c r="D1013" s="20" t="s">
        <v>526</v>
      </c>
      <c r="E1013" s="21"/>
      <c r="F1013" s="22">
        <f>F1023</f>
        <v>588.13</v>
      </c>
      <c r="G1013" s="21"/>
    </row>
    <row r="1014" ht="12.0" customHeight="1">
      <c r="A1014" s="11"/>
      <c r="B1014" s="11"/>
      <c r="C1014" s="11"/>
      <c r="D1014" s="10" t="s">
        <v>527</v>
      </c>
    </row>
    <row r="1015" ht="21.0" customHeight="1">
      <c r="A1015" s="10" t="s">
        <v>506</v>
      </c>
      <c r="B1015" s="10" t="s">
        <v>112</v>
      </c>
      <c r="C1015" s="10" t="s">
        <v>410</v>
      </c>
      <c r="D1015" s="10" t="s">
        <v>507</v>
      </c>
      <c r="E1015" s="14">
        <v>1.0</v>
      </c>
      <c r="F1015" s="15">
        <f>ROUND(63.27,3)</f>
        <v>63.27</v>
      </c>
      <c r="G1015" s="12">
        <f t="shared" ref="G1015:G1022" si="179">ROUND(E1015*F1015,2)</f>
        <v>63.27</v>
      </c>
    </row>
    <row r="1016" ht="15.0" customHeight="1">
      <c r="A1016" s="10" t="s">
        <v>508</v>
      </c>
      <c r="B1016" s="10" t="s">
        <v>42</v>
      </c>
      <c r="C1016" s="10" t="s">
        <v>222</v>
      </c>
      <c r="D1016" s="10" t="s">
        <v>509</v>
      </c>
      <c r="E1016" s="14">
        <v>1.0</v>
      </c>
      <c r="F1016" s="15">
        <f>ROUND(8.86,3)</f>
        <v>8.86</v>
      </c>
      <c r="G1016" s="12">
        <f t="shared" si="179"/>
        <v>8.86</v>
      </c>
    </row>
    <row r="1017" ht="21.0" customHeight="1">
      <c r="A1017" s="10" t="s">
        <v>510</v>
      </c>
      <c r="B1017" s="10" t="s">
        <v>42</v>
      </c>
      <c r="C1017" s="10" t="s">
        <v>222</v>
      </c>
      <c r="D1017" s="10" t="s">
        <v>511</v>
      </c>
      <c r="E1017" s="14">
        <v>1.0</v>
      </c>
      <c r="F1017" s="15">
        <f>ROUND(14,3)</f>
        <v>14</v>
      </c>
      <c r="G1017" s="12">
        <f t="shared" si="179"/>
        <v>14</v>
      </c>
    </row>
    <row r="1018" ht="15.0" customHeight="1">
      <c r="A1018" s="10" t="s">
        <v>512</v>
      </c>
      <c r="B1018" s="10" t="s">
        <v>42</v>
      </c>
      <c r="C1018" s="10" t="s">
        <v>222</v>
      </c>
      <c r="D1018" s="10" t="s">
        <v>513</v>
      </c>
      <c r="E1018" s="14">
        <v>1.0</v>
      </c>
      <c r="F1018" s="15">
        <f t="shared" ref="F1018:F1019" si="180">ROUND(140,3)</f>
        <v>140</v>
      </c>
      <c r="G1018" s="12">
        <f t="shared" si="179"/>
        <v>140</v>
      </c>
    </row>
    <row r="1019" ht="15.0" customHeight="1">
      <c r="A1019" s="10" t="s">
        <v>514</v>
      </c>
      <c r="B1019" s="10" t="s">
        <v>42</v>
      </c>
      <c r="C1019" s="10" t="s">
        <v>222</v>
      </c>
      <c r="D1019" s="10" t="s">
        <v>515</v>
      </c>
      <c r="E1019" s="14">
        <v>1.0</v>
      </c>
      <c r="F1019" s="15">
        <f t="shared" si="180"/>
        <v>140</v>
      </c>
      <c r="G1019" s="12">
        <f t="shared" si="179"/>
        <v>140</v>
      </c>
    </row>
    <row r="1020" ht="21.0" customHeight="1">
      <c r="A1020" s="10" t="s">
        <v>516</v>
      </c>
      <c r="B1020" s="10" t="s">
        <v>42</v>
      </c>
      <c r="C1020" s="10" t="s">
        <v>222</v>
      </c>
      <c r="D1020" s="10" t="s">
        <v>517</v>
      </c>
      <c r="E1020" s="14">
        <v>0.1</v>
      </c>
      <c r="F1020" s="15">
        <f>ROUND(150,3)</f>
        <v>150</v>
      </c>
      <c r="G1020" s="12">
        <f t="shared" si="179"/>
        <v>15</v>
      </c>
    </row>
    <row r="1021" ht="15.0" customHeight="1">
      <c r="A1021" s="10" t="s">
        <v>520</v>
      </c>
      <c r="B1021" s="10" t="s">
        <v>42</v>
      </c>
      <c r="C1021" s="10" t="s">
        <v>521</v>
      </c>
      <c r="D1021" s="10" t="s">
        <v>522</v>
      </c>
      <c r="E1021" s="14">
        <v>30.0</v>
      </c>
      <c r="F1021" s="15">
        <f>ROUND(1.9,3)</f>
        <v>1.9</v>
      </c>
      <c r="G1021" s="12">
        <f t="shared" si="179"/>
        <v>57</v>
      </c>
    </row>
    <row r="1022" ht="24.0" customHeight="1">
      <c r="A1022" s="10" t="s">
        <v>523</v>
      </c>
      <c r="B1022" s="10" t="s">
        <v>26</v>
      </c>
      <c r="C1022" s="10" t="s">
        <v>23</v>
      </c>
      <c r="D1022" s="10" t="s">
        <v>524</v>
      </c>
      <c r="E1022" s="14">
        <v>6.0</v>
      </c>
      <c r="F1022" s="15">
        <f>ROUND(25,3)</f>
        <v>25</v>
      </c>
      <c r="G1022" s="12">
        <f t="shared" si="179"/>
        <v>150</v>
      </c>
    </row>
    <row r="1023" ht="15.0" customHeight="1">
      <c r="A1023" s="16"/>
      <c r="B1023" s="16"/>
      <c r="C1023" s="16"/>
      <c r="D1023" s="17" t="s">
        <v>525</v>
      </c>
      <c r="E1023" s="16"/>
      <c r="F1023" s="18">
        <f>ROUND((G1015+G1016+G1017+G1018+G1019+G1020+G1021+G1022)*(1+G2/100),2)</f>
        <v>588.13</v>
      </c>
      <c r="G1023" s="16"/>
    </row>
    <row r="1024" ht="21.0" customHeight="1">
      <c r="A1024" s="19" t="s">
        <v>528</v>
      </c>
      <c r="B1024" s="20" t="s">
        <v>18</v>
      </c>
      <c r="C1024" s="20" t="s">
        <v>295</v>
      </c>
      <c r="D1024" s="20" t="s">
        <v>529</v>
      </c>
      <c r="E1024" s="21"/>
      <c r="F1024" s="22">
        <f>F1028</f>
        <v>280</v>
      </c>
      <c r="G1024" s="21"/>
    </row>
    <row r="1025" ht="21.0" customHeight="1">
      <c r="A1025" s="11"/>
      <c r="B1025" s="11"/>
      <c r="C1025" s="11"/>
      <c r="D1025" s="10" t="s">
        <v>530</v>
      </c>
    </row>
    <row r="1026" ht="15.0" customHeight="1">
      <c r="A1026" s="10" t="s">
        <v>512</v>
      </c>
      <c r="B1026" s="10" t="s">
        <v>42</v>
      </c>
      <c r="C1026" s="10" t="s">
        <v>222</v>
      </c>
      <c r="D1026" s="10" t="s">
        <v>513</v>
      </c>
      <c r="E1026" s="14">
        <v>1.0</v>
      </c>
      <c r="F1026" s="15">
        <f t="shared" ref="F1026:F1027" si="181">ROUND(140,3)</f>
        <v>140</v>
      </c>
      <c r="G1026" s="12">
        <f t="shared" ref="G1026:G1027" si="182">ROUND(E1026*F1026,2)</f>
        <v>140</v>
      </c>
    </row>
    <row r="1027" ht="15.0" customHeight="1">
      <c r="A1027" s="10" t="s">
        <v>514</v>
      </c>
      <c r="B1027" s="10" t="s">
        <v>42</v>
      </c>
      <c r="C1027" s="10" t="s">
        <v>222</v>
      </c>
      <c r="D1027" s="10" t="s">
        <v>515</v>
      </c>
      <c r="E1027" s="14">
        <v>1.0</v>
      </c>
      <c r="F1027" s="15">
        <f t="shared" si="181"/>
        <v>140</v>
      </c>
      <c r="G1027" s="12">
        <f t="shared" si="182"/>
        <v>140</v>
      </c>
    </row>
    <row r="1028" ht="15.0" customHeight="1">
      <c r="A1028" s="16"/>
      <c r="B1028" s="16"/>
      <c r="C1028" s="16"/>
      <c r="D1028" s="17" t="s">
        <v>528</v>
      </c>
      <c r="E1028" s="16"/>
      <c r="F1028" s="18">
        <f>ROUND((G1026+G1027)*(1+G2/100),2)</f>
        <v>280</v>
      </c>
      <c r="G1028" s="16"/>
    </row>
    <row r="1029" ht="21.0" customHeight="1">
      <c r="A1029" s="19" t="s">
        <v>531</v>
      </c>
      <c r="B1029" s="20" t="s">
        <v>18</v>
      </c>
      <c r="C1029" s="20" t="s">
        <v>374</v>
      </c>
      <c r="D1029" s="20" t="s">
        <v>532</v>
      </c>
      <c r="E1029" s="21"/>
      <c r="F1029" s="22">
        <f>F1032</f>
        <v>650</v>
      </c>
      <c r="G1029" s="21"/>
    </row>
    <row r="1030" ht="12.0" customHeight="1">
      <c r="A1030" s="11"/>
      <c r="B1030" s="11"/>
      <c r="C1030" s="11"/>
      <c r="D1030" s="10" t="s">
        <v>533</v>
      </c>
    </row>
    <row r="1031" ht="15.0" customHeight="1">
      <c r="A1031" s="10" t="s">
        <v>534</v>
      </c>
      <c r="B1031" s="10" t="s">
        <v>42</v>
      </c>
      <c r="C1031" s="10" t="s">
        <v>485</v>
      </c>
      <c r="D1031" s="10" t="s">
        <v>535</v>
      </c>
      <c r="E1031" s="14">
        <v>1.0</v>
      </c>
      <c r="F1031" s="15">
        <f>ROUND(650,3)</f>
        <v>650</v>
      </c>
      <c r="G1031" s="12">
        <f>ROUND(E1031*F1031,2)</f>
        <v>650</v>
      </c>
    </row>
    <row r="1032" ht="15.0" customHeight="1">
      <c r="A1032" s="16"/>
      <c r="B1032" s="16"/>
      <c r="C1032" s="16"/>
      <c r="D1032" s="17" t="s">
        <v>531</v>
      </c>
      <c r="E1032" s="16"/>
      <c r="F1032" s="18">
        <f>ROUND((G1031)*(1+G2/100),2)</f>
        <v>650</v>
      </c>
      <c r="G1032" s="16"/>
    </row>
    <row r="1033" ht="15.0" customHeight="1">
      <c r="A1033" s="19" t="s">
        <v>536</v>
      </c>
      <c r="B1033" s="20" t="s">
        <v>18</v>
      </c>
      <c r="C1033" s="20" t="s">
        <v>537</v>
      </c>
      <c r="D1033" s="20" t="s">
        <v>538</v>
      </c>
      <c r="E1033" s="21"/>
      <c r="F1033" s="22">
        <f>F1045</f>
        <v>57.16</v>
      </c>
      <c r="G1033" s="21"/>
    </row>
    <row r="1034" ht="67.5" customHeight="1">
      <c r="A1034" s="11"/>
      <c r="B1034" s="11"/>
      <c r="C1034" s="11"/>
      <c r="D1034" s="10" t="s">
        <v>539</v>
      </c>
    </row>
    <row r="1035" ht="15.0" customHeight="1">
      <c r="A1035" s="10" t="s">
        <v>540</v>
      </c>
      <c r="B1035" s="10" t="s">
        <v>42</v>
      </c>
      <c r="C1035" s="10" t="s">
        <v>304</v>
      </c>
      <c r="D1035" s="10" t="s">
        <v>541</v>
      </c>
      <c r="E1035" s="14">
        <v>0.1</v>
      </c>
      <c r="F1035" s="15">
        <f>ROUND(65,3)</f>
        <v>65</v>
      </c>
      <c r="G1035" s="12">
        <f t="shared" ref="G1035:G1044" si="183">ROUND(E1035*F1035,2)</f>
        <v>6.5</v>
      </c>
    </row>
    <row r="1036" ht="30.0" customHeight="1">
      <c r="A1036" s="10" t="s">
        <v>542</v>
      </c>
      <c r="B1036" s="10" t="s">
        <v>42</v>
      </c>
      <c r="C1036" s="10" t="s">
        <v>304</v>
      </c>
      <c r="D1036" s="10" t="s">
        <v>543</v>
      </c>
      <c r="E1036" s="14">
        <v>0.58</v>
      </c>
      <c r="F1036" s="15">
        <f>ROUND(12,3)</f>
        <v>12</v>
      </c>
      <c r="G1036" s="12">
        <f t="shared" si="183"/>
        <v>6.96</v>
      </c>
    </row>
    <row r="1037" ht="21.0" customHeight="1">
      <c r="A1037" s="10" t="s">
        <v>544</v>
      </c>
      <c r="B1037" s="10" t="s">
        <v>42</v>
      </c>
      <c r="C1037" s="10" t="s">
        <v>304</v>
      </c>
      <c r="D1037" s="10" t="s">
        <v>545</v>
      </c>
      <c r="E1037" s="14">
        <v>1.0</v>
      </c>
      <c r="F1037" s="15">
        <f>ROUND(6,3)</f>
        <v>6</v>
      </c>
      <c r="G1037" s="12">
        <f t="shared" si="183"/>
        <v>6</v>
      </c>
    </row>
    <row r="1038" ht="21.0" customHeight="1">
      <c r="A1038" s="10" t="s">
        <v>546</v>
      </c>
      <c r="B1038" s="10" t="s">
        <v>42</v>
      </c>
      <c r="C1038" s="10" t="s">
        <v>19</v>
      </c>
      <c r="D1038" s="10" t="s">
        <v>547</v>
      </c>
      <c r="E1038" s="14">
        <v>0.4</v>
      </c>
      <c r="F1038" s="15">
        <f>ROUND(11,3)</f>
        <v>11</v>
      </c>
      <c r="G1038" s="12">
        <f t="shared" si="183"/>
        <v>4.4</v>
      </c>
    </row>
    <row r="1039" ht="21.0" customHeight="1">
      <c r="A1039" s="10" t="s">
        <v>548</v>
      </c>
      <c r="B1039" s="10" t="s">
        <v>42</v>
      </c>
      <c r="C1039" s="10" t="s">
        <v>304</v>
      </c>
      <c r="D1039" s="10" t="s">
        <v>549</v>
      </c>
      <c r="E1039" s="14">
        <v>3.0</v>
      </c>
      <c r="F1039" s="15">
        <f>ROUND(0.15,3)</f>
        <v>0.15</v>
      </c>
      <c r="G1039" s="12">
        <f t="shared" si="183"/>
        <v>0.45</v>
      </c>
    </row>
    <row r="1040" ht="21.0" customHeight="1">
      <c r="A1040" s="10" t="s">
        <v>22</v>
      </c>
      <c r="B1040" s="10" t="s">
        <v>18</v>
      </c>
      <c r="C1040" s="10" t="s">
        <v>23</v>
      </c>
      <c r="D1040" s="10" t="s">
        <v>24</v>
      </c>
      <c r="E1040" s="14">
        <v>0.75</v>
      </c>
      <c r="F1040" s="15">
        <f>F1044</f>
        <v>43.8</v>
      </c>
      <c r="G1040" s="12">
        <f t="shared" si="183"/>
        <v>32.85</v>
      </c>
    </row>
    <row r="1041" ht="24.0" customHeight="1">
      <c r="A1041" s="10" t="s">
        <v>25</v>
      </c>
      <c r="B1041" s="10" t="s">
        <v>26</v>
      </c>
      <c r="C1041" s="10" t="s">
        <v>23</v>
      </c>
      <c r="D1041" s="10" t="s">
        <v>27</v>
      </c>
      <c r="E1041" s="14">
        <v>1.0</v>
      </c>
      <c r="F1041" s="15">
        <f>ROUND(21,3)</f>
        <v>21</v>
      </c>
      <c r="G1041" s="12">
        <f t="shared" si="183"/>
        <v>21</v>
      </c>
    </row>
    <row r="1042" ht="24.0" customHeight="1">
      <c r="A1042" s="10" t="s">
        <v>28</v>
      </c>
      <c r="B1042" s="10" t="s">
        <v>26</v>
      </c>
      <c r="C1042" s="10" t="s">
        <v>23</v>
      </c>
      <c r="D1042" s="10" t="s">
        <v>29</v>
      </c>
      <c r="E1042" s="14">
        <v>1.0</v>
      </c>
      <c r="F1042" s="15">
        <f t="shared" ref="F1042:F1043" si="184">ROUND(19,3)</f>
        <v>19</v>
      </c>
      <c r="G1042" s="12">
        <f t="shared" si="183"/>
        <v>19</v>
      </c>
    </row>
    <row r="1043" ht="24.0" customHeight="1">
      <c r="A1043" s="10" t="s">
        <v>30</v>
      </c>
      <c r="B1043" s="10" t="s">
        <v>26</v>
      </c>
      <c r="C1043" s="10" t="s">
        <v>23</v>
      </c>
      <c r="D1043" s="10" t="s">
        <v>31</v>
      </c>
      <c r="E1043" s="14">
        <v>0.2</v>
      </c>
      <c r="F1043" s="15">
        <f t="shared" si="184"/>
        <v>19</v>
      </c>
      <c r="G1043" s="12">
        <f t="shared" si="183"/>
        <v>3.8</v>
      </c>
    </row>
    <row r="1044" ht="15.0" customHeight="1">
      <c r="A1044" s="11"/>
      <c r="B1044" s="11"/>
      <c r="C1044" s="11"/>
      <c r="D1044" s="10" t="s">
        <v>22</v>
      </c>
      <c r="E1044" s="14">
        <v>0.75</v>
      </c>
      <c r="F1044" s="15">
        <f>ROUND((G1041+G1042+G1043),3)</f>
        <v>43.8</v>
      </c>
      <c r="G1044" s="12">
        <f t="shared" si="183"/>
        <v>32.85</v>
      </c>
    </row>
    <row r="1045" ht="15.0" customHeight="1">
      <c r="A1045" s="16"/>
      <c r="B1045" s="16"/>
      <c r="C1045" s="16"/>
      <c r="D1045" s="17" t="s">
        <v>536</v>
      </c>
      <c r="E1045" s="16"/>
      <c r="F1045" s="18">
        <f>ROUND((G1035+G1036+G1037+G1038+G1039+G1040)*(1+G2/100),2)</f>
        <v>57.16</v>
      </c>
      <c r="G1045" s="16"/>
    </row>
    <row r="1046" ht="15.0" customHeight="1">
      <c r="A1046" s="19" t="s">
        <v>550</v>
      </c>
      <c r="B1046" s="20" t="s">
        <v>18</v>
      </c>
      <c r="C1046" s="20" t="s">
        <v>416</v>
      </c>
      <c r="D1046" s="20" t="s">
        <v>551</v>
      </c>
      <c r="E1046" s="21"/>
      <c r="F1046" s="22">
        <f>F1053</f>
        <v>2850</v>
      </c>
      <c r="G1046" s="21"/>
    </row>
    <row r="1047" ht="39.75" customHeight="1">
      <c r="A1047" s="11"/>
      <c r="B1047" s="11"/>
      <c r="C1047" s="11"/>
      <c r="D1047" s="10" t="s">
        <v>552</v>
      </c>
    </row>
    <row r="1048" ht="21.0" customHeight="1">
      <c r="A1048" s="10" t="s">
        <v>553</v>
      </c>
      <c r="B1048" s="10" t="s">
        <v>42</v>
      </c>
      <c r="C1048" s="10" t="s">
        <v>304</v>
      </c>
      <c r="D1048" s="10" t="s">
        <v>554</v>
      </c>
      <c r="E1048" s="14">
        <v>1.0</v>
      </c>
      <c r="F1048" s="15">
        <f>ROUND(1200,3)</f>
        <v>1200</v>
      </c>
      <c r="G1048" s="12">
        <f t="shared" ref="G1048:G1052" si="185">ROUND(E1048*F1048,2)</f>
        <v>1200</v>
      </c>
    </row>
    <row r="1049" ht="21.0" customHeight="1">
      <c r="A1049" s="10" t="s">
        <v>555</v>
      </c>
      <c r="B1049" s="10" t="s">
        <v>42</v>
      </c>
      <c r="C1049" s="10" t="s">
        <v>304</v>
      </c>
      <c r="D1049" s="10" t="s">
        <v>556</v>
      </c>
      <c r="E1049" s="14">
        <v>1.0</v>
      </c>
      <c r="F1049" s="15">
        <f>ROUND(500,3)</f>
        <v>500</v>
      </c>
      <c r="G1049" s="12">
        <f t="shared" si="185"/>
        <v>500</v>
      </c>
    </row>
    <row r="1050" ht="15.0" customHeight="1">
      <c r="A1050" s="10" t="s">
        <v>557</v>
      </c>
      <c r="B1050" s="10" t="s">
        <v>42</v>
      </c>
      <c r="C1050" s="10" t="s">
        <v>304</v>
      </c>
      <c r="D1050" s="10" t="s">
        <v>558</v>
      </c>
      <c r="E1050" s="14">
        <v>1.0</v>
      </c>
      <c r="F1050" s="15">
        <f>ROUND(450,3)</f>
        <v>450</v>
      </c>
      <c r="G1050" s="12">
        <f t="shared" si="185"/>
        <v>450</v>
      </c>
    </row>
    <row r="1051" ht="15.0" customHeight="1">
      <c r="A1051" s="10" t="s">
        <v>559</v>
      </c>
      <c r="B1051" s="10" t="s">
        <v>42</v>
      </c>
      <c r="C1051" s="10" t="s">
        <v>304</v>
      </c>
      <c r="D1051" s="10" t="s">
        <v>560</v>
      </c>
      <c r="E1051" s="14">
        <v>1.0</v>
      </c>
      <c r="F1051" s="15">
        <f>ROUND(400,3)</f>
        <v>400</v>
      </c>
      <c r="G1051" s="12">
        <f t="shared" si="185"/>
        <v>400</v>
      </c>
    </row>
    <row r="1052" ht="21.0" customHeight="1">
      <c r="A1052" s="10" t="s">
        <v>561</v>
      </c>
      <c r="B1052" s="10" t="s">
        <v>42</v>
      </c>
      <c r="C1052" s="10" t="s">
        <v>304</v>
      </c>
      <c r="D1052" s="10" t="s">
        <v>562</v>
      </c>
      <c r="E1052" s="14">
        <v>2.0</v>
      </c>
      <c r="F1052" s="15">
        <f>ROUND(150,3)</f>
        <v>150</v>
      </c>
      <c r="G1052" s="12">
        <f t="shared" si="185"/>
        <v>300</v>
      </c>
    </row>
    <row r="1053" ht="15.0" customHeight="1">
      <c r="A1053" s="16"/>
      <c r="B1053" s="16"/>
      <c r="C1053" s="16"/>
      <c r="D1053" s="17" t="s">
        <v>550</v>
      </c>
      <c r="E1053" s="16"/>
      <c r="F1053" s="18">
        <f>ROUND((G1048+G1049+G1050+G1051+G1052)*(1+G2/100),2)</f>
        <v>2850</v>
      </c>
      <c r="G1053" s="16"/>
    </row>
    <row r="1054" ht="15.0" customHeight="1">
      <c r="A1054" s="19" t="s">
        <v>563</v>
      </c>
      <c r="B1054" s="20" t="s">
        <v>18</v>
      </c>
      <c r="C1054" s="20" t="s">
        <v>416</v>
      </c>
      <c r="D1054" s="20" t="s">
        <v>564</v>
      </c>
      <c r="E1054" s="21"/>
      <c r="F1054" s="22">
        <f>F1058</f>
        <v>34.37</v>
      </c>
      <c r="G1054" s="21"/>
    </row>
    <row r="1055" ht="30.0" customHeight="1">
      <c r="A1055" s="11"/>
      <c r="B1055" s="11"/>
      <c r="C1055" s="11"/>
      <c r="D1055" s="10" t="s">
        <v>565</v>
      </c>
    </row>
    <row r="1056" ht="21.0" customHeight="1">
      <c r="A1056" s="10" t="s">
        <v>311</v>
      </c>
      <c r="B1056" s="10" t="s">
        <v>42</v>
      </c>
      <c r="C1056" s="10" t="s">
        <v>231</v>
      </c>
      <c r="D1056" s="10" t="s">
        <v>312</v>
      </c>
      <c r="E1056" s="14">
        <v>1.0</v>
      </c>
      <c r="F1056" s="15">
        <f>ROUND(28.5,3)</f>
        <v>28.5</v>
      </c>
      <c r="G1056" s="12">
        <f t="shared" ref="G1056:G1057" si="186">ROUND(E1056*F1056,2)</f>
        <v>28.5</v>
      </c>
    </row>
    <row r="1057" ht="30.0" customHeight="1">
      <c r="A1057" s="10" t="s">
        <v>233</v>
      </c>
      <c r="B1057" s="10" t="s">
        <v>42</v>
      </c>
      <c r="C1057" s="10" t="s">
        <v>231</v>
      </c>
      <c r="D1057" s="10" t="s">
        <v>234</v>
      </c>
      <c r="E1057" s="14">
        <v>0.25</v>
      </c>
      <c r="F1057" s="15">
        <f>ROUND(23.46,3)</f>
        <v>23.46</v>
      </c>
      <c r="G1057" s="12">
        <f t="shared" si="186"/>
        <v>5.87</v>
      </c>
    </row>
    <row r="1058" ht="15.0" customHeight="1">
      <c r="A1058" s="16"/>
      <c r="B1058" s="16"/>
      <c r="C1058" s="16"/>
      <c r="D1058" s="17" t="s">
        <v>563</v>
      </c>
      <c r="E1058" s="16"/>
      <c r="F1058" s="18">
        <f>ROUND((G1056+G1057)*(1+G2/100),2)</f>
        <v>34.37</v>
      </c>
      <c r="G1058" s="16"/>
    </row>
    <row r="1059" ht="15.0" customHeight="1">
      <c r="A1059" s="19" t="s">
        <v>566</v>
      </c>
      <c r="B1059" s="20" t="s">
        <v>18</v>
      </c>
      <c r="C1059" s="20" t="s">
        <v>537</v>
      </c>
      <c r="D1059" s="20" t="s">
        <v>567</v>
      </c>
      <c r="E1059" s="21"/>
      <c r="F1059" s="22">
        <f>F1063</f>
        <v>1.67</v>
      </c>
      <c r="G1059" s="21"/>
    </row>
    <row r="1060" ht="30.0" customHeight="1">
      <c r="A1060" s="11"/>
      <c r="B1060" s="11"/>
      <c r="C1060" s="11"/>
      <c r="D1060" s="10" t="s">
        <v>568</v>
      </c>
    </row>
    <row r="1061" ht="30.0" customHeight="1">
      <c r="A1061" s="10" t="s">
        <v>569</v>
      </c>
      <c r="B1061" s="10" t="s">
        <v>42</v>
      </c>
      <c r="C1061" s="10" t="s">
        <v>231</v>
      </c>
      <c r="D1061" s="10" t="s">
        <v>570</v>
      </c>
      <c r="E1061" s="14">
        <v>0.05</v>
      </c>
      <c r="F1061" s="15">
        <f>ROUND(32.94,3)</f>
        <v>32.94</v>
      </c>
      <c r="G1061" s="12">
        <f t="shared" ref="G1061:G1062" si="187">ROUND(E1061*F1061,2)</f>
        <v>1.65</v>
      </c>
    </row>
    <row r="1062" ht="24.0" customHeight="1">
      <c r="A1062" s="10" t="s">
        <v>571</v>
      </c>
      <c r="B1062" s="10" t="s">
        <v>26</v>
      </c>
      <c r="C1062" s="10" t="s">
        <v>23</v>
      </c>
      <c r="D1062" s="10" t="s">
        <v>572</v>
      </c>
      <c r="E1062" s="14">
        <v>0.001</v>
      </c>
      <c r="F1062" s="15">
        <f>ROUND(17,3)</f>
        <v>17</v>
      </c>
      <c r="G1062" s="12">
        <f t="shared" si="187"/>
        <v>0.02</v>
      </c>
    </row>
    <row r="1063" ht="15.0" customHeight="1">
      <c r="A1063" s="16"/>
      <c r="B1063" s="16"/>
      <c r="C1063" s="16"/>
      <c r="D1063" s="17" t="s">
        <v>566</v>
      </c>
      <c r="E1063" s="16"/>
      <c r="F1063" s="18">
        <f>ROUND((G1061+G1062)*(1+G2/100),2)</f>
        <v>1.67</v>
      </c>
      <c r="G1063" s="16"/>
    </row>
    <row r="1064" ht="15.0" customHeight="1">
      <c r="A1064" s="19" t="s">
        <v>573</v>
      </c>
      <c r="B1064" s="20" t="s">
        <v>18</v>
      </c>
      <c r="C1064" s="20" t="s">
        <v>295</v>
      </c>
      <c r="D1064" s="20" t="s">
        <v>574</v>
      </c>
      <c r="E1064" s="21"/>
      <c r="F1064" s="22">
        <f>F1072</f>
        <v>15.76</v>
      </c>
      <c r="G1064" s="21"/>
    </row>
    <row r="1065" ht="30.0" customHeight="1">
      <c r="A1065" s="11"/>
      <c r="B1065" s="11"/>
      <c r="C1065" s="11"/>
      <c r="D1065" s="10" t="s">
        <v>575</v>
      </c>
    </row>
    <row r="1066" ht="21.0" customHeight="1">
      <c r="A1066" s="10" t="s">
        <v>576</v>
      </c>
      <c r="B1066" s="10" t="s">
        <v>42</v>
      </c>
      <c r="C1066" s="10" t="s">
        <v>231</v>
      </c>
      <c r="D1066" s="10" t="s">
        <v>577</v>
      </c>
      <c r="E1066" s="14">
        <v>1.0</v>
      </c>
      <c r="F1066" s="15">
        <f>ROUND(12.12,3)</f>
        <v>12.12</v>
      </c>
      <c r="G1066" s="12">
        <f t="shared" ref="G1066:G1071" si="188">ROUND(E1066*F1066,2)</f>
        <v>12.12</v>
      </c>
    </row>
    <row r="1067" ht="21.0" customHeight="1">
      <c r="A1067" s="10" t="s">
        <v>22</v>
      </c>
      <c r="B1067" s="10" t="s">
        <v>18</v>
      </c>
      <c r="C1067" s="10" t="s">
        <v>23</v>
      </c>
      <c r="D1067" s="10" t="s">
        <v>24</v>
      </c>
      <c r="E1067" s="14">
        <v>0.083</v>
      </c>
      <c r="F1067" s="15">
        <f>F1071</f>
        <v>43.8</v>
      </c>
      <c r="G1067" s="12">
        <f t="shared" si="188"/>
        <v>3.64</v>
      </c>
    </row>
    <row r="1068" ht="24.0" customHeight="1">
      <c r="A1068" s="10" t="s">
        <v>25</v>
      </c>
      <c r="B1068" s="10" t="s">
        <v>26</v>
      </c>
      <c r="C1068" s="10" t="s">
        <v>23</v>
      </c>
      <c r="D1068" s="10" t="s">
        <v>27</v>
      </c>
      <c r="E1068" s="14">
        <v>1.0</v>
      </c>
      <c r="F1068" s="15">
        <f>ROUND(21,3)</f>
        <v>21</v>
      </c>
      <c r="G1068" s="12">
        <f t="shared" si="188"/>
        <v>21</v>
      </c>
    </row>
    <row r="1069" ht="24.0" customHeight="1">
      <c r="A1069" s="10" t="s">
        <v>28</v>
      </c>
      <c r="B1069" s="10" t="s">
        <v>26</v>
      </c>
      <c r="C1069" s="10" t="s">
        <v>23</v>
      </c>
      <c r="D1069" s="10" t="s">
        <v>29</v>
      </c>
      <c r="E1069" s="14">
        <v>1.0</v>
      </c>
      <c r="F1069" s="15">
        <f t="shared" ref="F1069:F1070" si="189">ROUND(19,3)</f>
        <v>19</v>
      </c>
      <c r="G1069" s="12">
        <f t="shared" si="188"/>
        <v>19</v>
      </c>
    </row>
    <row r="1070" ht="24.0" customHeight="1">
      <c r="A1070" s="10" t="s">
        <v>30</v>
      </c>
      <c r="B1070" s="10" t="s">
        <v>26</v>
      </c>
      <c r="C1070" s="10" t="s">
        <v>23</v>
      </c>
      <c r="D1070" s="10" t="s">
        <v>31</v>
      </c>
      <c r="E1070" s="14">
        <v>0.2</v>
      </c>
      <c r="F1070" s="15">
        <f t="shared" si="189"/>
        <v>19</v>
      </c>
      <c r="G1070" s="12">
        <f t="shared" si="188"/>
        <v>3.8</v>
      </c>
    </row>
    <row r="1071" ht="15.0" customHeight="1">
      <c r="A1071" s="11"/>
      <c r="B1071" s="11"/>
      <c r="C1071" s="11"/>
      <c r="D1071" s="10" t="s">
        <v>22</v>
      </c>
      <c r="E1071" s="14">
        <v>0.083</v>
      </c>
      <c r="F1071" s="15">
        <f>ROUND((G1068+G1069+G1070),3)</f>
        <v>43.8</v>
      </c>
      <c r="G1071" s="12">
        <f t="shared" si="188"/>
        <v>3.64</v>
      </c>
    </row>
    <row r="1072" ht="15.0" customHeight="1">
      <c r="A1072" s="16"/>
      <c r="B1072" s="16"/>
      <c r="C1072" s="16"/>
      <c r="D1072" s="17" t="s">
        <v>573</v>
      </c>
      <c r="E1072" s="16"/>
      <c r="F1072" s="18">
        <f>ROUND((G1066+G1067)*(1+G2/100),2)</f>
        <v>15.76</v>
      </c>
      <c r="G1072" s="16"/>
    </row>
    <row r="1073" ht="21.0" customHeight="1">
      <c r="A1073" s="19" t="s">
        <v>578</v>
      </c>
      <c r="B1073" s="20" t="s">
        <v>18</v>
      </c>
      <c r="C1073" s="20" t="s">
        <v>231</v>
      </c>
      <c r="D1073" s="20" t="s">
        <v>579</v>
      </c>
      <c r="E1073" s="21"/>
      <c r="F1073" s="22">
        <f>F1080</f>
        <v>460.43</v>
      </c>
      <c r="G1073" s="21"/>
    </row>
    <row r="1074" ht="39.75" customHeight="1">
      <c r="A1074" s="11"/>
      <c r="B1074" s="11"/>
      <c r="C1074" s="11"/>
      <c r="D1074" s="10" t="s">
        <v>580</v>
      </c>
    </row>
    <row r="1075" ht="30.0" customHeight="1">
      <c r="A1075" s="10" t="s">
        <v>581</v>
      </c>
      <c r="B1075" s="10" t="s">
        <v>42</v>
      </c>
      <c r="C1075" s="10" t="s">
        <v>231</v>
      </c>
      <c r="D1075" s="10" t="s">
        <v>582</v>
      </c>
      <c r="E1075" s="14">
        <v>1.0</v>
      </c>
      <c r="F1075" s="15">
        <f>ROUND(172,3)</f>
        <v>172</v>
      </c>
      <c r="G1075" s="12">
        <f t="shared" ref="G1075:G1079" si="190">ROUND(E1075*F1075,2)</f>
        <v>172</v>
      </c>
    </row>
    <row r="1076" ht="30.0" customHeight="1">
      <c r="A1076" s="10" t="s">
        <v>583</v>
      </c>
      <c r="B1076" s="10" t="s">
        <v>42</v>
      </c>
      <c r="C1076" s="10" t="s">
        <v>584</v>
      </c>
      <c r="D1076" s="10" t="s">
        <v>585</v>
      </c>
      <c r="E1076" s="14">
        <v>1.0</v>
      </c>
      <c r="F1076" s="15">
        <f>ROUND(30.77,3)</f>
        <v>30.77</v>
      </c>
      <c r="G1076" s="12">
        <f t="shared" si="190"/>
        <v>30.77</v>
      </c>
    </row>
    <row r="1077" ht="30.0" customHeight="1">
      <c r="A1077" s="10" t="s">
        <v>586</v>
      </c>
      <c r="B1077" s="10" t="s">
        <v>42</v>
      </c>
      <c r="C1077" s="10" t="s">
        <v>344</v>
      </c>
      <c r="D1077" s="10" t="s">
        <v>587</v>
      </c>
      <c r="E1077" s="14">
        <v>3.0</v>
      </c>
      <c r="F1077" s="15">
        <f>ROUND(32.22,3)</f>
        <v>32.22</v>
      </c>
      <c r="G1077" s="12">
        <f t="shared" si="190"/>
        <v>96.66</v>
      </c>
    </row>
    <row r="1078" ht="30.0" customHeight="1">
      <c r="A1078" s="10" t="s">
        <v>588</v>
      </c>
      <c r="B1078" s="10" t="s">
        <v>42</v>
      </c>
      <c r="C1078" s="10" t="s">
        <v>231</v>
      </c>
      <c r="D1078" s="10" t="s">
        <v>589</v>
      </c>
      <c r="E1078" s="14">
        <v>1.0</v>
      </c>
      <c r="F1078" s="15">
        <f>ROUND(42,3)</f>
        <v>42</v>
      </c>
      <c r="G1078" s="12">
        <f t="shared" si="190"/>
        <v>42</v>
      </c>
    </row>
    <row r="1079" ht="30.0" customHeight="1">
      <c r="A1079" s="10" t="s">
        <v>590</v>
      </c>
      <c r="B1079" s="10" t="s">
        <v>42</v>
      </c>
      <c r="C1079" s="10" t="s">
        <v>231</v>
      </c>
      <c r="D1079" s="10" t="s">
        <v>591</v>
      </c>
      <c r="E1079" s="14">
        <v>1.0</v>
      </c>
      <c r="F1079" s="15">
        <f>ROUND(119,3)</f>
        <v>119</v>
      </c>
      <c r="G1079" s="12">
        <f t="shared" si="190"/>
        <v>119</v>
      </c>
    </row>
    <row r="1080" ht="15.0" customHeight="1">
      <c r="A1080" s="16"/>
      <c r="B1080" s="16"/>
      <c r="C1080" s="16"/>
      <c r="D1080" s="17" t="s">
        <v>578</v>
      </c>
      <c r="E1080" s="16"/>
      <c r="F1080" s="18">
        <f>ROUND((G1075+G1076+G1077+G1078+G1079)*(1+G2/100),2)</f>
        <v>460.43</v>
      </c>
      <c r="G1080" s="16"/>
    </row>
    <row r="1081" ht="15.0" customHeight="1">
      <c r="A1081" s="19" t="s">
        <v>592</v>
      </c>
      <c r="B1081" s="20" t="s">
        <v>18</v>
      </c>
      <c r="C1081" s="20" t="s">
        <v>416</v>
      </c>
      <c r="D1081" s="20" t="s">
        <v>593</v>
      </c>
      <c r="E1081" s="21"/>
      <c r="F1081" s="22">
        <f>F1088</f>
        <v>3620</v>
      </c>
      <c r="G1081" s="21"/>
    </row>
    <row r="1082" ht="39.75" customHeight="1">
      <c r="A1082" s="11"/>
      <c r="B1082" s="11"/>
      <c r="C1082" s="11"/>
      <c r="D1082" s="10" t="s">
        <v>594</v>
      </c>
    </row>
    <row r="1083" ht="21.0" customHeight="1">
      <c r="A1083" s="10" t="s">
        <v>595</v>
      </c>
      <c r="B1083" s="10" t="s">
        <v>42</v>
      </c>
      <c r="C1083" s="10" t="s">
        <v>596</v>
      </c>
      <c r="D1083" s="10" t="s">
        <v>597</v>
      </c>
      <c r="E1083" s="14">
        <v>1.0</v>
      </c>
      <c r="F1083" s="15">
        <f>ROUND(1800,3)</f>
        <v>1800</v>
      </c>
      <c r="G1083" s="12">
        <f t="shared" ref="G1083:G1087" si="191">ROUND(E1083*F1083,2)</f>
        <v>1800</v>
      </c>
    </row>
    <row r="1084" ht="21.0" customHeight="1">
      <c r="A1084" s="10" t="s">
        <v>598</v>
      </c>
      <c r="B1084" s="10" t="s">
        <v>42</v>
      </c>
      <c r="C1084" s="10" t="s">
        <v>596</v>
      </c>
      <c r="D1084" s="10" t="s">
        <v>599</v>
      </c>
      <c r="E1084" s="14">
        <v>1.0</v>
      </c>
      <c r="F1084" s="15">
        <f>ROUND(550,3)</f>
        <v>550</v>
      </c>
      <c r="G1084" s="12">
        <f t="shared" si="191"/>
        <v>550</v>
      </c>
    </row>
    <row r="1085" ht="15.0" customHeight="1">
      <c r="A1085" s="10" t="s">
        <v>600</v>
      </c>
      <c r="B1085" s="10" t="s">
        <v>42</v>
      </c>
      <c r="C1085" s="10" t="s">
        <v>596</v>
      </c>
      <c r="D1085" s="10" t="s">
        <v>601</v>
      </c>
      <c r="E1085" s="14">
        <v>1.0</v>
      </c>
      <c r="F1085" s="15">
        <f>ROUND(500,3)</f>
        <v>500</v>
      </c>
      <c r="G1085" s="12">
        <f t="shared" si="191"/>
        <v>500</v>
      </c>
    </row>
    <row r="1086" ht="15.0" customHeight="1">
      <c r="A1086" s="10" t="s">
        <v>602</v>
      </c>
      <c r="B1086" s="10" t="s">
        <v>42</v>
      </c>
      <c r="C1086" s="10" t="s">
        <v>596</v>
      </c>
      <c r="D1086" s="10" t="s">
        <v>603</v>
      </c>
      <c r="E1086" s="14">
        <v>1.0</v>
      </c>
      <c r="F1086" s="15">
        <f>ROUND(450,3)</f>
        <v>450</v>
      </c>
      <c r="G1086" s="12">
        <f t="shared" si="191"/>
        <v>450</v>
      </c>
    </row>
    <row r="1087" ht="15.0" customHeight="1">
      <c r="A1087" s="10" t="s">
        <v>604</v>
      </c>
      <c r="B1087" s="10" t="s">
        <v>42</v>
      </c>
      <c r="C1087" s="10" t="s">
        <v>596</v>
      </c>
      <c r="D1087" s="10" t="s">
        <v>605</v>
      </c>
      <c r="E1087" s="14">
        <v>2.0</v>
      </c>
      <c r="F1087" s="15">
        <f>ROUND(160,3)</f>
        <v>160</v>
      </c>
      <c r="G1087" s="12">
        <f t="shared" si="191"/>
        <v>320</v>
      </c>
    </row>
    <row r="1088" ht="15.0" customHeight="1">
      <c r="A1088" s="16"/>
      <c r="B1088" s="16"/>
      <c r="C1088" s="16"/>
      <c r="D1088" s="17" t="s">
        <v>592</v>
      </c>
      <c r="E1088" s="16"/>
      <c r="F1088" s="18">
        <f>ROUND((G1083+G1084+G1085+G1086+G1087)*(1+G2/100),2)</f>
        <v>3620</v>
      </c>
      <c r="G1088" s="16"/>
    </row>
    <row r="1089" ht="21.0" customHeight="1">
      <c r="A1089" s="19" t="s">
        <v>606</v>
      </c>
      <c r="B1089" s="20" t="s">
        <v>18</v>
      </c>
      <c r="C1089" s="20" t="s">
        <v>607</v>
      </c>
      <c r="D1089" s="20" t="s">
        <v>608</v>
      </c>
      <c r="E1089" s="21"/>
      <c r="F1089" s="22">
        <f>F1094</f>
        <v>450</v>
      </c>
      <c r="G1089" s="21"/>
    </row>
    <row r="1090" ht="12.0" customHeight="1">
      <c r="A1090" s="11"/>
      <c r="B1090" s="11"/>
      <c r="C1090" s="11"/>
      <c r="D1090" s="10" t="s">
        <v>609</v>
      </c>
    </row>
    <row r="1091" ht="30.0" customHeight="1">
      <c r="A1091" s="10" t="s">
        <v>610</v>
      </c>
      <c r="B1091" s="10" t="s">
        <v>112</v>
      </c>
      <c r="C1091" s="10" t="s">
        <v>23</v>
      </c>
      <c r="D1091" s="10" t="s">
        <v>611</v>
      </c>
      <c r="E1091" s="14">
        <v>1.0</v>
      </c>
      <c r="F1091" s="15">
        <f>ROUND(150,3)</f>
        <v>150</v>
      </c>
      <c r="G1091" s="12">
        <f t="shared" ref="G1091:G1093" si="192">ROUND(E1091*F1091,2)</f>
        <v>150</v>
      </c>
    </row>
    <row r="1092" ht="15.0" customHeight="1">
      <c r="A1092" s="10" t="s">
        <v>612</v>
      </c>
      <c r="B1092" s="10" t="s">
        <v>112</v>
      </c>
      <c r="C1092" s="10" t="s">
        <v>23</v>
      </c>
      <c r="D1092" s="10" t="s">
        <v>613</v>
      </c>
      <c r="E1092" s="14">
        <v>3.0</v>
      </c>
      <c r="F1092" s="15">
        <f>ROUND(50,3)</f>
        <v>50</v>
      </c>
      <c r="G1092" s="12">
        <f t="shared" si="192"/>
        <v>150</v>
      </c>
    </row>
    <row r="1093" ht="24.0" customHeight="1">
      <c r="A1093" s="10" t="s">
        <v>614</v>
      </c>
      <c r="B1093" s="10" t="s">
        <v>473</v>
      </c>
      <c r="C1093" s="10" t="s">
        <v>485</v>
      </c>
      <c r="D1093" s="10" t="s">
        <v>615</v>
      </c>
      <c r="E1093" s="14">
        <v>1.0</v>
      </c>
      <c r="F1093" s="15">
        <f>ROUND(150,3)</f>
        <v>150</v>
      </c>
      <c r="G1093" s="12">
        <f t="shared" si="192"/>
        <v>150</v>
      </c>
    </row>
    <row r="1094" ht="15.0" customHeight="1">
      <c r="A1094" s="16"/>
      <c r="B1094" s="16"/>
      <c r="C1094" s="16"/>
      <c r="D1094" s="17" t="s">
        <v>606</v>
      </c>
      <c r="E1094" s="16"/>
      <c r="F1094" s="18">
        <f>ROUND((G1091+G1092+G1093)*(1+G2/100),2)</f>
        <v>450</v>
      </c>
      <c r="G1094" s="16"/>
    </row>
    <row r="1095" ht="30.0" customHeight="1">
      <c r="A1095" s="19" t="s">
        <v>616</v>
      </c>
      <c r="B1095" s="20" t="s">
        <v>18</v>
      </c>
      <c r="C1095" s="20" t="s">
        <v>374</v>
      </c>
      <c r="D1095" s="20" t="s">
        <v>617</v>
      </c>
      <c r="E1095" s="21"/>
      <c r="F1095" s="22">
        <f>F1098</f>
        <v>1200</v>
      </c>
      <c r="G1095" s="21"/>
    </row>
    <row r="1096" ht="67.5" customHeight="1">
      <c r="A1096" s="11"/>
      <c r="B1096" s="11"/>
      <c r="C1096" s="11"/>
      <c r="D1096" s="10" t="s">
        <v>618</v>
      </c>
    </row>
    <row r="1097" ht="24.0" customHeight="1">
      <c r="A1097" s="10" t="s">
        <v>619</v>
      </c>
      <c r="B1097" s="10" t="s">
        <v>473</v>
      </c>
      <c r="C1097" s="10" t="s">
        <v>485</v>
      </c>
      <c r="D1097" s="10" t="s">
        <v>620</v>
      </c>
      <c r="E1097" s="14">
        <v>1.0</v>
      </c>
      <c r="F1097" s="15">
        <f>ROUND(1200,3)</f>
        <v>1200</v>
      </c>
      <c r="G1097" s="12">
        <f>ROUND(E1097*F1097,2)</f>
        <v>1200</v>
      </c>
    </row>
    <row r="1098" ht="15.0" customHeight="1">
      <c r="A1098" s="16"/>
      <c r="B1098" s="16"/>
      <c r="C1098" s="16"/>
      <c r="D1098" s="17" t="s">
        <v>616</v>
      </c>
      <c r="E1098" s="16"/>
      <c r="F1098" s="18">
        <f>ROUND((G1097)*(1+G2/100),2)</f>
        <v>1200</v>
      </c>
      <c r="G1098" s="16"/>
    </row>
    <row r="1099" ht="30.0" customHeight="1">
      <c r="A1099" s="19" t="s">
        <v>621</v>
      </c>
      <c r="B1099" s="20" t="s">
        <v>18</v>
      </c>
      <c r="C1099" s="20" t="s">
        <v>374</v>
      </c>
      <c r="D1099" s="20" t="s">
        <v>622</v>
      </c>
      <c r="E1099" s="21"/>
      <c r="F1099" s="22">
        <f>F1102</f>
        <v>1800</v>
      </c>
      <c r="G1099" s="21"/>
    </row>
    <row r="1100" ht="67.5" customHeight="1">
      <c r="A1100" s="11"/>
      <c r="B1100" s="11"/>
      <c r="C1100" s="11"/>
      <c r="D1100" s="10" t="s">
        <v>623</v>
      </c>
    </row>
    <row r="1101" ht="24.0" customHeight="1">
      <c r="A1101" s="10" t="s">
        <v>619</v>
      </c>
      <c r="B1101" s="10" t="s">
        <v>473</v>
      </c>
      <c r="C1101" s="10" t="s">
        <v>485</v>
      </c>
      <c r="D1101" s="10" t="s">
        <v>620</v>
      </c>
      <c r="E1101" s="14">
        <v>1.5</v>
      </c>
      <c r="F1101" s="15">
        <f>ROUND(1200,3)</f>
        <v>1200</v>
      </c>
      <c r="G1101" s="12">
        <f>ROUND(E1101*F1101,2)</f>
        <v>1800</v>
      </c>
    </row>
    <row r="1102" ht="15.0" customHeight="1">
      <c r="A1102" s="16"/>
      <c r="B1102" s="16"/>
      <c r="C1102" s="16"/>
      <c r="D1102" s="17" t="s">
        <v>621</v>
      </c>
      <c r="E1102" s="16"/>
      <c r="F1102" s="18">
        <f>ROUND((G1101)*(1+G2/100),2)</f>
        <v>1800</v>
      </c>
      <c r="G1102" s="16"/>
    </row>
    <row r="1103" ht="48.75" customHeight="1">
      <c r="A1103" s="19" t="s">
        <v>624</v>
      </c>
      <c r="B1103" s="20" t="s">
        <v>18</v>
      </c>
      <c r="C1103" s="20" t="s">
        <v>19</v>
      </c>
      <c r="D1103" s="20" t="s">
        <v>625</v>
      </c>
      <c r="E1103" s="21"/>
      <c r="F1103" s="22">
        <f>F1113</f>
        <v>10.07</v>
      </c>
      <c r="G1103" s="21"/>
    </row>
    <row r="1104" ht="39.75" customHeight="1">
      <c r="A1104" s="11"/>
      <c r="B1104" s="11"/>
      <c r="C1104" s="11"/>
      <c r="D1104" s="10" t="s">
        <v>626</v>
      </c>
    </row>
    <row r="1105" ht="21.0" customHeight="1">
      <c r="A1105" s="10" t="s">
        <v>230</v>
      </c>
      <c r="B1105" s="10" t="s">
        <v>42</v>
      </c>
      <c r="C1105" s="10" t="s">
        <v>231</v>
      </c>
      <c r="D1105" s="10" t="s">
        <v>232</v>
      </c>
      <c r="E1105" s="14">
        <v>0.28875</v>
      </c>
      <c r="F1105" s="15">
        <f>ROUND(3.47,3)</f>
        <v>3.47</v>
      </c>
      <c r="G1105" s="12">
        <f t="shared" ref="G1105:G1111" si="193">ROUND(E1105*F1105,2)</f>
        <v>1</v>
      </c>
    </row>
    <row r="1106" ht="21.0" customHeight="1">
      <c r="A1106" s="10" t="s">
        <v>242</v>
      </c>
      <c r="B1106" s="10" t="s">
        <v>42</v>
      </c>
      <c r="C1106" s="10" t="s">
        <v>226</v>
      </c>
      <c r="D1106" s="10" t="s">
        <v>243</v>
      </c>
      <c r="E1106" s="14">
        <v>0.03911</v>
      </c>
      <c r="F1106" s="15">
        <f>ROUND(1.32,3)</f>
        <v>1.32</v>
      </c>
      <c r="G1106" s="12">
        <f t="shared" si="193"/>
        <v>0.05</v>
      </c>
    </row>
    <row r="1107" ht="21.0" customHeight="1">
      <c r="A1107" s="10" t="s">
        <v>22</v>
      </c>
      <c r="B1107" s="10" t="s">
        <v>18</v>
      </c>
      <c r="C1107" s="10" t="s">
        <v>23</v>
      </c>
      <c r="D1107" s="10" t="s">
        <v>24</v>
      </c>
      <c r="E1107" s="14">
        <v>0.2</v>
      </c>
      <c r="F1107" s="15">
        <f>F1111</f>
        <v>43.8</v>
      </c>
      <c r="G1107" s="12">
        <f t="shared" si="193"/>
        <v>8.76</v>
      </c>
    </row>
    <row r="1108" ht="24.0" customHeight="1">
      <c r="A1108" s="10" t="s">
        <v>25</v>
      </c>
      <c r="B1108" s="10" t="s">
        <v>26</v>
      </c>
      <c r="C1108" s="10" t="s">
        <v>23</v>
      </c>
      <c r="D1108" s="10" t="s">
        <v>27</v>
      </c>
      <c r="E1108" s="14">
        <v>1.0</v>
      </c>
      <c r="F1108" s="15">
        <f>ROUND(21,3)</f>
        <v>21</v>
      </c>
      <c r="G1108" s="12">
        <f t="shared" si="193"/>
        <v>21</v>
      </c>
    </row>
    <row r="1109" ht="24.0" customHeight="1">
      <c r="A1109" s="10" t="s">
        <v>28</v>
      </c>
      <c r="B1109" s="10" t="s">
        <v>26</v>
      </c>
      <c r="C1109" s="10" t="s">
        <v>23</v>
      </c>
      <c r="D1109" s="10" t="s">
        <v>29</v>
      </c>
      <c r="E1109" s="14">
        <v>1.0</v>
      </c>
      <c r="F1109" s="15">
        <f t="shared" ref="F1109:F1110" si="194">ROUND(19,3)</f>
        <v>19</v>
      </c>
      <c r="G1109" s="12">
        <f t="shared" si="193"/>
        <v>19</v>
      </c>
    </row>
    <row r="1110" ht="24.0" customHeight="1">
      <c r="A1110" s="10" t="s">
        <v>30</v>
      </c>
      <c r="B1110" s="10" t="s">
        <v>26</v>
      </c>
      <c r="C1110" s="10" t="s">
        <v>23</v>
      </c>
      <c r="D1110" s="10" t="s">
        <v>31</v>
      </c>
      <c r="E1110" s="14">
        <v>0.2</v>
      </c>
      <c r="F1110" s="15">
        <f t="shared" si="194"/>
        <v>19</v>
      </c>
      <c r="G1110" s="12">
        <f t="shared" si="193"/>
        <v>3.8</v>
      </c>
    </row>
    <row r="1111" ht="15.0" customHeight="1">
      <c r="A1111" s="11"/>
      <c r="B1111" s="11"/>
      <c r="C1111" s="11"/>
      <c r="D1111" s="10" t="s">
        <v>22</v>
      </c>
      <c r="E1111" s="14">
        <v>0.2</v>
      </c>
      <c r="F1111" s="15">
        <f>ROUND((G1108+G1109+G1110),3)</f>
        <v>43.8</v>
      </c>
      <c r="G1111" s="12">
        <f t="shared" si="193"/>
        <v>8.76</v>
      </c>
    </row>
    <row r="1112" ht="15.0" customHeight="1">
      <c r="A1112" s="10" t="s">
        <v>32</v>
      </c>
      <c r="B1112" s="10"/>
      <c r="C1112" s="10" t="s">
        <v>33</v>
      </c>
      <c r="D1112" s="10" t="s">
        <v>34</v>
      </c>
      <c r="E1112" s="14">
        <v>3.0</v>
      </c>
      <c r="F1112" s="15">
        <f>ROUND(8.76,3)</f>
        <v>8.76</v>
      </c>
      <c r="G1112" s="12">
        <f>ROUND((E1112*F1112)/100,2)</f>
        <v>0.26</v>
      </c>
    </row>
    <row r="1113" ht="24.75" customHeight="1">
      <c r="A1113" s="16"/>
      <c r="B1113" s="16"/>
      <c r="C1113" s="16"/>
      <c r="D1113" s="17" t="s">
        <v>624</v>
      </c>
      <c r="E1113" s="16"/>
      <c r="F1113" s="18">
        <f>ROUND((G1105+G1106+G1107+G1112)*(1+G2/100),2)</f>
        <v>10.07</v>
      </c>
      <c r="G1113" s="16"/>
    </row>
    <row r="1114" ht="48.75" customHeight="1">
      <c r="A1114" s="19" t="s">
        <v>627</v>
      </c>
      <c r="B1114" s="20" t="s">
        <v>18</v>
      </c>
      <c r="C1114" s="20" t="s">
        <v>19</v>
      </c>
      <c r="D1114" s="20" t="s">
        <v>628</v>
      </c>
      <c r="E1114" s="21"/>
      <c r="F1114" s="22">
        <f>F1124</f>
        <v>11.1</v>
      </c>
      <c r="G1114" s="21"/>
    </row>
    <row r="1115" ht="39.75" customHeight="1">
      <c r="A1115" s="11"/>
      <c r="B1115" s="11"/>
      <c r="C1115" s="11"/>
      <c r="D1115" s="10" t="s">
        <v>626</v>
      </c>
    </row>
    <row r="1116" ht="21.0" customHeight="1">
      <c r="A1116" s="10" t="s">
        <v>230</v>
      </c>
      <c r="B1116" s="10" t="s">
        <v>42</v>
      </c>
      <c r="C1116" s="10" t="s">
        <v>231</v>
      </c>
      <c r="D1116" s="10" t="s">
        <v>232</v>
      </c>
      <c r="E1116" s="14">
        <v>0.3234</v>
      </c>
      <c r="F1116" s="15">
        <f>ROUND(3.47,3)</f>
        <v>3.47</v>
      </c>
      <c r="G1116" s="12">
        <f t="shared" ref="G1116:G1122" si="195">ROUND(E1116*F1116,2)</f>
        <v>1.12</v>
      </c>
    </row>
    <row r="1117" ht="21.0" customHeight="1">
      <c r="A1117" s="10" t="s">
        <v>242</v>
      </c>
      <c r="B1117" s="10" t="s">
        <v>42</v>
      </c>
      <c r="C1117" s="10" t="s">
        <v>226</v>
      </c>
      <c r="D1117" s="10" t="s">
        <v>243</v>
      </c>
      <c r="E1117" s="14">
        <v>0.04156</v>
      </c>
      <c r="F1117" s="15">
        <f>ROUND(1.32,3)</f>
        <v>1.32</v>
      </c>
      <c r="G1117" s="12">
        <f t="shared" si="195"/>
        <v>0.05</v>
      </c>
    </row>
    <row r="1118" ht="21.0" customHeight="1">
      <c r="A1118" s="10" t="s">
        <v>22</v>
      </c>
      <c r="B1118" s="10" t="s">
        <v>18</v>
      </c>
      <c r="C1118" s="10" t="s">
        <v>23</v>
      </c>
      <c r="D1118" s="10" t="s">
        <v>24</v>
      </c>
      <c r="E1118" s="14">
        <v>0.22</v>
      </c>
      <c r="F1118" s="15">
        <f>F1122</f>
        <v>43.8</v>
      </c>
      <c r="G1118" s="12">
        <f t="shared" si="195"/>
        <v>9.64</v>
      </c>
    </row>
    <row r="1119" ht="24.0" customHeight="1">
      <c r="A1119" s="10" t="s">
        <v>25</v>
      </c>
      <c r="B1119" s="10" t="s">
        <v>26</v>
      </c>
      <c r="C1119" s="10" t="s">
        <v>23</v>
      </c>
      <c r="D1119" s="10" t="s">
        <v>27</v>
      </c>
      <c r="E1119" s="14">
        <v>1.0</v>
      </c>
      <c r="F1119" s="15">
        <f>ROUND(21,3)</f>
        <v>21</v>
      </c>
      <c r="G1119" s="12">
        <f t="shared" si="195"/>
        <v>21</v>
      </c>
    </row>
    <row r="1120" ht="24.0" customHeight="1">
      <c r="A1120" s="10" t="s">
        <v>28</v>
      </c>
      <c r="B1120" s="10" t="s">
        <v>26</v>
      </c>
      <c r="C1120" s="10" t="s">
        <v>23</v>
      </c>
      <c r="D1120" s="10" t="s">
        <v>29</v>
      </c>
      <c r="E1120" s="14">
        <v>1.0</v>
      </c>
      <c r="F1120" s="15">
        <f t="shared" ref="F1120:F1121" si="196">ROUND(19,3)</f>
        <v>19</v>
      </c>
      <c r="G1120" s="12">
        <f t="shared" si="195"/>
        <v>19</v>
      </c>
    </row>
    <row r="1121" ht="24.0" customHeight="1">
      <c r="A1121" s="10" t="s">
        <v>30</v>
      </c>
      <c r="B1121" s="10" t="s">
        <v>26</v>
      </c>
      <c r="C1121" s="10" t="s">
        <v>23</v>
      </c>
      <c r="D1121" s="10" t="s">
        <v>31</v>
      </c>
      <c r="E1121" s="14">
        <v>0.2</v>
      </c>
      <c r="F1121" s="15">
        <f t="shared" si="196"/>
        <v>19</v>
      </c>
      <c r="G1121" s="12">
        <f t="shared" si="195"/>
        <v>3.8</v>
      </c>
    </row>
    <row r="1122" ht="15.0" customHeight="1">
      <c r="A1122" s="11"/>
      <c r="B1122" s="11"/>
      <c r="C1122" s="11"/>
      <c r="D1122" s="10" t="s">
        <v>22</v>
      </c>
      <c r="E1122" s="14">
        <v>0.22</v>
      </c>
      <c r="F1122" s="15">
        <f>ROUND((G1119+G1120+G1121),3)</f>
        <v>43.8</v>
      </c>
      <c r="G1122" s="12">
        <f t="shared" si="195"/>
        <v>9.64</v>
      </c>
    </row>
    <row r="1123" ht="15.0" customHeight="1">
      <c r="A1123" s="10" t="s">
        <v>32</v>
      </c>
      <c r="B1123" s="10"/>
      <c r="C1123" s="10" t="s">
        <v>33</v>
      </c>
      <c r="D1123" s="10" t="s">
        <v>34</v>
      </c>
      <c r="E1123" s="14">
        <v>3.0</v>
      </c>
      <c r="F1123" s="15">
        <f>ROUND(9.64,3)</f>
        <v>9.64</v>
      </c>
      <c r="G1123" s="12">
        <f>ROUND((E1123*F1123)/100,2)</f>
        <v>0.29</v>
      </c>
    </row>
    <row r="1124" ht="24.75" customHeight="1">
      <c r="A1124" s="16"/>
      <c r="B1124" s="16"/>
      <c r="C1124" s="16"/>
      <c r="D1124" s="17" t="s">
        <v>627</v>
      </c>
      <c r="E1124" s="16"/>
      <c r="F1124" s="18">
        <f>ROUND((G1116+G1117+G1118+G1123)*(1+G2/100),2)</f>
        <v>11.1</v>
      </c>
      <c r="G1124" s="16"/>
    </row>
    <row r="1125" ht="48.75" customHeight="1">
      <c r="A1125" s="19" t="s">
        <v>629</v>
      </c>
      <c r="B1125" s="20" t="s">
        <v>18</v>
      </c>
      <c r="C1125" s="20" t="s">
        <v>19</v>
      </c>
      <c r="D1125" s="20" t="s">
        <v>630</v>
      </c>
      <c r="E1125" s="21"/>
      <c r="F1125" s="22">
        <f>F1135</f>
        <v>11.83</v>
      </c>
      <c r="G1125" s="21"/>
    </row>
    <row r="1126" ht="39.75" customHeight="1">
      <c r="A1126" s="11"/>
      <c r="B1126" s="11"/>
      <c r="C1126" s="11"/>
      <c r="D1126" s="10" t="s">
        <v>626</v>
      </c>
    </row>
    <row r="1127" ht="21.0" customHeight="1">
      <c r="A1127" s="10" t="s">
        <v>230</v>
      </c>
      <c r="B1127" s="10" t="s">
        <v>42</v>
      </c>
      <c r="C1127" s="10" t="s">
        <v>231</v>
      </c>
      <c r="D1127" s="10" t="s">
        <v>232</v>
      </c>
      <c r="E1127" s="14">
        <v>0.3575</v>
      </c>
      <c r="F1127" s="15">
        <f>ROUND(3.47,3)</f>
        <v>3.47</v>
      </c>
      <c r="G1127" s="12">
        <f t="shared" ref="G1127:G1133" si="197">ROUND(E1127*F1127,2)</f>
        <v>1.24</v>
      </c>
    </row>
    <row r="1128" ht="21.0" customHeight="1">
      <c r="A1128" s="10" t="s">
        <v>242</v>
      </c>
      <c r="B1128" s="10" t="s">
        <v>42</v>
      </c>
      <c r="C1128" s="10" t="s">
        <v>226</v>
      </c>
      <c r="D1128" s="10" t="s">
        <v>243</v>
      </c>
      <c r="E1128" s="14">
        <v>0.04444</v>
      </c>
      <c r="F1128" s="15">
        <f>ROUND(1.32,3)</f>
        <v>1.32</v>
      </c>
      <c r="G1128" s="12">
        <f t="shared" si="197"/>
        <v>0.06</v>
      </c>
    </row>
    <row r="1129" ht="21.0" customHeight="1">
      <c r="A1129" s="10" t="s">
        <v>22</v>
      </c>
      <c r="B1129" s="10" t="s">
        <v>18</v>
      </c>
      <c r="C1129" s="10" t="s">
        <v>23</v>
      </c>
      <c r="D1129" s="10" t="s">
        <v>24</v>
      </c>
      <c r="E1129" s="14">
        <v>0.23333</v>
      </c>
      <c r="F1129" s="15">
        <f>F1133</f>
        <v>43.8</v>
      </c>
      <c r="G1129" s="12">
        <f t="shared" si="197"/>
        <v>10.22</v>
      </c>
    </row>
    <row r="1130" ht="24.0" customHeight="1">
      <c r="A1130" s="10" t="s">
        <v>25</v>
      </c>
      <c r="B1130" s="10" t="s">
        <v>26</v>
      </c>
      <c r="C1130" s="10" t="s">
        <v>23</v>
      </c>
      <c r="D1130" s="10" t="s">
        <v>27</v>
      </c>
      <c r="E1130" s="14">
        <v>1.0</v>
      </c>
      <c r="F1130" s="15">
        <f>ROUND(21,3)</f>
        <v>21</v>
      </c>
      <c r="G1130" s="12">
        <f t="shared" si="197"/>
        <v>21</v>
      </c>
    </row>
    <row r="1131" ht="24.0" customHeight="1">
      <c r="A1131" s="10" t="s">
        <v>28</v>
      </c>
      <c r="B1131" s="10" t="s">
        <v>26</v>
      </c>
      <c r="C1131" s="10" t="s">
        <v>23</v>
      </c>
      <c r="D1131" s="10" t="s">
        <v>29</v>
      </c>
      <c r="E1131" s="14">
        <v>1.0</v>
      </c>
      <c r="F1131" s="15">
        <f t="shared" ref="F1131:F1132" si="198">ROUND(19,3)</f>
        <v>19</v>
      </c>
      <c r="G1131" s="12">
        <f t="shared" si="197"/>
        <v>19</v>
      </c>
    </row>
    <row r="1132" ht="24.0" customHeight="1">
      <c r="A1132" s="10" t="s">
        <v>30</v>
      </c>
      <c r="B1132" s="10" t="s">
        <v>26</v>
      </c>
      <c r="C1132" s="10" t="s">
        <v>23</v>
      </c>
      <c r="D1132" s="10" t="s">
        <v>31</v>
      </c>
      <c r="E1132" s="14">
        <v>0.2</v>
      </c>
      <c r="F1132" s="15">
        <f t="shared" si="198"/>
        <v>19</v>
      </c>
      <c r="G1132" s="12">
        <f t="shared" si="197"/>
        <v>3.8</v>
      </c>
    </row>
    <row r="1133" ht="15.0" customHeight="1">
      <c r="A1133" s="11"/>
      <c r="B1133" s="11"/>
      <c r="C1133" s="11"/>
      <c r="D1133" s="10" t="s">
        <v>22</v>
      </c>
      <c r="E1133" s="14">
        <v>0.23333</v>
      </c>
      <c r="F1133" s="15">
        <f>ROUND((G1130+G1131+G1132),3)</f>
        <v>43.8</v>
      </c>
      <c r="G1133" s="12">
        <f t="shared" si="197"/>
        <v>10.22</v>
      </c>
    </row>
    <row r="1134" ht="15.0" customHeight="1">
      <c r="A1134" s="10" t="s">
        <v>32</v>
      </c>
      <c r="B1134" s="10"/>
      <c r="C1134" s="10" t="s">
        <v>33</v>
      </c>
      <c r="D1134" s="10" t="s">
        <v>34</v>
      </c>
      <c r="E1134" s="14">
        <v>3.0</v>
      </c>
      <c r="F1134" s="15">
        <f>ROUND(10.22,3)</f>
        <v>10.22</v>
      </c>
      <c r="G1134" s="12">
        <f>ROUND((E1134*F1134)/100,2)</f>
        <v>0.31</v>
      </c>
    </row>
    <row r="1135" ht="24.75" customHeight="1">
      <c r="A1135" s="16"/>
      <c r="B1135" s="16"/>
      <c r="C1135" s="16"/>
      <c r="D1135" s="17" t="s">
        <v>629</v>
      </c>
      <c r="E1135" s="16"/>
      <c r="F1135" s="18">
        <f>ROUND((G1127+G1128+G1129+G1134)*(1+G2/100),2)</f>
        <v>11.83</v>
      </c>
      <c r="G1135" s="16"/>
    </row>
    <row r="1136" ht="48.75" customHeight="1">
      <c r="A1136" s="19" t="s">
        <v>631</v>
      </c>
      <c r="B1136" s="20" t="s">
        <v>18</v>
      </c>
      <c r="C1136" s="20" t="s">
        <v>19</v>
      </c>
      <c r="D1136" s="20" t="s">
        <v>632</v>
      </c>
      <c r="E1136" s="21"/>
      <c r="F1136" s="22">
        <f>F1146</f>
        <v>14.07</v>
      </c>
      <c r="G1136" s="21"/>
    </row>
    <row r="1137" ht="39.75" customHeight="1">
      <c r="A1137" s="11"/>
      <c r="B1137" s="11"/>
      <c r="C1137" s="11"/>
      <c r="D1137" s="10" t="s">
        <v>626</v>
      </c>
    </row>
    <row r="1138" ht="21.0" customHeight="1">
      <c r="A1138" s="10" t="s">
        <v>230</v>
      </c>
      <c r="B1138" s="10" t="s">
        <v>42</v>
      </c>
      <c r="C1138" s="10" t="s">
        <v>231</v>
      </c>
      <c r="D1138" s="10" t="s">
        <v>232</v>
      </c>
      <c r="E1138" s="14">
        <v>0.473</v>
      </c>
      <c r="F1138" s="15">
        <f>ROUND(3.47,3)</f>
        <v>3.47</v>
      </c>
      <c r="G1138" s="12">
        <f t="shared" ref="G1138:G1144" si="199">ROUND(E1138*F1138,2)</f>
        <v>1.64</v>
      </c>
    </row>
    <row r="1139" ht="21.0" customHeight="1">
      <c r="A1139" s="10" t="s">
        <v>242</v>
      </c>
      <c r="B1139" s="10" t="s">
        <v>42</v>
      </c>
      <c r="C1139" s="10" t="s">
        <v>226</v>
      </c>
      <c r="D1139" s="10" t="s">
        <v>243</v>
      </c>
      <c r="E1139" s="14">
        <v>0.05378</v>
      </c>
      <c r="F1139" s="15">
        <f>ROUND(1.32,3)</f>
        <v>1.32</v>
      </c>
      <c r="G1139" s="12">
        <f t="shared" si="199"/>
        <v>0.07</v>
      </c>
    </row>
    <row r="1140" ht="21.0" customHeight="1">
      <c r="A1140" s="10" t="s">
        <v>22</v>
      </c>
      <c r="B1140" s="10" t="s">
        <v>18</v>
      </c>
      <c r="C1140" s="10" t="s">
        <v>23</v>
      </c>
      <c r="D1140" s="10" t="s">
        <v>24</v>
      </c>
      <c r="E1140" s="14">
        <v>0.274</v>
      </c>
      <c r="F1140" s="15">
        <f>F1144</f>
        <v>43.8</v>
      </c>
      <c r="G1140" s="12">
        <f t="shared" si="199"/>
        <v>12</v>
      </c>
    </row>
    <row r="1141" ht="24.0" customHeight="1">
      <c r="A1141" s="10" t="s">
        <v>25</v>
      </c>
      <c r="B1141" s="10" t="s">
        <v>26</v>
      </c>
      <c r="C1141" s="10" t="s">
        <v>23</v>
      </c>
      <c r="D1141" s="10" t="s">
        <v>27</v>
      </c>
      <c r="E1141" s="14">
        <v>1.0</v>
      </c>
      <c r="F1141" s="15">
        <f>ROUND(21,3)</f>
        <v>21</v>
      </c>
      <c r="G1141" s="12">
        <f t="shared" si="199"/>
        <v>21</v>
      </c>
    </row>
    <row r="1142" ht="24.0" customHeight="1">
      <c r="A1142" s="10" t="s">
        <v>28</v>
      </c>
      <c r="B1142" s="10" t="s">
        <v>26</v>
      </c>
      <c r="C1142" s="10" t="s">
        <v>23</v>
      </c>
      <c r="D1142" s="10" t="s">
        <v>29</v>
      </c>
      <c r="E1142" s="14">
        <v>1.0</v>
      </c>
      <c r="F1142" s="15">
        <f t="shared" ref="F1142:F1143" si="200">ROUND(19,3)</f>
        <v>19</v>
      </c>
      <c r="G1142" s="12">
        <f t="shared" si="199"/>
        <v>19</v>
      </c>
    </row>
    <row r="1143" ht="24.0" customHeight="1">
      <c r="A1143" s="10" t="s">
        <v>30</v>
      </c>
      <c r="B1143" s="10" t="s">
        <v>26</v>
      </c>
      <c r="C1143" s="10" t="s">
        <v>23</v>
      </c>
      <c r="D1143" s="10" t="s">
        <v>31</v>
      </c>
      <c r="E1143" s="14">
        <v>0.2</v>
      </c>
      <c r="F1143" s="15">
        <f t="shared" si="200"/>
        <v>19</v>
      </c>
      <c r="G1143" s="12">
        <f t="shared" si="199"/>
        <v>3.8</v>
      </c>
    </row>
    <row r="1144" ht="15.0" customHeight="1">
      <c r="A1144" s="11"/>
      <c r="B1144" s="11"/>
      <c r="C1144" s="11"/>
      <c r="D1144" s="10" t="s">
        <v>22</v>
      </c>
      <c r="E1144" s="14">
        <v>0.274</v>
      </c>
      <c r="F1144" s="15">
        <f>ROUND((G1141+G1142+G1143),3)</f>
        <v>43.8</v>
      </c>
      <c r="G1144" s="12">
        <f t="shared" si="199"/>
        <v>12</v>
      </c>
    </row>
    <row r="1145" ht="15.0" customHeight="1">
      <c r="A1145" s="10" t="s">
        <v>32</v>
      </c>
      <c r="B1145" s="10"/>
      <c r="C1145" s="10" t="s">
        <v>33</v>
      </c>
      <c r="D1145" s="10" t="s">
        <v>34</v>
      </c>
      <c r="E1145" s="14">
        <v>3.0</v>
      </c>
      <c r="F1145" s="15">
        <f>ROUND(12,3)</f>
        <v>12</v>
      </c>
      <c r="G1145" s="12">
        <f>ROUND((E1145*F1145)/100,2)</f>
        <v>0.36</v>
      </c>
    </row>
    <row r="1146" ht="24.75" customHeight="1">
      <c r="A1146" s="16"/>
      <c r="B1146" s="16"/>
      <c r="C1146" s="16"/>
      <c r="D1146" s="17" t="s">
        <v>631</v>
      </c>
      <c r="E1146" s="16"/>
      <c r="F1146" s="18">
        <f>ROUND((G1138+G1139+G1140+G1145)*(1+G2/100),2)</f>
        <v>14.07</v>
      </c>
      <c r="G1146" s="16"/>
    </row>
    <row r="1147" ht="48.75" customHeight="1">
      <c r="A1147" s="19" t="s">
        <v>633</v>
      </c>
      <c r="B1147" s="20" t="s">
        <v>18</v>
      </c>
      <c r="C1147" s="20" t="s">
        <v>19</v>
      </c>
      <c r="D1147" s="20" t="s">
        <v>634</v>
      </c>
      <c r="E1147" s="21"/>
      <c r="F1147" s="22">
        <f>F1157</f>
        <v>15.34</v>
      </c>
      <c r="G1147" s="21"/>
    </row>
    <row r="1148" ht="39.75" customHeight="1">
      <c r="A1148" s="11"/>
      <c r="B1148" s="11"/>
      <c r="C1148" s="11"/>
      <c r="D1148" s="10" t="s">
        <v>626</v>
      </c>
    </row>
    <row r="1149" ht="21.0" customHeight="1">
      <c r="A1149" s="10" t="s">
        <v>230</v>
      </c>
      <c r="B1149" s="10" t="s">
        <v>42</v>
      </c>
      <c r="C1149" s="10" t="s">
        <v>231</v>
      </c>
      <c r="D1149" s="10" t="s">
        <v>232</v>
      </c>
      <c r="E1149" s="14">
        <v>0.5005</v>
      </c>
      <c r="F1149" s="15">
        <f>ROUND(3.47,3)</f>
        <v>3.47</v>
      </c>
      <c r="G1149" s="12">
        <f t="shared" ref="G1149:G1155" si="201">ROUND(E1149*F1149,2)</f>
        <v>1.74</v>
      </c>
    </row>
    <row r="1150" ht="21.0" customHeight="1">
      <c r="A1150" s="10" t="s">
        <v>242</v>
      </c>
      <c r="B1150" s="10" t="s">
        <v>42</v>
      </c>
      <c r="C1150" s="10" t="s">
        <v>226</v>
      </c>
      <c r="D1150" s="10" t="s">
        <v>243</v>
      </c>
      <c r="E1150" s="14">
        <v>0.05622</v>
      </c>
      <c r="F1150" s="15">
        <f>ROUND(1.32,3)</f>
        <v>1.32</v>
      </c>
      <c r="G1150" s="12">
        <f t="shared" si="201"/>
        <v>0.07</v>
      </c>
    </row>
    <row r="1151" ht="21.0" customHeight="1">
      <c r="A1151" s="10" t="s">
        <v>22</v>
      </c>
      <c r="B1151" s="10" t="s">
        <v>18</v>
      </c>
      <c r="C1151" s="10" t="s">
        <v>23</v>
      </c>
      <c r="D1151" s="10" t="s">
        <v>24</v>
      </c>
      <c r="E1151" s="14">
        <v>0.3</v>
      </c>
      <c r="F1151" s="15">
        <f>F1155</f>
        <v>43.8</v>
      </c>
      <c r="G1151" s="12">
        <f t="shared" si="201"/>
        <v>13.14</v>
      </c>
    </row>
    <row r="1152" ht="24.0" customHeight="1">
      <c r="A1152" s="10" t="s">
        <v>25</v>
      </c>
      <c r="B1152" s="10" t="s">
        <v>26</v>
      </c>
      <c r="C1152" s="10" t="s">
        <v>23</v>
      </c>
      <c r="D1152" s="10" t="s">
        <v>27</v>
      </c>
      <c r="E1152" s="14">
        <v>1.0</v>
      </c>
      <c r="F1152" s="15">
        <f>ROUND(21,3)</f>
        <v>21</v>
      </c>
      <c r="G1152" s="12">
        <f t="shared" si="201"/>
        <v>21</v>
      </c>
    </row>
    <row r="1153" ht="24.0" customHeight="1">
      <c r="A1153" s="10" t="s">
        <v>28</v>
      </c>
      <c r="B1153" s="10" t="s">
        <v>26</v>
      </c>
      <c r="C1153" s="10" t="s">
        <v>23</v>
      </c>
      <c r="D1153" s="10" t="s">
        <v>29</v>
      </c>
      <c r="E1153" s="14">
        <v>1.0</v>
      </c>
      <c r="F1153" s="15">
        <f t="shared" ref="F1153:F1154" si="202">ROUND(19,3)</f>
        <v>19</v>
      </c>
      <c r="G1153" s="12">
        <f t="shared" si="201"/>
        <v>19</v>
      </c>
    </row>
    <row r="1154" ht="24.0" customHeight="1">
      <c r="A1154" s="10" t="s">
        <v>30</v>
      </c>
      <c r="B1154" s="10" t="s">
        <v>26</v>
      </c>
      <c r="C1154" s="10" t="s">
        <v>23</v>
      </c>
      <c r="D1154" s="10" t="s">
        <v>31</v>
      </c>
      <c r="E1154" s="14">
        <v>0.2</v>
      </c>
      <c r="F1154" s="15">
        <f t="shared" si="202"/>
        <v>19</v>
      </c>
      <c r="G1154" s="12">
        <f t="shared" si="201"/>
        <v>3.8</v>
      </c>
    </row>
    <row r="1155" ht="15.0" customHeight="1">
      <c r="A1155" s="11"/>
      <c r="B1155" s="11"/>
      <c r="C1155" s="11"/>
      <c r="D1155" s="10" t="s">
        <v>22</v>
      </c>
      <c r="E1155" s="14">
        <v>0.3</v>
      </c>
      <c r="F1155" s="15">
        <f>ROUND((G1152+G1153+G1154),3)</f>
        <v>43.8</v>
      </c>
      <c r="G1155" s="12">
        <f t="shared" si="201"/>
        <v>13.14</v>
      </c>
    </row>
    <row r="1156" ht="15.0" customHeight="1">
      <c r="A1156" s="10" t="s">
        <v>32</v>
      </c>
      <c r="B1156" s="10"/>
      <c r="C1156" s="10" t="s">
        <v>33</v>
      </c>
      <c r="D1156" s="10" t="s">
        <v>34</v>
      </c>
      <c r="E1156" s="14">
        <v>3.0</v>
      </c>
      <c r="F1156" s="15">
        <f>ROUND(13.14,3)</f>
        <v>13.14</v>
      </c>
      <c r="G1156" s="12">
        <f>ROUND((E1156*F1156)/100,2)</f>
        <v>0.39</v>
      </c>
    </row>
    <row r="1157" ht="24.75" customHeight="1">
      <c r="A1157" s="16"/>
      <c r="B1157" s="16"/>
      <c r="C1157" s="16"/>
      <c r="D1157" s="17" t="s">
        <v>633</v>
      </c>
      <c r="E1157" s="16"/>
      <c r="F1157" s="18">
        <f>ROUND((G1149+G1150+G1151+G1156)*(1+G2/100),2)</f>
        <v>15.34</v>
      </c>
      <c r="G1157" s="16"/>
    </row>
    <row r="1158" ht="67.5" customHeight="1">
      <c r="A1158" s="19" t="s">
        <v>635</v>
      </c>
      <c r="B1158" s="20" t="s">
        <v>18</v>
      </c>
      <c r="C1158" s="20" t="s">
        <v>19</v>
      </c>
      <c r="D1158" s="20" t="s">
        <v>636</v>
      </c>
      <c r="E1158" s="21"/>
      <c r="F1158" s="22">
        <f>F1166</f>
        <v>20.25</v>
      </c>
      <c r="G1158" s="21"/>
    </row>
    <row r="1159" ht="21.0" customHeight="1">
      <c r="A1159" s="11"/>
      <c r="B1159" s="11"/>
      <c r="C1159" s="11"/>
      <c r="D1159" s="10" t="s">
        <v>637</v>
      </c>
    </row>
    <row r="1160" ht="21.0" customHeight="1">
      <c r="A1160" s="10" t="s">
        <v>22</v>
      </c>
      <c r="B1160" s="10" t="s">
        <v>18</v>
      </c>
      <c r="C1160" s="10" t="s">
        <v>23</v>
      </c>
      <c r="D1160" s="10" t="s">
        <v>24</v>
      </c>
      <c r="E1160" s="14">
        <v>0.44444</v>
      </c>
      <c r="F1160" s="15">
        <f>F1164</f>
        <v>43.8</v>
      </c>
      <c r="G1160" s="12">
        <f t="shared" ref="G1160:G1164" si="203">ROUND(E1160*F1160,2)</f>
        <v>19.47</v>
      </c>
    </row>
    <row r="1161" ht="24.0" customHeight="1">
      <c r="A1161" s="10" t="s">
        <v>25</v>
      </c>
      <c r="B1161" s="10" t="s">
        <v>26</v>
      </c>
      <c r="C1161" s="10" t="s">
        <v>23</v>
      </c>
      <c r="D1161" s="10" t="s">
        <v>27</v>
      </c>
      <c r="E1161" s="14">
        <v>1.0</v>
      </c>
      <c r="F1161" s="15">
        <f>ROUND(21,3)</f>
        <v>21</v>
      </c>
      <c r="G1161" s="12">
        <f t="shared" si="203"/>
        <v>21</v>
      </c>
    </row>
    <row r="1162" ht="24.0" customHeight="1">
      <c r="A1162" s="10" t="s">
        <v>28</v>
      </c>
      <c r="B1162" s="10" t="s">
        <v>26</v>
      </c>
      <c r="C1162" s="10" t="s">
        <v>23</v>
      </c>
      <c r="D1162" s="10" t="s">
        <v>29</v>
      </c>
      <c r="E1162" s="14">
        <v>1.0</v>
      </c>
      <c r="F1162" s="15">
        <f t="shared" ref="F1162:F1163" si="204">ROUND(19,3)</f>
        <v>19</v>
      </c>
      <c r="G1162" s="12">
        <f t="shared" si="203"/>
        <v>19</v>
      </c>
    </row>
    <row r="1163" ht="24.0" customHeight="1">
      <c r="A1163" s="10" t="s">
        <v>30</v>
      </c>
      <c r="B1163" s="10" t="s">
        <v>26</v>
      </c>
      <c r="C1163" s="10" t="s">
        <v>23</v>
      </c>
      <c r="D1163" s="10" t="s">
        <v>31</v>
      </c>
      <c r="E1163" s="14">
        <v>0.2</v>
      </c>
      <c r="F1163" s="15">
        <f t="shared" si="204"/>
        <v>19</v>
      </c>
      <c r="G1163" s="12">
        <f t="shared" si="203"/>
        <v>3.8</v>
      </c>
    </row>
    <row r="1164" ht="15.0" customHeight="1">
      <c r="A1164" s="11"/>
      <c r="B1164" s="11"/>
      <c r="C1164" s="11"/>
      <c r="D1164" s="10" t="s">
        <v>22</v>
      </c>
      <c r="E1164" s="14">
        <v>0.44444</v>
      </c>
      <c r="F1164" s="15">
        <f>ROUND((G1161+G1162+G1163),3)</f>
        <v>43.8</v>
      </c>
      <c r="G1164" s="12">
        <f t="shared" si="203"/>
        <v>19.47</v>
      </c>
    </row>
    <row r="1165" ht="15.0" customHeight="1">
      <c r="A1165" s="10" t="s">
        <v>32</v>
      </c>
      <c r="B1165" s="10"/>
      <c r="C1165" s="10" t="s">
        <v>33</v>
      </c>
      <c r="D1165" s="10" t="s">
        <v>34</v>
      </c>
      <c r="E1165" s="14">
        <v>4.0</v>
      </c>
      <c r="F1165" s="15">
        <f>ROUND(19.47,3)</f>
        <v>19.47</v>
      </c>
      <c r="G1165" s="12">
        <f>ROUND((E1165*F1165)/100,2)</f>
        <v>0.78</v>
      </c>
    </row>
    <row r="1166" ht="24.75" customHeight="1">
      <c r="A1166" s="16"/>
      <c r="B1166" s="16"/>
      <c r="C1166" s="16"/>
      <c r="D1166" s="17" t="s">
        <v>635</v>
      </c>
      <c r="E1166" s="16"/>
      <c r="F1166" s="18">
        <f>ROUND((G1160+G1165)*(1+G2/100),2)</f>
        <v>20.25</v>
      </c>
      <c r="G1166" s="16"/>
    </row>
    <row r="1167" ht="67.5" customHeight="1">
      <c r="A1167" s="19" t="s">
        <v>638</v>
      </c>
      <c r="B1167" s="20" t="s">
        <v>18</v>
      </c>
      <c r="C1167" s="20" t="s">
        <v>19</v>
      </c>
      <c r="D1167" s="20" t="s">
        <v>639</v>
      </c>
      <c r="E1167" s="21"/>
      <c r="F1167" s="22">
        <f>F1175</f>
        <v>21.86</v>
      </c>
      <c r="G1167" s="21"/>
    </row>
    <row r="1168" ht="21.0" customHeight="1">
      <c r="A1168" s="11"/>
      <c r="B1168" s="11"/>
      <c r="C1168" s="11"/>
      <c r="D1168" s="10" t="s">
        <v>640</v>
      </c>
    </row>
    <row r="1169" ht="21.0" customHeight="1">
      <c r="A1169" s="10" t="s">
        <v>22</v>
      </c>
      <c r="B1169" s="10" t="s">
        <v>18</v>
      </c>
      <c r="C1169" s="10" t="s">
        <v>23</v>
      </c>
      <c r="D1169" s="10" t="s">
        <v>24</v>
      </c>
      <c r="E1169" s="14">
        <v>0.48</v>
      </c>
      <c r="F1169" s="15">
        <f>F1173</f>
        <v>43.8</v>
      </c>
      <c r="G1169" s="12">
        <f t="shared" ref="G1169:G1173" si="205">ROUND(E1169*F1169,2)</f>
        <v>21.02</v>
      </c>
    </row>
    <row r="1170" ht="24.0" customHeight="1">
      <c r="A1170" s="10" t="s">
        <v>25</v>
      </c>
      <c r="B1170" s="10" t="s">
        <v>26</v>
      </c>
      <c r="C1170" s="10" t="s">
        <v>23</v>
      </c>
      <c r="D1170" s="10" t="s">
        <v>27</v>
      </c>
      <c r="E1170" s="14">
        <v>1.0</v>
      </c>
      <c r="F1170" s="15">
        <f>ROUND(21,3)</f>
        <v>21</v>
      </c>
      <c r="G1170" s="12">
        <f t="shared" si="205"/>
        <v>21</v>
      </c>
    </row>
    <row r="1171" ht="24.0" customHeight="1">
      <c r="A1171" s="10" t="s">
        <v>28</v>
      </c>
      <c r="B1171" s="10" t="s">
        <v>26</v>
      </c>
      <c r="C1171" s="10" t="s">
        <v>23</v>
      </c>
      <c r="D1171" s="10" t="s">
        <v>29</v>
      </c>
      <c r="E1171" s="14">
        <v>1.0</v>
      </c>
      <c r="F1171" s="15">
        <f t="shared" ref="F1171:F1172" si="206">ROUND(19,3)</f>
        <v>19</v>
      </c>
      <c r="G1171" s="12">
        <f t="shared" si="205"/>
        <v>19</v>
      </c>
    </row>
    <row r="1172" ht="24.0" customHeight="1">
      <c r="A1172" s="10" t="s">
        <v>30</v>
      </c>
      <c r="B1172" s="10" t="s">
        <v>26</v>
      </c>
      <c r="C1172" s="10" t="s">
        <v>23</v>
      </c>
      <c r="D1172" s="10" t="s">
        <v>31</v>
      </c>
      <c r="E1172" s="14">
        <v>0.2</v>
      </c>
      <c r="F1172" s="15">
        <f t="shared" si="206"/>
        <v>19</v>
      </c>
      <c r="G1172" s="12">
        <f t="shared" si="205"/>
        <v>3.8</v>
      </c>
    </row>
    <row r="1173" ht="15.0" customHeight="1">
      <c r="A1173" s="11"/>
      <c r="B1173" s="11"/>
      <c r="C1173" s="11"/>
      <c r="D1173" s="10" t="s">
        <v>22</v>
      </c>
      <c r="E1173" s="14">
        <v>0.48</v>
      </c>
      <c r="F1173" s="15">
        <f>ROUND((G1170+G1171+G1172),3)</f>
        <v>43.8</v>
      </c>
      <c r="G1173" s="12">
        <f t="shared" si="205"/>
        <v>21.02</v>
      </c>
    </row>
    <row r="1174" ht="15.0" customHeight="1">
      <c r="A1174" s="10" t="s">
        <v>32</v>
      </c>
      <c r="B1174" s="10"/>
      <c r="C1174" s="10" t="s">
        <v>33</v>
      </c>
      <c r="D1174" s="10" t="s">
        <v>34</v>
      </c>
      <c r="E1174" s="14">
        <v>4.0</v>
      </c>
      <c r="F1174" s="15">
        <f>ROUND(21.02,3)</f>
        <v>21.02</v>
      </c>
      <c r="G1174" s="12">
        <f>ROUND((E1174*F1174)/100,2)</f>
        <v>0.84</v>
      </c>
    </row>
    <row r="1175" ht="24.75" customHeight="1">
      <c r="A1175" s="16"/>
      <c r="B1175" s="16"/>
      <c r="C1175" s="16"/>
      <c r="D1175" s="17" t="s">
        <v>638</v>
      </c>
      <c r="E1175" s="16"/>
      <c r="F1175" s="18">
        <f>ROUND((G1169+G1174)*(1+G2/100),2)</f>
        <v>21.86</v>
      </c>
      <c r="G1175" s="16"/>
    </row>
    <row r="1176" ht="67.5" customHeight="1">
      <c r="A1176" s="19" t="s">
        <v>641</v>
      </c>
      <c r="B1176" s="20" t="s">
        <v>18</v>
      </c>
      <c r="C1176" s="20" t="s">
        <v>19</v>
      </c>
      <c r="D1176" s="20" t="s">
        <v>642</v>
      </c>
      <c r="E1176" s="21"/>
      <c r="F1176" s="22">
        <f>F1184</f>
        <v>23.69</v>
      </c>
      <c r="G1176" s="21"/>
    </row>
    <row r="1177" ht="21.0" customHeight="1">
      <c r="A1177" s="11"/>
      <c r="B1177" s="11"/>
      <c r="C1177" s="11"/>
      <c r="D1177" s="10" t="s">
        <v>643</v>
      </c>
    </row>
    <row r="1178" ht="21.0" customHeight="1">
      <c r="A1178" s="10" t="s">
        <v>22</v>
      </c>
      <c r="B1178" s="10" t="s">
        <v>18</v>
      </c>
      <c r="C1178" s="10" t="s">
        <v>23</v>
      </c>
      <c r="D1178" s="10" t="s">
        <v>24</v>
      </c>
      <c r="E1178" s="14">
        <v>0.52</v>
      </c>
      <c r="F1178" s="15">
        <f>F1182</f>
        <v>43.8</v>
      </c>
      <c r="G1178" s="12">
        <f t="shared" ref="G1178:G1182" si="207">ROUND(E1178*F1178,2)</f>
        <v>22.78</v>
      </c>
    </row>
    <row r="1179" ht="24.0" customHeight="1">
      <c r="A1179" s="10" t="s">
        <v>25</v>
      </c>
      <c r="B1179" s="10" t="s">
        <v>26</v>
      </c>
      <c r="C1179" s="10" t="s">
        <v>23</v>
      </c>
      <c r="D1179" s="10" t="s">
        <v>27</v>
      </c>
      <c r="E1179" s="14">
        <v>1.0</v>
      </c>
      <c r="F1179" s="15">
        <f>ROUND(21,3)</f>
        <v>21</v>
      </c>
      <c r="G1179" s="12">
        <f t="shared" si="207"/>
        <v>21</v>
      </c>
    </row>
    <row r="1180" ht="24.0" customHeight="1">
      <c r="A1180" s="10" t="s">
        <v>28</v>
      </c>
      <c r="B1180" s="10" t="s">
        <v>26</v>
      </c>
      <c r="C1180" s="10" t="s">
        <v>23</v>
      </c>
      <c r="D1180" s="10" t="s">
        <v>29</v>
      </c>
      <c r="E1180" s="14">
        <v>1.0</v>
      </c>
      <c r="F1180" s="15">
        <f t="shared" ref="F1180:F1181" si="208">ROUND(19,3)</f>
        <v>19</v>
      </c>
      <c r="G1180" s="12">
        <f t="shared" si="207"/>
        <v>19</v>
      </c>
    </row>
    <row r="1181" ht="24.0" customHeight="1">
      <c r="A1181" s="10" t="s">
        <v>30</v>
      </c>
      <c r="B1181" s="10" t="s">
        <v>26</v>
      </c>
      <c r="C1181" s="10" t="s">
        <v>23</v>
      </c>
      <c r="D1181" s="10" t="s">
        <v>31</v>
      </c>
      <c r="E1181" s="14">
        <v>0.2</v>
      </c>
      <c r="F1181" s="15">
        <f t="shared" si="208"/>
        <v>19</v>
      </c>
      <c r="G1181" s="12">
        <f t="shared" si="207"/>
        <v>3.8</v>
      </c>
    </row>
    <row r="1182" ht="15.0" customHeight="1">
      <c r="A1182" s="11"/>
      <c r="B1182" s="11"/>
      <c r="C1182" s="11"/>
      <c r="D1182" s="10" t="s">
        <v>22</v>
      </c>
      <c r="E1182" s="14">
        <v>0.52</v>
      </c>
      <c r="F1182" s="15">
        <f>ROUND((G1179+G1180+G1181),3)</f>
        <v>43.8</v>
      </c>
      <c r="G1182" s="12">
        <f t="shared" si="207"/>
        <v>22.78</v>
      </c>
    </row>
    <row r="1183" ht="15.0" customHeight="1">
      <c r="A1183" s="10" t="s">
        <v>32</v>
      </c>
      <c r="B1183" s="10"/>
      <c r="C1183" s="10" t="s">
        <v>33</v>
      </c>
      <c r="D1183" s="10" t="s">
        <v>34</v>
      </c>
      <c r="E1183" s="14">
        <v>4.0</v>
      </c>
      <c r="F1183" s="15">
        <f>ROUND(22.78,3)</f>
        <v>22.78</v>
      </c>
      <c r="G1183" s="12">
        <f>ROUND((E1183*F1183)/100,2)</f>
        <v>0.91</v>
      </c>
    </row>
    <row r="1184" ht="24.75" customHeight="1">
      <c r="A1184" s="16"/>
      <c r="B1184" s="16"/>
      <c r="C1184" s="16"/>
      <c r="D1184" s="17" t="s">
        <v>641</v>
      </c>
      <c r="E1184" s="16"/>
      <c r="F1184" s="18">
        <f>ROUND((G1178+G1183)*(1+G2/100),2)</f>
        <v>23.69</v>
      </c>
      <c r="G1184" s="16"/>
    </row>
    <row r="1185" ht="67.5" customHeight="1">
      <c r="A1185" s="19" t="s">
        <v>644</v>
      </c>
      <c r="B1185" s="20" t="s">
        <v>18</v>
      </c>
      <c r="C1185" s="20" t="s">
        <v>19</v>
      </c>
      <c r="D1185" s="20" t="s">
        <v>645</v>
      </c>
      <c r="E1185" s="21"/>
      <c r="F1185" s="22">
        <f>F1193</f>
        <v>27.33</v>
      </c>
      <c r="G1185" s="21"/>
    </row>
    <row r="1186" ht="21.0" customHeight="1">
      <c r="A1186" s="11"/>
      <c r="B1186" s="11"/>
      <c r="C1186" s="11"/>
      <c r="D1186" s="10" t="s">
        <v>646</v>
      </c>
    </row>
    <row r="1187" ht="21.0" customHeight="1">
      <c r="A1187" s="10" t="s">
        <v>22</v>
      </c>
      <c r="B1187" s="10" t="s">
        <v>18</v>
      </c>
      <c r="C1187" s="10" t="s">
        <v>23</v>
      </c>
      <c r="D1187" s="10" t="s">
        <v>24</v>
      </c>
      <c r="E1187" s="14">
        <v>0.6</v>
      </c>
      <c r="F1187" s="15">
        <f>F1191</f>
        <v>43.8</v>
      </c>
      <c r="G1187" s="12">
        <f t="shared" ref="G1187:G1191" si="209">ROUND(E1187*F1187,2)</f>
        <v>26.28</v>
      </c>
    </row>
    <row r="1188" ht="24.0" customHeight="1">
      <c r="A1188" s="10" t="s">
        <v>25</v>
      </c>
      <c r="B1188" s="10" t="s">
        <v>26</v>
      </c>
      <c r="C1188" s="10" t="s">
        <v>23</v>
      </c>
      <c r="D1188" s="10" t="s">
        <v>27</v>
      </c>
      <c r="E1188" s="14">
        <v>1.0</v>
      </c>
      <c r="F1188" s="15">
        <f>ROUND(21,3)</f>
        <v>21</v>
      </c>
      <c r="G1188" s="12">
        <f t="shared" si="209"/>
        <v>21</v>
      </c>
    </row>
    <row r="1189" ht="24.0" customHeight="1">
      <c r="A1189" s="10" t="s">
        <v>28</v>
      </c>
      <c r="B1189" s="10" t="s">
        <v>26</v>
      </c>
      <c r="C1189" s="10" t="s">
        <v>23</v>
      </c>
      <c r="D1189" s="10" t="s">
        <v>29</v>
      </c>
      <c r="E1189" s="14">
        <v>1.0</v>
      </c>
      <c r="F1189" s="15">
        <f t="shared" ref="F1189:F1190" si="210">ROUND(19,3)</f>
        <v>19</v>
      </c>
      <c r="G1189" s="12">
        <f t="shared" si="209"/>
        <v>19</v>
      </c>
    </row>
    <row r="1190" ht="24.0" customHeight="1">
      <c r="A1190" s="10" t="s">
        <v>30</v>
      </c>
      <c r="B1190" s="10" t="s">
        <v>26</v>
      </c>
      <c r="C1190" s="10" t="s">
        <v>23</v>
      </c>
      <c r="D1190" s="10" t="s">
        <v>31</v>
      </c>
      <c r="E1190" s="14">
        <v>0.2</v>
      </c>
      <c r="F1190" s="15">
        <f t="shared" si="210"/>
        <v>19</v>
      </c>
      <c r="G1190" s="12">
        <f t="shared" si="209"/>
        <v>3.8</v>
      </c>
    </row>
    <row r="1191" ht="15.0" customHeight="1">
      <c r="A1191" s="11"/>
      <c r="B1191" s="11"/>
      <c r="C1191" s="11"/>
      <c r="D1191" s="10" t="s">
        <v>22</v>
      </c>
      <c r="E1191" s="14">
        <v>0.6</v>
      </c>
      <c r="F1191" s="15">
        <f>ROUND((G1188+G1189+G1190),3)</f>
        <v>43.8</v>
      </c>
      <c r="G1191" s="12">
        <f t="shared" si="209"/>
        <v>26.28</v>
      </c>
    </row>
    <row r="1192" ht="15.0" customHeight="1">
      <c r="A1192" s="10" t="s">
        <v>32</v>
      </c>
      <c r="B1192" s="10"/>
      <c r="C1192" s="10" t="s">
        <v>33</v>
      </c>
      <c r="D1192" s="10" t="s">
        <v>34</v>
      </c>
      <c r="E1192" s="14">
        <v>4.0</v>
      </c>
      <c r="F1192" s="15">
        <f>ROUND(26.28,3)</f>
        <v>26.28</v>
      </c>
      <c r="G1192" s="12">
        <f>ROUND((E1192*F1192)/100,2)</f>
        <v>1.05</v>
      </c>
    </row>
    <row r="1193" ht="24.75" customHeight="1">
      <c r="A1193" s="16"/>
      <c r="B1193" s="16"/>
      <c r="C1193" s="16"/>
      <c r="D1193" s="17" t="s">
        <v>644</v>
      </c>
      <c r="E1193" s="16"/>
      <c r="F1193" s="18">
        <f>ROUND((G1187+G1192)*(1+G2/100),2)</f>
        <v>27.33</v>
      </c>
      <c r="G1193" s="16"/>
    </row>
    <row r="1194" ht="39.75" customHeight="1">
      <c r="A1194" s="19" t="s">
        <v>647</v>
      </c>
      <c r="B1194" s="20" t="s">
        <v>18</v>
      </c>
      <c r="C1194" s="20" t="s">
        <v>19</v>
      </c>
      <c r="D1194" s="20" t="s">
        <v>648</v>
      </c>
      <c r="E1194" s="21"/>
      <c r="F1194" s="22">
        <f>F1205</f>
        <v>6.19</v>
      </c>
      <c r="G1194" s="21"/>
    </row>
    <row r="1195" ht="30.0" customHeight="1">
      <c r="A1195" s="11"/>
      <c r="B1195" s="11"/>
      <c r="C1195" s="11"/>
      <c r="D1195" s="10" t="s">
        <v>649</v>
      </c>
    </row>
    <row r="1196" ht="21.0" customHeight="1">
      <c r="A1196" s="10" t="s">
        <v>230</v>
      </c>
      <c r="B1196" s="10" t="s">
        <v>42</v>
      </c>
      <c r="C1196" s="10" t="s">
        <v>231</v>
      </c>
      <c r="D1196" s="10" t="s">
        <v>232</v>
      </c>
      <c r="E1196" s="14">
        <v>0.11111</v>
      </c>
      <c r="F1196" s="15">
        <f>ROUND(3.47,3)</f>
        <v>3.47</v>
      </c>
      <c r="G1196" s="12">
        <f t="shared" ref="G1196:G1203" si="211">ROUND(E1196*F1196,2)</f>
        <v>0.39</v>
      </c>
    </row>
    <row r="1197" ht="21.0" customHeight="1">
      <c r="A1197" s="10" t="s">
        <v>225</v>
      </c>
      <c r="B1197" s="10" t="s">
        <v>42</v>
      </c>
      <c r="C1197" s="10" t="s">
        <v>226</v>
      </c>
      <c r="D1197" s="10" t="s">
        <v>227</v>
      </c>
      <c r="E1197" s="14">
        <v>0.11111</v>
      </c>
      <c r="F1197" s="15">
        <f>ROUND(13.14,3)</f>
        <v>13.14</v>
      </c>
      <c r="G1197" s="12">
        <f t="shared" si="211"/>
        <v>1.46</v>
      </c>
    </row>
    <row r="1198" ht="21.0" customHeight="1">
      <c r="A1198" s="10" t="s">
        <v>242</v>
      </c>
      <c r="B1198" s="10" t="s">
        <v>42</v>
      </c>
      <c r="C1198" s="10" t="s">
        <v>226</v>
      </c>
      <c r="D1198" s="10" t="s">
        <v>243</v>
      </c>
      <c r="E1198" s="14">
        <v>0.55</v>
      </c>
      <c r="F1198" s="15">
        <f>ROUND(1.32,3)</f>
        <v>1.32</v>
      </c>
      <c r="G1198" s="12">
        <f t="shared" si="211"/>
        <v>0.73</v>
      </c>
    </row>
    <row r="1199" ht="21.0" customHeight="1">
      <c r="A1199" s="10" t="s">
        <v>22</v>
      </c>
      <c r="B1199" s="10" t="s">
        <v>18</v>
      </c>
      <c r="C1199" s="10" t="s">
        <v>23</v>
      </c>
      <c r="D1199" s="10" t="s">
        <v>24</v>
      </c>
      <c r="E1199" s="14">
        <v>0.08</v>
      </c>
      <c r="F1199" s="15">
        <f>F1203</f>
        <v>43.8</v>
      </c>
      <c r="G1199" s="12">
        <f t="shared" si="211"/>
        <v>3.5</v>
      </c>
    </row>
    <row r="1200" ht="24.0" customHeight="1">
      <c r="A1200" s="10" t="s">
        <v>25</v>
      </c>
      <c r="B1200" s="10" t="s">
        <v>26</v>
      </c>
      <c r="C1200" s="10" t="s">
        <v>23</v>
      </c>
      <c r="D1200" s="10" t="s">
        <v>27</v>
      </c>
      <c r="E1200" s="14">
        <v>1.0</v>
      </c>
      <c r="F1200" s="15">
        <f>ROUND(21,3)</f>
        <v>21</v>
      </c>
      <c r="G1200" s="12">
        <f t="shared" si="211"/>
        <v>21</v>
      </c>
    </row>
    <row r="1201" ht="24.0" customHeight="1">
      <c r="A1201" s="10" t="s">
        <v>28</v>
      </c>
      <c r="B1201" s="10" t="s">
        <v>26</v>
      </c>
      <c r="C1201" s="10" t="s">
        <v>23</v>
      </c>
      <c r="D1201" s="10" t="s">
        <v>29</v>
      </c>
      <c r="E1201" s="14">
        <v>1.0</v>
      </c>
      <c r="F1201" s="15">
        <f t="shared" ref="F1201:F1202" si="212">ROUND(19,3)</f>
        <v>19</v>
      </c>
      <c r="G1201" s="12">
        <f t="shared" si="211"/>
        <v>19</v>
      </c>
    </row>
    <row r="1202" ht="24.0" customHeight="1">
      <c r="A1202" s="10" t="s">
        <v>30</v>
      </c>
      <c r="B1202" s="10" t="s">
        <v>26</v>
      </c>
      <c r="C1202" s="10" t="s">
        <v>23</v>
      </c>
      <c r="D1202" s="10" t="s">
        <v>31</v>
      </c>
      <c r="E1202" s="14">
        <v>0.2</v>
      </c>
      <c r="F1202" s="15">
        <f t="shared" si="212"/>
        <v>19</v>
      </c>
      <c r="G1202" s="12">
        <f t="shared" si="211"/>
        <v>3.8</v>
      </c>
    </row>
    <row r="1203" ht="15.0" customHeight="1">
      <c r="A1203" s="11"/>
      <c r="B1203" s="11"/>
      <c r="C1203" s="11"/>
      <c r="D1203" s="10" t="s">
        <v>22</v>
      </c>
      <c r="E1203" s="14">
        <v>0.08</v>
      </c>
      <c r="F1203" s="15">
        <f>ROUND((G1200+G1201+G1202),3)</f>
        <v>43.8</v>
      </c>
      <c r="G1203" s="12">
        <f t="shared" si="211"/>
        <v>3.5</v>
      </c>
    </row>
    <row r="1204" ht="15.0" customHeight="1">
      <c r="A1204" s="10" t="s">
        <v>32</v>
      </c>
      <c r="B1204" s="10"/>
      <c r="C1204" s="10" t="s">
        <v>33</v>
      </c>
      <c r="D1204" s="10" t="s">
        <v>34</v>
      </c>
      <c r="E1204" s="14">
        <v>3.0</v>
      </c>
      <c r="F1204" s="15">
        <f>ROUND(3.5,3)</f>
        <v>3.5</v>
      </c>
      <c r="G1204" s="12">
        <f>ROUND((E1204*F1204)/100,2)</f>
        <v>0.11</v>
      </c>
    </row>
    <row r="1205" ht="15.0" customHeight="1">
      <c r="A1205" s="16"/>
      <c r="B1205" s="16"/>
      <c r="C1205" s="16"/>
      <c r="D1205" s="17" t="s">
        <v>647</v>
      </c>
      <c r="E1205" s="16"/>
      <c r="F1205" s="18">
        <f>ROUND((G1196+G1197+G1198+G1199+G1204)*(1+G2/100),2)</f>
        <v>6.19</v>
      </c>
      <c r="G1205" s="16"/>
    </row>
    <row r="1206" ht="48.75" customHeight="1">
      <c r="A1206" s="19" t="s">
        <v>650</v>
      </c>
      <c r="B1206" s="20" t="s">
        <v>18</v>
      </c>
      <c r="C1206" s="20" t="s">
        <v>19</v>
      </c>
      <c r="D1206" s="20" t="s">
        <v>651</v>
      </c>
      <c r="E1206" s="21"/>
      <c r="F1206" s="22">
        <f>F1217</f>
        <v>24.74</v>
      </c>
      <c r="G1206" s="21"/>
    </row>
    <row r="1207" ht="30.0" customHeight="1">
      <c r="A1207" s="11"/>
      <c r="B1207" s="11"/>
      <c r="C1207" s="11"/>
      <c r="D1207" s="10" t="s">
        <v>652</v>
      </c>
    </row>
    <row r="1208" ht="21.0" customHeight="1">
      <c r="A1208" s="10" t="s">
        <v>230</v>
      </c>
      <c r="B1208" s="10" t="s">
        <v>42</v>
      </c>
      <c r="C1208" s="10" t="s">
        <v>231</v>
      </c>
      <c r="D1208" s="10" t="s">
        <v>232</v>
      </c>
      <c r="E1208" s="14">
        <v>0.175</v>
      </c>
      <c r="F1208" s="15">
        <f>ROUND(3.47,3)</f>
        <v>3.47</v>
      </c>
      <c r="G1208" s="12">
        <f t="shared" ref="G1208:G1215" si="213">ROUND(E1208*F1208,2)</f>
        <v>0.61</v>
      </c>
    </row>
    <row r="1209" ht="21.0" customHeight="1">
      <c r="A1209" s="10" t="s">
        <v>225</v>
      </c>
      <c r="B1209" s="10" t="s">
        <v>42</v>
      </c>
      <c r="C1209" s="10" t="s">
        <v>226</v>
      </c>
      <c r="D1209" s="10" t="s">
        <v>227</v>
      </c>
      <c r="E1209" s="14">
        <v>0.1</v>
      </c>
      <c r="F1209" s="15">
        <f>ROUND(13.14,3)</f>
        <v>13.14</v>
      </c>
      <c r="G1209" s="12">
        <f t="shared" si="213"/>
        <v>1.31</v>
      </c>
    </row>
    <row r="1210" ht="21.0" customHeight="1">
      <c r="A1210" s="10" t="s">
        <v>242</v>
      </c>
      <c r="B1210" s="10" t="s">
        <v>42</v>
      </c>
      <c r="C1210" s="10" t="s">
        <v>226</v>
      </c>
      <c r="D1210" s="10" t="s">
        <v>243</v>
      </c>
      <c r="E1210" s="14">
        <v>0.2</v>
      </c>
      <c r="F1210" s="15">
        <f>ROUND(1.32,3)</f>
        <v>1.32</v>
      </c>
      <c r="G1210" s="12">
        <f t="shared" si="213"/>
        <v>0.26</v>
      </c>
    </row>
    <row r="1211" ht="21.0" customHeight="1">
      <c r="A1211" s="10" t="s">
        <v>22</v>
      </c>
      <c r="B1211" s="10" t="s">
        <v>18</v>
      </c>
      <c r="C1211" s="10" t="s">
        <v>23</v>
      </c>
      <c r="D1211" s="10" t="s">
        <v>24</v>
      </c>
      <c r="E1211" s="14">
        <v>0.5</v>
      </c>
      <c r="F1211" s="15">
        <f>F1215</f>
        <v>43.8</v>
      </c>
      <c r="G1211" s="12">
        <f t="shared" si="213"/>
        <v>21.9</v>
      </c>
    </row>
    <row r="1212" ht="24.0" customHeight="1">
      <c r="A1212" s="10" t="s">
        <v>25</v>
      </c>
      <c r="B1212" s="10" t="s">
        <v>26</v>
      </c>
      <c r="C1212" s="10" t="s">
        <v>23</v>
      </c>
      <c r="D1212" s="10" t="s">
        <v>27</v>
      </c>
      <c r="E1212" s="14">
        <v>1.0</v>
      </c>
      <c r="F1212" s="15">
        <f>ROUND(21,3)</f>
        <v>21</v>
      </c>
      <c r="G1212" s="12">
        <f t="shared" si="213"/>
        <v>21</v>
      </c>
    </row>
    <row r="1213" ht="24.0" customHeight="1">
      <c r="A1213" s="10" t="s">
        <v>28</v>
      </c>
      <c r="B1213" s="10" t="s">
        <v>26</v>
      </c>
      <c r="C1213" s="10" t="s">
        <v>23</v>
      </c>
      <c r="D1213" s="10" t="s">
        <v>29</v>
      </c>
      <c r="E1213" s="14">
        <v>1.0</v>
      </c>
      <c r="F1213" s="15">
        <f t="shared" ref="F1213:F1214" si="214">ROUND(19,3)</f>
        <v>19</v>
      </c>
      <c r="G1213" s="12">
        <f t="shared" si="213"/>
        <v>19</v>
      </c>
    </row>
    <row r="1214" ht="24.0" customHeight="1">
      <c r="A1214" s="10" t="s">
        <v>30</v>
      </c>
      <c r="B1214" s="10" t="s">
        <v>26</v>
      </c>
      <c r="C1214" s="10" t="s">
        <v>23</v>
      </c>
      <c r="D1214" s="10" t="s">
        <v>31</v>
      </c>
      <c r="E1214" s="14">
        <v>0.2</v>
      </c>
      <c r="F1214" s="15">
        <f t="shared" si="214"/>
        <v>19</v>
      </c>
      <c r="G1214" s="12">
        <f t="shared" si="213"/>
        <v>3.8</v>
      </c>
    </row>
    <row r="1215" ht="15.0" customHeight="1">
      <c r="A1215" s="11"/>
      <c r="B1215" s="11"/>
      <c r="C1215" s="11"/>
      <c r="D1215" s="10" t="s">
        <v>22</v>
      </c>
      <c r="E1215" s="14">
        <v>0.5</v>
      </c>
      <c r="F1215" s="15">
        <f>ROUND((G1212+G1213+G1214),3)</f>
        <v>43.8</v>
      </c>
      <c r="G1215" s="12">
        <f t="shared" si="213"/>
        <v>21.9</v>
      </c>
    </row>
    <row r="1216" ht="15.0" customHeight="1">
      <c r="A1216" s="10" t="s">
        <v>32</v>
      </c>
      <c r="B1216" s="10"/>
      <c r="C1216" s="10" t="s">
        <v>33</v>
      </c>
      <c r="D1216" s="10" t="s">
        <v>34</v>
      </c>
      <c r="E1216" s="14">
        <v>3.0</v>
      </c>
      <c r="F1216" s="15">
        <f>ROUND(21.9,3)</f>
        <v>21.9</v>
      </c>
      <c r="G1216" s="12">
        <f>ROUND((E1216*F1216)/100,2)</f>
        <v>0.66</v>
      </c>
    </row>
    <row r="1217" ht="24.75" customHeight="1">
      <c r="A1217" s="16"/>
      <c r="B1217" s="16"/>
      <c r="C1217" s="16"/>
      <c r="D1217" s="17" t="s">
        <v>650</v>
      </c>
      <c r="E1217" s="16"/>
      <c r="F1217" s="18">
        <f>ROUND((G1208+G1209+G1210+G1211+G1216)*(1+G2/100),2)</f>
        <v>24.74</v>
      </c>
      <c r="G1217" s="16"/>
    </row>
    <row r="1218" ht="57.75" customHeight="1">
      <c r="A1218" s="19" t="s">
        <v>653</v>
      </c>
      <c r="B1218" s="20" t="s">
        <v>18</v>
      </c>
      <c r="C1218" s="20" t="s">
        <v>19</v>
      </c>
      <c r="D1218" s="20" t="s">
        <v>654</v>
      </c>
      <c r="E1218" s="21"/>
      <c r="F1218" s="22">
        <f>F1229</f>
        <v>16.16</v>
      </c>
      <c r="G1218" s="21"/>
    </row>
    <row r="1219" ht="30.0" customHeight="1">
      <c r="A1219" s="11"/>
      <c r="B1219" s="11"/>
      <c r="C1219" s="11"/>
      <c r="D1219" s="10" t="s">
        <v>249</v>
      </c>
    </row>
    <row r="1220" ht="21.0" customHeight="1">
      <c r="A1220" s="10" t="s">
        <v>225</v>
      </c>
      <c r="B1220" s="10" t="s">
        <v>42</v>
      </c>
      <c r="C1220" s="10" t="s">
        <v>226</v>
      </c>
      <c r="D1220" s="10" t="s">
        <v>227</v>
      </c>
      <c r="E1220" s="14">
        <v>0.05</v>
      </c>
      <c r="F1220" s="15">
        <f>ROUND(13.14,3)</f>
        <v>13.14</v>
      </c>
      <c r="G1220" s="12">
        <f t="shared" ref="G1220:G1227" si="215">ROUND(E1220*F1220,2)</f>
        <v>0.66</v>
      </c>
    </row>
    <row r="1221" ht="21.0" customHeight="1">
      <c r="A1221" s="10" t="s">
        <v>230</v>
      </c>
      <c r="B1221" s="10" t="s">
        <v>42</v>
      </c>
      <c r="C1221" s="10" t="s">
        <v>231</v>
      </c>
      <c r="D1221" s="10" t="s">
        <v>232</v>
      </c>
      <c r="E1221" s="14">
        <v>0.1</v>
      </c>
      <c r="F1221" s="15">
        <f>ROUND(3.47,3)</f>
        <v>3.47</v>
      </c>
      <c r="G1221" s="12">
        <f t="shared" si="215"/>
        <v>0.35</v>
      </c>
    </row>
    <row r="1222" ht="21.0" customHeight="1">
      <c r="A1222" s="10" t="s">
        <v>242</v>
      </c>
      <c r="B1222" s="10" t="s">
        <v>42</v>
      </c>
      <c r="C1222" s="10" t="s">
        <v>226</v>
      </c>
      <c r="D1222" s="10" t="s">
        <v>243</v>
      </c>
      <c r="E1222" s="14">
        <v>0.08</v>
      </c>
      <c r="F1222" s="15">
        <f>ROUND(1.32,3)</f>
        <v>1.32</v>
      </c>
      <c r="G1222" s="12">
        <f t="shared" si="215"/>
        <v>0.11</v>
      </c>
    </row>
    <row r="1223" ht="21.0" customHeight="1">
      <c r="A1223" s="10" t="s">
        <v>22</v>
      </c>
      <c r="B1223" s="10" t="s">
        <v>18</v>
      </c>
      <c r="C1223" s="10" t="s">
        <v>23</v>
      </c>
      <c r="D1223" s="10" t="s">
        <v>24</v>
      </c>
      <c r="E1223" s="14">
        <v>0.33333</v>
      </c>
      <c r="F1223" s="15">
        <f>F1227</f>
        <v>43.8</v>
      </c>
      <c r="G1223" s="12">
        <f t="shared" si="215"/>
        <v>14.6</v>
      </c>
    </row>
    <row r="1224" ht="24.0" customHeight="1">
      <c r="A1224" s="10" t="s">
        <v>25</v>
      </c>
      <c r="B1224" s="10" t="s">
        <v>26</v>
      </c>
      <c r="C1224" s="10" t="s">
        <v>23</v>
      </c>
      <c r="D1224" s="10" t="s">
        <v>27</v>
      </c>
      <c r="E1224" s="14">
        <v>1.0</v>
      </c>
      <c r="F1224" s="15">
        <f>ROUND(21,3)</f>
        <v>21</v>
      </c>
      <c r="G1224" s="12">
        <f t="shared" si="215"/>
        <v>21</v>
      </c>
    </row>
    <row r="1225" ht="24.0" customHeight="1">
      <c r="A1225" s="10" t="s">
        <v>28</v>
      </c>
      <c r="B1225" s="10" t="s">
        <v>26</v>
      </c>
      <c r="C1225" s="10" t="s">
        <v>23</v>
      </c>
      <c r="D1225" s="10" t="s">
        <v>29</v>
      </c>
      <c r="E1225" s="14">
        <v>1.0</v>
      </c>
      <c r="F1225" s="15">
        <f t="shared" ref="F1225:F1226" si="216">ROUND(19,3)</f>
        <v>19</v>
      </c>
      <c r="G1225" s="12">
        <f t="shared" si="215"/>
        <v>19</v>
      </c>
    </row>
    <row r="1226" ht="24.0" customHeight="1">
      <c r="A1226" s="10" t="s">
        <v>30</v>
      </c>
      <c r="B1226" s="10" t="s">
        <v>26</v>
      </c>
      <c r="C1226" s="10" t="s">
        <v>23</v>
      </c>
      <c r="D1226" s="10" t="s">
        <v>31</v>
      </c>
      <c r="E1226" s="14">
        <v>0.2</v>
      </c>
      <c r="F1226" s="15">
        <f t="shared" si="216"/>
        <v>19</v>
      </c>
      <c r="G1226" s="12">
        <f t="shared" si="215"/>
        <v>3.8</v>
      </c>
    </row>
    <row r="1227" ht="15.0" customHeight="1">
      <c r="A1227" s="11"/>
      <c r="B1227" s="11"/>
      <c r="C1227" s="11"/>
      <c r="D1227" s="10" t="s">
        <v>22</v>
      </c>
      <c r="E1227" s="14">
        <v>0.33333</v>
      </c>
      <c r="F1227" s="15">
        <f>ROUND((G1224+G1225+G1226),3)</f>
        <v>43.8</v>
      </c>
      <c r="G1227" s="12">
        <f t="shared" si="215"/>
        <v>14.6</v>
      </c>
    </row>
    <row r="1228" ht="15.0" customHeight="1">
      <c r="A1228" s="10" t="s">
        <v>32</v>
      </c>
      <c r="B1228" s="10"/>
      <c r="C1228" s="10" t="s">
        <v>33</v>
      </c>
      <c r="D1228" s="10" t="s">
        <v>34</v>
      </c>
      <c r="E1228" s="14">
        <v>3.0</v>
      </c>
      <c r="F1228" s="15">
        <f>ROUND(14.6,3)</f>
        <v>14.6</v>
      </c>
      <c r="G1228" s="12">
        <f>ROUND((E1228*F1228)/100,2)</f>
        <v>0.44</v>
      </c>
    </row>
    <row r="1229" ht="15.0" customHeight="1">
      <c r="A1229" s="16"/>
      <c r="B1229" s="16"/>
      <c r="C1229" s="16"/>
      <c r="D1229" s="17" t="s">
        <v>653</v>
      </c>
      <c r="E1229" s="16"/>
      <c r="F1229" s="18">
        <f>ROUND((G1220+G1221+G1222+G1223+G1228)*(1+G2/100),2)</f>
        <v>16.16</v>
      </c>
      <c r="G1229" s="16"/>
    </row>
    <row r="1230" ht="15.0" customHeight="1">
      <c r="A1230" s="19" t="s">
        <v>655</v>
      </c>
      <c r="B1230" s="20" t="s">
        <v>18</v>
      </c>
      <c r="C1230" s="20" t="s">
        <v>222</v>
      </c>
      <c r="D1230" s="20" t="s">
        <v>656</v>
      </c>
      <c r="E1230" s="21"/>
      <c r="F1230" s="22">
        <f>F1238</f>
        <v>37.03</v>
      </c>
      <c r="G1230" s="21"/>
    </row>
    <row r="1231" ht="21.0" customHeight="1">
      <c r="A1231" s="11"/>
      <c r="B1231" s="11"/>
      <c r="C1231" s="11"/>
      <c r="D1231" s="10" t="s">
        <v>657</v>
      </c>
    </row>
    <row r="1232" ht="30.0" customHeight="1">
      <c r="A1232" s="10" t="s">
        <v>658</v>
      </c>
      <c r="B1232" s="10" t="s">
        <v>42</v>
      </c>
      <c r="C1232" s="10" t="s">
        <v>231</v>
      </c>
      <c r="D1232" s="10" t="s">
        <v>659</v>
      </c>
      <c r="E1232" s="14">
        <v>0.5</v>
      </c>
      <c r="F1232" s="15">
        <f>ROUND(30.26,3)</f>
        <v>30.26</v>
      </c>
      <c r="G1232" s="12">
        <f t="shared" ref="G1232:G1237" si="217">ROUND(E1232*F1232,2)</f>
        <v>15.13</v>
      </c>
    </row>
    <row r="1233" ht="21.0" customHeight="1">
      <c r="A1233" s="10" t="s">
        <v>22</v>
      </c>
      <c r="B1233" s="10" t="s">
        <v>18</v>
      </c>
      <c r="C1233" s="10" t="s">
        <v>23</v>
      </c>
      <c r="D1233" s="10" t="s">
        <v>24</v>
      </c>
      <c r="E1233" s="14">
        <v>0.5</v>
      </c>
      <c r="F1233" s="15">
        <f>F1237</f>
        <v>43.8</v>
      </c>
      <c r="G1233" s="12">
        <f t="shared" si="217"/>
        <v>21.9</v>
      </c>
    </row>
    <row r="1234" ht="24.0" customHeight="1">
      <c r="A1234" s="10" t="s">
        <v>25</v>
      </c>
      <c r="B1234" s="10" t="s">
        <v>26</v>
      </c>
      <c r="C1234" s="10" t="s">
        <v>23</v>
      </c>
      <c r="D1234" s="10" t="s">
        <v>27</v>
      </c>
      <c r="E1234" s="14">
        <v>1.0</v>
      </c>
      <c r="F1234" s="15">
        <f>ROUND(21,3)</f>
        <v>21</v>
      </c>
      <c r="G1234" s="12">
        <f t="shared" si="217"/>
        <v>21</v>
      </c>
    </row>
    <row r="1235" ht="24.0" customHeight="1">
      <c r="A1235" s="10" t="s">
        <v>28</v>
      </c>
      <c r="B1235" s="10" t="s">
        <v>26</v>
      </c>
      <c r="C1235" s="10" t="s">
        <v>23</v>
      </c>
      <c r="D1235" s="10" t="s">
        <v>29</v>
      </c>
      <c r="E1235" s="14">
        <v>1.0</v>
      </c>
      <c r="F1235" s="15">
        <f t="shared" ref="F1235:F1236" si="218">ROUND(19,3)</f>
        <v>19</v>
      </c>
      <c r="G1235" s="12">
        <f t="shared" si="217"/>
        <v>19</v>
      </c>
    </row>
    <row r="1236" ht="24.0" customHeight="1">
      <c r="A1236" s="10" t="s">
        <v>30</v>
      </c>
      <c r="B1236" s="10" t="s">
        <v>26</v>
      </c>
      <c r="C1236" s="10" t="s">
        <v>23</v>
      </c>
      <c r="D1236" s="10" t="s">
        <v>31</v>
      </c>
      <c r="E1236" s="14">
        <v>0.2</v>
      </c>
      <c r="F1236" s="15">
        <f t="shared" si="218"/>
        <v>19</v>
      </c>
      <c r="G1236" s="12">
        <f t="shared" si="217"/>
        <v>3.8</v>
      </c>
    </row>
    <row r="1237" ht="15.0" customHeight="1">
      <c r="A1237" s="11"/>
      <c r="B1237" s="11"/>
      <c r="C1237" s="11"/>
      <c r="D1237" s="10" t="s">
        <v>22</v>
      </c>
      <c r="E1237" s="14">
        <v>0.5</v>
      </c>
      <c r="F1237" s="15">
        <f>ROUND((G1234+G1235+G1236),3)</f>
        <v>43.8</v>
      </c>
      <c r="G1237" s="12">
        <f t="shared" si="217"/>
        <v>21.9</v>
      </c>
    </row>
    <row r="1238" ht="15.0" customHeight="1">
      <c r="A1238" s="16"/>
      <c r="B1238" s="16"/>
      <c r="C1238" s="16"/>
      <c r="D1238" s="17" t="s">
        <v>655</v>
      </c>
      <c r="E1238" s="16"/>
      <c r="F1238" s="18">
        <f>ROUND((G1232+G1233)*(1+G2/100),2)</f>
        <v>37.03</v>
      </c>
      <c r="G1238" s="16"/>
    </row>
    <row r="1239" ht="39.75" customHeight="1">
      <c r="A1239" s="19" t="s">
        <v>660</v>
      </c>
      <c r="B1239" s="20" t="s">
        <v>18</v>
      </c>
      <c r="C1239" s="20" t="s">
        <v>19</v>
      </c>
      <c r="D1239" s="20" t="s">
        <v>661</v>
      </c>
      <c r="E1239" s="21"/>
      <c r="F1239" s="22">
        <f>F1253</f>
        <v>13.2</v>
      </c>
      <c r="G1239" s="21"/>
    </row>
    <row r="1240" ht="12.0" customHeight="1">
      <c r="A1240" s="11"/>
      <c r="B1240" s="11"/>
      <c r="C1240" s="11"/>
      <c r="D1240" s="10" t="s">
        <v>662</v>
      </c>
    </row>
    <row r="1241" ht="30.0" customHeight="1">
      <c r="A1241" s="10" t="s">
        <v>663</v>
      </c>
      <c r="B1241" s="10" t="s">
        <v>42</v>
      </c>
      <c r="C1241" s="10" t="s">
        <v>43</v>
      </c>
      <c r="D1241" s="10" t="s">
        <v>664</v>
      </c>
      <c r="E1241" s="14">
        <v>1.0E-5</v>
      </c>
      <c r="F1241" s="15">
        <f>ROUND(23.48,3)</f>
        <v>23.48</v>
      </c>
      <c r="G1241" s="12">
        <f t="shared" ref="G1241:G1251" si="219">ROUND(E1241*F1241,2)</f>
        <v>0</v>
      </c>
    </row>
    <row r="1242" ht="30.0" customHeight="1">
      <c r="A1242" s="10" t="s">
        <v>665</v>
      </c>
      <c r="B1242" s="10" t="s">
        <v>42</v>
      </c>
      <c r="C1242" s="10" t="s">
        <v>43</v>
      </c>
      <c r="D1242" s="10" t="s">
        <v>666</v>
      </c>
      <c r="E1242" s="14">
        <v>1.0E-5</v>
      </c>
      <c r="F1242" s="15">
        <f>ROUND(59.9,3)</f>
        <v>59.9</v>
      </c>
      <c r="G1242" s="12">
        <f t="shared" si="219"/>
        <v>0</v>
      </c>
    </row>
    <row r="1243" ht="39.75" customHeight="1">
      <c r="A1243" s="10" t="s">
        <v>270</v>
      </c>
      <c r="B1243" s="10" t="s">
        <v>42</v>
      </c>
      <c r="C1243" s="10" t="s">
        <v>43</v>
      </c>
      <c r="D1243" s="10" t="s">
        <v>271</v>
      </c>
      <c r="E1243" s="14">
        <v>0.01667</v>
      </c>
      <c r="F1243" s="15">
        <f>ROUND(40.99,3)</f>
        <v>40.99</v>
      </c>
      <c r="G1243" s="12">
        <f t="shared" si="219"/>
        <v>0.68</v>
      </c>
    </row>
    <row r="1244" ht="30.0" customHeight="1">
      <c r="A1244" s="10" t="s">
        <v>265</v>
      </c>
      <c r="B1244" s="10" t="s">
        <v>42</v>
      </c>
      <c r="C1244" s="10" t="s">
        <v>43</v>
      </c>
      <c r="D1244" s="10" t="s">
        <v>266</v>
      </c>
      <c r="E1244" s="14">
        <v>0.02667</v>
      </c>
      <c r="F1244" s="15">
        <f>ROUND(48.9,3)</f>
        <v>48.9</v>
      </c>
      <c r="G1244" s="12">
        <f t="shared" si="219"/>
        <v>1.3</v>
      </c>
    </row>
    <row r="1245" ht="24.0" customHeight="1">
      <c r="A1245" s="10" t="s">
        <v>111</v>
      </c>
      <c r="B1245" s="10" t="s">
        <v>112</v>
      </c>
      <c r="C1245" s="10" t="s">
        <v>23</v>
      </c>
      <c r="D1245" s="10" t="s">
        <v>113</v>
      </c>
      <c r="E1245" s="14">
        <v>0.16</v>
      </c>
      <c r="F1245" s="15">
        <f>ROUND(7.526,3)</f>
        <v>7.526</v>
      </c>
      <c r="G1245" s="12">
        <f t="shared" si="219"/>
        <v>1.2</v>
      </c>
    </row>
    <row r="1246" ht="30.0" customHeight="1">
      <c r="A1246" s="10" t="s">
        <v>667</v>
      </c>
      <c r="B1246" s="10" t="s">
        <v>42</v>
      </c>
      <c r="C1246" s="10" t="s">
        <v>43</v>
      </c>
      <c r="D1246" s="10" t="s">
        <v>668</v>
      </c>
      <c r="E1246" s="14">
        <v>0.06667</v>
      </c>
      <c r="F1246" s="15">
        <f>ROUND(39.85,3)</f>
        <v>39.85</v>
      </c>
      <c r="G1246" s="12">
        <f t="shared" si="219"/>
        <v>2.66</v>
      </c>
    </row>
    <row r="1247" ht="21.0" customHeight="1">
      <c r="A1247" s="10" t="s">
        <v>22</v>
      </c>
      <c r="B1247" s="10" t="s">
        <v>18</v>
      </c>
      <c r="C1247" s="10" t="s">
        <v>23</v>
      </c>
      <c r="D1247" s="10" t="s">
        <v>24</v>
      </c>
      <c r="E1247" s="14">
        <v>0.16</v>
      </c>
      <c r="F1247" s="15">
        <f>F1251</f>
        <v>43.8</v>
      </c>
      <c r="G1247" s="12">
        <f t="shared" si="219"/>
        <v>7.01</v>
      </c>
    </row>
    <row r="1248" ht="24.0" customHeight="1">
      <c r="A1248" s="10" t="s">
        <v>25</v>
      </c>
      <c r="B1248" s="10" t="s">
        <v>26</v>
      </c>
      <c r="C1248" s="10" t="s">
        <v>23</v>
      </c>
      <c r="D1248" s="10" t="s">
        <v>27</v>
      </c>
      <c r="E1248" s="14">
        <v>1.0</v>
      </c>
      <c r="F1248" s="15">
        <f>ROUND(21,3)</f>
        <v>21</v>
      </c>
      <c r="G1248" s="12">
        <f t="shared" si="219"/>
        <v>21</v>
      </c>
    </row>
    <row r="1249" ht="24.0" customHeight="1">
      <c r="A1249" s="10" t="s">
        <v>28</v>
      </c>
      <c r="B1249" s="10" t="s">
        <v>26</v>
      </c>
      <c r="C1249" s="10" t="s">
        <v>23</v>
      </c>
      <c r="D1249" s="10" t="s">
        <v>29</v>
      </c>
      <c r="E1249" s="14">
        <v>1.0</v>
      </c>
      <c r="F1249" s="15">
        <f t="shared" ref="F1249:F1250" si="220">ROUND(19,3)</f>
        <v>19</v>
      </c>
      <c r="G1249" s="12">
        <f t="shared" si="219"/>
        <v>19</v>
      </c>
    </row>
    <row r="1250" ht="24.0" customHeight="1">
      <c r="A1250" s="10" t="s">
        <v>30</v>
      </c>
      <c r="B1250" s="10" t="s">
        <v>26</v>
      </c>
      <c r="C1250" s="10" t="s">
        <v>23</v>
      </c>
      <c r="D1250" s="10" t="s">
        <v>31</v>
      </c>
      <c r="E1250" s="14">
        <v>0.2</v>
      </c>
      <c r="F1250" s="15">
        <f t="shared" si="220"/>
        <v>19</v>
      </c>
      <c r="G1250" s="12">
        <f t="shared" si="219"/>
        <v>3.8</v>
      </c>
    </row>
    <row r="1251" ht="15.0" customHeight="1">
      <c r="A1251" s="11"/>
      <c r="B1251" s="11"/>
      <c r="C1251" s="11"/>
      <c r="D1251" s="10" t="s">
        <v>22</v>
      </c>
      <c r="E1251" s="14">
        <v>0.16</v>
      </c>
      <c r="F1251" s="15">
        <f>ROUND((G1248+G1249+G1250),3)</f>
        <v>43.8</v>
      </c>
      <c r="G1251" s="12">
        <f t="shared" si="219"/>
        <v>7.01</v>
      </c>
    </row>
    <row r="1252" ht="15.0" customHeight="1">
      <c r="A1252" s="10" t="s">
        <v>32</v>
      </c>
      <c r="B1252" s="10"/>
      <c r="C1252" s="10" t="s">
        <v>33</v>
      </c>
      <c r="D1252" s="10" t="s">
        <v>34</v>
      </c>
      <c r="E1252" s="14">
        <v>5.0</v>
      </c>
      <c r="F1252" s="15">
        <f>ROUND(7.01,3)</f>
        <v>7.01</v>
      </c>
      <c r="G1252" s="12">
        <f>ROUND((E1252*F1252)/100,2)</f>
        <v>0.35</v>
      </c>
    </row>
    <row r="1253" ht="24.75" customHeight="1">
      <c r="A1253" s="16"/>
      <c r="B1253" s="16"/>
      <c r="C1253" s="16"/>
      <c r="D1253" s="17" t="s">
        <v>660</v>
      </c>
      <c r="E1253" s="16"/>
      <c r="F1253" s="18">
        <f>ROUND((G1241+G1242+G1243+G1244+G1245+G1246+G1247+G1252)*(1+G2/100),2)</f>
        <v>13.2</v>
      </c>
      <c r="G1253" s="16"/>
    </row>
    <row r="1254" ht="15.0" customHeight="1">
      <c r="A1254" s="23"/>
      <c r="B1254" s="23"/>
      <c r="C1254" s="23"/>
      <c r="D1254" s="32" t="s">
        <v>213</v>
      </c>
      <c r="E1254" s="33"/>
      <c r="F1254" s="33"/>
      <c r="G1254" s="33"/>
    </row>
    <row r="1255" ht="15.0" customHeight="1">
      <c r="A1255" s="23"/>
      <c r="B1255" s="23"/>
      <c r="C1255" s="23"/>
      <c r="D1255" s="36" t="s">
        <v>11</v>
      </c>
      <c r="E1255" s="37"/>
      <c r="F1255" s="37"/>
      <c r="G1255" s="37"/>
    </row>
    <row r="1256" ht="31.5" customHeight="1">
      <c r="A1256" s="38" t="s">
        <v>669</v>
      </c>
      <c r="B1256" s="38" t="s">
        <v>10</v>
      </c>
      <c r="C1256" s="39"/>
      <c r="D1256" s="38" t="s">
        <v>670</v>
      </c>
      <c r="E1256" s="39"/>
      <c r="F1256" s="39"/>
      <c r="G1256" s="39"/>
    </row>
    <row r="1257" ht="24.75" customHeight="1">
      <c r="A1257" s="40" t="s">
        <v>671</v>
      </c>
      <c r="B1257" s="40" t="s">
        <v>10</v>
      </c>
      <c r="C1257" s="41"/>
      <c r="D1257" s="40" t="s">
        <v>672</v>
      </c>
      <c r="E1257" s="41"/>
      <c r="F1257" s="41"/>
      <c r="G1257" s="41"/>
    </row>
    <row r="1258" ht="21.75" customHeight="1">
      <c r="A1258" s="42" t="s">
        <v>673</v>
      </c>
      <c r="B1258" s="42" t="s">
        <v>10</v>
      </c>
      <c r="C1258" s="43"/>
      <c r="D1258" s="42" t="s">
        <v>674</v>
      </c>
      <c r="E1258" s="43"/>
      <c r="F1258" s="43"/>
      <c r="G1258" s="43"/>
    </row>
    <row r="1259" ht="48.75" customHeight="1">
      <c r="A1259" s="13" t="s">
        <v>675</v>
      </c>
      <c r="B1259" s="10" t="s">
        <v>18</v>
      </c>
      <c r="C1259" s="10" t="s">
        <v>19</v>
      </c>
      <c r="D1259" s="10" t="s">
        <v>676</v>
      </c>
      <c r="E1259" s="11"/>
      <c r="F1259" s="12">
        <f>F1267</f>
        <v>23</v>
      </c>
      <c r="G1259" s="11"/>
    </row>
    <row r="1260" ht="21.0" customHeight="1">
      <c r="A1260" s="11"/>
      <c r="B1260" s="11"/>
      <c r="C1260" s="11"/>
      <c r="D1260" s="10" t="s">
        <v>677</v>
      </c>
    </row>
    <row r="1261" ht="21.0" customHeight="1">
      <c r="A1261" s="10" t="s">
        <v>22</v>
      </c>
      <c r="B1261" s="10" t="s">
        <v>18</v>
      </c>
      <c r="C1261" s="10" t="s">
        <v>23</v>
      </c>
      <c r="D1261" s="10" t="s">
        <v>24</v>
      </c>
      <c r="E1261" s="14">
        <v>0.5</v>
      </c>
      <c r="F1261" s="15">
        <f>F1265</f>
        <v>43.8</v>
      </c>
      <c r="G1261" s="12">
        <f t="shared" ref="G1261:G1265" si="221">ROUND(E1261*F1261,2)</f>
        <v>21.9</v>
      </c>
    </row>
    <row r="1262" ht="24.0" customHeight="1">
      <c r="A1262" s="10" t="s">
        <v>25</v>
      </c>
      <c r="B1262" s="10" t="s">
        <v>26</v>
      </c>
      <c r="C1262" s="10" t="s">
        <v>23</v>
      </c>
      <c r="D1262" s="10" t="s">
        <v>27</v>
      </c>
      <c r="E1262" s="14">
        <v>1.0</v>
      </c>
      <c r="F1262" s="15">
        <f>ROUND(21,3)</f>
        <v>21</v>
      </c>
      <c r="G1262" s="12">
        <f t="shared" si="221"/>
        <v>21</v>
      </c>
    </row>
    <row r="1263" ht="24.0" customHeight="1">
      <c r="A1263" s="10" t="s">
        <v>28</v>
      </c>
      <c r="B1263" s="10" t="s">
        <v>26</v>
      </c>
      <c r="C1263" s="10" t="s">
        <v>23</v>
      </c>
      <c r="D1263" s="10" t="s">
        <v>29</v>
      </c>
      <c r="E1263" s="14">
        <v>1.0</v>
      </c>
      <c r="F1263" s="15">
        <f t="shared" ref="F1263:F1264" si="222">ROUND(19,3)</f>
        <v>19</v>
      </c>
      <c r="G1263" s="12">
        <f t="shared" si="221"/>
        <v>19</v>
      </c>
    </row>
    <row r="1264" ht="24.0" customHeight="1">
      <c r="A1264" s="10" t="s">
        <v>30</v>
      </c>
      <c r="B1264" s="10" t="s">
        <v>26</v>
      </c>
      <c r="C1264" s="10" t="s">
        <v>23</v>
      </c>
      <c r="D1264" s="10" t="s">
        <v>31</v>
      </c>
      <c r="E1264" s="14">
        <v>0.2</v>
      </c>
      <c r="F1264" s="15">
        <f t="shared" si="222"/>
        <v>19</v>
      </c>
      <c r="G1264" s="12">
        <f t="shared" si="221"/>
        <v>3.8</v>
      </c>
    </row>
    <row r="1265" ht="15.0" customHeight="1">
      <c r="A1265" s="11"/>
      <c r="B1265" s="11"/>
      <c r="C1265" s="11"/>
      <c r="D1265" s="10" t="s">
        <v>22</v>
      </c>
      <c r="E1265" s="14">
        <v>0.5</v>
      </c>
      <c r="F1265" s="15">
        <f>ROUND((G1262+G1263+G1264),3)</f>
        <v>43.8</v>
      </c>
      <c r="G1265" s="12">
        <f t="shared" si="221"/>
        <v>21.9</v>
      </c>
    </row>
    <row r="1266" ht="15.0" customHeight="1">
      <c r="A1266" s="10" t="s">
        <v>32</v>
      </c>
      <c r="B1266" s="10"/>
      <c r="C1266" s="10" t="s">
        <v>33</v>
      </c>
      <c r="D1266" s="10" t="s">
        <v>34</v>
      </c>
      <c r="E1266" s="14">
        <v>5.0</v>
      </c>
      <c r="F1266" s="15">
        <f>ROUND(21.9,3)</f>
        <v>21.9</v>
      </c>
      <c r="G1266" s="12">
        <f>ROUND((E1266*F1266)/100,2)</f>
        <v>1.1</v>
      </c>
    </row>
    <row r="1267" ht="15.0" customHeight="1">
      <c r="A1267" s="16"/>
      <c r="B1267" s="16"/>
      <c r="C1267" s="16"/>
      <c r="D1267" s="17" t="s">
        <v>675</v>
      </c>
      <c r="E1267" s="16"/>
      <c r="F1267" s="18">
        <f>ROUND((G1261+G1266)*(1+G2/100),2)</f>
        <v>23</v>
      </c>
      <c r="G1267" s="16"/>
    </row>
    <row r="1268" ht="48.75" customHeight="1">
      <c r="A1268" s="19" t="s">
        <v>678</v>
      </c>
      <c r="B1268" s="20" t="s">
        <v>18</v>
      </c>
      <c r="C1268" s="20" t="s">
        <v>19</v>
      </c>
      <c r="D1268" s="20" t="s">
        <v>679</v>
      </c>
      <c r="E1268" s="21"/>
      <c r="F1268" s="22">
        <f>F1276</f>
        <v>32.19</v>
      </c>
      <c r="G1268" s="21"/>
    </row>
    <row r="1269" ht="21.0" customHeight="1">
      <c r="A1269" s="11"/>
      <c r="B1269" s="11"/>
      <c r="C1269" s="11"/>
      <c r="D1269" s="10" t="s">
        <v>680</v>
      </c>
    </row>
    <row r="1270" ht="21.0" customHeight="1">
      <c r="A1270" s="10" t="s">
        <v>22</v>
      </c>
      <c r="B1270" s="10" t="s">
        <v>18</v>
      </c>
      <c r="C1270" s="10" t="s">
        <v>23</v>
      </c>
      <c r="D1270" s="10" t="s">
        <v>24</v>
      </c>
      <c r="E1270" s="14">
        <v>0.7</v>
      </c>
      <c r="F1270" s="15">
        <f>F1274</f>
        <v>43.8</v>
      </c>
      <c r="G1270" s="12">
        <f t="shared" ref="G1270:G1274" si="223">ROUND(E1270*F1270,2)</f>
        <v>30.66</v>
      </c>
    </row>
    <row r="1271" ht="24.0" customHeight="1">
      <c r="A1271" s="10" t="s">
        <v>25</v>
      </c>
      <c r="B1271" s="10" t="s">
        <v>26</v>
      </c>
      <c r="C1271" s="10" t="s">
        <v>23</v>
      </c>
      <c r="D1271" s="10" t="s">
        <v>27</v>
      </c>
      <c r="E1271" s="14">
        <v>1.0</v>
      </c>
      <c r="F1271" s="15">
        <f>ROUND(21,3)</f>
        <v>21</v>
      </c>
      <c r="G1271" s="12">
        <f t="shared" si="223"/>
        <v>21</v>
      </c>
    </row>
    <row r="1272" ht="24.0" customHeight="1">
      <c r="A1272" s="10" t="s">
        <v>28</v>
      </c>
      <c r="B1272" s="10" t="s">
        <v>26</v>
      </c>
      <c r="C1272" s="10" t="s">
        <v>23</v>
      </c>
      <c r="D1272" s="10" t="s">
        <v>29</v>
      </c>
      <c r="E1272" s="14">
        <v>1.0</v>
      </c>
      <c r="F1272" s="15">
        <f t="shared" ref="F1272:F1273" si="224">ROUND(19,3)</f>
        <v>19</v>
      </c>
      <c r="G1272" s="12">
        <f t="shared" si="223"/>
        <v>19</v>
      </c>
    </row>
    <row r="1273" ht="24.0" customHeight="1">
      <c r="A1273" s="10" t="s">
        <v>30</v>
      </c>
      <c r="B1273" s="10" t="s">
        <v>26</v>
      </c>
      <c r="C1273" s="10" t="s">
        <v>23</v>
      </c>
      <c r="D1273" s="10" t="s">
        <v>31</v>
      </c>
      <c r="E1273" s="14">
        <v>0.2</v>
      </c>
      <c r="F1273" s="15">
        <f t="shared" si="224"/>
        <v>19</v>
      </c>
      <c r="G1273" s="12">
        <f t="shared" si="223"/>
        <v>3.8</v>
      </c>
    </row>
    <row r="1274" ht="15.0" customHeight="1">
      <c r="A1274" s="11"/>
      <c r="B1274" s="11"/>
      <c r="C1274" s="11"/>
      <c r="D1274" s="10" t="s">
        <v>22</v>
      </c>
      <c r="E1274" s="14">
        <v>0.7</v>
      </c>
      <c r="F1274" s="15">
        <f>ROUND((G1271+G1272+G1273),3)</f>
        <v>43.8</v>
      </c>
      <c r="G1274" s="12">
        <f t="shared" si="223"/>
        <v>30.66</v>
      </c>
    </row>
    <row r="1275" ht="15.0" customHeight="1">
      <c r="A1275" s="10" t="s">
        <v>32</v>
      </c>
      <c r="B1275" s="10"/>
      <c r="C1275" s="10" t="s">
        <v>33</v>
      </c>
      <c r="D1275" s="10" t="s">
        <v>34</v>
      </c>
      <c r="E1275" s="14">
        <v>5.0</v>
      </c>
      <c r="F1275" s="15">
        <f>ROUND(30.66,3)</f>
        <v>30.66</v>
      </c>
      <c r="G1275" s="12">
        <f>ROUND((E1275*F1275)/100,2)</f>
        <v>1.53</v>
      </c>
    </row>
    <row r="1276" ht="15.0" customHeight="1">
      <c r="A1276" s="16"/>
      <c r="B1276" s="16"/>
      <c r="C1276" s="16"/>
      <c r="D1276" s="17" t="s">
        <v>678</v>
      </c>
      <c r="E1276" s="16"/>
      <c r="F1276" s="18">
        <f>ROUND((G1270+G1275)*(1+G2/100),2)</f>
        <v>32.19</v>
      </c>
      <c r="G1276" s="16"/>
    </row>
    <row r="1277" ht="57.75" customHeight="1">
      <c r="A1277" s="19" t="s">
        <v>681</v>
      </c>
      <c r="B1277" s="20" t="s">
        <v>18</v>
      </c>
      <c r="C1277" s="20" t="s">
        <v>19</v>
      </c>
      <c r="D1277" s="20" t="s">
        <v>682</v>
      </c>
      <c r="E1277" s="21"/>
      <c r="F1277" s="22">
        <f>F1288</f>
        <v>12.21</v>
      </c>
      <c r="G1277" s="21"/>
    </row>
    <row r="1278" ht="21.0" customHeight="1">
      <c r="A1278" s="11"/>
      <c r="B1278" s="11"/>
      <c r="C1278" s="11"/>
      <c r="D1278" s="10" t="s">
        <v>683</v>
      </c>
    </row>
    <row r="1279" ht="30.0" customHeight="1">
      <c r="A1279" s="10" t="s">
        <v>684</v>
      </c>
      <c r="B1279" s="10" t="s">
        <v>18</v>
      </c>
      <c r="C1279" s="10" t="s">
        <v>23</v>
      </c>
      <c r="D1279" s="10" t="s">
        <v>685</v>
      </c>
      <c r="E1279" s="14">
        <v>0.25</v>
      </c>
      <c r="F1279" s="15">
        <f>F1281</f>
        <v>4.17</v>
      </c>
      <c r="G1279" s="12">
        <f t="shared" ref="G1279:G1286" si="225">ROUND(E1279*F1279,2)</f>
        <v>1.04</v>
      </c>
    </row>
    <row r="1280" ht="30.0" customHeight="1">
      <c r="A1280" s="10" t="s">
        <v>686</v>
      </c>
      <c r="B1280" s="10" t="s">
        <v>112</v>
      </c>
      <c r="C1280" s="10" t="s">
        <v>231</v>
      </c>
      <c r="D1280" s="10" t="s">
        <v>687</v>
      </c>
      <c r="E1280" s="14">
        <v>0.00417</v>
      </c>
      <c r="F1280" s="15">
        <f>ROUND(999,3)</f>
        <v>999</v>
      </c>
      <c r="G1280" s="12">
        <f t="shared" si="225"/>
        <v>4.17</v>
      </c>
    </row>
    <row r="1281" ht="15.0" customHeight="1">
      <c r="A1281" s="11"/>
      <c r="B1281" s="11"/>
      <c r="C1281" s="11"/>
      <c r="D1281" s="10" t="s">
        <v>684</v>
      </c>
      <c r="E1281" s="14">
        <v>0.25</v>
      </c>
      <c r="F1281" s="15">
        <f>ROUND((G1280),3)</f>
        <v>4.17</v>
      </c>
      <c r="G1281" s="12">
        <f t="shared" si="225"/>
        <v>1.04</v>
      </c>
    </row>
    <row r="1282" ht="21.0" customHeight="1">
      <c r="A1282" s="10" t="s">
        <v>22</v>
      </c>
      <c r="B1282" s="10" t="s">
        <v>18</v>
      </c>
      <c r="C1282" s="10" t="s">
        <v>23</v>
      </c>
      <c r="D1282" s="10" t="s">
        <v>24</v>
      </c>
      <c r="E1282" s="14">
        <v>0.25</v>
      </c>
      <c r="F1282" s="15">
        <f>F1286</f>
        <v>43.8</v>
      </c>
      <c r="G1282" s="12">
        <f t="shared" si="225"/>
        <v>10.95</v>
      </c>
    </row>
    <row r="1283" ht="24.0" customHeight="1">
      <c r="A1283" s="10" t="s">
        <v>25</v>
      </c>
      <c r="B1283" s="10" t="s">
        <v>26</v>
      </c>
      <c r="C1283" s="10" t="s">
        <v>23</v>
      </c>
      <c r="D1283" s="10" t="s">
        <v>27</v>
      </c>
      <c r="E1283" s="14">
        <v>1.0</v>
      </c>
      <c r="F1283" s="15">
        <f>ROUND(21,3)</f>
        <v>21</v>
      </c>
      <c r="G1283" s="12">
        <f t="shared" si="225"/>
        <v>21</v>
      </c>
    </row>
    <row r="1284" ht="24.0" customHeight="1">
      <c r="A1284" s="10" t="s">
        <v>28</v>
      </c>
      <c r="B1284" s="10" t="s">
        <v>26</v>
      </c>
      <c r="C1284" s="10" t="s">
        <v>23</v>
      </c>
      <c r="D1284" s="10" t="s">
        <v>29</v>
      </c>
      <c r="E1284" s="14">
        <v>1.0</v>
      </c>
      <c r="F1284" s="15">
        <f t="shared" ref="F1284:F1285" si="226">ROUND(19,3)</f>
        <v>19</v>
      </c>
      <c r="G1284" s="12">
        <f t="shared" si="225"/>
        <v>19</v>
      </c>
    </row>
    <row r="1285" ht="24.0" customHeight="1">
      <c r="A1285" s="10" t="s">
        <v>30</v>
      </c>
      <c r="B1285" s="10" t="s">
        <v>26</v>
      </c>
      <c r="C1285" s="10" t="s">
        <v>23</v>
      </c>
      <c r="D1285" s="10" t="s">
        <v>31</v>
      </c>
      <c r="E1285" s="14">
        <v>0.2</v>
      </c>
      <c r="F1285" s="15">
        <f t="shared" si="226"/>
        <v>19</v>
      </c>
      <c r="G1285" s="12">
        <f t="shared" si="225"/>
        <v>3.8</v>
      </c>
    </row>
    <row r="1286" ht="15.0" customHeight="1">
      <c r="A1286" s="11"/>
      <c r="B1286" s="11"/>
      <c r="C1286" s="11"/>
      <c r="D1286" s="10" t="s">
        <v>22</v>
      </c>
      <c r="E1286" s="14">
        <v>0.25</v>
      </c>
      <c r="F1286" s="15">
        <f>ROUND((G1283+G1284+G1285),3)</f>
        <v>43.8</v>
      </c>
      <c r="G1286" s="12">
        <f t="shared" si="225"/>
        <v>10.95</v>
      </c>
    </row>
    <row r="1287" ht="15.0" customHeight="1">
      <c r="A1287" s="10" t="s">
        <v>32</v>
      </c>
      <c r="B1287" s="10"/>
      <c r="C1287" s="10" t="s">
        <v>33</v>
      </c>
      <c r="D1287" s="10" t="s">
        <v>34</v>
      </c>
      <c r="E1287" s="14">
        <v>2.0</v>
      </c>
      <c r="F1287" s="15">
        <f>ROUND(10.95,3)</f>
        <v>10.95</v>
      </c>
      <c r="G1287" s="12">
        <f>ROUND((E1287*F1287)/100,2)</f>
        <v>0.22</v>
      </c>
    </row>
    <row r="1288" ht="15.0" customHeight="1">
      <c r="A1288" s="16"/>
      <c r="B1288" s="16"/>
      <c r="C1288" s="16"/>
      <c r="D1288" s="17" t="s">
        <v>681</v>
      </c>
      <c r="E1288" s="16"/>
      <c r="F1288" s="18">
        <f>ROUND((G1279+G1282+G1287)*(1+G2/100),2)</f>
        <v>12.21</v>
      </c>
      <c r="G1288" s="16"/>
    </row>
    <row r="1289" ht="57.75" customHeight="1">
      <c r="A1289" s="19" t="s">
        <v>688</v>
      </c>
      <c r="B1289" s="20" t="s">
        <v>18</v>
      </c>
      <c r="C1289" s="20" t="s">
        <v>19</v>
      </c>
      <c r="D1289" s="20" t="s">
        <v>689</v>
      </c>
      <c r="E1289" s="21"/>
      <c r="F1289" s="22">
        <f>F1300</f>
        <v>16.68</v>
      </c>
      <c r="G1289" s="21"/>
    </row>
    <row r="1290" ht="21.0" customHeight="1">
      <c r="A1290" s="11"/>
      <c r="B1290" s="11"/>
      <c r="C1290" s="11"/>
      <c r="D1290" s="10" t="s">
        <v>690</v>
      </c>
    </row>
    <row r="1291" ht="30.0" customHeight="1">
      <c r="A1291" s="10" t="s">
        <v>684</v>
      </c>
      <c r="B1291" s="10" t="s">
        <v>18</v>
      </c>
      <c r="C1291" s="10" t="s">
        <v>23</v>
      </c>
      <c r="D1291" s="10" t="s">
        <v>685</v>
      </c>
      <c r="E1291" s="14">
        <v>0.25</v>
      </c>
      <c r="F1291" s="15">
        <f>F1293</f>
        <v>4.17</v>
      </c>
      <c r="G1291" s="12">
        <f t="shared" ref="G1291:G1298" si="227">ROUND(E1291*F1291,2)</f>
        <v>1.04</v>
      </c>
    </row>
    <row r="1292" ht="30.0" customHeight="1">
      <c r="A1292" s="10" t="s">
        <v>686</v>
      </c>
      <c r="B1292" s="10" t="s">
        <v>112</v>
      </c>
      <c r="C1292" s="10" t="s">
        <v>231</v>
      </c>
      <c r="D1292" s="10" t="s">
        <v>687</v>
      </c>
      <c r="E1292" s="14">
        <v>0.00417</v>
      </c>
      <c r="F1292" s="15">
        <f>ROUND(999,3)</f>
        <v>999</v>
      </c>
      <c r="G1292" s="12">
        <f t="shared" si="227"/>
        <v>4.17</v>
      </c>
    </row>
    <row r="1293" ht="15.0" customHeight="1">
      <c r="A1293" s="11"/>
      <c r="B1293" s="11"/>
      <c r="C1293" s="11"/>
      <c r="D1293" s="10" t="s">
        <v>684</v>
      </c>
      <c r="E1293" s="14">
        <v>0.25</v>
      </c>
      <c r="F1293" s="15">
        <f>ROUND((G1292),3)</f>
        <v>4.17</v>
      </c>
      <c r="G1293" s="12">
        <f t="shared" si="227"/>
        <v>1.04</v>
      </c>
    </row>
    <row r="1294" ht="21.0" customHeight="1">
      <c r="A1294" s="10" t="s">
        <v>22</v>
      </c>
      <c r="B1294" s="10" t="s">
        <v>18</v>
      </c>
      <c r="C1294" s="10" t="s">
        <v>23</v>
      </c>
      <c r="D1294" s="10" t="s">
        <v>24</v>
      </c>
      <c r="E1294" s="14">
        <v>0.35</v>
      </c>
      <c r="F1294" s="15">
        <f>F1298</f>
        <v>43.8</v>
      </c>
      <c r="G1294" s="12">
        <f t="shared" si="227"/>
        <v>15.33</v>
      </c>
    </row>
    <row r="1295" ht="24.0" customHeight="1">
      <c r="A1295" s="10" t="s">
        <v>25</v>
      </c>
      <c r="B1295" s="10" t="s">
        <v>26</v>
      </c>
      <c r="C1295" s="10" t="s">
        <v>23</v>
      </c>
      <c r="D1295" s="10" t="s">
        <v>27</v>
      </c>
      <c r="E1295" s="14">
        <v>1.0</v>
      </c>
      <c r="F1295" s="15">
        <f>ROUND(21,3)</f>
        <v>21</v>
      </c>
      <c r="G1295" s="12">
        <f t="shared" si="227"/>
        <v>21</v>
      </c>
    </row>
    <row r="1296" ht="24.0" customHeight="1">
      <c r="A1296" s="10" t="s">
        <v>28</v>
      </c>
      <c r="B1296" s="10" t="s">
        <v>26</v>
      </c>
      <c r="C1296" s="10" t="s">
        <v>23</v>
      </c>
      <c r="D1296" s="10" t="s">
        <v>29</v>
      </c>
      <c r="E1296" s="14">
        <v>1.0</v>
      </c>
      <c r="F1296" s="15">
        <f t="shared" ref="F1296:F1297" si="228">ROUND(19,3)</f>
        <v>19</v>
      </c>
      <c r="G1296" s="12">
        <f t="shared" si="227"/>
        <v>19</v>
      </c>
    </row>
    <row r="1297" ht="24.0" customHeight="1">
      <c r="A1297" s="10" t="s">
        <v>30</v>
      </c>
      <c r="B1297" s="10" t="s">
        <v>26</v>
      </c>
      <c r="C1297" s="10" t="s">
        <v>23</v>
      </c>
      <c r="D1297" s="10" t="s">
        <v>31</v>
      </c>
      <c r="E1297" s="14">
        <v>0.2</v>
      </c>
      <c r="F1297" s="15">
        <f t="shared" si="228"/>
        <v>19</v>
      </c>
      <c r="G1297" s="12">
        <f t="shared" si="227"/>
        <v>3.8</v>
      </c>
    </row>
    <row r="1298" ht="15.0" customHeight="1">
      <c r="A1298" s="11"/>
      <c r="B1298" s="11"/>
      <c r="C1298" s="11"/>
      <c r="D1298" s="10" t="s">
        <v>22</v>
      </c>
      <c r="E1298" s="14">
        <v>0.35</v>
      </c>
      <c r="F1298" s="15">
        <f>ROUND((G1295+G1296+G1297),3)</f>
        <v>43.8</v>
      </c>
      <c r="G1298" s="12">
        <f t="shared" si="227"/>
        <v>15.33</v>
      </c>
    </row>
    <row r="1299" ht="15.0" customHeight="1">
      <c r="A1299" s="10" t="s">
        <v>32</v>
      </c>
      <c r="B1299" s="10"/>
      <c r="C1299" s="10" t="s">
        <v>33</v>
      </c>
      <c r="D1299" s="10" t="s">
        <v>34</v>
      </c>
      <c r="E1299" s="14">
        <v>2.0</v>
      </c>
      <c r="F1299" s="15">
        <f>ROUND(15.33,3)</f>
        <v>15.33</v>
      </c>
      <c r="G1299" s="12">
        <f>ROUND((E1299*F1299)/100,2)</f>
        <v>0.31</v>
      </c>
    </row>
    <row r="1300" ht="15.0" customHeight="1">
      <c r="A1300" s="16"/>
      <c r="B1300" s="16"/>
      <c r="C1300" s="16"/>
      <c r="D1300" s="17" t="s">
        <v>688</v>
      </c>
      <c r="E1300" s="16"/>
      <c r="F1300" s="18">
        <f>ROUND((G1291+G1294+G1299)*(1+G2/100),2)</f>
        <v>16.68</v>
      </c>
      <c r="G1300" s="16"/>
    </row>
    <row r="1301" ht="48.75" customHeight="1">
      <c r="A1301" s="19" t="s">
        <v>691</v>
      </c>
      <c r="B1301" s="20" t="s">
        <v>18</v>
      </c>
      <c r="C1301" s="20" t="s">
        <v>19</v>
      </c>
      <c r="D1301" s="20" t="s">
        <v>692</v>
      </c>
      <c r="E1301" s="21"/>
      <c r="F1301" s="22">
        <f>F1312</f>
        <v>9.77</v>
      </c>
      <c r="G1301" s="21"/>
    </row>
    <row r="1302" ht="21.0" customHeight="1">
      <c r="A1302" s="11"/>
      <c r="B1302" s="11"/>
      <c r="C1302" s="11"/>
      <c r="D1302" s="10" t="s">
        <v>693</v>
      </c>
    </row>
    <row r="1303" ht="30.0" customHeight="1">
      <c r="A1303" s="10" t="s">
        <v>684</v>
      </c>
      <c r="B1303" s="10" t="s">
        <v>18</v>
      </c>
      <c r="C1303" s="10" t="s">
        <v>23</v>
      </c>
      <c r="D1303" s="10" t="s">
        <v>685</v>
      </c>
      <c r="E1303" s="14">
        <v>0.2</v>
      </c>
      <c r="F1303" s="15">
        <f>F1305</f>
        <v>4.17</v>
      </c>
      <c r="G1303" s="12">
        <f t="shared" ref="G1303:G1310" si="229">ROUND(E1303*F1303,2)</f>
        <v>0.83</v>
      </c>
    </row>
    <row r="1304" ht="30.0" customHeight="1">
      <c r="A1304" s="10" t="s">
        <v>686</v>
      </c>
      <c r="B1304" s="10" t="s">
        <v>112</v>
      </c>
      <c r="C1304" s="10" t="s">
        <v>231</v>
      </c>
      <c r="D1304" s="10" t="s">
        <v>687</v>
      </c>
      <c r="E1304" s="14">
        <v>0.00417</v>
      </c>
      <c r="F1304" s="15">
        <f>ROUND(999,3)</f>
        <v>999</v>
      </c>
      <c r="G1304" s="12">
        <f t="shared" si="229"/>
        <v>4.17</v>
      </c>
    </row>
    <row r="1305" ht="15.0" customHeight="1">
      <c r="A1305" s="11"/>
      <c r="B1305" s="11"/>
      <c r="C1305" s="11"/>
      <c r="D1305" s="10" t="s">
        <v>684</v>
      </c>
      <c r="E1305" s="14">
        <v>0.2</v>
      </c>
      <c r="F1305" s="15">
        <f>ROUND((G1304),3)</f>
        <v>4.17</v>
      </c>
      <c r="G1305" s="12">
        <f t="shared" si="229"/>
        <v>0.83</v>
      </c>
    </row>
    <row r="1306" ht="21.0" customHeight="1">
      <c r="A1306" s="10" t="s">
        <v>22</v>
      </c>
      <c r="B1306" s="10" t="s">
        <v>18</v>
      </c>
      <c r="C1306" s="10" t="s">
        <v>23</v>
      </c>
      <c r="D1306" s="10" t="s">
        <v>24</v>
      </c>
      <c r="E1306" s="14">
        <v>0.2</v>
      </c>
      <c r="F1306" s="15">
        <f>F1310</f>
        <v>43.8</v>
      </c>
      <c r="G1306" s="12">
        <f t="shared" si="229"/>
        <v>8.76</v>
      </c>
    </row>
    <row r="1307" ht="24.0" customHeight="1">
      <c r="A1307" s="10" t="s">
        <v>25</v>
      </c>
      <c r="B1307" s="10" t="s">
        <v>26</v>
      </c>
      <c r="C1307" s="10" t="s">
        <v>23</v>
      </c>
      <c r="D1307" s="10" t="s">
        <v>27</v>
      </c>
      <c r="E1307" s="14">
        <v>1.0</v>
      </c>
      <c r="F1307" s="15">
        <f>ROUND(21,3)</f>
        <v>21</v>
      </c>
      <c r="G1307" s="12">
        <f t="shared" si="229"/>
        <v>21</v>
      </c>
    </row>
    <row r="1308" ht="24.0" customHeight="1">
      <c r="A1308" s="10" t="s">
        <v>28</v>
      </c>
      <c r="B1308" s="10" t="s">
        <v>26</v>
      </c>
      <c r="C1308" s="10" t="s">
        <v>23</v>
      </c>
      <c r="D1308" s="10" t="s">
        <v>29</v>
      </c>
      <c r="E1308" s="14">
        <v>1.0</v>
      </c>
      <c r="F1308" s="15">
        <f t="shared" ref="F1308:F1309" si="230">ROUND(19,3)</f>
        <v>19</v>
      </c>
      <c r="G1308" s="12">
        <f t="shared" si="229"/>
        <v>19</v>
      </c>
    </row>
    <row r="1309" ht="24.0" customHeight="1">
      <c r="A1309" s="10" t="s">
        <v>30</v>
      </c>
      <c r="B1309" s="10" t="s">
        <v>26</v>
      </c>
      <c r="C1309" s="10" t="s">
        <v>23</v>
      </c>
      <c r="D1309" s="10" t="s">
        <v>31</v>
      </c>
      <c r="E1309" s="14">
        <v>0.2</v>
      </c>
      <c r="F1309" s="15">
        <f t="shared" si="230"/>
        <v>19</v>
      </c>
      <c r="G1309" s="12">
        <f t="shared" si="229"/>
        <v>3.8</v>
      </c>
    </row>
    <row r="1310" ht="15.0" customHeight="1">
      <c r="A1310" s="11"/>
      <c r="B1310" s="11"/>
      <c r="C1310" s="11"/>
      <c r="D1310" s="10" t="s">
        <v>22</v>
      </c>
      <c r="E1310" s="14">
        <v>0.2</v>
      </c>
      <c r="F1310" s="15">
        <f>ROUND((G1307+G1308+G1309),3)</f>
        <v>43.8</v>
      </c>
      <c r="G1310" s="12">
        <f t="shared" si="229"/>
        <v>8.76</v>
      </c>
    </row>
    <row r="1311" ht="15.0" customHeight="1">
      <c r="A1311" s="10" t="s">
        <v>32</v>
      </c>
      <c r="B1311" s="10"/>
      <c r="C1311" s="10" t="s">
        <v>33</v>
      </c>
      <c r="D1311" s="10" t="s">
        <v>34</v>
      </c>
      <c r="E1311" s="14">
        <v>2.0</v>
      </c>
      <c r="F1311" s="15">
        <f>ROUND(8.76,3)</f>
        <v>8.76</v>
      </c>
      <c r="G1311" s="12">
        <f>ROUND((E1311*F1311)/100,2)</f>
        <v>0.18</v>
      </c>
    </row>
    <row r="1312" ht="24.75" customHeight="1">
      <c r="A1312" s="16"/>
      <c r="B1312" s="16"/>
      <c r="C1312" s="16"/>
      <c r="D1312" s="17" t="s">
        <v>691</v>
      </c>
      <c r="E1312" s="16"/>
      <c r="F1312" s="18">
        <f>ROUND((G1303+G1306+G1311)*(1+G2/100),2)</f>
        <v>9.77</v>
      </c>
      <c r="G1312" s="16"/>
    </row>
    <row r="1313" ht="48.75" customHeight="1">
      <c r="A1313" s="19" t="s">
        <v>694</v>
      </c>
      <c r="B1313" s="20" t="s">
        <v>18</v>
      </c>
      <c r="C1313" s="20" t="s">
        <v>19</v>
      </c>
      <c r="D1313" s="20" t="s">
        <v>695</v>
      </c>
      <c r="E1313" s="21"/>
      <c r="F1313" s="22">
        <f>F1324</f>
        <v>14.65</v>
      </c>
      <c r="G1313" s="21"/>
    </row>
    <row r="1314" ht="21.0" customHeight="1">
      <c r="A1314" s="11"/>
      <c r="B1314" s="11"/>
      <c r="C1314" s="11"/>
      <c r="D1314" s="10" t="s">
        <v>696</v>
      </c>
    </row>
    <row r="1315" ht="30.0" customHeight="1">
      <c r="A1315" s="10" t="s">
        <v>684</v>
      </c>
      <c r="B1315" s="10" t="s">
        <v>18</v>
      </c>
      <c r="C1315" s="10" t="s">
        <v>23</v>
      </c>
      <c r="D1315" s="10" t="s">
        <v>685</v>
      </c>
      <c r="E1315" s="14">
        <v>0.3</v>
      </c>
      <c r="F1315" s="15">
        <f>F1317</f>
        <v>4.17</v>
      </c>
      <c r="G1315" s="12">
        <f t="shared" ref="G1315:G1322" si="231">ROUND(E1315*F1315,2)</f>
        <v>1.25</v>
      </c>
    </row>
    <row r="1316" ht="30.0" customHeight="1">
      <c r="A1316" s="10" t="s">
        <v>686</v>
      </c>
      <c r="B1316" s="10" t="s">
        <v>112</v>
      </c>
      <c r="C1316" s="10" t="s">
        <v>231</v>
      </c>
      <c r="D1316" s="10" t="s">
        <v>687</v>
      </c>
      <c r="E1316" s="14">
        <v>0.00417</v>
      </c>
      <c r="F1316" s="15">
        <f>ROUND(999,3)</f>
        <v>999</v>
      </c>
      <c r="G1316" s="12">
        <f t="shared" si="231"/>
        <v>4.17</v>
      </c>
    </row>
    <row r="1317" ht="15.0" customHeight="1">
      <c r="A1317" s="11"/>
      <c r="B1317" s="11"/>
      <c r="C1317" s="11"/>
      <c r="D1317" s="10" t="s">
        <v>684</v>
      </c>
      <c r="E1317" s="14">
        <v>0.3</v>
      </c>
      <c r="F1317" s="15">
        <f>ROUND((G1316),3)</f>
        <v>4.17</v>
      </c>
      <c r="G1317" s="12">
        <f t="shared" si="231"/>
        <v>1.25</v>
      </c>
    </row>
    <row r="1318" ht="21.0" customHeight="1">
      <c r="A1318" s="10" t="s">
        <v>22</v>
      </c>
      <c r="B1318" s="10" t="s">
        <v>18</v>
      </c>
      <c r="C1318" s="10" t="s">
        <v>23</v>
      </c>
      <c r="D1318" s="10" t="s">
        <v>24</v>
      </c>
      <c r="E1318" s="14">
        <v>0.3</v>
      </c>
      <c r="F1318" s="15">
        <f>F1322</f>
        <v>43.8</v>
      </c>
      <c r="G1318" s="12">
        <f t="shared" si="231"/>
        <v>13.14</v>
      </c>
    </row>
    <row r="1319" ht="24.0" customHeight="1">
      <c r="A1319" s="10" t="s">
        <v>25</v>
      </c>
      <c r="B1319" s="10" t="s">
        <v>26</v>
      </c>
      <c r="C1319" s="10" t="s">
        <v>23</v>
      </c>
      <c r="D1319" s="10" t="s">
        <v>27</v>
      </c>
      <c r="E1319" s="14">
        <v>1.0</v>
      </c>
      <c r="F1319" s="15">
        <f>ROUND(21,3)</f>
        <v>21</v>
      </c>
      <c r="G1319" s="12">
        <f t="shared" si="231"/>
        <v>21</v>
      </c>
    </row>
    <row r="1320" ht="24.0" customHeight="1">
      <c r="A1320" s="10" t="s">
        <v>28</v>
      </c>
      <c r="B1320" s="10" t="s">
        <v>26</v>
      </c>
      <c r="C1320" s="10" t="s">
        <v>23</v>
      </c>
      <c r="D1320" s="10" t="s">
        <v>29</v>
      </c>
      <c r="E1320" s="14">
        <v>1.0</v>
      </c>
      <c r="F1320" s="15">
        <f t="shared" ref="F1320:F1321" si="232">ROUND(19,3)</f>
        <v>19</v>
      </c>
      <c r="G1320" s="12">
        <f t="shared" si="231"/>
        <v>19</v>
      </c>
    </row>
    <row r="1321" ht="24.0" customHeight="1">
      <c r="A1321" s="10" t="s">
        <v>30</v>
      </c>
      <c r="B1321" s="10" t="s">
        <v>26</v>
      </c>
      <c r="C1321" s="10" t="s">
        <v>23</v>
      </c>
      <c r="D1321" s="10" t="s">
        <v>31</v>
      </c>
      <c r="E1321" s="14">
        <v>0.2</v>
      </c>
      <c r="F1321" s="15">
        <f t="shared" si="232"/>
        <v>19</v>
      </c>
      <c r="G1321" s="12">
        <f t="shared" si="231"/>
        <v>3.8</v>
      </c>
    </row>
    <row r="1322" ht="15.0" customHeight="1">
      <c r="A1322" s="11"/>
      <c r="B1322" s="11"/>
      <c r="C1322" s="11"/>
      <c r="D1322" s="10" t="s">
        <v>22</v>
      </c>
      <c r="E1322" s="14">
        <v>0.3</v>
      </c>
      <c r="F1322" s="15">
        <f>ROUND((G1319+G1320+G1321),3)</f>
        <v>43.8</v>
      </c>
      <c r="G1322" s="12">
        <f t="shared" si="231"/>
        <v>13.14</v>
      </c>
    </row>
    <row r="1323" ht="15.0" customHeight="1">
      <c r="A1323" s="10" t="s">
        <v>32</v>
      </c>
      <c r="B1323" s="10"/>
      <c r="C1323" s="10" t="s">
        <v>33</v>
      </c>
      <c r="D1323" s="10" t="s">
        <v>34</v>
      </c>
      <c r="E1323" s="14">
        <v>2.0</v>
      </c>
      <c r="F1323" s="15">
        <f>ROUND(13.14,3)</f>
        <v>13.14</v>
      </c>
      <c r="G1323" s="12">
        <f>ROUND((E1323*F1323)/100,2)</f>
        <v>0.26</v>
      </c>
    </row>
    <row r="1324" ht="24.75" customHeight="1">
      <c r="A1324" s="16"/>
      <c r="B1324" s="16"/>
      <c r="C1324" s="16"/>
      <c r="D1324" s="17" t="s">
        <v>694</v>
      </c>
      <c r="E1324" s="16"/>
      <c r="F1324" s="18">
        <f>ROUND((G1315+G1318+G1323)*(1+G2/100),2)</f>
        <v>14.65</v>
      </c>
      <c r="G1324" s="16"/>
    </row>
    <row r="1325" ht="15.0" customHeight="1">
      <c r="A1325" s="23"/>
      <c r="B1325" s="23"/>
      <c r="C1325" s="23"/>
      <c r="D1325" s="24" t="s">
        <v>673</v>
      </c>
      <c r="E1325" s="25"/>
      <c r="F1325" s="25"/>
      <c r="G1325" s="25"/>
    </row>
    <row r="1326" ht="21.75" customHeight="1">
      <c r="A1326" s="26" t="s">
        <v>697</v>
      </c>
      <c r="B1326" s="26" t="s">
        <v>10</v>
      </c>
      <c r="C1326" s="27"/>
      <c r="D1326" s="26" t="s">
        <v>698</v>
      </c>
      <c r="E1326" s="27"/>
      <c r="F1326" s="27"/>
      <c r="G1326" s="27"/>
    </row>
    <row r="1327" ht="48.75" customHeight="1">
      <c r="A1327" s="13" t="s">
        <v>699</v>
      </c>
      <c r="B1327" s="10" t="s">
        <v>18</v>
      </c>
      <c r="C1327" s="10" t="s">
        <v>19</v>
      </c>
      <c r="D1327" s="10" t="s">
        <v>700</v>
      </c>
      <c r="E1327" s="11"/>
      <c r="F1327" s="12">
        <f>F1335</f>
        <v>23</v>
      </c>
      <c r="G1327" s="11"/>
    </row>
    <row r="1328" ht="21.0" customHeight="1">
      <c r="A1328" s="11"/>
      <c r="B1328" s="11"/>
      <c r="C1328" s="11"/>
      <c r="D1328" s="10" t="s">
        <v>701</v>
      </c>
    </row>
    <row r="1329" ht="21.0" customHeight="1">
      <c r="A1329" s="10" t="s">
        <v>22</v>
      </c>
      <c r="B1329" s="10" t="s">
        <v>18</v>
      </c>
      <c r="C1329" s="10" t="s">
        <v>23</v>
      </c>
      <c r="D1329" s="10" t="s">
        <v>24</v>
      </c>
      <c r="E1329" s="14">
        <v>0.5</v>
      </c>
      <c r="F1329" s="15">
        <f>F1333</f>
        <v>43.8</v>
      </c>
      <c r="G1329" s="12">
        <f t="shared" ref="G1329:G1333" si="233">ROUND(E1329*F1329,2)</f>
        <v>21.9</v>
      </c>
    </row>
    <row r="1330" ht="24.0" customHeight="1">
      <c r="A1330" s="10" t="s">
        <v>25</v>
      </c>
      <c r="B1330" s="10" t="s">
        <v>26</v>
      </c>
      <c r="C1330" s="10" t="s">
        <v>23</v>
      </c>
      <c r="D1330" s="10" t="s">
        <v>27</v>
      </c>
      <c r="E1330" s="14">
        <v>1.0</v>
      </c>
      <c r="F1330" s="15">
        <f>ROUND(21,3)</f>
        <v>21</v>
      </c>
      <c r="G1330" s="12">
        <f t="shared" si="233"/>
        <v>21</v>
      </c>
    </row>
    <row r="1331" ht="24.0" customHeight="1">
      <c r="A1331" s="10" t="s">
        <v>28</v>
      </c>
      <c r="B1331" s="10" t="s">
        <v>26</v>
      </c>
      <c r="C1331" s="10" t="s">
        <v>23</v>
      </c>
      <c r="D1331" s="10" t="s">
        <v>29</v>
      </c>
      <c r="E1331" s="14">
        <v>1.0</v>
      </c>
      <c r="F1331" s="15">
        <f t="shared" ref="F1331:F1332" si="234">ROUND(19,3)</f>
        <v>19</v>
      </c>
      <c r="G1331" s="12">
        <f t="shared" si="233"/>
        <v>19</v>
      </c>
    </row>
    <row r="1332" ht="24.0" customHeight="1">
      <c r="A1332" s="10" t="s">
        <v>30</v>
      </c>
      <c r="B1332" s="10" t="s">
        <v>26</v>
      </c>
      <c r="C1332" s="10" t="s">
        <v>23</v>
      </c>
      <c r="D1332" s="10" t="s">
        <v>31</v>
      </c>
      <c r="E1332" s="14">
        <v>0.2</v>
      </c>
      <c r="F1332" s="15">
        <f t="shared" si="234"/>
        <v>19</v>
      </c>
      <c r="G1332" s="12">
        <f t="shared" si="233"/>
        <v>3.8</v>
      </c>
    </row>
    <row r="1333" ht="15.0" customHeight="1">
      <c r="A1333" s="11"/>
      <c r="B1333" s="11"/>
      <c r="C1333" s="11"/>
      <c r="D1333" s="10" t="s">
        <v>22</v>
      </c>
      <c r="E1333" s="14">
        <v>0.5</v>
      </c>
      <c r="F1333" s="15">
        <f>ROUND((G1330+G1331+G1332),3)</f>
        <v>43.8</v>
      </c>
      <c r="G1333" s="12">
        <f t="shared" si="233"/>
        <v>21.9</v>
      </c>
    </row>
    <row r="1334" ht="15.0" customHeight="1">
      <c r="A1334" s="10" t="s">
        <v>32</v>
      </c>
      <c r="B1334" s="10"/>
      <c r="C1334" s="10" t="s">
        <v>33</v>
      </c>
      <c r="D1334" s="10" t="s">
        <v>34</v>
      </c>
      <c r="E1334" s="14">
        <v>5.0</v>
      </c>
      <c r="F1334" s="15">
        <f>ROUND(21.9,3)</f>
        <v>21.9</v>
      </c>
      <c r="G1334" s="12">
        <f>ROUND((E1334*F1334)/100,2)</f>
        <v>1.1</v>
      </c>
    </row>
    <row r="1335" ht="15.0" customHeight="1">
      <c r="A1335" s="16"/>
      <c r="B1335" s="16"/>
      <c r="C1335" s="16"/>
      <c r="D1335" s="17" t="s">
        <v>699</v>
      </c>
      <c r="E1335" s="16"/>
      <c r="F1335" s="18">
        <f>ROUND((G1329+G1334)*(1+G2/100),2)</f>
        <v>23</v>
      </c>
      <c r="G1335" s="16"/>
    </row>
    <row r="1336" ht="57.75" customHeight="1">
      <c r="A1336" s="19" t="s">
        <v>702</v>
      </c>
      <c r="B1336" s="20" t="s">
        <v>18</v>
      </c>
      <c r="C1336" s="20" t="s">
        <v>19</v>
      </c>
      <c r="D1336" s="20" t="s">
        <v>703</v>
      </c>
      <c r="E1336" s="21"/>
      <c r="F1336" s="22">
        <f>F1344</f>
        <v>32.19</v>
      </c>
      <c r="G1336" s="21"/>
    </row>
    <row r="1337" ht="21.0" customHeight="1">
      <c r="A1337" s="11"/>
      <c r="B1337" s="11"/>
      <c r="C1337" s="11"/>
      <c r="D1337" s="10" t="s">
        <v>704</v>
      </c>
    </row>
    <row r="1338" ht="21.0" customHeight="1">
      <c r="A1338" s="10" t="s">
        <v>22</v>
      </c>
      <c r="B1338" s="10" t="s">
        <v>18</v>
      </c>
      <c r="C1338" s="10" t="s">
        <v>23</v>
      </c>
      <c r="D1338" s="10" t="s">
        <v>24</v>
      </c>
      <c r="E1338" s="14">
        <v>0.7</v>
      </c>
      <c r="F1338" s="15">
        <f>F1342</f>
        <v>43.8</v>
      </c>
      <c r="G1338" s="12">
        <f t="shared" ref="G1338:G1342" si="235">ROUND(E1338*F1338,2)</f>
        <v>30.66</v>
      </c>
    </row>
    <row r="1339" ht="24.0" customHeight="1">
      <c r="A1339" s="10" t="s">
        <v>25</v>
      </c>
      <c r="B1339" s="10" t="s">
        <v>26</v>
      </c>
      <c r="C1339" s="10" t="s">
        <v>23</v>
      </c>
      <c r="D1339" s="10" t="s">
        <v>27</v>
      </c>
      <c r="E1339" s="14">
        <v>1.0</v>
      </c>
      <c r="F1339" s="15">
        <f>ROUND(21,3)</f>
        <v>21</v>
      </c>
      <c r="G1339" s="12">
        <f t="shared" si="235"/>
        <v>21</v>
      </c>
    </row>
    <row r="1340" ht="24.0" customHeight="1">
      <c r="A1340" s="10" t="s">
        <v>28</v>
      </c>
      <c r="B1340" s="10" t="s">
        <v>26</v>
      </c>
      <c r="C1340" s="10" t="s">
        <v>23</v>
      </c>
      <c r="D1340" s="10" t="s">
        <v>29</v>
      </c>
      <c r="E1340" s="14">
        <v>1.0</v>
      </c>
      <c r="F1340" s="15">
        <f t="shared" ref="F1340:F1341" si="236">ROUND(19,3)</f>
        <v>19</v>
      </c>
      <c r="G1340" s="12">
        <f t="shared" si="235"/>
        <v>19</v>
      </c>
    </row>
    <row r="1341" ht="24.0" customHeight="1">
      <c r="A1341" s="10" t="s">
        <v>30</v>
      </c>
      <c r="B1341" s="10" t="s">
        <v>26</v>
      </c>
      <c r="C1341" s="10" t="s">
        <v>23</v>
      </c>
      <c r="D1341" s="10" t="s">
        <v>31</v>
      </c>
      <c r="E1341" s="14">
        <v>0.2</v>
      </c>
      <c r="F1341" s="15">
        <f t="shared" si="236"/>
        <v>19</v>
      </c>
      <c r="G1341" s="12">
        <f t="shared" si="235"/>
        <v>3.8</v>
      </c>
    </row>
    <row r="1342" ht="15.0" customHeight="1">
      <c r="A1342" s="11"/>
      <c r="B1342" s="11"/>
      <c r="C1342" s="11"/>
      <c r="D1342" s="10" t="s">
        <v>22</v>
      </c>
      <c r="E1342" s="14">
        <v>0.7</v>
      </c>
      <c r="F1342" s="15">
        <f>ROUND((G1339+G1340+G1341),3)</f>
        <v>43.8</v>
      </c>
      <c r="G1342" s="12">
        <f t="shared" si="235"/>
        <v>30.66</v>
      </c>
    </row>
    <row r="1343" ht="15.0" customHeight="1">
      <c r="A1343" s="10" t="s">
        <v>32</v>
      </c>
      <c r="B1343" s="10"/>
      <c r="C1343" s="10" t="s">
        <v>33</v>
      </c>
      <c r="D1343" s="10" t="s">
        <v>34</v>
      </c>
      <c r="E1343" s="14">
        <v>5.0</v>
      </c>
      <c r="F1343" s="15">
        <f>ROUND(30.66,3)</f>
        <v>30.66</v>
      </c>
      <c r="G1343" s="12">
        <f>ROUND((E1343*F1343)/100,2)</f>
        <v>1.53</v>
      </c>
    </row>
    <row r="1344" ht="15.0" customHeight="1">
      <c r="A1344" s="16"/>
      <c r="B1344" s="16"/>
      <c r="C1344" s="16"/>
      <c r="D1344" s="17" t="s">
        <v>702</v>
      </c>
      <c r="E1344" s="16"/>
      <c r="F1344" s="18">
        <f>ROUND((G1338+G1343)*(1+G2/100),2)</f>
        <v>32.19</v>
      </c>
      <c r="G1344" s="16"/>
    </row>
    <row r="1345" ht="48.75" customHeight="1">
      <c r="A1345" s="19" t="s">
        <v>705</v>
      </c>
      <c r="B1345" s="20" t="s">
        <v>18</v>
      </c>
      <c r="C1345" s="20" t="s">
        <v>19</v>
      </c>
      <c r="D1345" s="20" t="s">
        <v>706</v>
      </c>
      <c r="E1345" s="21"/>
      <c r="F1345" s="22">
        <f>F1356</f>
        <v>12.21</v>
      </c>
      <c r="G1345" s="21"/>
    </row>
    <row r="1346" ht="21.0" customHeight="1">
      <c r="A1346" s="11"/>
      <c r="B1346" s="11"/>
      <c r="C1346" s="11"/>
      <c r="D1346" s="10" t="s">
        <v>707</v>
      </c>
    </row>
    <row r="1347" ht="30.0" customHeight="1">
      <c r="A1347" s="10" t="s">
        <v>684</v>
      </c>
      <c r="B1347" s="10" t="s">
        <v>18</v>
      </c>
      <c r="C1347" s="10" t="s">
        <v>23</v>
      </c>
      <c r="D1347" s="10" t="s">
        <v>685</v>
      </c>
      <c r="E1347" s="14">
        <v>0.25</v>
      </c>
      <c r="F1347" s="15">
        <f>F1349</f>
        <v>4.17</v>
      </c>
      <c r="G1347" s="12">
        <f t="shared" ref="G1347:G1354" si="237">ROUND(E1347*F1347,2)</f>
        <v>1.04</v>
      </c>
    </row>
    <row r="1348" ht="30.0" customHeight="1">
      <c r="A1348" s="10" t="s">
        <v>686</v>
      </c>
      <c r="B1348" s="10" t="s">
        <v>112</v>
      </c>
      <c r="C1348" s="10" t="s">
        <v>231</v>
      </c>
      <c r="D1348" s="10" t="s">
        <v>687</v>
      </c>
      <c r="E1348" s="14">
        <v>0.00417</v>
      </c>
      <c r="F1348" s="15">
        <f>ROUND(999,3)</f>
        <v>999</v>
      </c>
      <c r="G1348" s="12">
        <f t="shared" si="237"/>
        <v>4.17</v>
      </c>
    </row>
    <row r="1349" ht="15.0" customHeight="1">
      <c r="A1349" s="11"/>
      <c r="B1349" s="11"/>
      <c r="C1349" s="11"/>
      <c r="D1349" s="10" t="s">
        <v>684</v>
      </c>
      <c r="E1349" s="14">
        <v>0.25</v>
      </c>
      <c r="F1349" s="15">
        <f>ROUND((G1348),3)</f>
        <v>4.17</v>
      </c>
      <c r="G1349" s="12">
        <f t="shared" si="237"/>
        <v>1.04</v>
      </c>
    </row>
    <row r="1350" ht="21.0" customHeight="1">
      <c r="A1350" s="10" t="s">
        <v>22</v>
      </c>
      <c r="B1350" s="10" t="s">
        <v>18</v>
      </c>
      <c r="C1350" s="10" t="s">
        <v>23</v>
      </c>
      <c r="D1350" s="10" t="s">
        <v>24</v>
      </c>
      <c r="E1350" s="14">
        <v>0.25</v>
      </c>
      <c r="F1350" s="15">
        <f>F1354</f>
        <v>43.8</v>
      </c>
      <c r="G1350" s="12">
        <f t="shared" si="237"/>
        <v>10.95</v>
      </c>
    </row>
    <row r="1351" ht="24.0" customHeight="1">
      <c r="A1351" s="10" t="s">
        <v>25</v>
      </c>
      <c r="B1351" s="10" t="s">
        <v>26</v>
      </c>
      <c r="C1351" s="10" t="s">
        <v>23</v>
      </c>
      <c r="D1351" s="10" t="s">
        <v>27</v>
      </c>
      <c r="E1351" s="14">
        <v>1.0</v>
      </c>
      <c r="F1351" s="15">
        <f>ROUND(21,3)</f>
        <v>21</v>
      </c>
      <c r="G1351" s="12">
        <f t="shared" si="237"/>
        <v>21</v>
      </c>
    </row>
    <row r="1352" ht="24.0" customHeight="1">
      <c r="A1352" s="10" t="s">
        <v>28</v>
      </c>
      <c r="B1352" s="10" t="s">
        <v>26</v>
      </c>
      <c r="C1352" s="10" t="s">
        <v>23</v>
      </c>
      <c r="D1352" s="10" t="s">
        <v>29</v>
      </c>
      <c r="E1352" s="14">
        <v>1.0</v>
      </c>
      <c r="F1352" s="15">
        <f t="shared" ref="F1352:F1353" si="238">ROUND(19,3)</f>
        <v>19</v>
      </c>
      <c r="G1352" s="12">
        <f t="shared" si="237"/>
        <v>19</v>
      </c>
    </row>
    <row r="1353" ht="24.0" customHeight="1">
      <c r="A1353" s="10" t="s">
        <v>30</v>
      </c>
      <c r="B1353" s="10" t="s">
        <v>26</v>
      </c>
      <c r="C1353" s="10" t="s">
        <v>23</v>
      </c>
      <c r="D1353" s="10" t="s">
        <v>31</v>
      </c>
      <c r="E1353" s="14">
        <v>0.2</v>
      </c>
      <c r="F1353" s="15">
        <f t="shared" si="238"/>
        <v>19</v>
      </c>
      <c r="G1353" s="12">
        <f t="shared" si="237"/>
        <v>3.8</v>
      </c>
    </row>
    <row r="1354" ht="15.0" customHeight="1">
      <c r="A1354" s="11"/>
      <c r="B1354" s="11"/>
      <c r="C1354" s="11"/>
      <c r="D1354" s="10" t="s">
        <v>22</v>
      </c>
      <c r="E1354" s="14">
        <v>0.25</v>
      </c>
      <c r="F1354" s="15">
        <f>ROUND((G1351+G1352+G1353),3)</f>
        <v>43.8</v>
      </c>
      <c r="G1354" s="12">
        <f t="shared" si="237"/>
        <v>10.95</v>
      </c>
    </row>
    <row r="1355" ht="15.0" customHeight="1">
      <c r="A1355" s="10" t="s">
        <v>32</v>
      </c>
      <c r="B1355" s="10"/>
      <c r="C1355" s="10" t="s">
        <v>33</v>
      </c>
      <c r="D1355" s="10" t="s">
        <v>34</v>
      </c>
      <c r="E1355" s="14">
        <v>2.0</v>
      </c>
      <c r="F1355" s="15">
        <f>ROUND(10.95,3)</f>
        <v>10.95</v>
      </c>
      <c r="G1355" s="12">
        <f>ROUND((E1355*F1355)/100,2)</f>
        <v>0.22</v>
      </c>
    </row>
    <row r="1356" ht="15.0" customHeight="1">
      <c r="A1356" s="16"/>
      <c r="B1356" s="16"/>
      <c r="C1356" s="16"/>
      <c r="D1356" s="17" t="s">
        <v>705</v>
      </c>
      <c r="E1356" s="16"/>
      <c r="F1356" s="18">
        <f>ROUND((G1347+G1350+G1355)*(1+G2/100),2)</f>
        <v>12.21</v>
      </c>
      <c r="G1356" s="16"/>
    </row>
    <row r="1357" ht="67.5" customHeight="1">
      <c r="A1357" s="19" t="s">
        <v>708</v>
      </c>
      <c r="B1357" s="20" t="s">
        <v>18</v>
      </c>
      <c r="C1357" s="20" t="s">
        <v>19</v>
      </c>
      <c r="D1357" s="20" t="s">
        <v>709</v>
      </c>
      <c r="E1357" s="21"/>
      <c r="F1357" s="22">
        <f>F1368</f>
        <v>17.1</v>
      </c>
      <c r="G1357" s="21"/>
    </row>
    <row r="1358" ht="30.0" customHeight="1">
      <c r="A1358" s="11"/>
      <c r="B1358" s="11"/>
      <c r="C1358" s="11"/>
      <c r="D1358" s="10" t="s">
        <v>710</v>
      </c>
    </row>
    <row r="1359" ht="30.0" customHeight="1">
      <c r="A1359" s="10" t="s">
        <v>684</v>
      </c>
      <c r="B1359" s="10" t="s">
        <v>18</v>
      </c>
      <c r="C1359" s="10" t="s">
        <v>23</v>
      </c>
      <c r="D1359" s="10" t="s">
        <v>685</v>
      </c>
      <c r="E1359" s="14">
        <v>0.35</v>
      </c>
      <c r="F1359" s="15">
        <f>F1361</f>
        <v>4.17</v>
      </c>
      <c r="G1359" s="12">
        <f t="shared" ref="G1359:G1366" si="239">ROUND(E1359*F1359,2)</f>
        <v>1.46</v>
      </c>
    </row>
    <row r="1360" ht="30.0" customHeight="1">
      <c r="A1360" s="10" t="s">
        <v>686</v>
      </c>
      <c r="B1360" s="10" t="s">
        <v>112</v>
      </c>
      <c r="C1360" s="10" t="s">
        <v>231</v>
      </c>
      <c r="D1360" s="10" t="s">
        <v>687</v>
      </c>
      <c r="E1360" s="14">
        <v>0.00417</v>
      </c>
      <c r="F1360" s="15">
        <f>ROUND(999,3)</f>
        <v>999</v>
      </c>
      <c r="G1360" s="12">
        <f t="shared" si="239"/>
        <v>4.17</v>
      </c>
    </row>
    <row r="1361" ht="15.0" customHeight="1">
      <c r="A1361" s="11"/>
      <c r="B1361" s="11"/>
      <c r="C1361" s="11"/>
      <c r="D1361" s="10" t="s">
        <v>684</v>
      </c>
      <c r="E1361" s="14">
        <v>0.35</v>
      </c>
      <c r="F1361" s="15">
        <f>ROUND((G1360),3)</f>
        <v>4.17</v>
      </c>
      <c r="G1361" s="12">
        <f t="shared" si="239"/>
        <v>1.46</v>
      </c>
    </row>
    <row r="1362" ht="21.0" customHeight="1">
      <c r="A1362" s="10" t="s">
        <v>22</v>
      </c>
      <c r="B1362" s="10" t="s">
        <v>18</v>
      </c>
      <c r="C1362" s="10" t="s">
        <v>23</v>
      </c>
      <c r="D1362" s="10" t="s">
        <v>24</v>
      </c>
      <c r="E1362" s="14">
        <v>0.35</v>
      </c>
      <c r="F1362" s="15">
        <f>F1366</f>
        <v>43.8</v>
      </c>
      <c r="G1362" s="12">
        <f t="shared" si="239"/>
        <v>15.33</v>
      </c>
    </row>
    <row r="1363" ht="24.0" customHeight="1">
      <c r="A1363" s="10" t="s">
        <v>25</v>
      </c>
      <c r="B1363" s="10" t="s">
        <v>26</v>
      </c>
      <c r="C1363" s="10" t="s">
        <v>23</v>
      </c>
      <c r="D1363" s="10" t="s">
        <v>27</v>
      </c>
      <c r="E1363" s="14">
        <v>1.0</v>
      </c>
      <c r="F1363" s="15">
        <f>ROUND(21,3)</f>
        <v>21</v>
      </c>
      <c r="G1363" s="12">
        <f t="shared" si="239"/>
        <v>21</v>
      </c>
    </row>
    <row r="1364" ht="24.0" customHeight="1">
      <c r="A1364" s="10" t="s">
        <v>28</v>
      </c>
      <c r="B1364" s="10" t="s">
        <v>26</v>
      </c>
      <c r="C1364" s="10" t="s">
        <v>23</v>
      </c>
      <c r="D1364" s="10" t="s">
        <v>29</v>
      </c>
      <c r="E1364" s="14">
        <v>1.0</v>
      </c>
      <c r="F1364" s="15">
        <f t="shared" ref="F1364:F1365" si="240">ROUND(19,3)</f>
        <v>19</v>
      </c>
      <c r="G1364" s="12">
        <f t="shared" si="239"/>
        <v>19</v>
      </c>
    </row>
    <row r="1365" ht="24.0" customHeight="1">
      <c r="A1365" s="10" t="s">
        <v>30</v>
      </c>
      <c r="B1365" s="10" t="s">
        <v>26</v>
      </c>
      <c r="C1365" s="10" t="s">
        <v>23</v>
      </c>
      <c r="D1365" s="10" t="s">
        <v>31</v>
      </c>
      <c r="E1365" s="14">
        <v>0.2</v>
      </c>
      <c r="F1365" s="15">
        <f t="shared" si="240"/>
        <v>19</v>
      </c>
      <c r="G1365" s="12">
        <f t="shared" si="239"/>
        <v>3.8</v>
      </c>
    </row>
    <row r="1366" ht="15.0" customHeight="1">
      <c r="A1366" s="11"/>
      <c r="B1366" s="11"/>
      <c r="C1366" s="11"/>
      <c r="D1366" s="10" t="s">
        <v>22</v>
      </c>
      <c r="E1366" s="14">
        <v>0.35</v>
      </c>
      <c r="F1366" s="15">
        <f>ROUND((G1363+G1364+G1365),3)</f>
        <v>43.8</v>
      </c>
      <c r="G1366" s="12">
        <f t="shared" si="239"/>
        <v>15.33</v>
      </c>
    </row>
    <row r="1367" ht="15.0" customHeight="1">
      <c r="A1367" s="10" t="s">
        <v>32</v>
      </c>
      <c r="B1367" s="10"/>
      <c r="C1367" s="10" t="s">
        <v>33</v>
      </c>
      <c r="D1367" s="10" t="s">
        <v>34</v>
      </c>
      <c r="E1367" s="14">
        <v>2.0</v>
      </c>
      <c r="F1367" s="15">
        <f>ROUND(15.33,3)</f>
        <v>15.33</v>
      </c>
      <c r="G1367" s="12">
        <f>ROUND((E1367*F1367)/100,2)</f>
        <v>0.31</v>
      </c>
    </row>
    <row r="1368" ht="15.0" customHeight="1">
      <c r="A1368" s="16"/>
      <c r="B1368" s="16"/>
      <c r="C1368" s="16"/>
      <c r="D1368" s="17" t="s">
        <v>708</v>
      </c>
      <c r="E1368" s="16"/>
      <c r="F1368" s="18">
        <f>ROUND((G1359+G1362+G1367)*(1+G2/100),2)</f>
        <v>17.1</v>
      </c>
      <c r="G1368" s="16"/>
    </row>
    <row r="1369" ht="39.75" customHeight="1">
      <c r="A1369" s="19" t="s">
        <v>711</v>
      </c>
      <c r="B1369" s="20" t="s">
        <v>18</v>
      </c>
      <c r="C1369" s="20" t="s">
        <v>19</v>
      </c>
      <c r="D1369" s="20" t="s">
        <v>712</v>
      </c>
      <c r="E1369" s="21"/>
      <c r="F1369" s="22">
        <f>F1377</f>
        <v>18.4</v>
      </c>
      <c r="G1369" s="21"/>
    </row>
    <row r="1370" ht="21.0" customHeight="1">
      <c r="A1370" s="11"/>
      <c r="B1370" s="11"/>
      <c r="C1370" s="11"/>
      <c r="D1370" s="10" t="s">
        <v>713</v>
      </c>
    </row>
    <row r="1371" ht="21.0" customHeight="1">
      <c r="A1371" s="10" t="s">
        <v>22</v>
      </c>
      <c r="B1371" s="10" t="s">
        <v>18</v>
      </c>
      <c r="C1371" s="10" t="s">
        <v>23</v>
      </c>
      <c r="D1371" s="10" t="s">
        <v>24</v>
      </c>
      <c r="E1371" s="14">
        <v>0.4</v>
      </c>
      <c r="F1371" s="15">
        <f>F1375</f>
        <v>43.8</v>
      </c>
      <c r="G1371" s="12">
        <f t="shared" ref="G1371:G1375" si="241">ROUND(E1371*F1371,2)</f>
        <v>17.52</v>
      </c>
    </row>
    <row r="1372" ht="24.0" customHeight="1">
      <c r="A1372" s="10" t="s">
        <v>25</v>
      </c>
      <c r="B1372" s="10" t="s">
        <v>26</v>
      </c>
      <c r="C1372" s="10" t="s">
        <v>23</v>
      </c>
      <c r="D1372" s="10" t="s">
        <v>27</v>
      </c>
      <c r="E1372" s="14">
        <v>1.0</v>
      </c>
      <c r="F1372" s="15">
        <f>ROUND(21,3)</f>
        <v>21</v>
      </c>
      <c r="G1372" s="12">
        <f t="shared" si="241"/>
        <v>21</v>
      </c>
    </row>
    <row r="1373" ht="24.0" customHeight="1">
      <c r="A1373" s="10" t="s">
        <v>28</v>
      </c>
      <c r="B1373" s="10" t="s">
        <v>26</v>
      </c>
      <c r="C1373" s="10" t="s">
        <v>23</v>
      </c>
      <c r="D1373" s="10" t="s">
        <v>29</v>
      </c>
      <c r="E1373" s="14">
        <v>1.0</v>
      </c>
      <c r="F1373" s="15">
        <f t="shared" ref="F1373:F1374" si="242">ROUND(19,3)</f>
        <v>19</v>
      </c>
      <c r="G1373" s="12">
        <f t="shared" si="241"/>
        <v>19</v>
      </c>
    </row>
    <row r="1374" ht="24.0" customHeight="1">
      <c r="A1374" s="10" t="s">
        <v>30</v>
      </c>
      <c r="B1374" s="10" t="s">
        <v>26</v>
      </c>
      <c r="C1374" s="10" t="s">
        <v>23</v>
      </c>
      <c r="D1374" s="10" t="s">
        <v>31</v>
      </c>
      <c r="E1374" s="14">
        <v>0.2</v>
      </c>
      <c r="F1374" s="15">
        <f t="shared" si="242"/>
        <v>19</v>
      </c>
      <c r="G1374" s="12">
        <f t="shared" si="241"/>
        <v>3.8</v>
      </c>
    </row>
    <row r="1375" ht="15.0" customHeight="1">
      <c r="A1375" s="11"/>
      <c r="B1375" s="11"/>
      <c r="C1375" s="11"/>
      <c r="D1375" s="10" t="s">
        <v>22</v>
      </c>
      <c r="E1375" s="14">
        <v>0.4</v>
      </c>
      <c r="F1375" s="15">
        <f>ROUND((G1372+G1373+G1374),3)</f>
        <v>43.8</v>
      </c>
      <c r="G1375" s="12">
        <f t="shared" si="241"/>
        <v>17.52</v>
      </c>
    </row>
    <row r="1376" ht="15.0" customHeight="1">
      <c r="A1376" s="10" t="s">
        <v>32</v>
      </c>
      <c r="B1376" s="10"/>
      <c r="C1376" s="10" t="s">
        <v>33</v>
      </c>
      <c r="D1376" s="10" t="s">
        <v>34</v>
      </c>
      <c r="E1376" s="14">
        <v>5.0</v>
      </c>
      <c r="F1376" s="15">
        <f>ROUND(17.52,3)</f>
        <v>17.52</v>
      </c>
      <c r="G1376" s="12">
        <f>ROUND((E1376*F1376)/100,2)</f>
        <v>0.88</v>
      </c>
    </row>
    <row r="1377" ht="24.75" customHeight="1">
      <c r="A1377" s="16"/>
      <c r="B1377" s="16"/>
      <c r="C1377" s="16"/>
      <c r="D1377" s="17" t="s">
        <v>711</v>
      </c>
      <c r="E1377" s="16"/>
      <c r="F1377" s="18">
        <f>ROUND((G1371+G1376)*(1+G2/100),2)</f>
        <v>18.4</v>
      </c>
      <c r="G1377" s="16"/>
    </row>
    <row r="1378" ht="39.75" customHeight="1">
      <c r="A1378" s="19" t="s">
        <v>714</v>
      </c>
      <c r="B1378" s="20" t="s">
        <v>18</v>
      </c>
      <c r="C1378" s="20" t="s">
        <v>19</v>
      </c>
      <c r="D1378" s="20" t="s">
        <v>715</v>
      </c>
      <c r="E1378" s="21"/>
      <c r="F1378" s="22">
        <f>F1386</f>
        <v>25.76</v>
      </c>
      <c r="G1378" s="21"/>
    </row>
    <row r="1379" ht="21.0" customHeight="1">
      <c r="A1379" s="11"/>
      <c r="B1379" s="11"/>
      <c r="C1379" s="11"/>
      <c r="D1379" s="10" t="s">
        <v>716</v>
      </c>
    </row>
    <row r="1380" ht="21.0" customHeight="1">
      <c r="A1380" s="10" t="s">
        <v>22</v>
      </c>
      <c r="B1380" s="10" t="s">
        <v>18</v>
      </c>
      <c r="C1380" s="10" t="s">
        <v>23</v>
      </c>
      <c r="D1380" s="10" t="s">
        <v>24</v>
      </c>
      <c r="E1380" s="14">
        <v>0.56</v>
      </c>
      <c r="F1380" s="15">
        <f>F1384</f>
        <v>43.8</v>
      </c>
      <c r="G1380" s="12">
        <f t="shared" ref="G1380:G1384" si="243">ROUND(E1380*F1380,2)</f>
        <v>24.53</v>
      </c>
    </row>
    <row r="1381" ht="24.0" customHeight="1">
      <c r="A1381" s="10" t="s">
        <v>25</v>
      </c>
      <c r="B1381" s="10" t="s">
        <v>26</v>
      </c>
      <c r="C1381" s="10" t="s">
        <v>23</v>
      </c>
      <c r="D1381" s="10" t="s">
        <v>27</v>
      </c>
      <c r="E1381" s="14">
        <v>1.0</v>
      </c>
      <c r="F1381" s="15">
        <f>ROUND(21,3)</f>
        <v>21</v>
      </c>
      <c r="G1381" s="12">
        <f t="shared" si="243"/>
        <v>21</v>
      </c>
    </row>
    <row r="1382" ht="24.0" customHeight="1">
      <c r="A1382" s="10" t="s">
        <v>28</v>
      </c>
      <c r="B1382" s="10" t="s">
        <v>26</v>
      </c>
      <c r="C1382" s="10" t="s">
        <v>23</v>
      </c>
      <c r="D1382" s="10" t="s">
        <v>29</v>
      </c>
      <c r="E1382" s="14">
        <v>1.0</v>
      </c>
      <c r="F1382" s="15">
        <f t="shared" ref="F1382:F1383" si="244">ROUND(19,3)</f>
        <v>19</v>
      </c>
      <c r="G1382" s="12">
        <f t="shared" si="243"/>
        <v>19</v>
      </c>
    </row>
    <row r="1383" ht="24.0" customHeight="1">
      <c r="A1383" s="10" t="s">
        <v>30</v>
      </c>
      <c r="B1383" s="10" t="s">
        <v>26</v>
      </c>
      <c r="C1383" s="10" t="s">
        <v>23</v>
      </c>
      <c r="D1383" s="10" t="s">
        <v>31</v>
      </c>
      <c r="E1383" s="14">
        <v>0.2</v>
      </c>
      <c r="F1383" s="15">
        <f t="shared" si="244"/>
        <v>19</v>
      </c>
      <c r="G1383" s="12">
        <f t="shared" si="243"/>
        <v>3.8</v>
      </c>
    </row>
    <row r="1384" ht="15.0" customHeight="1">
      <c r="A1384" s="11"/>
      <c r="B1384" s="11"/>
      <c r="C1384" s="11"/>
      <c r="D1384" s="10" t="s">
        <v>22</v>
      </c>
      <c r="E1384" s="14">
        <v>0.56</v>
      </c>
      <c r="F1384" s="15">
        <f>ROUND((G1381+G1382+G1383),3)</f>
        <v>43.8</v>
      </c>
      <c r="G1384" s="12">
        <f t="shared" si="243"/>
        <v>24.53</v>
      </c>
    </row>
    <row r="1385" ht="15.0" customHeight="1">
      <c r="A1385" s="10" t="s">
        <v>32</v>
      </c>
      <c r="B1385" s="10"/>
      <c r="C1385" s="10" t="s">
        <v>33</v>
      </c>
      <c r="D1385" s="10" t="s">
        <v>34</v>
      </c>
      <c r="E1385" s="14">
        <v>5.0</v>
      </c>
      <c r="F1385" s="15">
        <f>ROUND(24.53,3)</f>
        <v>24.53</v>
      </c>
      <c r="G1385" s="12">
        <f>ROUND((E1385*F1385)/100,2)</f>
        <v>1.23</v>
      </c>
    </row>
    <row r="1386" ht="24.75" customHeight="1">
      <c r="A1386" s="16"/>
      <c r="B1386" s="16"/>
      <c r="C1386" s="16"/>
      <c r="D1386" s="17" t="s">
        <v>714</v>
      </c>
      <c r="E1386" s="16"/>
      <c r="F1386" s="18">
        <f>ROUND((G1380+G1385)*(1+G2/100),2)</f>
        <v>25.76</v>
      </c>
      <c r="G1386" s="16"/>
    </row>
    <row r="1387" ht="48.75" customHeight="1">
      <c r="A1387" s="19" t="s">
        <v>717</v>
      </c>
      <c r="B1387" s="20" t="s">
        <v>18</v>
      </c>
      <c r="C1387" s="20" t="s">
        <v>19</v>
      </c>
      <c r="D1387" s="20" t="s">
        <v>718</v>
      </c>
      <c r="E1387" s="21"/>
      <c r="F1387" s="22">
        <f>F1398</f>
        <v>9.77</v>
      </c>
      <c r="G1387" s="21"/>
    </row>
    <row r="1388" ht="21.0" customHeight="1">
      <c r="A1388" s="11"/>
      <c r="B1388" s="11"/>
      <c r="C1388" s="11"/>
      <c r="D1388" s="10" t="s">
        <v>719</v>
      </c>
    </row>
    <row r="1389" ht="30.0" customHeight="1">
      <c r="A1389" s="10" t="s">
        <v>684</v>
      </c>
      <c r="B1389" s="10" t="s">
        <v>18</v>
      </c>
      <c r="C1389" s="10" t="s">
        <v>23</v>
      </c>
      <c r="D1389" s="10" t="s">
        <v>685</v>
      </c>
      <c r="E1389" s="14">
        <v>0.2</v>
      </c>
      <c r="F1389" s="15">
        <f>F1391</f>
        <v>4.17</v>
      </c>
      <c r="G1389" s="12">
        <f t="shared" ref="G1389:G1396" si="245">ROUND(E1389*F1389,2)</f>
        <v>0.83</v>
      </c>
    </row>
    <row r="1390" ht="30.0" customHeight="1">
      <c r="A1390" s="10" t="s">
        <v>686</v>
      </c>
      <c r="B1390" s="10" t="s">
        <v>112</v>
      </c>
      <c r="C1390" s="10" t="s">
        <v>231</v>
      </c>
      <c r="D1390" s="10" t="s">
        <v>687</v>
      </c>
      <c r="E1390" s="14">
        <v>0.00417</v>
      </c>
      <c r="F1390" s="15">
        <f>ROUND(999,3)</f>
        <v>999</v>
      </c>
      <c r="G1390" s="12">
        <f t="shared" si="245"/>
        <v>4.17</v>
      </c>
    </row>
    <row r="1391" ht="15.0" customHeight="1">
      <c r="A1391" s="11"/>
      <c r="B1391" s="11"/>
      <c r="C1391" s="11"/>
      <c r="D1391" s="10" t="s">
        <v>684</v>
      </c>
      <c r="E1391" s="14">
        <v>0.2</v>
      </c>
      <c r="F1391" s="15">
        <f>ROUND((G1390),3)</f>
        <v>4.17</v>
      </c>
      <c r="G1391" s="12">
        <f t="shared" si="245"/>
        <v>0.83</v>
      </c>
    </row>
    <row r="1392" ht="21.0" customHeight="1">
      <c r="A1392" s="10" t="s">
        <v>22</v>
      </c>
      <c r="B1392" s="10" t="s">
        <v>18</v>
      </c>
      <c r="C1392" s="10" t="s">
        <v>23</v>
      </c>
      <c r="D1392" s="10" t="s">
        <v>24</v>
      </c>
      <c r="E1392" s="14">
        <v>0.2</v>
      </c>
      <c r="F1392" s="15">
        <f>F1396</f>
        <v>43.8</v>
      </c>
      <c r="G1392" s="12">
        <f t="shared" si="245"/>
        <v>8.76</v>
      </c>
    </row>
    <row r="1393" ht="24.0" customHeight="1">
      <c r="A1393" s="10" t="s">
        <v>25</v>
      </c>
      <c r="B1393" s="10" t="s">
        <v>26</v>
      </c>
      <c r="C1393" s="10" t="s">
        <v>23</v>
      </c>
      <c r="D1393" s="10" t="s">
        <v>27</v>
      </c>
      <c r="E1393" s="14">
        <v>1.0</v>
      </c>
      <c r="F1393" s="15">
        <f>ROUND(21,3)</f>
        <v>21</v>
      </c>
      <c r="G1393" s="12">
        <f t="shared" si="245"/>
        <v>21</v>
      </c>
    </row>
    <row r="1394" ht="24.0" customHeight="1">
      <c r="A1394" s="10" t="s">
        <v>28</v>
      </c>
      <c r="B1394" s="10" t="s">
        <v>26</v>
      </c>
      <c r="C1394" s="10" t="s">
        <v>23</v>
      </c>
      <c r="D1394" s="10" t="s">
        <v>29</v>
      </c>
      <c r="E1394" s="14">
        <v>1.0</v>
      </c>
      <c r="F1394" s="15">
        <f t="shared" ref="F1394:F1395" si="246">ROUND(19,3)</f>
        <v>19</v>
      </c>
      <c r="G1394" s="12">
        <f t="shared" si="245"/>
        <v>19</v>
      </c>
    </row>
    <row r="1395" ht="24.0" customHeight="1">
      <c r="A1395" s="10" t="s">
        <v>30</v>
      </c>
      <c r="B1395" s="10" t="s">
        <v>26</v>
      </c>
      <c r="C1395" s="10" t="s">
        <v>23</v>
      </c>
      <c r="D1395" s="10" t="s">
        <v>31</v>
      </c>
      <c r="E1395" s="14">
        <v>0.2</v>
      </c>
      <c r="F1395" s="15">
        <f t="shared" si="246"/>
        <v>19</v>
      </c>
      <c r="G1395" s="12">
        <f t="shared" si="245"/>
        <v>3.8</v>
      </c>
    </row>
    <row r="1396" ht="15.0" customHeight="1">
      <c r="A1396" s="11"/>
      <c r="B1396" s="11"/>
      <c r="C1396" s="11"/>
      <c r="D1396" s="10" t="s">
        <v>22</v>
      </c>
      <c r="E1396" s="14">
        <v>0.2</v>
      </c>
      <c r="F1396" s="15">
        <f>ROUND((G1393+G1394+G1395),3)</f>
        <v>43.8</v>
      </c>
      <c r="G1396" s="12">
        <f t="shared" si="245"/>
        <v>8.76</v>
      </c>
    </row>
    <row r="1397" ht="15.0" customHeight="1">
      <c r="A1397" s="10" t="s">
        <v>32</v>
      </c>
      <c r="B1397" s="10"/>
      <c r="C1397" s="10" t="s">
        <v>33</v>
      </c>
      <c r="D1397" s="10" t="s">
        <v>34</v>
      </c>
      <c r="E1397" s="14">
        <v>2.0</v>
      </c>
      <c r="F1397" s="15">
        <f>ROUND(8.76,3)</f>
        <v>8.76</v>
      </c>
      <c r="G1397" s="12">
        <f>ROUND((E1397*F1397)/100,2)</f>
        <v>0.18</v>
      </c>
    </row>
    <row r="1398" ht="24.75" customHeight="1">
      <c r="A1398" s="16"/>
      <c r="B1398" s="16"/>
      <c r="C1398" s="16"/>
      <c r="D1398" s="17" t="s">
        <v>717</v>
      </c>
      <c r="E1398" s="16"/>
      <c r="F1398" s="18">
        <f>ROUND((G1389+G1392+G1397)*(1+G2/100),2)</f>
        <v>9.77</v>
      </c>
      <c r="G1398" s="16"/>
    </row>
    <row r="1399" ht="48.75" customHeight="1">
      <c r="A1399" s="19" t="s">
        <v>720</v>
      </c>
      <c r="B1399" s="20" t="s">
        <v>18</v>
      </c>
      <c r="C1399" s="20" t="s">
        <v>19</v>
      </c>
      <c r="D1399" s="20" t="s">
        <v>721</v>
      </c>
      <c r="E1399" s="21"/>
      <c r="F1399" s="22">
        <f>F1410</f>
        <v>14.65</v>
      </c>
      <c r="G1399" s="21"/>
    </row>
    <row r="1400" ht="21.0" customHeight="1">
      <c r="A1400" s="11"/>
      <c r="B1400" s="11"/>
      <c r="C1400" s="11"/>
      <c r="D1400" s="10" t="s">
        <v>722</v>
      </c>
    </row>
    <row r="1401" ht="30.0" customHeight="1">
      <c r="A1401" s="10" t="s">
        <v>684</v>
      </c>
      <c r="B1401" s="10" t="s">
        <v>18</v>
      </c>
      <c r="C1401" s="10" t="s">
        <v>23</v>
      </c>
      <c r="D1401" s="10" t="s">
        <v>685</v>
      </c>
      <c r="E1401" s="14">
        <v>0.3</v>
      </c>
      <c r="F1401" s="15">
        <f>F1403</f>
        <v>4.17</v>
      </c>
      <c r="G1401" s="12">
        <f t="shared" ref="G1401:G1408" si="247">ROUND(E1401*F1401,2)</f>
        <v>1.25</v>
      </c>
    </row>
    <row r="1402" ht="30.0" customHeight="1">
      <c r="A1402" s="10" t="s">
        <v>686</v>
      </c>
      <c r="B1402" s="10" t="s">
        <v>112</v>
      </c>
      <c r="C1402" s="10" t="s">
        <v>231</v>
      </c>
      <c r="D1402" s="10" t="s">
        <v>687</v>
      </c>
      <c r="E1402" s="14">
        <v>0.00417</v>
      </c>
      <c r="F1402" s="15">
        <f>ROUND(999,3)</f>
        <v>999</v>
      </c>
      <c r="G1402" s="12">
        <f t="shared" si="247"/>
        <v>4.17</v>
      </c>
    </row>
    <row r="1403" ht="15.0" customHeight="1">
      <c r="A1403" s="11"/>
      <c r="B1403" s="11"/>
      <c r="C1403" s="11"/>
      <c r="D1403" s="10" t="s">
        <v>684</v>
      </c>
      <c r="E1403" s="14">
        <v>0.3</v>
      </c>
      <c r="F1403" s="15">
        <f>ROUND((G1402),3)</f>
        <v>4.17</v>
      </c>
      <c r="G1403" s="12">
        <f t="shared" si="247"/>
        <v>1.25</v>
      </c>
    </row>
    <row r="1404" ht="21.0" customHeight="1">
      <c r="A1404" s="10" t="s">
        <v>22</v>
      </c>
      <c r="B1404" s="10" t="s">
        <v>18</v>
      </c>
      <c r="C1404" s="10" t="s">
        <v>23</v>
      </c>
      <c r="D1404" s="10" t="s">
        <v>24</v>
      </c>
      <c r="E1404" s="14">
        <v>0.3</v>
      </c>
      <c r="F1404" s="15">
        <f>F1408</f>
        <v>43.8</v>
      </c>
      <c r="G1404" s="12">
        <f t="shared" si="247"/>
        <v>13.14</v>
      </c>
    </row>
    <row r="1405" ht="24.0" customHeight="1">
      <c r="A1405" s="10" t="s">
        <v>25</v>
      </c>
      <c r="B1405" s="10" t="s">
        <v>26</v>
      </c>
      <c r="C1405" s="10" t="s">
        <v>23</v>
      </c>
      <c r="D1405" s="10" t="s">
        <v>27</v>
      </c>
      <c r="E1405" s="14">
        <v>1.0</v>
      </c>
      <c r="F1405" s="15">
        <f>ROUND(21,3)</f>
        <v>21</v>
      </c>
      <c r="G1405" s="12">
        <f t="shared" si="247"/>
        <v>21</v>
      </c>
    </row>
    <row r="1406" ht="24.0" customHeight="1">
      <c r="A1406" s="10" t="s">
        <v>28</v>
      </c>
      <c r="B1406" s="10" t="s">
        <v>26</v>
      </c>
      <c r="C1406" s="10" t="s">
        <v>23</v>
      </c>
      <c r="D1406" s="10" t="s">
        <v>29</v>
      </c>
      <c r="E1406" s="14">
        <v>1.0</v>
      </c>
      <c r="F1406" s="15">
        <f t="shared" ref="F1406:F1407" si="248">ROUND(19,3)</f>
        <v>19</v>
      </c>
      <c r="G1406" s="12">
        <f t="shared" si="247"/>
        <v>19</v>
      </c>
    </row>
    <row r="1407" ht="24.0" customHeight="1">
      <c r="A1407" s="10" t="s">
        <v>30</v>
      </c>
      <c r="B1407" s="10" t="s">
        <v>26</v>
      </c>
      <c r="C1407" s="10" t="s">
        <v>23</v>
      </c>
      <c r="D1407" s="10" t="s">
        <v>31</v>
      </c>
      <c r="E1407" s="14">
        <v>0.2</v>
      </c>
      <c r="F1407" s="15">
        <f t="shared" si="248"/>
        <v>19</v>
      </c>
      <c r="G1407" s="12">
        <f t="shared" si="247"/>
        <v>3.8</v>
      </c>
    </row>
    <row r="1408" ht="15.0" customHeight="1">
      <c r="A1408" s="11"/>
      <c r="B1408" s="11"/>
      <c r="C1408" s="11"/>
      <c r="D1408" s="10" t="s">
        <v>22</v>
      </c>
      <c r="E1408" s="14">
        <v>0.3</v>
      </c>
      <c r="F1408" s="15">
        <f>ROUND((G1405+G1406+G1407),3)</f>
        <v>43.8</v>
      </c>
      <c r="G1408" s="12">
        <f t="shared" si="247"/>
        <v>13.14</v>
      </c>
    </row>
    <row r="1409" ht="15.0" customHeight="1">
      <c r="A1409" s="10" t="s">
        <v>32</v>
      </c>
      <c r="B1409" s="10"/>
      <c r="C1409" s="10" t="s">
        <v>33</v>
      </c>
      <c r="D1409" s="10" t="s">
        <v>34</v>
      </c>
      <c r="E1409" s="14">
        <v>2.0</v>
      </c>
      <c r="F1409" s="15">
        <f>ROUND(13.14,3)</f>
        <v>13.14</v>
      </c>
      <c r="G1409" s="12">
        <f>ROUND((E1409*F1409)/100,2)</f>
        <v>0.26</v>
      </c>
    </row>
    <row r="1410" ht="24.75" customHeight="1">
      <c r="A1410" s="16"/>
      <c r="B1410" s="16"/>
      <c r="C1410" s="16"/>
      <c r="D1410" s="17" t="s">
        <v>720</v>
      </c>
      <c r="E1410" s="16"/>
      <c r="F1410" s="18">
        <f>ROUND((G1401+G1404+G1409)*(1+G2/100),2)</f>
        <v>14.65</v>
      </c>
      <c r="G1410" s="16"/>
    </row>
    <row r="1411" ht="15.0" customHeight="1">
      <c r="A1411" s="23"/>
      <c r="B1411" s="23"/>
      <c r="C1411" s="23"/>
      <c r="D1411" s="24" t="s">
        <v>697</v>
      </c>
      <c r="E1411" s="25"/>
      <c r="F1411" s="25"/>
      <c r="G1411" s="25"/>
    </row>
    <row r="1412" ht="24.75" customHeight="1">
      <c r="A1412" s="26" t="s">
        <v>723</v>
      </c>
      <c r="B1412" s="26" t="s">
        <v>10</v>
      </c>
      <c r="C1412" s="27"/>
      <c r="D1412" s="26" t="s">
        <v>724</v>
      </c>
      <c r="E1412" s="27"/>
      <c r="F1412" s="44">
        <v>0.0</v>
      </c>
      <c r="G1412" s="27"/>
    </row>
    <row r="1413" ht="15.0" customHeight="1">
      <c r="A1413" s="16"/>
      <c r="B1413" s="16"/>
      <c r="C1413" s="16"/>
      <c r="D1413" s="45" t="s">
        <v>723</v>
      </c>
      <c r="E1413" s="46"/>
      <c r="F1413" s="46"/>
      <c r="G1413" s="46"/>
    </row>
    <row r="1414" ht="24.75" customHeight="1">
      <c r="A1414" s="26" t="s">
        <v>725</v>
      </c>
      <c r="B1414" s="26" t="s">
        <v>10</v>
      </c>
      <c r="C1414" s="27"/>
      <c r="D1414" s="26" t="s">
        <v>726</v>
      </c>
      <c r="E1414" s="27"/>
      <c r="F1414" s="27"/>
      <c r="G1414" s="27"/>
    </row>
    <row r="1415" ht="48.75" customHeight="1">
      <c r="A1415" s="13" t="s">
        <v>727</v>
      </c>
      <c r="B1415" s="10" t="s">
        <v>18</v>
      </c>
      <c r="C1415" s="10" t="s">
        <v>351</v>
      </c>
      <c r="D1415" s="10" t="s">
        <v>728</v>
      </c>
      <c r="E1415" s="11"/>
      <c r="F1415" s="12">
        <f>F1423</f>
        <v>13.8</v>
      </c>
      <c r="G1415" s="11"/>
    </row>
    <row r="1416" ht="21.0" customHeight="1">
      <c r="A1416" s="11"/>
      <c r="B1416" s="11"/>
      <c r="C1416" s="11"/>
      <c r="D1416" s="10" t="s">
        <v>729</v>
      </c>
    </row>
    <row r="1417" ht="21.0" customHeight="1">
      <c r="A1417" s="10" t="s">
        <v>22</v>
      </c>
      <c r="B1417" s="10" t="s">
        <v>18</v>
      </c>
      <c r="C1417" s="10" t="s">
        <v>23</v>
      </c>
      <c r="D1417" s="10" t="s">
        <v>24</v>
      </c>
      <c r="E1417" s="14">
        <v>0.3</v>
      </c>
      <c r="F1417" s="15">
        <f>F1421</f>
        <v>43.8</v>
      </c>
      <c r="G1417" s="12">
        <f t="shared" ref="G1417:G1421" si="249">ROUND(E1417*F1417,2)</f>
        <v>13.14</v>
      </c>
    </row>
    <row r="1418" ht="24.0" customHeight="1">
      <c r="A1418" s="10" t="s">
        <v>25</v>
      </c>
      <c r="B1418" s="10" t="s">
        <v>26</v>
      </c>
      <c r="C1418" s="10" t="s">
        <v>23</v>
      </c>
      <c r="D1418" s="10" t="s">
        <v>27</v>
      </c>
      <c r="E1418" s="14">
        <v>1.0</v>
      </c>
      <c r="F1418" s="15">
        <f>ROUND(21,3)</f>
        <v>21</v>
      </c>
      <c r="G1418" s="12">
        <f t="shared" si="249"/>
        <v>21</v>
      </c>
    </row>
    <row r="1419" ht="24.0" customHeight="1">
      <c r="A1419" s="10" t="s">
        <v>28</v>
      </c>
      <c r="B1419" s="10" t="s">
        <v>26</v>
      </c>
      <c r="C1419" s="10" t="s">
        <v>23</v>
      </c>
      <c r="D1419" s="10" t="s">
        <v>29</v>
      </c>
      <c r="E1419" s="14">
        <v>1.0</v>
      </c>
      <c r="F1419" s="15">
        <f t="shared" ref="F1419:F1420" si="250">ROUND(19,3)</f>
        <v>19</v>
      </c>
      <c r="G1419" s="12">
        <f t="shared" si="249"/>
        <v>19</v>
      </c>
    </row>
    <row r="1420" ht="24.0" customHeight="1">
      <c r="A1420" s="10" t="s">
        <v>30</v>
      </c>
      <c r="B1420" s="10" t="s">
        <v>26</v>
      </c>
      <c r="C1420" s="10" t="s">
        <v>23</v>
      </c>
      <c r="D1420" s="10" t="s">
        <v>31</v>
      </c>
      <c r="E1420" s="14">
        <v>0.2</v>
      </c>
      <c r="F1420" s="15">
        <f t="shared" si="250"/>
        <v>19</v>
      </c>
      <c r="G1420" s="12">
        <f t="shared" si="249"/>
        <v>3.8</v>
      </c>
    </row>
    <row r="1421" ht="15.0" customHeight="1">
      <c r="A1421" s="11"/>
      <c r="B1421" s="11"/>
      <c r="C1421" s="11"/>
      <c r="D1421" s="10" t="s">
        <v>22</v>
      </c>
      <c r="E1421" s="14">
        <v>0.3</v>
      </c>
      <c r="F1421" s="15">
        <f>ROUND((G1418+G1419+G1420),3)</f>
        <v>43.8</v>
      </c>
      <c r="G1421" s="12">
        <f t="shared" si="249"/>
        <v>13.14</v>
      </c>
    </row>
    <row r="1422" ht="15.0" customHeight="1">
      <c r="A1422" s="10" t="s">
        <v>32</v>
      </c>
      <c r="B1422" s="10"/>
      <c r="C1422" s="10" t="s">
        <v>33</v>
      </c>
      <c r="D1422" s="10" t="s">
        <v>34</v>
      </c>
      <c r="E1422" s="14">
        <v>5.0</v>
      </c>
      <c r="F1422" s="15">
        <f>ROUND(13.14,3)</f>
        <v>13.14</v>
      </c>
      <c r="G1422" s="12">
        <f>ROUND((E1422*F1422)/100,2)</f>
        <v>0.66</v>
      </c>
    </row>
    <row r="1423" ht="24.75" customHeight="1">
      <c r="A1423" s="16"/>
      <c r="B1423" s="16"/>
      <c r="C1423" s="16"/>
      <c r="D1423" s="17" t="s">
        <v>727</v>
      </c>
      <c r="E1423" s="16"/>
      <c r="F1423" s="18">
        <f>ROUND((G1417+G1422)*(1+G2/100),2)</f>
        <v>13.8</v>
      </c>
      <c r="G1423" s="16"/>
    </row>
    <row r="1424" ht="48.75" customHeight="1">
      <c r="A1424" s="19" t="s">
        <v>730</v>
      </c>
      <c r="B1424" s="20" t="s">
        <v>18</v>
      </c>
      <c r="C1424" s="20" t="s">
        <v>351</v>
      </c>
      <c r="D1424" s="20" t="s">
        <v>731</v>
      </c>
      <c r="E1424" s="21"/>
      <c r="F1424" s="22">
        <f>F1432</f>
        <v>19.32</v>
      </c>
      <c r="G1424" s="21"/>
    </row>
    <row r="1425" ht="21.0" customHeight="1">
      <c r="A1425" s="11"/>
      <c r="B1425" s="11"/>
      <c r="C1425" s="11"/>
      <c r="D1425" s="10" t="s">
        <v>732</v>
      </c>
    </row>
    <row r="1426" ht="21.0" customHeight="1">
      <c r="A1426" s="10" t="s">
        <v>22</v>
      </c>
      <c r="B1426" s="10" t="s">
        <v>18</v>
      </c>
      <c r="C1426" s="10" t="s">
        <v>23</v>
      </c>
      <c r="D1426" s="10" t="s">
        <v>24</v>
      </c>
      <c r="E1426" s="14">
        <v>0.42</v>
      </c>
      <c r="F1426" s="15">
        <f>F1430</f>
        <v>43.8</v>
      </c>
      <c r="G1426" s="12">
        <f t="shared" ref="G1426:G1430" si="251">ROUND(E1426*F1426,2)</f>
        <v>18.4</v>
      </c>
    </row>
    <row r="1427" ht="24.0" customHeight="1">
      <c r="A1427" s="10" t="s">
        <v>25</v>
      </c>
      <c r="B1427" s="10" t="s">
        <v>26</v>
      </c>
      <c r="C1427" s="10" t="s">
        <v>23</v>
      </c>
      <c r="D1427" s="10" t="s">
        <v>27</v>
      </c>
      <c r="E1427" s="14">
        <v>1.0</v>
      </c>
      <c r="F1427" s="15">
        <f>ROUND(21,3)</f>
        <v>21</v>
      </c>
      <c r="G1427" s="12">
        <f t="shared" si="251"/>
        <v>21</v>
      </c>
    </row>
    <row r="1428" ht="24.0" customHeight="1">
      <c r="A1428" s="10" t="s">
        <v>28</v>
      </c>
      <c r="B1428" s="10" t="s">
        <v>26</v>
      </c>
      <c r="C1428" s="10" t="s">
        <v>23</v>
      </c>
      <c r="D1428" s="10" t="s">
        <v>29</v>
      </c>
      <c r="E1428" s="14">
        <v>1.0</v>
      </c>
      <c r="F1428" s="15">
        <f t="shared" ref="F1428:F1429" si="252">ROUND(19,3)</f>
        <v>19</v>
      </c>
      <c r="G1428" s="12">
        <f t="shared" si="251"/>
        <v>19</v>
      </c>
    </row>
    <row r="1429" ht="24.0" customHeight="1">
      <c r="A1429" s="10" t="s">
        <v>30</v>
      </c>
      <c r="B1429" s="10" t="s">
        <v>26</v>
      </c>
      <c r="C1429" s="10" t="s">
        <v>23</v>
      </c>
      <c r="D1429" s="10" t="s">
        <v>31</v>
      </c>
      <c r="E1429" s="14">
        <v>0.2</v>
      </c>
      <c r="F1429" s="15">
        <f t="shared" si="252"/>
        <v>19</v>
      </c>
      <c r="G1429" s="12">
        <f t="shared" si="251"/>
        <v>3.8</v>
      </c>
    </row>
    <row r="1430" ht="15.0" customHeight="1">
      <c r="A1430" s="11"/>
      <c r="B1430" s="11"/>
      <c r="C1430" s="11"/>
      <c r="D1430" s="10" t="s">
        <v>22</v>
      </c>
      <c r="E1430" s="14">
        <v>0.42</v>
      </c>
      <c r="F1430" s="15">
        <f>ROUND((G1427+G1428+G1429),3)</f>
        <v>43.8</v>
      </c>
      <c r="G1430" s="12">
        <f t="shared" si="251"/>
        <v>18.4</v>
      </c>
    </row>
    <row r="1431" ht="15.0" customHeight="1">
      <c r="A1431" s="10" t="s">
        <v>32</v>
      </c>
      <c r="B1431" s="10"/>
      <c r="C1431" s="10" t="s">
        <v>33</v>
      </c>
      <c r="D1431" s="10" t="s">
        <v>34</v>
      </c>
      <c r="E1431" s="14">
        <v>5.0</v>
      </c>
      <c r="F1431" s="15">
        <f>ROUND(18.4,3)</f>
        <v>18.4</v>
      </c>
      <c r="G1431" s="12">
        <f>ROUND((E1431*F1431)/100,2)</f>
        <v>0.92</v>
      </c>
    </row>
    <row r="1432" ht="24.75" customHeight="1">
      <c r="A1432" s="16"/>
      <c r="B1432" s="16"/>
      <c r="C1432" s="16"/>
      <c r="D1432" s="17" t="s">
        <v>730</v>
      </c>
      <c r="E1432" s="16"/>
      <c r="F1432" s="18">
        <f>ROUND((G1426+G1431)*(1+G2/100),2)</f>
        <v>19.32</v>
      </c>
      <c r="G1432" s="16"/>
    </row>
    <row r="1433" ht="48.75" customHeight="1">
      <c r="A1433" s="19" t="s">
        <v>733</v>
      </c>
      <c r="B1433" s="20" t="s">
        <v>18</v>
      </c>
      <c r="C1433" s="20" t="s">
        <v>351</v>
      </c>
      <c r="D1433" s="20" t="s">
        <v>734</v>
      </c>
      <c r="E1433" s="21"/>
      <c r="F1433" s="22">
        <f>F1441</f>
        <v>23</v>
      </c>
      <c r="G1433" s="21"/>
    </row>
    <row r="1434" ht="21.0" customHeight="1">
      <c r="A1434" s="11"/>
      <c r="B1434" s="11"/>
      <c r="C1434" s="11"/>
      <c r="D1434" s="10" t="s">
        <v>735</v>
      </c>
    </row>
    <row r="1435" ht="21.0" customHeight="1">
      <c r="A1435" s="10" t="s">
        <v>22</v>
      </c>
      <c r="B1435" s="10" t="s">
        <v>18</v>
      </c>
      <c r="C1435" s="10" t="s">
        <v>23</v>
      </c>
      <c r="D1435" s="10" t="s">
        <v>24</v>
      </c>
      <c r="E1435" s="14">
        <v>0.5</v>
      </c>
      <c r="F1435" s="15">
        <f>F1439</f>
        <v>43.8</v>
      </c>
      <c r="G1435" s="12">
        <f t="shared" ref="G1435:G1439" si="253">ROUND(E1435*F1435,2)</f>
        <v>21.9</v>
      </c>
    </row>
    <row r="1436" ht="24.0" customHeight="1">
      <c r="A1436" s="10" t="s">
        <v>25</v>
      </c>
      <c r="B1436" s="10" t="s">
        <v>26</v>
      </c>
      <c r="C1436" s="10" t="s">
        <v>23</v>
      </c>
      <c r="D1436" s="10" t="s">
        <v>27</v>
      </c>
      <c r="E1436" s="14">
        <v>1.0</v>
      </c>
      <c r="F1436" s="15">
        <f>ROUND(21,3)</f>
        <v>21</v>
      </c>
      <c r="G1436" s="12">
        <f t="shared" si="253"/>
        <v>21</v>
      </c>
    </row>
    <row r="1437" ht="24.0" customHeight="1">
      <c r="A1437" s="10" t="s">
        <v>28</v>
      </c>
      <c r="B1437" s="10" t="s">
        <v>26</v>
      </c>
      <c r="C1437" s="10" t="s">
        <v>23</v>
      </c>
      <c r="D1437" s="10" t="s">
        <v>29</v>
      </c>
      <c r="E1437" s="14">
        <v>1.0</v>
      </c>
      <c r="F1437" s="15">
        <f t="shared" ref="F1437:F1438" si="254">ROUND(19,3)</f>
        <v>19</v>
      </c>
      <c r="G1437" s="12">
        <f t="shared" si="253"/>
        <v>19</v>
      </c>
    </row>
    <row r="1438" ht="24.0" customHeight="1">
      <c r="A1438" s="10" t="s">
        <v>30</v>
      </c>
      <c r="B1438" s="10" t="s">
        <v>26</v>
      </c>
      <c r="C1438" s="10" t="s">
        <v>23</v>
      </c>
      <c r="D1438" s="10" t="s">
        <v>31</v>
      </c>
      <c r="E1438" s="14">
        <v>0.2</v>
      </c>
      <c r="F1438" s="15">
        <f t="shared" si="254"/>
        <v>19</v>
      </c>
      <c r="G1438" s="12">
        <f t="shared" si="253"/>
        <v>3.8</v>
      </c>
    </row>
    <row r="1439" ht="15.0" customHeight="1">
      <c r="A1439" s="11"/>
      <c r="B1439" s="11"/>
      <c r="C1439" s="11"/>
      <c r="D1439" s="10" t="s">
        <v>22</v>
      </c>
      <c r="E1439" s="14">
        <v>0.5</v>
      </c>
      <c r="F1439" s="15">
        <f>ROUND((G1436+G1437+G1438),3)</f>
        <v>43.8</v>
      </c>
      <c r="G1439" s="12">
        <f t="shared" si="253"/>
        <v>21.9</v>
      </c>
    </row>
    <row r="1440" ht="15.0" customHeight="1">
      <c r="A1440" s="10" t="s">
        <v>32</v>
      </c>
      <c r="B1440" s="10"/>
      <c r="C1440" s="10" t="s">
        <v>33</v>
      </c>
      <c r="D1440" s="10" t="s">
        <v>34</v>
      </c>
      <c r="E1440" s="14">
        <v>5.0</v>
      </c>
      <c r="F1440" s="15">
        <f>ROUND(21.9,3)</f>
        <v>21.9</v>
      </c>
      <c r="G1440" s="12">
        <f>ROUND((E1440*F1440)/100,2)</f>
        <v>1.1</v>
      </c>
    </row>
    <row r="1441" ht="24.75" customHeight="1">
      <c r="A1441" s="16"/>
      <c r="B1441" s="16"/>
      <c r="C1441" s="16"/>
      <c r="D1441" s="17" t="s">
        <v>733</v>
      </c>
      <c r="E1441" s="16"/>
      <c r="F1441" s="18">
        <f>ROUND((G1435+G1440)*(1+G2/100),2)</f>
        <v>23</v>
      </c>
      <c r="G1441" s="16"/>
    </row>
    <row r="1442" ht="48.75" customHeight="1">
      <c r="A1442" s="19" t="s">
        <v>736</v>
      </c>
      <c r="B1442" s="20" t="s">
        <v>18</v>
      </c>
      <c r="C1442" s="20" t="s">
        <v>351</v>
      </c>
      <c r="D1442" s="20" t="s">
        <v>737</v>
      </c>
      <c r="E1442" s="21"/>
      <c r="F1442" s="22">
        <f>F1450</f>
        <v>32.19</v>
      </c>
      <c r="G1442" s="21"/>
    </row>
    <row r="1443" ht="21.0" customHeight="1">
      <c r="A1443" s="11"/>
      <c r="B1443" s="11"/>
      <c r="C1443" s="11"/>
      <c r="D1443" s="10" t="s">
        <v>738</v>
      </c>
    </row>
    <row r="1444" ht="21.0" customHeight="1">
      <c r="A1444" s="10" t="s">
        <v>22</v>
      </c>
      <c r="B1444" s="10" t="s">
        <v>18</v>
      </c>
      <c r="C1444" s="10" t="s">
        <v>23</v>
      </c>
      <c r="D1444" s="10" t="s">
        <v>24</v>
      </c>
      <c r="E1444" s="14">
        <v>0.7</v>
      </c>
      <c r="F1444" s="15">
        <f>F1448</f>
        <v>43.8</v>
      </c>
      <c r="G1444" s="12">
        <f t="shared" ref="G1444:G1448" si="255">ROUND(E1444*F1444,2)</f>
        <v>30.66</v>
      </c>
    </row>
    <row r="1445" ht="24.0" customHeight="1">
      <c r="A1445" s="10" t="s">
        <v>25</v>
      </c>
      <c r="B1445" s="10" t="s">
        <v>26</v>
      </c>
      <c r="C1445" s="10" t="s">
        <v>23</v>
      </c>
      <c r="D1445" s="10" t="s">
        <v>27</v>
      </c>
      <c r="E1445" s="14">
        <v>1.0</v>
      </c>
      <c r="F1445" s="15">
        <f>ROUND(21,3)</f>
        <v>21</v>
      </c>
      <c r="G1445" s="12">
        <f t="shared" si="255"/>
        <v>21</v>
      </c>
    </row>
    <row r="1446" ht="24.0" customHeight="1">
      <c r="A1446" s="10" t="s">
        <v>28</v>
      </c>
      <c r="B1446" s="10" t="s">
        <v>26</v>
      </c>
      <c r="C1446" s="10" t="s">
        <v>23</v>
      </c>
      <c r="D1446" s="10" t="s">
        <v>29</v>
      </c>
      <c r="E1446" s="14">
        <v>1.0</v>
      </c>
      <c r="F1446" s="15">
        <f t="shared" ref="F1446:F1447" si="256">ROUND(19,3)</f>
        <v>19</v>
      </c>
      <c r="G1446" s="12">
        <f t="shared" si="255"/>
        <v>19</v>
      </c>
    </row>
    <row r="1447" ht="24.0" customHeight="1">
      <c r="A1447" s="10" t="s">
        <v>30</v>
      </c>
      <c r="B1447" s="10" t="s">
        <v>26</v>
      </c>
      <c r="C1447" s="10" t="s">
        <v>23</v>
      </c>
      <c r="D1447" s="10" t="s">
        <v>31</v>
      </c>
      <c r="E1447" s="14">
        <v>0.2</v>
      </c>
      <c r="F1447" s="15">
        <f t="shared" si="256"/>
        <v>19</v>
      </c>
      <c r="G1447" s="12">
        <f t="shared" si="255"/>
        <v>3.8</v>
      </c>
    </row>
    <row r="1448" ht="15.0" customHeight="1">
      <c r="A1448" s="11"/>
      <c r="B1448" s="11"/>
      <c r="C1448" s="11"/>
      <c r="D1448" s="10" t="s">
        <v>22</v>
      </c>
      <c r="E1448" s="14">
        <v>0.7</v>
      </c>
      <c r="F1448" s="15">
        <f>ROUND((G1445+G1446+G1447),3)</f>
        <v>43.8</v>
      </c>
      <c r="G1448" s="12">
        <f t="shared" si="255"/>
        <v>30.66</v>
      </c>
    </row>
    <row r="1449" ht="15.0" customHeight="1">
      <c r="A1449" s="10" t="s">
        <v>32</v>
      </c>
      <c r="B1449" s="10"/>
      <c r="C1449" s="10" t="s">
        <v>33</v>
      </c>
      <c r="D1449" s="10" t="s">
        <v>34</v>
      </c>
      <c r="E1449" s="14">
        <v>5.0</v>
      </c>
      <c r="F1449" s="15">
        <f>ROUND(30.66,3)</f>
        <v>30.66</v>
      </c>
      <c r="G1449" s="12">
        <f>ROUND((E1449*F1449)/100,2)</f>
        <v>1.53</v>
      </c>
    </row>
    <row r="1450" ht="24.75" customHeight="1">
      <c r="A1450" s="16"/>
      <c r="B1450" s="16"/>
      <c r="C1450" s="16"/>
      <c r="D1450" s="17" t="s">
        <v>736</v>
      </c>
      <c r="E1450" s="16"/>
      <c r="F1450" s="18">
        <f>ROUND((G1444+G1449)*(1+G2/100),2)</f>
        <v>32.19</v>
      </c>
      <c r="G1450" s="16"/>
    </row>
    <row r="1451" ht="15.0" customHeight="1">
      <c r="A1451" s="23"/>
      <c r="B1451" s="23"/>
      <c r="C1451" s="23"/>
      <c r="D1451" s="24" t="s">
        <v>725</v>
      </c>
      <c r="E1451" s="25"/>
      <c r="F1451" s="25"/>
      <c r="G1451" s="25"/>
    </row>
    <row r="1452" ht="21.75" customHeight="1">
      <c r="A1452" s="26" t="s">
        <v>739</v>
      </c>
      <c r="B1452" s="26" t="s">
        <v>10</v>
      </c>
      <c r="C1452" s="27"/>
      <c r="D1452" s="26" t="s">
        <v>740</v>
      </c>
      <c r="E1452" s="27"/>
      <c r="F1452" s="27"/>
      <c r="G1452" s="27"/>
    </row>
    <row r="1453" ht="31.5" customHeight="1">
      <c r="A1453" s="28" t="s">
        <v>741</v>
      </c>
      <c r="B1453" s="28" t="s">
        <v>10</v>
      </c>
      <c r="C1453" s="29"/>
      <c r="D1453" s="28" t="s">
        <v>742</v>
      </c>
      <c r="E1453" s="29"/>
      <c r="F1453" s="47">
        <v>0.0</v>
      </c>
      <c r="G1453" s="29"/>
    </row>
    <row r="1454" ht="15.0" customHeight="1">
      <c r="A1454" s="16"/>
      <c r="B1454" s="16"/>
      <c r="C1454" s="16"/>
      <c r="D1454" s="48" t="s">
        <v>741</v>
      </c>
      <c r="E1454" s="49"/>
      <c r="F1454" s="49"/>
      <c r="G1454" s="49"/>
    </row>
    <row r="1455" ht="15.0" customHeight="1">
      <c r="A1455" s="23"/>
      <c r="B1455" s="23"/>
      <c r="C1455" s="23"/>
      <c r="D1455" s="24" t="s">
        <v>739</v>
      </c>
      <c r="E1455" s="25"/>
      <c r="F1455" s="25"/>
      <c r="G1455" s="25"/>
    </row>
    <row r="1456" ht="24.75" customHeight="1">
      <c r="A1456" s="26" t="s">
        <v>743</v>
      </c>
      <c r="B1456" s="26" t="s">
        <v>10</v>
      </c>
      <c r="C1456" s="27"/>
      <c r="D1456" s="26" t="s">
        <v>744</v>
      </c>
      <c r="E1456" s="27"/>
      <c r="F1456" s="27"/>
      <c r="G1456" s="27"/>
    </row>
    <row r="1457" ht="48.75" customHeight="1">
      <c r="A1457" s="13" t="s">
        <v>745</v>
      </c>
      <c r="B1457" s="10" t="s">
        <v>18</v>
      </c>
      <c r="C1457" s="10" t="s">
        <v>19</v>
      </c>
      <c r="D1457" s="10" t="s">
        <v>746</v>
      </c>
      <c r="E1457" s="11"/>
      <c r="F1457" s="12">
        <f>F1466</f>
        <v>47.86</v>
      </c>
      <c r="G1457" s="11"/>
    </row>
    <row r="1458" ht="21.0" customHeight="1">
      <c r="A1458" s="11"/>
      <c r="B1458" s="11"/>
      <c r="C1458" s="11"/>
      <c r="D1458" s="10" t="s">
        <v>747</v>
      </c>
    </row>
    <row r="1459" ht="30.0" customHeight="1">
      <c r="A1459" s="10" t="s">
        <v>748</v>
      </c>
      <c r="B1459" s="10" t="s">
        <v>112</v>
      </c>
      <c r="C1459" s="10" t="s">
        <v>23</v>
      </c>
      <c r="D1459" s="10" t="s">
        <v>749</v>
      </c>
      <c r="E1459" s="14">
        <v>0.5</v>
      </c>
      <c r="F1459" s="15">
        <f>ROUND(3.74,3)</f>
        <v>3.74</v>
      </c>
      <c r="G1459" s="12">
        <f t="shared" ref="G1459:G1464" si="257">ROUND(E1459*F1459,2)</f>
        <v>1.87</v>
      </c>
    </row>
    <row r="1460" ht="21.0" customHeight="1">
      <c r="A1460" s="10" t="s">
        <v>22</v>
      </c>
      <c r="B1460" s="10" t="s">
        <v>18</v>
      </c>
      <c r="C1460" s="10" t="s">
        <v>23</v>
      </c>
      <c r="D1460" s="10" t="s">
        <v>24</v>
      </c>
      <c r="E1460" s="14">
        <v>1.0</v>
      </c>
      <c r="F1460" s="15">
        <f>F1464</f>
        <v>43.8</v>
      </c>
      <c r="G1460" s="12">
        <f t="shared" si="257"/>
        <v>43.8</v>
      </c>
    </row>
    <row r="1461" ht="24.0" customHeight="1">
      <c r="A1461" s="10" t="s">
        <v>25</v>
      </c>
      <c r="B1461" s="10" t="s">
        <v>26</v>
      </c>
      <c r="C1461" s="10" t="s">
        <v>23</v>
      </c>
      <c r="D1461" s="10" t="s">
        <v>27</v>
      </c>
      <c r="E1461" s="14">
        <v>1.0</v>
      </c>
      <c r="F1461" s="15">
        <f>ROUND(21,3)</f>
        <v>21</v>
      </c>
      <c r="G1461" s="12">
        <f t="shared" si="257"/>
        <v>21</v>
      </c>
    </row>
    <row r="1462" ht="24.0" customHeight="1">
      <c r="A1462" s="10" t="s">
        <v>28</v>
      </c>
      <c r="B1462" s="10" t="s">
        <v>26</v>
      </c>
      <c r="C1462" s="10" t="s">
        <v>23</v>
      </c>
      <c r="D1462" s="10" t="s">
        <v>29</v>
      </c>
      <c r="E1462" s="14">
        <v>1.0</v>
      </c>
      <c r="F1462" s="15">
        <f t="shared" ref="F1462:F1463" si="258">ROUND(19,3)</f>
        <v>19</v>
      </c>
      <c r="G1462" s="12">
        <f t="shared" si="257"/>
        <v>19</v>
      </c>
    </row>
    <row r="1463" ht="24.0" customHeight="1">
      <c r="A1463" s="10" t="s">
        <v>30</v>
      </c>
      <c r="B1463" s="10" t="s">
        <v>26</v>
      </c>
      <c r="C1463" s="10" t="s">
        <v>23</v>
      </c>
      <c r="D1463" s="10" t="s">
        <v>31</v>
      </c>
      <c r="E1463" s="14">
        <v>0.2</v>
      </c>
      <c r="F1463" s="15">
        <f t="shared" si="258"/>
        <v>19</v>
      </c>
      <c r="G1463" s="12">
        <f t="shared" si="257"/>
        <v>3.8</v>
      </c>
    </row>
    <row r="1464" ht="15.0" customHeight="1">
      <c r="A1464" s="11"/>
      <c r="B1464" s="11"/>
      <c r="C1464" s="11"/>
      <c r="D1464" s="10" t="s">
        <v>22</v>
      </c>
      <c r="E1464" s="14">
        <v>1.0</v>
      </c>
      <c r="F1464" s="15">
        <f>ROUND((G1461+G1462+G1463),3)</f>
        <v>43.8</v>
      </c>
      <c r="G1464" s="12">
        <f t="shared" si="257"/>
        <v>43.8</v>
      </c>
    </row>
    <row r="1465" ht="15.0" customHeight="1">
      <c r="A1465" s="10" t="s">
        <v>32</v>
      </c>
      <c r="B1465" s="10"/>
      <c r="C1465" s="10" t="s">
        <v>33</v>
      </c>
      <c r="D1465" s="10" t="s">
        <v>34</v>
      </c>
      <c r="E1465" s="14">
        <v>5.0</v>
      </c>
      <c r="F1465" s="15">
        <f>ROUND(43.8,3)</f>
        <v>43.8</v>
      </c>
      <c r="G1465" s="12">
        <f>ROUND((E1465*F1465)/100,2)</f>
        <v>2.19</v>
      </c>
    </row>
    <row r="1466" ht="24.75" customHeight="1">
      <c r="A1466" s="16"/>
      <c r="B1466" s="16"/>
      <c r="C1466" s="16"/>
      <c r="D1466" s="17" t="s">
        <v>745</v>
      </c>
      <c r="E1466" s="16"/>
      <c r="F1466" s="18">
        <f>ROUND((G1459+G1460+G1465)*(1+G2/100),2)</f>
        <v>47.86</v>
      </c>
      <c r="G1466" s="16"/>
    </row>
    <row r="1467" ht="15.0" customHeight="1">
      <c r="A1467" s="23"/>
      <c r="B1467" s="23"/>
      <c r="C1467" s="23"/>
      <c r="D1467" s="24" t="s">
        <v>743</v>
      </c>
      <c r="E1467" s="25"/>
      <c r="F1467" s="25"/>
      <c r="G1467" s="25"/>
    </row>
    <row r="1468" ht="21.75" customHeight="1">
      <c r="A1468" s="26" t="s">
        <v>750</v>
      </c>
      <c r="B1468" s="26" t="s">
        <v>10</v>
      </c>
      <c r="C1468" s="27"/>
      <c r="D1468" s="26" t="s">
        <v>751</v>
      </c>
      <c r="E1468" s="27"/>
      <c r="F1468" s="27"/>
      <c r="G1468" s="27"/>
    </row>
    <row r="1469" ht="21.0" customHeight="1">
      <c r="A1469" s="13" t="s">
        <v>752</v>
      </c>
      <c r="B1469" s="10" t="s">
        <v>18</v>
      </c>
      <c r="C1469" s="10" t="s">
        <v>19</v>
      </c>
      <c r="D1469" s="10" t="s">
        <v>753</v>
      </c>
      <c r="E1469" s="11"/>
      <c r="F1469" s="12">
        <f>ROUND(0*(1+G2/100),2)</f>
        <v>0</v>
      </c>
      <c r="G1469" s="11"/>
    </row>
    <row r="1470" ht="12.0" customHeight="1">
      <c r="A1470" s="11"/>
      <c r="B1470" s="11"/>
      <c r="C1470" s="11"/>
      <c r="D1470" s="10" t="s">
        <v>754</v>
      </c>
    </row>
    <row r="1471" ht="39.75" customHeight="1">
      <c r="A1471" s="13" t="s">
        <v>755</v>
      </c>
      <c r="B1471" s="10" t="s">
        <v>18</v>
      </c>
      <c r="C1471" s="10" t="s">
        <v>19</v>
      </c>
      <c r="D1471" s="10" t="s">
        <v>756</v>
      </c>
      <c r="E1471" s="11"/>
      <c r="F1471" s="12">
        <f>ROUND(0*(1+G2/100),2)</f>
        <v>0</v>
      </c>
      <c r="G1471" s="11"/>
    </row>
    <row r="1472" ht="21.0" customHeight="1">
      <c r="A1472" s="11"/>
      <c r="B1472" s="11"/>
      <c r="C1472" s="11"/>
      <c r="D1472" s="10" t="s">
        <v>757</v>
      </c>
    </row>
    <row r="1473" ht="21.0" customHeight="1">
      <c r="A1473" s="13" t="s">
        <v>758</v>
      </c>
      <c r="B1473" s="10" t="s">
        <v>18</v>
      </c>
      <c r="C1473" s="10" t="s">
        <v>19</v>
      </c>
      <c r="D1473" s="10" t="s">
        <v>759</v>
      </c>
      <c r="E1473" s="11"/>
      <c r="F1473" s="12">
        <f>ROUND(0*(1+G2/100),2)</f>
        <v>0</v>
      </c>
      <c r="G1473" s="11"/>
    </row>
    <row r="1474" ht="12.0" customHeight="1">
      <c r="A1474" s="11"/>
      <c r="B1474" s="11"/>
      <c r="C1474" s="11"/>
      <c r="D1474" s="10" t="s">
        <v>760</v>
      </c>
    </row>
    <row r="1475" ht="39.75" customHeight="1">
      <c r="A1475" s="13" t="s">
        <v>761</v>
      </c>
      <c r="B1475" s="10" t="s">
        <v>18</v>
      </c>
      <c r="C1475" s="10" t="s">
        <v>19</v>
      </c>
      <c r="D1475" s="10" t="s">
        <v>762</v>
      </c>
      <c r="E1475" s="11"/>
      <c r="F1475" s="12">
        <f>ROUND(0*(1+G2/100),2)</f>
        <v>0</v>
      </c>
      <c r="G1475" s="11"/>
    </row>
    <row r="1476" ht="21.0" customHeight="1">
      <c r="A1476" s="11"/>
      <c r="B1476" s="11"/>
      <c r="C1476" s="11"/>
      <c r="D1476" s="10" t="s">
        <v>763</v>
      </c>
    </row>
    <row r="1477" ht="15.0" customHeight="1">
      <c r="A1477" s="16"/>
      <c r="B1477" s="16"/>
      <c r="C1477" s="16"/>
      <c r="D1477" s="45" t="s">
        <v>750</v>
      </c>
      <c r="E1477" s="46"/>
      <c r="F1477" s="46"/>
      <c r="G1477" s="46"/>
    </row>
    <row r="1478" ht="21.75" customHeight="1">
      <c r="A1478" s="26" t="s">
        <v>764</v>
      </c>
      <c r="B1478" s="26" t="s">
        <v>10</v>
      </c>
      <c r="C1478" s="27"/>
      <c r="D1478" s="26" t="s">
        <v>765</v>
      </c>
      <c r="E1478" s="27"/>
      <c r="F1478" s="27"/>
      <c r="G1478" s="27"/>
    </row>
    <row r="1479" ht="30.0" customHeight="1">
      <c r="A1479" s="13" t="s">
        <v>766</v>
      </c>
      <c r="B1479" s="10" t="s">
        <v>18</v>
      </c>
      <c r="C1479" s="10" t="s">
        <v>19</v>
      </c>
      <c r="D1479" s="10" t="s">
        <v>767</v>
      </c>
      <c r="E1479" s="11"/>
      <c r="F1479" s="12">
        <f>F1492</f>
        <v>35.66</v>
      </c>
      <c r="G1479" s="11"/>
    </row>
    <row r="1480" ht="21.0" customHeight="1">
      <c r="A1480" s="11"/>
      <c r="B1480" s="11"/>
      <c r="C1480" s="11"/>
      <c r="D1480" s="10" t="s">
        <v>768</v>
      </c>
    </row>
    <row r="1481" ht="30.0" customHeight="1">
      <c r="A1481" s="10" t="s">
        <v>748</v>
      </c>
      <c r="B1481" s="10" t="s">
        <v>112</v>
      </c>
      <c r="C1481" s="10" t="s">
        <v>23</v>
      </c>
      <c r="D1481" s="10" t="s">
        <v>749</v>
      </c>
      <c r="E1481" s="14">
        <v>0.4</v>
      </c>
      <c r="F1481" s="15">
        <f>ROUND(3.74,3)</f>
        <v>3.74</v>
      </c>
      <c r="G1481" s="12">
        <f t="shared" ref="G1481:G1490" si="259">ROUND(E1481*F1481,2)</f>
        <v>1.5</v>
      </c>
    </row>
    <row r="1482" ht="30.0" customHeight="1">
      <c r="A1482" s="10" t="s">
        <v>769</v>
      </c>
      <c r="B1482" s="10" t="s">
        <v>18</v>
      </c>
      <c r="C1482" s="10" t="s">
        <v>23</v>
      </c>
      <c r="D1482" s="10" t="s">
        <v>770</v>
      </c>
      <c r="E1482" s="14">
        <v>0.4</v>
      </c>
      <c r="F1482" s="15">
        <f>F1484</f>
        <v>5.7</v>
      </c>
      <c r="G1482" s="12">
        <f t="shared" si="259"/>
        <v>2.28</v>
      </c>
    </row>
    <row r="1483" ht="30.0" customHeight="1">
      <c r="A1483" s="10" t="s">
        <v>771</v>
      </c>
      <c r="B1483" s="10" t="s">
        <v>112</v>
      </c>
      <c r="C1483" s="10" t="s">
        <v>231</v>
      </c>
      <c r="D1483" s="10" t="s">
        <v>772</v>
      </c>
      <c r="E1483" s="14">
        <v>0.00417</v>
      </c>
      <c r="F1483" s="15">
        <f>ROUND(1366.23,3)</f>
        <v>1366.23</v>
      </c>
      <c r="G1483" s="12">
        <f t="shared" si="259"/>
        <v>5.7</v>
      </c>
    </row>
    <row r="1484" ht="15.0" customHeight="1">
      <c r="A1484" s="11"/>
      <c r="B1484" s="11"/>
      <c r="C1484" s="11"/>
      <c r="D1484" s="10" t="s">
        <v>769</v>
      </c>
      <c r="E1484" s="14">
        <v>0.4</v>
      </c>
      <c r="F1484" s="15">
        <f>ROUND((G1483),3)</f>
        <v>5.7</v>
      </c>
      <c r="G1484" s="12">
        <f t="shared" si="259"/>
        <v>2.28</v>
      </c>
    </row>
    <row r="1485" ht="21.0" customHeight="1">
      <c r="A1485" s="10" t="s">
        <v>773</v>
      </c>
      <c r="B1485" s="10" t="s">
        <v>112</v>
      </c>
      <c r="C1485" s="10" t="s">
        <v>23</v>
      </c>
      <c r="D1485" s="10" t="s">
        <v>774</v>
      </c>
      <c r="E1485" s="14">
        <v>0.1</v>
      </c>
      <c r="F1485" s="15">
        <f>ROUND(3,3)</f>
        <v>3</v>
      </c>
      <c r="G1485" s="12">
        <f t="shared" si="259"/>
        <v>0.3</v>
      </c>
    </row>
    <row r="1486" ht="21.0" customHeight="1">
      <c r="A1486" s="10" t="s">
        <v>22</v>
      </c>
      <c r="B1486" s="10" t="s">
        <v>18</v>
      </c>
      <c r="C1486" s="10" t="s">
        <v>23</v>
      </c>
      <c r="D1486" s="10" t="s">
        <v>24</v>
      </c>
      <c r="E1486" s="14">
        <v>0.7</v>
      </c>
      <c r="F1486" s="15">
        <f>F1490</f>
        <v>43.8</v>
      </c>
      <c r="G1486" s="12">
        <f t="shared" si="259"/>
        <v>30.66</v>
      </c>
    </row>
    <row r="1487" ht="24.0" customHeight="1">
      <c r="A1487" s="10" t="s">
        <v>25</v>
      </c>
      <c r="B1487" s="10" t="s">
        <v>26</v>
      </c>
      <c r="C1487" s="10" t="s">
        <v>23</v>
      </c>
      <c r="D1487" s="10" t="s">
        <v>27</v>
      </c>
      <c r="E1487" s="14">
        <v>1.0</v>
      </c>
      <c r="F1487" s="15">
        <f>ROUND(21,3)</f>
        <v>21</v>
      </c>
      <c r="G1487" s="12">
        <f t="shared" si="259"/>
        <v>21</v>
      </c>
    </row>
    <row r="1488" ht="24.0" customHeight="1">
      <c r="A1488" s="10" t="s">
        <v>28</v>
      </c>
      <c r="B1488" s="10" t="s">
        <v>26</v>
      </c>
      <c r="C1488" s="10" t="s">
        <v>23</v>
      </c>
      <c r="D1488" s="10" t="s">
        <v>29</v>
      </c>
      <c r="E1488" s="14">
        <v>1.0</v>
      </c>
      <c r="F1488" s="15">
        <f t="shared" ref="F1488:F1489" si="260">ROUND(19,3)</f>
        <v>19</v>
      </c>
      <c r="G1488" s="12">
        <f t="shared" si="259"/>
        <v>19</v>
      </c>
    </row>
    <row r="1489" ht="24.0" customHeight="1">
      <c r="A1489" s="10" t="s">
        <v>30</v>
      </c>
      <c r="B1489" s="10" t="s">
        <v>26</v>
      </c>
      <c r="C1489" s="10" t="s">
        <v>23</v>
      </c>
      <c r="D1489" s="10" t="s">
        <v>31</v>
      </c>
      <c r="E1489" s="14">
        <v>0.2</v>
      </c>
      <c r="F1489" s="15">
        <f t="shared" si="260"/>
        <v>19</v>
      </c>
      <c r="G1489" s="12">
        <f t="shared" si="259"/>
        <v>3.8</v>
      </c>
    </row>
    <row r="1490" ht="15.0" customHeight="1">
      <c r="A1490" s="11"/>
      <c r="B1490" s="11"/>
      <c r="C1490" s="11"/>
      <c r="D1490" s="10" t="s">
        <v>22</v>
      </c>
      <c r="E1490" s="14">
        <v>0.7</v>
      </c>
      <c r="F1490" s="15">
        <f>ROUND((G1487+G1488+G1489),3)</f>
        <v>43.8</v>
      </c>
      <c r="G1490" s="12">
        <f t="shared" si="259"/>
        <v>30.66</v>
      </c>
    </row>
    <row r="1491" ht="15.0" customHeight="1">
      <c r="A1491" s="10" t="s">
        <v>32</v>
      </c>
      <c r="B1491" s="10"/>
      <c r="C1491" s="10" t="s">
        <v>33</v>
      </c>
      <c r="D1491" s="10" t="s">
        <v>34</v>
      </c>
      <c r="E1491" s="14">
        <v>3.0</v>
      </c>
      <c r="F1491" s="15">
        <f>ROUND(30.66,3)</f>
        <v>30.66</v>
      </c>
      <c r="G1491" s="12">
        <f>ROUND((E1491*F1491)/100,2)</f>
        <v>0.92</v>
      </c>
    </row>
    <row r="1492" ht="15.0" customHeight="1">
      <c r="A1492" s="16"/>
      <c r="B1492" s="16"/>
      <c r="C1492" s="16"/>
      <c r="D1492" s="17" t="s">
        <v>766</v>
      </c>
      <c r="E1492" s="16"/>
      <c r="F1492" s="18">
        <f>ROUND((G1481+G1482+G1485+G1486+G1491)*(1+G2/100),2)</f>
        <v>35.66</v>
      </c>
      <c r="G1492" s="16"/>
    </row>
    <row r="1493" ht="30.0" customHeight="1">
      <c r="A1493" s="19" t="s">
        <v>775</v>
      </c>
      <c r="B1493" s="20" t="s">
        <v>18</v>
      </c>
      <c r="C1493" s="20" t="s">
        <v>19</v>
      </c>
      <c r="D1493" s="20" t="s">
        <v>776</v>
      </c>
      <c r="E1493" s="21"/>
      <c r="F1493" s="22">
        <f>F1505</f>
        <v>26.65</v>
      </c>
      <c r="G1493" s="21"/>
    </row>
    <row r="1494" ht="21.0" customHeight="1">
      <c r="A1494" s="11"/>
      <c r="B1494" s="11"/>
      <c r="C1494" s="11"/>
      <c r="D1494" s="10" t="s">
        <v>777</v>
      </c>
    </row>
    <row r="1495" ht="39.75" customHeight="1">
      <c r="A1495" s="10" t="s">
        <v>778</v>
      </c>
      <c r="B1495" s="10" t="s">
        <v>112</v>
      </c>
      <c r="C1495" s="10" t="s">
        <v>23</v>
      </c>
      <c r="D1495" s="10" t="s">
        <v>779</v>
      </c>
      <c r="E1495" s="14">
        <v>0.2</v>
      </c>
      <c r="F1495" s="15">
        <f>ROUND(2,3)</f>
        <v>2</v>
      </c>
      <c r="G1495" s="12">
        <f t="shared" ref="G1495:G1503" si="261">ROUND(E1495*F1495,2)</f>
        <v>0.4</v>
      </c>
    </row>
    <row r="1496" ht="30.0" customHeight="1">
      <c r="A1496" s="10" t="s">
        <v>780</v>
      </c>
      <c r="B1496" s="10" t="s">
        <v>112</v>
      </c>
      <c r="C1496" s="10" t="s">
        <v>23</v>
      </c>
      <c r="D1496" s="10" t="s">
        <v>781</v>
      </c>
      <c r="E1496" s="14">
        <v>0.2</v>
      </c>
      <c r="F1496" s="15">
        <f>ROUND(1.875,3)</f>
        <v>1.875</v>
      </c>
      <c r="G1496" s="12">
        <f t="shared" si="261"/>
        <v>0.38</v>
      </c>
    </row>
    <row r="1497" ht="39.75" customHeight="1">
      <c r="A1497" s="10" t="s">
        <v>188</v>
      </c>
      <c r="B1497" s="10" t="s">
        <v>112</v>
      </c>
      <c r="C1497" s="10" t="s">
        <v>23</v>
      </c>
      <c r="D1497" s="10" t="s">
        <v>189</v>
      </c>
      <c r="E1497" s="14">
        <v>0.2</v>
      </c>
      <c r="F1497" s="15">
        <f>ROUND(7.565,3)</f>
        <v>7.565</v>
      </c>
      <c r="G1497" s="12">
        <f t="shared" si="261"/>
        <v>1.51</v>
      </c>
    </row>
    <row r="1498" ht="21.0" customHeight="1">
      <c r="A1498" s="10" t="s">
        <v>773</v>
      </c>
      <c r="B1498" s="10" t="s">
        <v>112</v>
      </c>
      <c r="C1498" s="10" t="s">
        <v>23</v>
      </c>
      <c r="D1498" s="10" t="s">
        <v>774</v>
      </c>
      <c r="E1498" s="14">
        <v>0.1</v>
      </c>
      <c r="F1498" s="15">
        <f>ROUND(3,3)</f>
        <v>3</v>
      </c>
      <c r="G1498" s="12">
        <f t="shared" si="261"/>
        <v>0.3</v>
      </c>
    </row>
    <row r="1499" ht="21.0" customHeight="1">
      <c r="A1499" s="10" t="s">
        <v>22</v>
      </c>
      <c r="B1499" s="10" t="s">
        <v>18</v>
      </c>
      <c r="C1499" s="10" t="s">
        <v>23</v>
      </c>
      <c r="D1499" s="10" t="s">
        <v>24</v>
      </c>
      <c r="E1499" s="14">
        <v>0.53333</v>
      </c>
      <c r="F1499" s="15">
        <f>F1503</f>
        <v>43.8</v>
      </c>
      <c r="G1499" s="12">
        <f t="shared" si="261"/>
        <v>23.36</v>
      </c>
    </row>
    <row r="1500" ht="24.0" customHeight="1">
      <c r="A1500" s="10" t="s">
        <v>25</v>
      </c>
      <c r="B1500" s="10" t="s">
        <v>26</v>
      </c>
      <c r="C1500" s="10" t="s">
        <v>23</v>
      </c>
      <c r="D1500" s="10" t="s">
        <v>27</v>
      </c>
      <c r="E1500" s="14">
        <v>1.0</v>
      </c>
      <c r="F1500" s="15">
        <f>ROUND(21,3)</f>
        <v>21</v>
      </c>
      <c r="G1500" s="12">
        <f t="shared" si="261"/>
        <v>21</v>
      </c>
    </row>
    <row r="1501" ht="24.0" customHeight="1">
      <c r="A1501" s="10" t="s">
        <v>28</v>
      </c>
      <c r="B1501" s="10" t="s">
        <v>26</v>
      </c>
      <c r="C1501" s="10" t="s">
        <v>23</v>
      </c>
      <c r="D1501" s="10" t="s">
        <v>29</v>
      </c>
      <c r="E1501" s="14">
        <v>1.0</v>
      </c>
      <c r="F1501" s="15">
        <f t="shared" ref="F1501:F1502" si="262">ROUND(19,3)</f>
        <v>19</v>
      </c>
      <c r="G1501" s="12">
        <f t="shared" si="261"/>
        <v>19</v>
      </c>
    </row>
    <row r="1502" ht="24.0" customHeight="1">
      <c r="A1502" s="10" t="s">
        <v>30</v>
      </c>
      <c r="B1502" s="10" t="s">
        <v>26</v>
      </c>
      <c r="C1502" s="10" t="s">
        <v>23</v>
      </c>
      <c r="D1502" s="10" t="s">
        <v>31</v>
      </c>
      <c r="E1502" s="14">
        <v>0.2</v>
      </c>
      <c r="F1502" s="15">
        <f t="shared" si="262"/>
        <v>19</v>
      </c>
      <c r="G1502" s="12">
        <f t="shared" si="261"/>
        <v>3.8</v>
      </c>
    </row>
    <row r="1503" ht="15.0" customHeight="1">
      <c r="A1503" s="11"/>
      <c r="B1503" s="11"/>
      <c r="C1503" s="11"/>
      <c r="D1503" s="10" t="s">
        <v>22</v>
      </c>
      <c r="E1503" s="14">
        <v>0.53333</v>
      </c>
      <c r="F1503" s="15">
        <f>ROUND((G1500+G1501+G1502),3)</f>
        <v>43.8</v>
      </c>
      <c r="G1503" s="12">
        <f t="shared" si="261"/>
        <v>23.36</v>
      </c>
    </row>
    <row r="1504" ht="15.0" customHeight="1">
      <c r="A1504" s="10" t="s">
        <v>32</v>
      </c>
      <c r="B1504" s="10"/>
      <c r="C1504" s="10" t="s">
        <v>33</v>
      </c>
      <c r="D1504" s="10" t="s">
        <v>34</v>
      </c>
      <c r="E1504" s="14">
        <v>3.0</v>
      </c>
      <c r="F1504" s="15">
        <f>ROUND(23.36,3)</f>
        <v>23.36</v>
      </c>
      <c r="G1504" s="12">
        <f>ROUND((E1504*F1504)/100,2)</f>
        <v>0.7</v>
      </c>
    </row>
    <row r="1505" ht="15.0" customHeight="1">
      <c r="A1505" s="16"/>
      <c r="B1505" s="16"/>
      <c r="C1505" s="16"/>
      <c r="D1505" s="17" t="s">
        <v>775</v>
      </c>
      <c r="E1505" s="16"/>
      <c r="F1505" s="18">
        <f>ROUND((G1495+G1496+G1497+G1498+G1499+G1504)*(1+G2/100),2)</f>
        <v>26.65</v>
      </c>
      <c r="G1505" s="16"/>
    </row>
    <row r="1506" ht="15.0" customHeight="1">
      <c r="A1506" s="23"/>
      <c r="B1506" s="23"/>
      <c r="C1506" s="23"/>
      <c r="D1506" s="24" t="s">
        <v>764</v>
      </c>
      <c r="E1506" s="25"/>
      <c r="F1506" s="25"/>
      <c r="G1506" s="25"/>
    </row>
    <row r="1507" ht="24.75" customHeight="1">
      <c r="A1507" s="26" t="s">
        <v>782</v>
      </c>
      <c r="B1507" s="26" t="s">
        <v>10</v>
      </c>
      <c r="C1507" s="27"/>
      <c r="D1507" s="26" t="s">
        <v>783</v>
      </c>
      <c r="E1507" s="27"/>
      <c r="F1507" s="27"/>
      <c r="G1507" s="27"/>
    </row>
    <row r="1508" ht="31.5" customHeight="1">
      <c r="A1508" s="28" t="s">
        <v>784</v>
      </c>
      <c r="B1508" s="28" t="s">
        <v>10</v>
      </c>
      <c r="C1508" s="29"/>
      <c r="D1508" s="28" t="s">
        <v>785</v>
      </c>
      <c r="E1508" s="29"/>
      <c r="F1508" s="47">
        <v>0.0</v>
      </c>
      <c r="G1508" s="29"/>
    </row>
    <row r="1509" ht="15.0" customHeight="1">
      <c r="A1509" s="16"/>
      <c r="B1509" s="16"/>
      <c r="C1509" s="16"/>
      <c r="D1509" s="48" t="s">
        <v>784</v>
      </c>
      <c r="E1509" s="49"/>
      <c r="F1509" s="49"/>
      <c r="G1509" s="49"/>
    </row>
    <row r="1510" ht="21.75" customHeight="1">
      <c r="A1510" s="50" t="s">
        <v>786</v>
      </c>
      <c r="B1510" s="50" t="s">
        <v>10</v>
      </c>
      <c r="C1510" s="51"/>
      <c r="D1510" s="50" t="s">
        <v>787</v>
      </c>
      <c r="E1510" s="51"/>
      <c r="F1510" s="52">
        <v>0.0</v>
      </c>
      <c r="G1510" s="51"/>
    </row>
    <row r="1511" ht="15.0" customHeight="1">
      <c r="A1511" s="16"/>
      <c r="B1511" s="16"/>
      <c r="C1511" s="16"/>
      <c r="D1511" s="48" t="s">
        <v>786</v>
      </c>
      <c r="E1511" s="49"/>
      <c r="F1511" s="49"/>
      <c r="G1511" s="49"/>
    </row>
    <row r="1512" ht="24.75" customHeight="1">
      <c r="A1512" s="50" t="s">
        <v>788</v>
      </c>
      <c r="B1512" s="50" t="s">
        <v>10</v>
      </c>
      <c r="C1512" s="51"/>
      <c r="D1512" s="50" t="s">
        <v>789</v>
      </c>
      <c r="E1512" s="51"/>
      <c r="F1512" s="52">
        <v>0.0</v>
      </c>
      <c r="G1512" s="51"/>
    </row>
    <row r="1513" ht="15.0" customHeight="1">
      <c r="A1513" s="16"/>
      <c r="B1513" s="16"/>
      <c r="C1513" s="16"/>
      <c r="D1513" s="48" t="s">
        <v>788</v>
      </c>
      <c r="E1513" s="49"/>
      <c r="F1513" s="49"/>
      <c r="G1513" s="49"/>
    </row>
    <row r="1514" ht="15.0" customHeight="1">
      <c r="A1514" s="23"/>
      <c r="B1514" s="23"/>
      <c r="C1514" s="23"/>
      <c r="D1514" s="24" t="s">
        <v>782</v>
      </c>
      <c r="E1514" s="25"/>
      <c r="F1514" s="25"/>
      <c r="G1514" s="25"/>
    </row>
    <row r="1515" ht="15.0" customHeight="1">
      <c r="A1515" s="23"/>
      <c r="B1515" s="23"/>
      <c r="C1515" s="23"/>
      <c r="D1515" s="32" t="s">
        <v>671</v>
      </c>
      <c r="E1515" s="33"/>
      <c r="F1515" s="33"/>
      <c r="G1515" s="33"/>
    </row>
    <row r="1516" ht="24.75" customHeight="1">
      <c r="A1516" s="34" t="s">
        <v>790</v>
      </c>
      <c r="B1516" s="34" t="s">
        <v>10</v>
      </c>
      <c r="C1516" s="35"/>
      <c r="D1516" s="34" t="s">
        <v>791</v>
      </c>
      <c r="E1516" s="35"/>
      <c r="F1516" s="35"/>
      <c r="G1516" s="35"/>
    </row>
    <row r="1517" ht="30.0" customHeight="1">
      <c r="A1517" s="13" t="s">
        <v>792</v>
      </c>
      <c r="B1517" s="10" t="s">
        <v>18</v>
      </c>
      <c r="C1517" s="10" t="s">
        <v>251</v>
      </c>
      <c r="D1517" s="10" t="s">
        <v>793</v>
      </c>
      <c r="E1517" s="11"/>
      <c r="F1517" s="12">
        <f>F1525</f>
        <v>15.2</v>
      </c>
      <c r="G1517" s="11"/>
    </row>
    <row r="1518" ht="39.75" customHeight="1">
      <c r="A1518" s="11"/>
      <c r="B1518" s="11"/>
      <c r="C1518" s="11"/>
      <c r="D1518" s="10" t="s">
        <v>794</v>
      </c>
    </row>
    <row r="1519" ht="21.0" customHeight="1">
      <c r="A1519" s="10" t="s">
        <v>22</v>
      </c>
      <c r="B1519" s="10" t="s">
        <v>18</v>
      </c>
      <c r="C1519" s="10" t="s">
        <v>23</v>
      </c>
      <c r="D1519" s="10" t="s">
        <v>24</v>
      </c>
      <c r="E1519" s="14">
        <v>0.337</v>
      </c>
      <c r="F1519" s="15">
        <f>F1523</f>
        <v>43.8</v>
      </c>
      <c r="G1519" s="12">
        <f t="shared" ref="G1519:G1523" si="263">ROUND(E1519*F1519,2)</f>
        <v>14.76</v>
      </c>
    </row>
    <row r="1520" ht="24.0" customHeight="1">
      <c r="A1520" s="10" t="s">
        <v>25</v>
      </c>
      <c r="B1520" s="10" t="s">
        <v>26</v>
      </c>
      <c r="C1520" s="10" t="s">
        <v>23</v>
      </c>
      <c r="D1520" s="10" t="s">
        <v>27</v>
      </c>
      <c r="E1520" s="14">
        <v>1.0</v>
      </c>
      <c r="F1520" s="15">
        <f>ROUND(21,3)</f>
        <v>21</v>
      </c>
      <c r="G1520" s="12">
        <f t="shared" si="263"/>
        <v>21</v>
      </c>
    </row>
    <row r="1521" ht="24.0" customHeight="1">
      <c r="A1521" s="10" t="s">
        <v>28</v>
      </c>
      <c r="B1521" s="10" t="s">
        <v>26</v>
      </c>
      <c r="C1521" s="10" t="s">
        <v>23</v>
      </c>
      <c r="D1521" s="10" t="s">
        <v>29</v>
      </c>
      <c r="E1521" s="14">
        <v>1.0</v>
      </c>
      <c r="F1521" s="15">
        <f t="shared" ref="F1521:F1522" si="264">ROUND(19,3)</f>
        <v>19</v>
      </c>
      <c r="G1521" s="12">
        <f t="shared" si="263"/>
        <v>19</v>
      </c>
    </row>
    <row r="1522" ht="24.0" customHeight="1">
      <c r="A1522" s="10" t="s">
        <v>30</v>
      </c>
      <c r="B1522" s="10" t="s">
        <v>26</v>
      </c>
      <c r="C1522" s="10" t="s">
        <v>23</v>
      </c>
      <c r="D1522" s="10" t="s">
        <v>31</v>
      </c>
      <c r="E1522" s="14">
        <v>0.2</v>
      </c>
      <c r="F1522" s="15">
        <f t="shared" si="264"/>
        <v>19</v>
      </c>
      <c r="G1522" s="12">
        <f t="shared" si="263"/>
        <v>3.8</v>
      </c>
    </row>
    <row r="1523" ht="15.0" customHeight="1">
      <c r="A1523" s="11"/>
      <c r="B1523" s="11"/>
      <c r="C1523" s="11"/>
      <c r="D1523" s="10" t="s">
        <v>22</v>
      </c>
      <c r="E1523" s="14">
        <v>0.337</v>
      </c>
      <c r="F1523" s="15">
        <f>ROUND((G1520+G1521+G1522),3)</f>
        <v>43.8</v>
      </c>
      <c r="G1523" s="12">
        <f t="shared" si="263"/>
        <v>14.76</v>
      </c>
    </row>
    <row r="1524" ht="15.0" customHeight="1">
      <c r="A1524" s="10" t="s">
        <v>32</v>
      </c>
      <c r="B1524" s="10"/>
      <c r="C1524" s="10" t="s">
        <v>33</v>
      </c>
      <c r="D1524" s="10" t="s">
        <v>34</v>
      </c>
      <c r="E1524" s="14">
        <v>3.0</v>
      </c>
      <c r="F1524" s="15">
        <f>ROUND(14.76,3)</f>
        <v>14.76</v>
      </c>
      <c r="G1524" s="12">
        <f>ROUND((E1524*F1524)/100,2)</f>
        <v>0.44</v>
      </c>
    </row>
    <row r="1525" ht="15.0" customHeight="1">
      <c r="A1525" s="16"/>
      <c r="B1525" s="16"/>
      <c r="C1525" s="16"/>
      <c r="D1525" s="17" t="s">
        <v>792</v>
      </c>
      <c r="E1525" s="16"/>
      <c r="F1525" s="18">
        <f>ROUND((G1519+G1524)*(1+G2/100),2)</f>
        <v>15.2</v>
      </c>
      <c r="G1525" s="16"/>
    </row>
    <row r="1526" ht="30.0" customHeight="1">
      <c r="A1526" s="19" t="s">
        <v>795</v>
      </c>
      <c r="B1526" s="20" t="s">
        <v>18</v>
      </c>
      <c r="C1526" s="20" t="s">
        <v>251</v>
      </c>
      <c r="D1526" s="20" t="s">
        <v>796</v>
      </c>
      <c r="E1526" s="21"/>
      <c r="F1526" s="22">
        <f>F1534</f>
        <v>22.56</v>
      </c>
      <c r="G1526" s="21"/>
    </row>
    <row r="1527" ht="30.0" customHeight="1">
      <c r="A1527" s="11"/>
      <c r="B1527" s="11"/>
      <c r="C1527" s="11"/>
      <c r="D1527" s="10" t="s">
        <v>797</v>
      </c>
    </row>
    <row r="1528" ht="21.0" customHeight="1">
      <c r="A1528" s="10" t="s">
        <v>22</v>
      </c>
      <c r="B1528" s="10" t="s">
        <v>18</v>
      </c>
      <c r="C1528" s="10" t="s">
        <v>23</v>
      </c>
      <c r="D1528" s="10" t="s">
        <v>24</v>
      </c>
      <c r="E1528" s="14">
        <v>0.5</v>
      </c>
      <c r="F1528" s="15">
        <f>F1532</f>
        <v>43.8</v>
      </c>
      <c r="G1528" s="12">
        <f t="shared" ref="G1528:G1532" si="265">ROUND(E1528*F1528,2)</f>
        <v>21.9</v>
      </c>
    </row>
    <row r="1529" ht="24.0" customHeight="1">
      <c r="A1529" s="10" t="s">
        <v>25</v>
      </c>
      <c r="B1529" s="10" t="s">
        <v>26</v>
      </c>
      <c r="C1529" s="10" t="s">
        <v>23</v>
      </c>
      <c r="D1529" s="10" t="s">
        <v>27</v>
      </c>
      <c r="E1529" s="14">
        <v>1.0</v>
      </c>
      <c r="F1529" s="15">
        <f>ROUND(21,3)</f>
        <v>21</v>
      </c>
      <c r="G1529" s="12">
        <f t="shared" si="265"/>
        <v>21</v>
      </c>
    </row>
    <row r="1530" ht="24.0" customHeight="1">
      <c r="A1530" s="10" t="s">
        <v>28</v>
      </c>
      <c r="B1530" s="10" t="s">
        <v>26</v>
      </c>
      <c r="C1530" s="10" t="s">
        <v>23</v>
      </c>
      <c r="D1530" s="10" t="s">
        <v>29</v>
      </c>
      <c r="E1530" s="14">
        <v>1.0</v>
      </c>
      <c r="F1530" s="15">
        <f t="shared" ref="F1530:F1531" si="266">ROUND(19,3)</f>
        <v>19</v>
      </c>
      <c r="G1530" s="12">
        <f t="shared" si="265"/>
        <v>19</v>
      </c>
    </row>
    <row r="1531" ht="24.0" customHeight="1">
      <c r="A1531" s="10" t="s">
        <v>30</v>
      </c>
      <c r="B1531" s="10" t="s">
        <v>26</v>
      </c>
      <c r="C1531" s="10" t="s">
        <v>23</v>
      </c>
      <c r="D1531" s="10" t="s">
        <v>31</v>
      </c>
      <c r="E1531" s="14">
        <v>0.2</v>
      </c>
      <c r="F1531" s="15">
        <f t="shared" si="266"/>
        <v>19</v>
      </c>
      <c r="G1531" s="12">
        <f t="shared" si="265"/>
        <v>3.8</v>
      </c>
    </row>
    <row r="1532" ht="15.0" customHeight="1">
      <c r="A1532" s="11"/>
      <c r="B1532" s="11"/>
      <c r="C1532" s="11"/>
      <c r="D1532" s="10" t="s">
        <v>22</v>
      </c>
      <c r="E1532" s="14">
        <v>0.5</v>
      </c>
      <c r="F1532" s="15">
        <f>ROUND((G1529+G1530+G1531),3)</f>
        <v>43.8</v>
      </c>
      <c r="G1532" s="12">
        <f t="shared" si="265"/>
        <v>21.9</v>
      </c>
    </row>
    <row r="1533" ht="15.0" customHeight="1">
      <c r="A1533" s="10" t="s">
        <v>32</v>
      </c>
      <c r="B1533" s="10"/>
      <c r="C1533" s="10" t="s">
        <v>33</v>
      </c>
      <c r="D1533" s="10" t="s">
        <v>34</v>
      </c>
      <c r="E1533" s="14">
        <v>3.0</v>
      </c>
      <c r="F1533" s="15">
        <f>ROUND(21.9,3)</f>
        <v>21.9</v>
      </c>
      <c r="G1533" s="12">
        <f>ROUND((E1533*F1533)/100,2)</f>
        <v>0.66</v>
      </c>
    </row>
    <row r="1534" ht="15.0" customHeight="1">
      <c r="A1534" s="16"/>
      <c r="B1534" s="16"/>
      <c r="C1534" s="16"/>
      <c r="D1534" s="17" t="s">
        <v>795</v>
      </c>
      <c r="E1534" s="16"/>
      <c r="F1534" s="18">
        <f>ROUND((G1528+G1533)*(1+G2/100),2)</f>
        <v>22.56</v>
      </c>
      <c r="G1534" s="16"/>
    </row>
    <row r="1535" ht="30.0" customHeight="1">
      <c r="A1535" s="19" t="s">
        <v>798</v>
      </c>
      <c r="B1535" s="20" t="s">
        <v>18</v>
      </c>
      <c r="C1535" s="20" t="s">
        <v>251</v>
      </c>
      <c r="D1535" s="20" t="s">
        <v>799</v>
      </c>
      <c r="E1535" s="21"/>
      <c r="F1535" s="22">
        <f>F1543</f>
        <v>49.65</v>
      </c>
      <c r="G1535" s="21"/>
    </row>
    <row r="1536" ht="12.0" customHeight="1">
      <c r="A1536" s="11"/>
      <c r="B1536" s="11"/>
      <c r="C1536" s="11"/>
      <c r="D1536" s="10" t="s">
        <v>800</v>
      </c>
    </row>
    <row r="1537" ht="24.0" customHeight="1">
      <c r="A1537" s="10" t="s">
        <v>286</v>
      </c>
      <c r="B1537" s="10" t="s">
        <v>18</v>
      </c>
      <c r="C1537" s="10" t="s">
        <v>23</v>
      </c>
      <c r="D1537" s="10" t="s">
        <v>287</v>
      </c>
      <c r="E1537" s="14">
        <v>1.0</v>
      </c>
      <c r="F1537" s="15">
        <f>F1541</f>
        <v>49.5</v>
      </c>
      <c r="G1537" s="12">
        <f t="shared" ref="G1537:G1541" si="267">ROUND(E1537*F1537,2)</f>
        <v>49.5</v>
      </c>
    </row>
    <row r="1538" ht="24.0" customHeight="1">
      <c r="A1538" s="10" t="s">
        <v>288</v>
      </c>
      <c r="B1538" s="10" t="s">
        <v>26</v>
      </c>
      <c r="C1538" s="10" t="s">
        <v>23</v>
      </c>
      <c r="D1538" s="10" t="s">
        <v>289</v>
      </c>
      <c r="E1538" s="14">
        <v>1.0</v>
      </c>
      <c r="F1538" s="15">
        <f>ROUND(21,3)</f>
        <v>21</v>
      </c>
      <c r="G1538" s="12">
        <f t="shared" si="267"/>
        <v>21</v>
      </c>
    </row>
    <row r="1539" ht="24.0" customHeight="1">
      <c r="A1539" s="10" t="s">
        <v>290</v>
      </c>
      <c r="B1539" s="10" t="s">
        <v>26</v>
      </c>
      <c r="C1539" s="10" t="s">
        <v>23</v>
      </c>
      <c r="D1539" s="10" t="s">
        <v>291</v>
      </c>
      <c r="E1539" s="14">
        <v>1.0</v>
      </c>
      <c r="F1539" s="15">
        <f t="shared" ref="F1539:F1540" si="268">ROUND(19,3)</f>
        <v>19</v>
      </c>
      <c r="G1539" s="12">
        <f t="shared" si="267"/>
        <v>19</v>
      </c>
    </row>
    <row r="1540" ht="24.0" customHeight="1">
      <c r="A1540" s="10" t="s">
        <v>292</v>
      </c>
      <c r="B1540" s="10" t="s">
        <v>26</v>
      </c>
      <c r="C1540" s="10" t="s">
        <v>23</v>
      </c>
      <c r="D1540" s="10" t="s">
        <v>293</v>
      </c>
      <c r="E1540" s="14">
        <v>0.5</v>
      </c>
      <c r="F1540" s="15">
        <f t="shared" si="268"/>
        <v>19</v>
      </c>
      <c r="G1540" s="12">
        <f t="shared" si="267"/>
        <v>9.5</v>
      </c>
    </row>
    <row r="1541" ht="15.0" customHeight="1">
      <c r="A1541" s="11"/>
      <c r="B1541" s="11"/>
      <c r="C1541" s="11"/>
      <c r="D1541" s="10" t="s">
        <v>286</v>
      </c>
      <c r="E1541" s="14">
        <v>1.0</v>
      </c>
      <c r="F1541" s="15">
        <f>ROUND((G1538+G1539+G1540),3)</f>
        <v>49.5</v>
      </c>
      <c r="G1541" s="12">
        <f t="shared" si="267"/>
        <v>49.5</v>
      </c>
    </row>
    <row r="1542" ht="15.0" customHeight="1">
      <c r="A1542" s="10" t="s">
        <v>32</v>
      </c>
      <c r="B1542" s="10"/>
      <c r="C1542" s="10" t="s">
        <v>33</v>
      </c>
      <c r="D1542" s="10" t="s">
        <v>34</v>
      </c>
      <c r="E1542" s="14">
        <v>0.3</v>
      </c>
      <c r="F1542" s="15">
        <f>ROUND(49.5,3)</f>
        <v>49.5</v>
      </c>
      <c r="G1542" s="12">
        <f>ROUND((E1542*F1542)/100,2)</f>
        <v>0.15</v>
      </c>
    </row>
    <row r="1543" ht="15.0" customHeight="1">
      <c r="A1543" s="16"/>
      <c r="B1543" s="16"/>
      <c r="C1543" s="16"/>
      <c r="D1543" s="17" t="s">
        <v>798</v>
      </c>
      <c r="E1543" s="16"/>
      <c r="F1543" s="18">
        <f>ROUND((G1537+G1542)*(1+G2/100),2)</f>
        <v>49.65</v>
      </c>
      <c r="G1543" s="16"/>
    </row>
    <row r="1544" ht="30.0" customHeight="1">
      <c r="A1544" s="19" t="s">
        <v>801</v>
      </c>
      <c r="B1544" s="20" t="s">
        <v>18</v>
      </c>
      <c r="C1544" s="20" t="s">
        <v>251</v>
      </c>
      <c r="D1544" s="20" t="s">
        <v>802</v>
      </c>
      <c r="E1544" s="21"/>
      <c r="F1544" s="22">
        <f>F1552</f>
        <v>13.53</v>
      </c>
      <c r="G1544" s="21"/>
    </row>
    <row r="1545" ht="21.0" customHeight="1">
      <c r="A1545" s="11"/>
      <c r="B1545" s="11"/>
      <c r="C1545" s="11"/>
      <c r="D1545" s="10" t="s">
        <v>803</v>
      </c>
    </row>
    <row r="1546" ht="21.0" customHeight="1">
      <c r="A1546" s="10" t="s">
        <v>22</v>
      </c>
      <c r="B1546" s="10" t="s">
        <v>18</v>
      </c>
      <c r="C1546" s="10" t="s">
        <v>23</v>
      </c>
      <c r="D1546" s="10" t="s">
        <v>24</v>
      </c>
      <c r="E1546" s="14">
        <v>0.3</v>
      </c>
      <c r="F1546" s="15">
        <f>F1550</f>
        <v>43.8</v>
      </c>
      <c r="G1546" s="12">
        <f t="shared" ref="G1546:G1550" si="269">ROUND(E1546*F1546,2)</f>
        <v>13.14</v>
      </c>
    </row>
    <row r="1547" ht="24.0" customHeight="1">
      <c r="A1547" s="10" t="s">
        <v>25</v>
      </c>
      <c r="B1547" s="10" t="s">
        <v>26</v>
      </c>
      <c r="C1547" s="10" t="s">
        <v>23</v>
      </c>
      <c r="D1547" s="10" t="s">
        <v>27</v>
      </c>
      <c r="E1547" s="14">
        <v>1.0</v>
      </c>
      <c r="F1547" s="15">
        <f>ROUND(21,3)</f>
        <v>21</v>
      </c>
      <c r="G1547" s="12">
        <f t="shared" si="269"/>
        <v>21</v>
      </c>
    </row>
    <row r="1548" ht="24.0" customHeight="1">
      <c r="A1548" s="10" t="s">
        <v>28</v>
      </c>
      <c r="B1548" s="10" t="s">
        <v>26</v>
      </c>
      <c r="C1548" s="10" t="s">
        <v>23</v>
      </c>
      <c r="D1548" s="10" t="s">
        <v>29</v>
      </c>
      <c r="E1548" s="14">
        <v>1.0</v>
      </c>
      <c r="F1548" s="15">
        <f t="shared" ref="F1548:F1549" si="270">ROUND(19,3)</f>
        <v>19</v>
      </c>
      <c r="G1548" s="12">
        <f t="shared" si="269"/>
        <v>19</v>
      </c>
    </row>
    <row r="1549" ht="24.0" customHeight="1">
      <c r="A1549" s="10" t="s">
        <v>30</v>
      </c>
      <c r="B1549" s="10" t="s">
        <v>26</v>
      </c>
      <c r="C1549" s="10" t="s">
        <v>23</v>
      </c>
      <c r="D1549" s="10" t="s">
        <v>31</v>
      </c>
      <c r="E1549" s="14">
        <v>0.2</v>
      </c>
      <c r="F1549" s="15">
        <f t="shared" si="270"/>
        <v>19</v>
      </c>
      <c r="G1549" s="12">
        <f t="shared" si="269"/>
        <v>3.8</v>
      </c>
    </row>
    <row r="1550" ht="15.0" customHeight="1">
      <c r="A1550" s="11"/>
      <c r="B1550" s="11"/>
      <c r="C1550" s="11"/>
      <c r="D1550" s="10" t="s">
        <v>22</v>
      </c>
      <c r="E1550" s="14">
        <v>0.3</v>
      </c>
      <c r="F1550" s="15">
        <f>ROUND((G1547+G1548+G1549),3)</f>
        <v>43.8</v>
      </c>
      <c r="G1550" s="12">
        <f t="shared" si="269"/>
        <v>13.14</v>
      </c>
    </row>
    <row r="1551" ht="15.0" customHeight="1">
      <c r="A1551" s="10" t="s">
        <v>32</v>
      </c>
      <c r="B1551" s="10"/>
      <c r="C1551" s="10" t="s">
        <v>33</v>
      </c>
      <c r="D1551" s="10" t="s">
        <v>34</v>
      </c>
      <c r="E1551" s="14">
        <v>3.0</v>
      </c>
      <c r="F1551" s="15">
        <f>ROUND(13.14,3)</f>
        <v>13.14</v>
      </c>
      <c r="G1551" s="12">
        <f>ROUND((E1551*F1551)/100,2)</f>
        <v>0.39</v>
      </c>
    </row>
    <row r="1552" ht="15.0" customHeight="1">
      <c r="A1552" s="16"/>
      <c r="B1552" s="16"/>
      <c r="C1552" s="16"/>
      <c r="D1552" s="17" t="s">
        <v>801</v>
      </c>
      <c r="E1552" s="16"/>
      <c r="F1552" s="18">
        <f>ROUND((G1546+G1551)*(1+G2/100),2)</f>
        <v>13.53</v>
      </c>
      <c r="G1552" s="16"/>
    </row>
    <row r="1553" ht="30.0" customHeight="1">
      <c r="A1553" s="19" t="s">
        <v>804</v>
      </c>
      <c r="B1553" s="20" t="s">
        <v>18</v>
      </c>
      <c r="C1553" s="20" t="s">
        <v>251</v>
      </c>
      <c r="D1553" s="20" t="s">
        <v>805</v>
      </c>
      <c r="E1553" s="21"/>
      <c r="F1553" s="22">
        <f>F1561</f>
        <v>30.59</v>
      </c>
      <c r="G1553" s="21"/>
    </row>
    <row r="1554" ht="30.0" customHeight="1">
      <c r="A1554" s="11"/>
      <c r="B1554" s="11"/>
      <c r="C1554" s="11"/>
      <c r="D1554" s="10" t="s">
        <v>806</v>
      </c>
    </row>
    <row r="1555" ht="24.0" customHeight="1">
      <c r="A1555" s="10" t="s">
        <v>286</v>
      </c>
      <c r="B1555" s="10" t="s">
        <v>18</v>
      </c>
      <c r="C1555" s="10" t="s">
        <v>23</v>
      </c>
      <c r="D1555" s="10" t="s">
        <v>287</v>
      </c>
      <c r="E1555" s="14">
        <v>0.6</v>
      </c>
      <c r="F1555" s="15">
        <f>F1559</f>
        <v>49.5</v>
      </c>
      <c r="G1555" s="12">
        <f t="shared" ref="G1555:G1559" si="271">ROUND(E1555*F1555,2)</f>
        <v>29.7</v>
      </c>
    </row>
    <row r="1556" ht="24.0" customHeight="1">
      <c r="A1556" s="10" t="s">
        <v>288</v>
      </c>
      <c r="B1556" s="10" t="s">
        <v>26</v>
      </c>
      <c r="C1556" s="10" t="s">
        <v>23</v>
      </c>
      <c r="D1556" s="10" t="s">
        <v>289</v>
      </c>
      <c r="E1556" s="14">
        <v>1.0</v>
      </c>
      <c r="F1556" s="15">
        <f>ROUND(21,3)</f>
        <v>21</v>
      </c>
      <c r="G1556" s="12">
        <f t="shared" si="271"/>
        <v>21</v>
      </c>
    </row>
    <row r="1557" ht="24.0" customHeight="1">
      <c r="A1557" s="10" t="s">
        <v>290</v>
      </c>
      <c r="B1557" s="10" t="s">
        <v>26</v>
      </c>
      <c r="C1557" s="10" t="s">
        <v>23</v>
      </c>
      <c r="D1557" s="10" t="s">
        <v>291</v>
      </c>
      <c r="E1557" s="14">
        <v>1.0</v>
      </c>
      <c r="F1557" s="15">
        <f t="shared" ref="F1557:F1558" si="272">ROUND(19,3)</f>
        <v>19</v>
      </c>
      <c r="G1557" s="12">
        <f t="shared" si="271"/>
        <v>19</v>
      </c>
    </row>
    <row r="1558" ht="24.0" customHeight="1">
      <c r="A1558" s="10" t="s">
        <v>292</v>
      </c>
      <c r="B1558" s="10" t="s">
        <v>26</v>
      </c>
      <c r="C1558" s="10" t="s">
        <v>23</v>
      </c>
      <c r="D1558" s="10" t="s">
        <v>293</v>
      </c>
      <c r="E1558" s="14">
        <v>0.5</v>
      </c>
      <c r="F1558" s="15">
        <f t="shared" si="272"/>
        <v>19</v>
      </c>
      <c r="G1558" s="12">
        <f t="shared" si="271"/>
        <v>9.5</v>
      </c>
    </row>
    <row r="1559" ht="15.0" customHeight="1">
      <c r="A1559" s="11"/>
      <c r="B1559" s="11"/>
      <c r="C1559" s="11"/>
      <c r="D1559" s="10" t="s">
        <v>286</v>
      </c>
      <c r="E1559" s="14">
        <v>0.6</v>
      </c>
      <c r="F1559" s="15">
        <f>ROUND((G1556+G1557+G1558),3)</f>
        <v>49.5</v>
      </c>
      <c r="G1559" s="12">
        <f t="shared" si="271"/>
        <v>29.7</v>
      </c>
    </row>
    <row r="1560" ht="15.0" customHeight="1">
      <c r="A1560" s="10" t="s">
        <v>32</v>
      </c>
      <c r="B1560" s="10"/>
      <c r="C1560" s="10" t="s">
        <v>33</v>
      </c>
      <c r="D1560" s="10" t="s">
        <v>34</v>
      </c>
      <c r="E1560" s="14">
        <v>3.0</v>
      </c>
      <c r="F1560" s="15">
        <f>ROUND(29.7,3)</f>
        <v>29.7</v>
      </c>
      <c r="G1560" s="12">
        <f>ROUND((E1560*F1560)/100,2)</f>
        <v>0.89</v>
      </c>
    </row>
    <row r="1561" ht="15.0" customHeight="1">
      <c r="A1561" s="16"/>
      <c r="B1561" s="16"/>
      <c r="C1561" s="16"/>
      <c r="D1561" s="17" t="s">
        <v>804</v>
      </c>
      <c r="E1561" s="16"/>
      <c r="F1561" s="18">
        <f>ROUND((G1555+G1560)*(1+G2/100),2)</f>
        <v>30.59</v>
      </c>
      <c r="G1561" s="16"/>
    </row>
    <row r="1562" ht="30.0" customHeight="1">
      <c r="A1562" s="19" t="s">
        <v>807</v>
      </c>
      <c r="B1562" s="20" t="s">
        <v>18</v>
      </c>
      <c r="C1562" s="20" t="s">
        <v>251</v>
      </c>
      <c r="D1562" s="20" t="s">
        <v>808</v>
      </c>
      <c r="E1562" s="21"/>
      <c r="F1562" s="22">
        <f>F1570</f>
        <v>7.22</v>
      </c>
      <c r="G1562" s="21"/>
    </row>
    <row r="1563" ht="21.0" customHeight="1">
      <c r="A1563" s="11"/>
      <c r="B1563" s="11"/>
      <c r="C1563" s="11"/>
      <c r="D1563" s="10" t="s">
        <v>809</v>
      </c>
    </row>
    <row r="1564" ht="21.0" customHeight="1">
      <c r="A1564" s="10" t="s">
        <v>22</v>
      </c>
      <c r="B1564" s="10" t="s">
        <v>18</v>
      </c>
      <c r="C1564" s="10" t="s">
        <v>23</v>
      </c>
      <c r="D1564" s="10" t="s">
        <v>24</v>
      </c>
      <c r="E1564" s="14">
        <v>0.16</v>
      </c>
      <c r="F1564" s="15">
        <f>F1568</f>
        <v>43.8</v>
      </c>
      <c r="G1564" s="12">
        <f t="shared" ref="G1564:G1568" si="273">ROUND(E1564*F1564,2)</f>
        <v>7.01</v>
      </c>
    </row>
    <row r="1565" ht="24.0" customHeight="1">
      <c r="A1565" s="10" t="s">
        <v>25</v>
      </c>
      <c r="B1565" s="10" t="s">
        <v>26</v>
      </c>
      <c r="C1565" s="10" t="s">
        <v>23</v>
      </c>
      <c r="D1565" s="10" t="s">
        <v>27</v>
      </c>
      <c r="E1565" s="14">
        <v>1.0</v>
      </c>
      <c r="F1565" s="15">
        <f>ROUND(21,3)</f>
        <v>21</v>
      </c>
      <c r="G1565" s="12">
        <f t="shared" si="273"/>
        <v>21</v>
      </c>
    </row>
    <row r="1566" ht="24.0" customHeight="1">
      <c r="A1566" s="10" t="s">
        <v>28</v>
      </c>
      <c r="B1566" s="10" t="s">
        <v>26</v>
      </c>
      <c r="C1566" s="10" t="s">
        <v>23</v>
      </c>
      <c r="D1566" s="10" t="s">
        <v>29</v>
      </c>
      <c r="E1566" s="14">
        <v>1.0</v>
      </c>
      <c r="F1566" s="15">
        <f t="shared" ref="F1566:F1567" si="274">ROUND(19,3)</f>
        <v>19</v>
      </c>
      <c r="G1566" s="12">
        <f t="shared" si="273"/>
        <v>19</v>
      </c>
    </row>
    <row r="1567" ht="24.0" customHeight="1">
      <c r="A1567" s="10" t="s">
        <v>30</v>
      </c>
      <c r="B1567" s="10" t="s">
        <v>26</v>
      </c>
      <c r="C1567" s="10" t="s">
        <v>23</v>
      </c>
      <c r="D1567" s="10" t="s">
        <v>31</v>
      </c>
      <c r="E1567" s="14">
        <v>0.2</v>
      </c>
      <c r="F1567" s="15">
        <f t="shared" si="274"/>
        <v>19</v>
      </c>
      <c r="G1567" s="12">
        <f t="shared" si="273"/>
        <v>3.8</v>
      </c>
    </row>
    <row r="1568" ht="15.0" customHeight="1">
      <c r="A1568" s="11"/>
      <c r="B1568" s="11"/>
      <c r="C1568" s="11"/>
      <c r="D1568" s="10" t="s">
        <v>22</v>
      </c>
      <c r="E1568" s="14">
        <v>0.16</v>
      </c>
      <c r="F1568" s="15">
        <f>ROUND((G1565+G1566+G1567),3)</f>
        <v>43.8</v>
      </c>
      <c r="G1568" s="12">
        <f t="shared" si="273"/>
        <v>7.01</v>
      </c>
    </row>
    <row r="1569" ht="15.0" customHeight="1">
      <c r="A1569" s="10" t="s">
        <v>32</v>
      </c>
      <c r="B1569" s="10"/>
      <c r="C1569" s="10" t="s">
        <v>33</v>
      </c>
      <c r="D1569" s="10" t="s">
        <v>34</v>
      </c>
      <c r="E1569" s="14">
        <v>3.0</v>
      </c>
      <c r="F1569" s="15">
        <f>ROUND(7.01,3)</f>
        <v>7.01</v>
      </c>
      <c r="G1569" s="12">
        <f>ROUND((E1569*F1569)/100,2)</f>
        <v>0.21</v>
      </c>
    </row>
    <row r="1570" ht="15.0" customHeight="1">
      <c r="A1570" s="16"/>
      <c r="B1570" s="16"/>
      <c r="C1570" s="16"/>
      <c r="D1570" s="17" t="s">
        <v>807</v>
      </c>
      <c r="E1570" s="16"/>
      <c r="F1570" s="18">
        <f>ROUND((G1564+G1569)*(1+G2/100),2)</f>
        <v>7.22</v>
      </c>
      <c r="G1570" s="16"/>
    </row>
    <row r="1571" ht="21.0" customHeight="1">
      <c r="A1571" s="19" t="s">
        <v>810</v>
      </c>
      <c r="B1571" s="20" t="s">
        <v>18</v>
      </c>
      <c r="C1571" s="20" t="s">
        <v>321</v>
      </c>
      <c r="D1571" s="20" t="s">
        <v>811</v>
      </c>
      <c r="E1571" s="21"/>
      <c r="F1571" s="22">
        <f>F1578</f>
        <v>78.84</v>
      </c>
      <c r="G1571" s="21"/>
    </row>
    <row r="1572" ht="30.0" customHeight="1">
      <c r="A1572" s="11"/>
      <c r="B1572" s="11"/>
      <c r="C1572" s="11"/>
      <c r="D1572" s="10" t="s">
        <v>812</v>
      </c>
    </row>
    <row r="1573" ht="21.0" customHeight="1">
      <c r="A1573" s="10" t="s">
        <v>22</v>
      </c>
      <c r="B1573" s="10" t="s">
        <v>18</v>
      </c>
      <c r="C1573" s="10" t="s">
        <v>23</v>
      </c>
      <c r="D1573" s="10" t="s">
        <v>24</v>
      </c>
      <c r="E1573" s="14">
        <v>1.8</v>
      </c>
      <c r="F1573" s="15">
        <f>F1577</f>
        <v>43.8</v>
      </c>
      <c r="G1573" s="12">
        <f t="shared" ref="G1573:G1577" si="275">ROUND(E1573*F1573,2)</f>
        <v>78.84</v>
      </c>
    </row>
    <row r="1574" ht="24.0" customHeight="1">
      <c r="A1574" s="10" t="s">
        <v>25</v>
      </c>
      <c r="B1574" s="10" t="s">
        <v>26</v>
      </c>
      <c r="C1574" s="10" t="s">
        <v>23</v>
      </c>
      <c r="D1574" s="10" t="s">
        <v>27</v>
      </c>
      <c r="E1574" s="14">
        <v>1.0</v>
      </c>
      <c r="F1574" s="15">
        <f>ROUND(21,3)</f>
        <v>21</v>
      </c>
      <c r="G1574" s="12">
        <f t="shared" si="275"/>
        <v>21</v>
      </c>
    </row>
    <row r="1575" ht="24.0" customHeight="1">
      <c r="A1575" s="10" t="s">
        <v>28</v>
      </c>
      <c r="B1575" s="10" t="s">
        <v>26</v>
      </c>
      <c r="C1575" s="10" t="s">
        <v>23</v>
      </c>
      <c r="D1575" s="10" t="s">
        <v>29</v>
      </c>
      <c r="E1575" s="14">
        <v>1.0</v>
      </c>
      <c r="F1575" s="15">
        <f t="shared" ref="F1575:F1576" si="276">ROUND(19,3)</f>
        <v>19</v>
      </c>
      <c r="G1575" s="12">
        <f t="shared" si="275"/>
        <v>19</v>
      </c>
    </row>
    <row r="1576" ht="24.0" customHeight="1">
      <c r="A1576" s="10" t="s">
        <v>30</v>
      </c>
      <c r="B1576" s="10" t="s">
        <v>26</v>
      </c>
      <c r="C1576" s="10" t="s">
        <v>23</v>
      </c>
      <c r="D1576" s="10" t="s">
        <v>31</v>
      </c>
      <c r="E1576" s="14">
        <v>0.2</v>
      </c>
      <c r="F1576" s="15">
        <f t="shared" si="276"/>
        <v>19</v>
      </c>
      <c r="G1576" s="12">
        <f t="shared" si="275"/>
        <v>3.8</v>
      </c>
    </row>
    <row r="1577" ht="15.0" customHeight="1">
      <c r="A1577" s="11"/>
      <c r="B1577" s="11"/>
      <c r="C1577" s="11"/>
      <c r="D1577" s="10" t="s">
        <v>22</v>
      </c>
      <c r="E1577" s="14">
        <v>1.8</v>
      </c>
      <c r="F1577" s="15">
        <f>ROUND((G1574+G1575+G1576),3)</f>
        <v>43.8</v>
      </c>
      <c r="G1577" s="12">
        <f t="shared" si="275"/>
        <v>78.84</v>
      </c>
    </row>
    <row r="1578" ht="15.0" customHeight="1">
      <c r="A1578" s="16"/>
      <c r="B1578" s="16"/>
      <c r="C1578" s="16"/>
      <c r="D1578" s="17" t="s">
        <v>810</v>
      </c>
      <c r="E1578" s="16"/>
      <c r="F1578" s="18">
        <f>ROUND((G1573)*(1+G2/100),2)</f>
        <v>78.84</v>
      </c>
      <c r="G1578" s="16"/>
    </row>
    <row r="1579" ht="21.0" customHeight="1">
      <c r="A1579" s="19" t="s">
        <v>813</v>
      </c>
      <c r="B1579" s="20" t="s">
        <v>18</v>
      </c>
      <c r="C1579" s="20" t="s">
        <v>321</v>
      </c>
      <c r="D1579" s="20" t="s">
        <v>814</v>
      </c>
      <c r="E1579" s="21"/>
      <c r="F1579" s="22">
        <f>F1587</f>
        <v>10.6</v>
      </c>
      <c r="G1579" s="21"/>
    </row>
    <row r="1580" ht="21.0" customHeight="1">
      <c r="A1580" s="11"/>
      <c r="B1580" s="11"/>
      <c r="C1580" s="11"/>
      <c r="D1580" s="10" t="s">
        <v>815</v>
      </c>
    </row>
    <row r="1581" ht="21.0" customHeight="1">
      <c r="A1581" s="10" t="s">
        <v>22</v>
      </c>
      <c r="B1581" s="10" t="s">
        <v>18</v>
      </c>
      <c r="C1581" s="10" t="s">
        <v>23</v>
      </c>
      <c r="D1581" s="10" t="s">
        <v>24</v>
      </c>
      <c r="E1581" s="14">
        <v>0.235</v>
      </c>
      <c r="F1581" s="15">
        <f>F1585</f>
        <v>43.8</v>
      </c>
      <c r="G1581" s="12">
        <f t="shared" ref="G1581:G1585" si="277">ROUND(E1581*F1581,2)</f>
        <v>10.29</v>
      </c>
    </row>
    <row r="1582" ht="24.0" customHeight="1">
      <c r="A1582" s="10" t="s">
        <v>25</v>
      </c>
      <c r="B1582" s="10" t="s">
        <v>26</v>
      </c>
      <c r="C1582" s="10" t="s">
        <v>23</v>
      </c>
      <c r="D1582" s="10" t="s">
        <v>27</v>
      </c>
      <c r="E1582" s="14">
        <v>1.0</v>
      </c>
      <c r="F1582" s="15">
        <f>ROUND(21,3)</f>
        <v>21</v>
      </c>
      <c r="G1582" s="12">
        <f t="shared" si="277"/>
        <v>21</v>
      </c>
    </row>
    <row r="1583" ht="24.0" customHeight="1">
      <c r="A1583" s="10" t="s">
        <v>28</v>
      </c>
      <c r="B1583" s="10" t="s">
        <v>26</v>
      </c>
      <c r="C1583" s="10" t="s">
        <v>23</v>
      </c>
      <c r="D1583" s="10" t="s">
        <v>29</v>
      </c>
      <c r="E1583" s="14">
        <v>1.0</v>
      </c>
      <c r="F1583" s="15">
        <f t="shared" ref="F1583:F1584" si="278">ROUND(19,3)</f>
        <v>19</v>
      </c>
      <c r="G1583" s="12">
        <f t="shared" si="277"/>
        <v>19</v>
      </c>
    </row>
    <row r="1584" ht="24.0" customHeight="1">
      <c r="A1584" s="10" t="s">
        <v>30</v>
      </c>
      <c r="B1584" s="10" t="s">
        <v>26</v>
      </c>
      <c r="C1584" s="10" t="s">
        <v>23</v>
      </c>
      <c r="D1584" s="10" t="s">
        <v>31</v>
      </c>
      <c r="E1584" s="14">
        <v>0.2</v>
      </c>
      <c r="F1584" s="15">
        <f t="shared" si="278"/>
        <v>19</v>
      </c>
      <c r="G1584" s="12">
        <f t="shared" si="277"/>
        <v>3.8</v>
      </c>
    </row>
    <row r="1585" ht="15.0" customHeight="1">
      <c r="A1585" s="11"/>
      <c r="B1585" s="11"/>
      <c r="C1585" s="11"/>
      <c r="D1585" s="10" t="s">
        <v>22</v>
      </c>
      <c r="E1585" s="14">
        <v>0.235</v>
      </c>
      <c r="F1585" s="15">
        <f>ROUND((G1582+G1583+G1584),3)</f>
        <v>43.8</v>
      </c>
      <c r="G1585" s="12">
        <f t="shared" si="277"/>
        <v>10.29</v>
      </c>
    </row>
    <row r="1586" ht="15.0" customHeight="1">
      <c r="A1586" s="10" t="s">
        <v>32</v>
      </c>
      <c r="B1586" s="10"/>
      <c r="C1586" s="10" t="s">
        <v>33</v>
      </c>
      <c r="D1586" s="10" t="s">
        <v>34</v>
      </c>
      <c r="E1586" s="14">
        <v>3.0</v>
      </c>
      <c r="F1586" s="15">
        <f>ROUND(10.29,3)</f>
        <v>10.29</v>
      </c>
      <c r="G1586" s="12">
        <f>ROUND((E1586*F1586)/100,2)</f>
        <v>0.31</v>
      </c>
    </row>
    <row r="1587" ht="15.0" customHeight="1">
      <c r="A1587" s="16"/>
      <c r="B1587" s="16"/>
      <c r="C1587" s="16"/>
      <c r="D1587" s="17" t="s">
        <v>813</v>
      </c>
      <c r="E1587" s="16"/>
      <c r="F1587" s="18">
        <f>ROUND((G1581+G1586)*(1+G2/100),2)</f>
        <v>10.6</v>
      </c>
      <c r="G1587" s="16"/>
    </row>
    <row r="1588" ht="30.0" customHeight="1">
      <c r="A1588" s="19" t="s">
        <v>816</v>
      </c>
      <c r="B1588" s="20" t="s">
        <v>18</v>
      </c>
      <c r="C1588" s="20" t="s">
        <v>321</v>
      </c>
      <c r="D1588" s="20" t="s">
        <v>817</v>
      </c>
      <c r="E1588" s="21"/>
      <c r="F1588" s="22">
        <f>F1596</f>
        <v>17.85</v>
      </c>
      <c r="G1588" s="21"/>
    </row>
    <row r="1589" ht="30.0" customHeight="1">
      <c r="A1589" s="11"/>
      <c r="B1589" s="11"/>
      <c r="C1589" s="11"/>
      <c r="D1589" s="10" t="s">
        <v>818</v>
      </c>
    </row>
    <row r="1590" ht="24.0" customHeight="1">
      <c r="A1590" s="10" t="s">
        <v>286</v>
      </c>
      <c r="B1590" s="10" t="s">
        <v>18</v>
      </c>
      <c r="C1590" s="10" t="s">
        <v>23</v>
      </c>
      <c r="D1590" s="10" t="s">
        <v>287</v>
      </c>
      <c r="E1590" s="14">
        <v>0.35</v>
      </c>
      <c r="F1590" s="15">
        <f>F1594</f>
        <v>49.5</v>
      </c>
      <c r="G1590" s="12">
        <f t="shared" ref="G1590:G1594" si="279">ROUND(E1590*F1590,2)</f>
        <v>17.33</v>
      </c>
    </row>
    <row r="1591" ht="24.0" customHeight="1">
      <c r="A1591" s="10" t="s">
        <v>288</v>
      </c>
      <c r="B1591" s="10" t="s">
        <v>26</v>
      </c>
      <c r="C1591" s="10" t="s">
        <v>23</v>
      </c>
      <c r="D1591" s="10" t="s">
        <v>289</v>
      </c>
      <c r="E1591" s="14">
        <v>1.0</v>
      </c>
      <c r="F1591" s="15">
        <f>ROUND(21,3)</f>
        <v>21</v>
      </c>
      <c r="G1591" s="12">
        <f t="shared" si="279"/>
        <v>21</v>
      </c>
    </row>
    <row r="1592" ht="24.0" customHeight="1">
      <c r="A1592" s="10" t="s">
        <v>290</v>
      </c>
      <c r="B1592" s="10" t="s">
        <v>26</v>
      </c>
      <c r="C1592" s="10" t="s">
        <v>23</v>
      </c>
      <c r="D1592" s="10" t="s">
        <v>291</v>
      </c>
      <c r="E1592" s="14">
        <v>1.0</v>
      </c>
      <c r="F1592" s="15">
        <f t="shared" ref="F1592:F1593" si="280">ROUND(19,3)</f>
        <v>19</v>
      </c>
      <c r="G1592" s="12">
        <f t="shared" si="279"/>
        <v>19</v>
      </c>
    </row>
    <row r="1593" ht="24.0" customHeight="1">
      <c r="A1593" s="10" t="s">
        <v>292</v>
      </c>
      <c r="B1593" s="10" t="s">
        <v>26</v>
      </c>
      <c r="C1593" s="10" t="s">
        <v>23</v>
      </c>
      <c r="D1593" s="10" t="s">
        <v>293</v>
      </c>
      <c r="E1593" s="14">
        <v>0.5</v>
      </c>
      <c r="F1593" s="15">
        <f t="shared" si="280"/>
        <v>19</v>
      </c>
      <c r="G1593" s="12">
        <f t="shared" si="279"/>
        <v>9.5</v>
      </c>
    </row>
    <row r="1594" ht="15.0" customHeight="1">
      <c r="A1594" s="11"/>
      <c r="B1594" s="11"/>
      <c r="C1594" s="11"/>
      <c r="D1594" s="10" t="s">
        <v>286</v>
      </c>
      <c r="E1594" s="14">
        <v>0.35</v>
      </c>
      <c r="F1594" s="15">
        <f>ROUND((G1591+G1592+G1593),3)</f>
        <v>49.5</v>
      </c>
      <c r="G1594" s="12">
        <f t="shared" si="279"/>
        <v>17.33</v>
      </c>
    </row>
    <row r="1595" ht="15.0" customHeight="1">
      <c r="A1595" s="10" t="s">
        <v>32</v>
      </c>
      <c r="B1595" s="10"/>
      <c r="C1595" s="10" t="s">
        <v>33</v>
      </c>
      <c r="D1595" s="10" t="s">
        <v>34</v>
      </c>
      <c r="E1595" s="14">
        <v>3.0</v>
      </c>
      <c r="F1595" s="15">
        <f>ROUND(17.33,3)</f>
        <v>17.33</v>
      </c>
      <c r="G1595" s="12">
        <f>ROUND((E1595*F1595)/100,2)</f>
        <v>0.52</v>
      </c>
    </row>
    <row r="1596" ht="15.0" customHeight="1">
      <c r="A1596" s="16"/>
      <c r="B1596" s="16"/>
      <c r="C1596" s="16"/>
      <c r="D1596" s="17" t="s">
        <v>816</v>
      </c>
      <c r="E1596" s="16"/>
      <c r="F1596" s="18">
        <f>ROUND((G1590+G1595)*(1+G2/100),2)</f>
        <v>17.85</v>
      </c>
      <c r="G1596" s="16"/>
    </row>
    <row r="1597" ht="30.0" customHeight="1">
      <c r="A1597" s="19" t="s">
        <v>819</v>
      </c>
      <c r="B1597" s="20" t="s">
        <v>18</v>
      </c>
      <c r="C1597" s="20" t="s">
        <v>321</v>
      </c>
      <c r="D1597" s="20" t="s">
        <v>820</v>
      </c>
      <c r="E1597" s="21"/>
      <c r="F1597" s="22">
        <f>F1606</f>
        <v>14.45</v>
      </c>
      <c r="G1597" s="21"/>
    </row>
    <row r="1598" ht="21.0" customHeight="1">
      <c r="A1598" s="11"/>
      <c r="B1598" s="11"/>
      <c r="C1598" s="11"/>
      <c r="D1598" s="10" t="s">
        <v>821</v>
      </c>
    </row>
    <row r="1599" ht="30.0" customHeight="1">
      <c r="A1599" s="10" t="s">
        <v>822</v>
      </c>
      <c r="B1599" s="10" t="s">
        <v>112</v>
      </c>
      <c r="C1599" s="10" t="s">
        <v>23</v>
      </c>
      <c r="D1599" s="10" t="s">
        <v>823</v>
      </c>
      <c r="E1599" s="14">
        <v>0.2</v>
      </c>
      <c r="F1599" s="15">
        <f>ROUND(4.62,3)</f>
        <v>4.62</v>
      </c>
      <c r="G1599" s="12">
        <f t="shared" ref="G1599:G1604" si="281">ROUND(E1599*F1599,2)</f>
        <v>0.92</v>
      </c>
    </row>
    <row r="1600" ht="21.0" customHeight="1">
      <c r="A1600" s="10" t="s">
        <v>22</v>
      </c>
      <c r="B1600" s="10" t="s">
        <v>18</v>
      </c>
      <c r="C1600" s="10" t="s">
        <v>23</v>
      </c>
      <c r="D1600" s="10" t="s">
        <v>24</v>
      </c>
      <c r="E1600" s="14">
        <v>0.3</v>
      </c>
      <c r="F1600" s="15">
        <f>F1604</f>
        <v>43.8</v>
      </c>
      <c r="G1600" s="12">
        <f t="shared" si="281"/>
        <v>13.14</v>
      </c>
    </row>
    <row r="1601" ht="24.0" customHeight="1">
      <c r="A1601" s="10" t="s">
        <v>25</v>
      </c>
      <c r="B1601" s="10" t="s">
        <v>26</v>
      </c>
      <c r="C1601" s="10" t="s">
        <v>23</v>
      </c>
      <c r="D1601" s="10" t="s">
        <v>27</v>
      </c>
      <c r="E1601" s="14">
        <v>1.0</v>
      </c>
      <c r="F1601" s="15">
        <f>ROUND(21,3)</f>
        <v>21</v>
      </c>
      <c r="G1601" s="12">
        <f t="shared" si="281"/>
        <v>21</v>
      </c>
    </row>
    <row r="1602" ht="24.0" customHeight="1">
      <c r="A1602" s="10" t="s">
        <v>28</v>
      </c>
      <c r="B1602" s="10" t="s">
        <v>26</v>
      </c>
      <c r="C1602" s="10" t="s">
        <v>23</v>
      </c>
      <c r="D1602" s="10" t="s">
        <v>29</v>
      </c>
      <c r="E1602" s="14">
        <v>1.0</v>
      </c>
      <c r="F1602" s="15">
        <f t="shared" ref="F1602:F1603" si="282">ROUND(19,3)</f>
        <v>19</v>
      </c>
      <c r="G1602" s="12">
        <f t="shared" si="281"/>
        <v>19</v>
      </c>
    </row>
    <row r="1603" ht="24.0" customHeight="1">
      <c r="A1603" s="10" t="s">
        <v>30</v>
      </c>
      <c r="B1603" s="10" t="s">
        <v>26</v>
      </c>
      <c r="C1603" s="10" t="s">
        <v>23</v>
      </c>
      <c r="D1603" s="10" t="s">
        <v>31</v>
      </c>
      <c r="E1603" s="14">
        <v>0.2</v>
      </c>
      <c r="F1603" s="15">
        <f t="shared" si="282"/>
        <v>19</v>
      </c>
      <c r="G1603" s="12">
        <f t="shared" si="281"/>
        <v>3.8</v>
      </c>
    </row>
    <row r="1604" ht="15.0" customHeight="1">
      <c r="A1604" s="11"/>
      <c r="B1604" s="11"/>
      <c r="C1604" s="11"/>
      <c r="D1604" s="10" t="s">
        <v>22</v>
      </c>
      <c r="E1604" s="14">
        <v>0.3</v>
      </c>
      <c r="F1604" s="15">
        <f>ROUND((G1601+G1602+G1603),3)</f>
        <v>43.8</v>
      </c>
      <c r="G1604" s="12">
        <f t="shared" si="281"/>
        <v>13.14</v>
      </c>
    </row>
    <row r="1605" ht="15.0" customHeight="1">
      <c r="A1605" s="10" t="s">
        <v>32</v>
      </c>
      <c r="B1605" s="10"/>
      <c r="C1605" s="10" t="s">
        <v>33</v>
      </c>
      <c r="D1605" s="10" t="s">
        <v>34</v>
      </c>
      <c r="E1605" s="14">
        <v>3.0</v>
      </c>
      <c r="F1605" s="15">
        <f>ROUND(13.14,3)</f>
        <v>13.14</v>
      </c>
      <c r="G1605" s="12">
        <f>ROUND((E1605*F1605)/100,2)</f>
        <v>0.39</v>
      </c>
    </row>
    <row r="1606" ht="15.0" customHeight="1">
      <c r="A1606" s="16"/>
      <c r="B1606" s="16"/>
      <c r="C1606" s="16"/>
      <c r="D1606" s="17" t="s">
        <v>819</v>
      </c>
      <c r="E1606" s="16"/>
      <c r="F1606" s="18">
        <f>ROUND((G1599+G1600+G1605)*(1+G2/100),2)</f>
        <v>14.45</v>
      </c>
      <c r="G1606" s="16"/>
    </row>
    <row r="1607" ht="39.75" customHeight="1">
      <c r="A1607" s="19" t="s">
        <v>824</v>
      </c>
      <c r="B1607" s="20" t="s">
        <v>18</v>
      </c>
      <c r="C1607" s="20" t="s">
        <v>321</v>
      </c>
      <c r="D1607" s="20" t="s">
        <v>825</v>
      </c>
      <c r="E1607" s="21"/>
      <c r="F1607" s="22">
        <f>F1616</f>
        <v>21.31</v>
      </c>
      <c r="G1607" s="21"/>
    </row>
    <row r="1608" ht="21.0" customHeight="1">
      <c r="A1608" s="11"/>
      <c r="B1608" s="11"/>
      <c r="C1608" s="11"/>
      <c r="D1608" s="10" t="s">
        <v>826</v>
      </c>
    </row>
    <row r="1609" ht="30.0" customHeight="1">
      <c r="A1609" s="10" t="s">
        <v>822</v>
      </c>
      <c r="B1609" s="10" t="s">
        <v>112</v>
      </c>
      <c r="C1609" s="10" t="s">
        <v>23</v>
      </c>
      <c r="D1609" s="10" t="s">
        <v>823</v>
      </c>
      <c r="E1609" s="14">
        <v>0.2</v>
      </c>
      <c r="F1609" s="15">
        <f>ROUND(4.62,3)</f>
        <v>4.62</v>
      </c>
      <c r="G1609" s="12">
        <f t="shared" ref="G1609:G1614" si="283">ROUND(E1609*F1609,2)</f>
        <v>0.92</v>
      </c>
    </row>
    <row r="1610" ht="24.0" customHeight="1">
      <c r="A1610" s="10" t="s">
        <v>286</v>
      </c>
      <c r="B1610" s="10" t="s">
        <v>18</v>
      </c>
      <c r="C1610" s="10" t="s">
        <v>23</v>
      </c>
      <c r="D1610" s="10" t="s">
        <v>287</v>
      </c>
      <c r="E1610" s="14">
        <v>0.4</v>
      </c>
      <c r="F1610" s="15">
        <f>F1614</f>
        <v>49.5</v>
      </c>
      <c r="G1610" s="12">
        <f t="shared" si="283"/>
        <v>19.8</v>
      </c>
    </row>
    <row r="1611" ht="24.0" customHeight="1">
      <c r="A1611" s="10" t="s">
        <v>288</v>
      </c>
      <c r="B1611" s="10" t="s">
        <v>26</v>
      </c>
      <c r="C1611" s="10" t="s">
        <v>23</v>
      </c>
      <c r="D1611" s="10" t="s">
        <v>289</v>
      </c>
      <c r="E1611" s="14">
        <v>1.0</v>
      </c>
      <c r="F1611" s="15">
        <f>ROUND(21,3)</f>
        <v>21</v>
      </c>
      <c r="G1611" s="12">
        <f t="shared" si="283"/>
        <v>21</v>
      </c>
    </row>
    <row r="1612" ht="24.0" customHeight="1">
      <c r="A1612" s="10" t="s">
        <v>290</v>
      </c>
      <c r="B1612" s="10" t="s">
        <v>26</v>
      </c>
      <c r="C1612" s="10" t="s">
        <v>23</v>
      </c>
      <c r="D1612" s="10" t="s">
        <v>291</v>
      </c>
      <c r="E1612" s="14">
        <v>1.0</v>
      </c>
      <c r="F1612" s="15">
        <f t="shared" ref="F1612:F1613" si="284">ROUND(19,3)</f>
        <v>19</v>
      </c>
      <c r="G1612" s="12">
        <f t="shared" si="283"/>
        <v>19</v>
      </c>
    </row>
    <row r="1613" ht="24.0" customHeight="1">
      <c r="A1613" s="10" t="s">
        <v>292</v>
      </c>
      <c r="B1613" s="10" t="s">
        <v>26</v>
      </c>
      <c r="C1613" s="10" t="s">
        <v>23</v>
      </c>
      <c r="D1613" s="10" t="s">
        <v>293</v>
      </c>
      <c r="E1613" s="14">
        <v>0.5</v>
      </c>
      <c r="F1613" s="15">
        <f t="shared" si="284"/>
        <v>19</v>
      </c>
      <c r="G1613" s="12">
        <f t="shared" si="283"/>
        <v>9.5</v>
      </c>
    </row>
    <row r="1614" ht="15.0" customHeight="1">
      <c r="A1614" s="11"/>
      <c r="B1614" s="11"/>
      <c r="C1614" s="11"/>
      <c r="D1614" s="10" t="s">
        <v>286</v>
      </c>
      <c r="E1614" s="14">
        <v>0.4</v>
      </c>
      <c r="F1614" s="15">
        <f>ROUND((G1611+G1612+G1613),3)</f>
        <v>49.5</v>
      </c>
      <c r="G1614" s="12">
        <f t="shared" si="283"/>
        <v>19.8</v>
      </c>
    </row>
    <row r="1615" ht="15.0" customHeight="1">
      <c r="A1615" s="10" t="s">
        <v>32</v>
      </c>
      <c r="B1615" s="10"/>
      <c r="C1615" s="10" t="s">
        <v>33</v>
      </c>
      <c r="D1615" s="10" t="s">
        <v>34</v>
      </c>
      <c r="E1615" s="14">
        <v>3.0</v>
      </c>
      <c r="F1615" s="15">
        <f>ROUND(19.8,3)</f>
        <v>19.8</v>
      </c>
      <c r="G1615" s="12">
        <f>ROUND((E1615*F1615)/100,2)</f>
        <v>0.59</v>
      </c>
    </row>
    <row r="1616" ht="15.0" customHeight="1">
      <c r="A1616" s="16"/>
      <c r="B1616" s="16"/>
      <c r="C1616" s="16"/>
      <c r="D1616" s="17" t="s">
        <v>824</v>
      </c>
      <c r="E1616" s="16"/>
      <c r="F1616" s="18">
        <f>ROUND((G1609+G1610+G1615)*(1+G2/100),2)</f>
        <v>21.31</v>
      </c>
      <c r="G1616" s="16"/>
    </row>
    <row r="1617" ht="21.0" customHeight="1">
      <c r="A1617" s="19" t="s">
        <v>827</v>
      </c>
      <c r="B1617" s="20" t="s">
        <v>18</v>
      </c>
      <c r="C1617" s="20" t="s">
        <v>321</v>
      </c>
      <c r="D1617" s="20" t="s">
        <v>828</v>
      </c>
      <c r="E1617" s="21"/>
      <c r="F1617" s="22">
        <f>F1625</f>
        <v>4.51</v>
      </c>
      <c r="G1617" s="21"/>
    </row>
    <row r="1618" ht="30.0" customHeight="1">
      <c r="A1618" s="11"/>
      <c r="B1618" s="11"/>
      <c r="C1618" s="11"/>
      <c r="D1618" s="10" t="s">
        <v>829</v>
      </c>
    </row>
    <row r="1619" ht="21.0" customHeight="1">
      <c r="A1619" s="10" t="s">
        <v>22</v>
      </c>
      <c r="B1619" s="10" t="s">
        <v>18</v>
      </c>
      <c r="C1619" s="10" t="s">
        <v>23</v>
      </c>
      <c r="D1619" s="10" t="s">
        <v>24</v>
      </c>
      <c r="E1619" s="14">
        <v>0.1</v>
      </c>
      <c r="F1619" s="15">
        <f>F1623</f>
        <v>43.8</v>
      </c>
      <c r="G1619" s="12">
        <f t="shared" ref="G1619:G1623" si="285">ROUND(E1619*F1619,2)</f>
        <v>4.38</v>
      </c>
    </row>
    <row r="1620" ht="24.0" customHeight="1">
      <c r="A1620" s="10" t="s">
        <v>25</v>
      </c>
      <c r="B1620" s="10" t="s">
        <v>26</v>
      </c>
      <c r="C1620" s="10" t="s">
        <v>23</v>
      </c>
      <c r="D1620" s="10" t="s">
        <v>27</v>
      </c>
      <c r="E1620" s="14">
        <v>1.0</v>
      </c>
      <c r="F1620" s="15">
        <f>ROUND(21,3)</f>
        <v>21</v>
      </c>
      <c r="G1620" s="12">
        <f t="shared" si="285"/>
        <v>21</v>
      </c>
    </row>
    <row r="1621" ht="24.0" customHeight="1">
      <c r="A1621" s="10" t="s">
        <v>28</v>
      </c>
      <c r="B1621" s="10" t="s">
        <v>26</v>
      </c>
      <c r="C1621" s="10" t="s">
        <v>23</v>
      </c>
      <c r="D1621" s="10" t="s">
        <v>29</v>
      </c>
      <c r="E1621" s="14">
        <v>1.0</v>
      </c>
      <c r="F1621" s="15">
        <f t="shared" ref="F1621:F1622" si="286">ROUND(19,3)</f>
        <v>19</v>
      </c>
      <c r="G1621" s="12">
        <f t="shared" si="285"/>
        <v>19</v>
      </c>
    </row>
    <row r="1622" ht="24.0" customHeight="1">
      <c r="A1622" s="10" t="s">
        <v>30</v>
      </c>
      <c r="B1622" s="10" t="s">
        <v>26</v>
      </c>
      <c r="C1622" s="10" t="s">
        <v>23</v>
      </c>
      <c r="D1622" s="10" t="s">
        <v>31</v>
      </c>
      <c r="E1622" s="14">
        <v>0.2</v>
      </c>
      <c r="F1622" s="15">
        <f t="shared" si="286"/>
        <v>19</v>
      </c>
      <c r="G1622" s="12">
        <f t="shared" si="285"/>
        <v>3.8</v>
      </c>
    </row>
    <row r="1623" ht="15.0" customHeight="1">
      <c r="A1623" s="11"/>
      <c r="B1623" s="11"/>
      <c r="C1623" s="11"/>
      <c r="D1623" s="10" t="s">
        <v>22</v>
      </c>
      <c r="E1623" s="14">
        <v>0.1</v>
      </c>
      <c r="F1623" s="15">
        <f>ROUND((G1620+G1621+G1622),3)</f>
        <v>43.8</v>
      </c>
      <c r="G1623" s="12">
        <f t="shared" si="285"/>
        <v>4.38</v>
      </c>
    </row>
    <row r="1624" ht="15.0" customHeight="1">
      <c r="A1624" s="10" t="s">
        <v>32</v>
      </c>
      <c r="B1624" s="10"/>
      <c r="C1624" s="10" t="s">
        <v>33</v>
      </c>
      <c r="D1624" s="10" t="s">
        <v>34</v>
      </c>
      <c r="E1624" s="14">
        <v>3.0</v>
      </c>
      <c r="F1624" s="15">
        <f>ROUND(4.38,3)</f>
        <v>4.38</v>
      </c>
      <c r="G1624" s="12">
        <f>ROUND((E1624*F1624)/100,2)</f>
        <v>0.13</v>
      </c>
    </row>
    <row r="1625" ht="15.0" customHeight="1">
      <c r="A1625" s="16"/>
      <c r="B1625" s="16"/>
      <c r="C1625" s="16"/>
      <c r="D1625" s="17" t="s">
        <v>827</v>
      </c>
      <c r="E1625" s="16"/>
      <c r="F1625" s="18">
        <f>ROUND((G1619+G1624)*(1+G2/100),2)</f>
        <v>4.51</v>
      </c>
      <c r="G1625" s="16"/>
    </row>
    <row r="1626" ht="21.0" customHeight="1">
      <c r="A1626" s="19" t="s">
        <v>830</v>
      </c>
      <c r="B1626" s="20" t="s">
        <v>18</v>
      </c>
      <c r="C1626" s="20" t="s">
        <v>321</v>
      </c>
      <c r="D1626" s="20" t="s">
        <v>831</v>
      </c>
      <c r="E1626" s="21"/>
      <c r="F1626" s="22">
        <f>F1634</f>
        <v>15.3</v>
      </c>
      <c r="G1626" s="21"/>
    </row>
    <row r="1627" ht="30.0" customHeight="1">
      <c r="A1627" s="11"/>
      <c r="B1627" s="11"/>
      <c r="C1627" s="11"/>
      <c r="D1627" s="10" t="s">
        <v>832</v>
      </c>
    </row>
    <row r="1628" ht="24.0" customHeight="1">
      <c r="A1628" s="10" t="s">
        <v>286</v>
      </c>
      <c r="B1628" s="10" t="s">
        <v>18</v>
      </c>
      <c r="C1628" s="10" t="s">
        <v>23</v>
      </c>
      <c r="D1628" s="10" t="s">
        <v>287</v>
      </c>
      <c r="E1628" s="14">
        <v>0.3</v>
      </c>
      <c r="F1628" s="15">
        <f>F1632</f>
        <v>49.5</v>
      </c>
      <c r="G1628" s="12">
        <f t="shared" ref="G1628:G1632" si="287">ROUND(E1628*F1628,2)</f>
        <v>14.85</v>
      </c>
    </row>
    <row r="1629" ht="24.0" customHeight="1">
      <c r="A1629" s="10" t="s">
        <v>288</v>
      </c>
      <c r="B1629" s="10" t="s">
        <v>26</v>
      </c>
      <c r="C1629" s="10" t="s">
        <v>23</v>
      </c>
      <c r="D1629" s="10" t="s">
        <v>289</v>
      </c>
      <c r="E1629" s="14">
        <v>1.0</v>
      </c>
      <c r="F1629" s="15">
        <f>ROUND(21,3)</f>
        <v>21</v>
      </c>
      <c r="G1629" s="12">
        <f t="shared" si="287"/>
        <v>21</v>
      </c>
    </row>
    <row r="1630" ht="24.0" customHeight="1">
      <c r="A1630" s="10" t="s">
        <v>290</v>
      </c>
      <c r="B1630" s="10" t="s">
        <v>26</v>
      </c>
      <c r="C1630" s="10" t="s">
        <v>23</v>
      </c>
      <c r="D1630" s="10" t="s">
        <v>291</v>
      </c>
      <c r="E1630" s="14">
        <v>1.0</v>
      </c>
      <c r="F1630" s="15">
        <f t="shared" ref="F1630:F1631" si="288">ROUND(19,3)</f>
        <v>19</v>
      </c>
      <c r="G1630" s="12">
        <f t="shared" si="287"/>
        <v>19</v>
      </c>
    </row>
    <row r="1631" ht="24.0" customHeight="1">
      <c r="A1631" s="10" t="s">
        <v>292</v>
      </c>
      <c r="B1631" s="10" t="s">
        <v>26</v>
      </c>
      <c r="C1631" s="10" t="s">
        <v>23</v>
      </c>
      <c r="D1631" s="10" t="s">
        <v>293</v>
      </c>
      <c r="E1631" s="14">
        <v>0.5</v>
      </c>
      <c r="F1631" s="15">
        <f t="shared" si="288"/>
        <v>19</v>
      </c>
      <c r="G1631" s="12">
        <f t="shared" si="287"/>
        <v>9.5</v>
      </c>
    </row>
    <row r="1632" ht="15.0" customHeight="1">
      <c r="A1632" s="11"/>
      <c r="B1632" s="11"/>
      <c r="C1632" s="11"/>
      <c r="D1632" s="10" t="s">
        <v>286</v>
      </c>
      <c r="E1632" s="14">
        <v>0.3</v>
      </c>
      <c r="F1632" s="15">
        <f>ROUND((G1629+G1630+G1631),3)</f>
        <v>49.5</v>
      </c>
      <c r="G1632" s="12">
        <f t="shared" si="287"/>
        <v>14.85</v>
      </c>
    </row>
    <row r="1633" ht="15.0" customHeight="1">
      <c r="A1633" s="10" t="s">
        <v>32</v>
      </c>
      <c r="B1633" s="10"/>
      <c r="C1633" s="10" t="s">
        <v>33</v>
      </c>
      <c r="D1633" s="10" t="s">
        <v>34</v>
      </c>
      <c r="E1633" s="14">
        <v>3.0</v>
      </c>
      <c r="F1633" s="15">
        <f>ROUND(14.85,3)</f>
        <v>14.85</v>
      </c>
      <c r="G1633" s="12">
        <f>ROUND((E1633*F1633)/100,2)</f>
        <v>0.45</v>
      </c>
    </row>
    <row r="1634" ht="15.0" customHeight="1">
      <c r="A1634" s="16"/>
      <c r="B1634" s="16"/>
      <c r="C1634" s="16"/>
      <c r="D1634" s="17" t="s">
        <v>830</v>
      </c>
      <c r="E1634" s="16"/>
      <c r="F1634" s="18">
        <f>ROUND((G1628+G1633)*(1+G2/100),2)</f>
        <v>15.3</v>
      </c>
      <c r="G1634" s="16"/>
    </row>
    <row r="1635" ht="21.0" customHeight="1">
      <c r="A1635" s="19" t="s">
        <v>833</v>
      </c>
      <c r="B1635" s="20" t="s">
        <v>18</v>
      </c>
      <c r="C1635" s="20" t="s">
        <v>321</v>
      </c>
      <c r="D1635" s="20" t="s">
        <v>834</v>
      </c>
      <c r="E1635" s="21"/>
      <c r="F1635" s="22">
        <f>F1643</f>
        <v>12.85</v>
      </c>
      <c r="G1635" s="21"/>
    </row>
    <row r="1636" ht="21.0" customHeight="1">
      <c r="A1636" s="11"/>
      <c r="B1636" s="11"/>
      <c r="C1636" s="11"/>
      <c r="D1636" s="10" t="s">
        <v>835</v>
      </c>
    </row>
    <row r="1637" ht="21.0" customHeight="1">
      <c r="A1637" s="10" t="s">
        <v>22</v>
      </c>
      <c r="B1637" s="10" t="s">
        <v>18</v>
      </c>
      <c r="C1637" s="10" t="s">
        <v>23</v>
      </c>
      <c r="D1637" s="10" t="s">
        <v>24</v>
      </c>
      <c r="E1637" s="14">
        <v>0.285</v>
      </c>
      <c r="F1637" s="15">
        <f>F1641</f>
        <v>43.8</v>
      </c>
      <c r="G1637" s="12">
        <f t="shared" ref="G1637:G1641" si="289">ROUND(E1637*F1637,2)</f>
        <v>12.48</v>
      </c>
    </row>
    <row r="1638" ht="24.0" customHeight="1">
      <c r="A1638" s="10" t="s">
        <v>25</v>
      </c>
      <c r="B1638" s="10" t="s">
        <v>26</v>
      </c>
      <c r="C1638" s="10" t="s">
        <v>23</v>
      </c>
      <c r="D1638" s="10" t="s">
        <v>27</v>
      </c>
      <c r="E1638" s="14">
        <v>1.0</v>
      </c>
      <c r="F1638" s="15">
        <f>ROUND(21,3)</f>
        <v>21</v>
      </c>
      <c r="G1638" s="12">
        <f t="shared" si="289"/>
        <v>21</v>
      </c>
    </row>
    <row r="1639" ht="24.0" customHeight="1">
      <c r="A1639" s="10" t="s">
        <v>28</v>
      </c>
      <c r="B1639" s="10" t="s">
        <v>26</v>
      </c>
      <c r="C1639" s="10" t="s">
        <v>23</v>
      </c>
      <c r="D1639" s="10" t="s">
        <v>29</v>
      </c>
      <c r="E1639" s="14">
        <v>1.0</v>
      </c>
      <c r="F1639" s="15">
        <f t="shared" ref="F1639:F1640" si="290">ROUND(19,3)</f>
        <v>19</v>
      </c>
      <c r="G1639" s="12">
        <f t="shared" si="289"/>
        <v>19</v>
      </c>
    </row>
    <row r="1640" ht="24.0" customHeight="1">
      <c r="A1640" s="10" t="s">
        <v>30</v>
      </c>
      <c r="B1640" s="10" t="s">
        <v>26</v>
      </c>
      <c r="C1640" s="10" t="s">
        <v>23</v>
      </c>
      <c r="D1640" s="10" t="s">
        <v>31</v>
      </c>
      <c r="E1640" s="14">
        <v>0.2</v>
      </c>
      <c r="F1640" s="15">
        <f t="shared" si="290"/>
        <v>19</v>
      </c>
      <c r="G1640" s="12">
        <f t="shared" si="289"/>
        <v>3.8</v>
      </c>
    </row>
    <row r="1641" ht="15.0" customHeight="1">
      <c r="A1641" s="11"/>
      <c r="B1641" s="11"/>
      <c r="C1641" s="11"/>
      <c r="D1641" s="10" t="s">
        <v>22</v>
      </c>
      <c r="E1641" s="14">
        <v>0.285</v>
      </c>
      <c r="F1641" s="15">
        <f>ROUND((G1638+G1639+G1640),3)</f>
        <v>43.8</v>
      </c>
      <c r="G1641" s="12">
        <f t="shared" si="289"/>
        <v>12.48</v>
      </c>
    </row>
    <row r="1642" ht="15.0" customHeight="1">
      <c r="A1642" s="10" t="s">
        <v>32</v>
      </c>
      <c r="B1642" s="10"/>
      <c r="C1642" s="10" t="s">
        <v>33</v>
      </c>
      <c r="D1642" s="10" t="s">
        <v>34</v>
      </c>
      <c r="E1642" s="14">
        <v>3.0</v>
      </c>
      <c r="F1642" s="15">
        <f>ROUND(12.48,3)</f>
        <v>12.48</v>
      </c>
      <c r="G1642" s="12">
        <f>ROUND((E1642*F1642)/100,2)</f>
        <v>0.37</v>
      </c>
    </row>
    <row r="1643" ht="15.0" customHeight="1">
      <c r="A1643" s="16"/>
      <c r="B1643" s="16"/>
      <c r="C1643" s="16"/>
      <c r="D1643" s="17" t="s">
        <v>833</v>
      </c>
      <c r="E1643" s="16"/>
      <c r="F1643" s="18">
        <f>ROUND((G1637+G1642)*(1+G2/100),2)</f>
        <v>12.85</v>
      </c>
      <c r="G1643" s="16"/>
    </row>
    <row r="1644" ht="30.0" customHeight="1">
      <c r="A1644" s="19" t="s">
        <v>836</v>
      </c>
      <c r="B1644" s="20" t="s">
        <v>18</v>
      </c>
      <c r="C1644" s="20" t="s">
        <v>321</v>
      </c>
      <c r="D1644" s="20" t="s">
        <v>837</v>
      </c>
      <c r="E1644" s="21"/>
      <c r="F1644" s="22">
        <f>F1652</f>
        <v>21.41</v>
      </c>
      <c r="G1644" s="21"/>
    </row>
    <row r="1645" ht="30.0" customHeight="1">
      <c r="A1645" s="11"/>
      <c r="B1645" s="11"/>
      <c r="C1645" s="11"/>
      <c r="D1645" s="10" t="s">
        <v>838</v>
      </c>
    </row>
    <row r="1646" ht="24.0" customHeight="1">
      <c r="A1646" s="10" t="s">
        <v>286</v>
      </c>
      <c r="B1646" s="10" t="s">
        <v>18</v>
      </c>
      <c r="C1646" s="10" t="s">
        <v>23</v>
      </c>
      <c r="D1646" s="10" t="s">
        <v>287</v>
      </c>
      <c r="E1646" s="14">
        <v>0.42</v>
      </c>
      <c r="F1646" s="15">
        <f>F1650</f>
        <v>49.5</v>
      </c>
      <c r="G1646" s="12">
        <f t="shared" ref="G1646:G1650" si="291">ROUND(E1646*F1646,2)</f>
        <v>20.79</v>
      </c>
    </row>
    <row r="1647" ht="24.0" customHeight="1">
      <c r="A1647" s="10" t="s">
        <v>288</v>
      </c>
      <c r="B1647" s="10" t="s">
        <v>26</v>
      </c>
      <c r="C1647" s="10" t="s">
        <v>23</v>
      </c>
      <c r="D1647" s="10" t="s">
        <v>289</v>
      </c>
      <c r="E1647" s="14">
        <v>1.0</v>
      </c>
      <c r="F1647" s="15">
        <f>ROUND(21,3)</f>
        <v>21</v>
      </c>
      <c r="G1647" s="12">
        <f t="shared" si="291"/>
        <v>21</v>
      </c>
    </row>
    <row r="1648" ht="24.0" customHeight="1">
      <c r="A1648" s="10" t="s">
        <v>290</v>
      </c>
      <c r="B1648" s="10" t="s">
        <v>26</v>
      </c>
      <c r="C1648" s="10" t="s">
        <v>23</v>
      </c>
      <c r="D1648" s="10" t="s">
        <v>291</v>
      </c>
      <c r="E1648" s="14">
        <v>1.0</v>
      </c>
      <c r="F1648" s="15">
        <f t="shared" ref="F1648:F1649" si="292">ROUND(19,3)</f>
        <v>19</v>
      </c>
      <c r="G1648" s="12">
        <f t="shared" si="291"/>
        <v>19</v>
      </c>
    </row>
    <row r="1649" ht="24.0" customHeight="1">
      <c r="A1649" s="10" t="s">
        <v>292</v>
      </c>
      <c r="B1649" s="10" t="s">
        <v>26</v>
      </c>
      <c r="C1649" s="10" t="s">
        <v>23</v>
      </c>
      <c r="D1649" s="10" t="s">
        <v>293</v>
      </c>
      <c r="E1649" s="14">
        <v>0.5</v>
      </c>
      <c r="F1649" s="15">
        <f t="shared" si="292"/>
        <v>19</v>
      </c>
      <c r="G1649" s="12">
        <f t="shared" si="291"/>
        <v>9.5</v>
      </c>
    </row>
    <row r="1650" ht="15.0" customHeight="1">
      <c r="A1650" s="11"/>
      <c r="B1650" s="11"/>
      <c r="C1650" s="11"/>
      <c r="D1650" s="10" t="s">
        <v>286</v>
      </c>
      <c r="E1650" s="14">
        <v>0.42</v>
      </c>
      <c r="F1650" s="15">
        <f>ROUND((G1647+G1648+G1649),3)</f>
        <v>49.5</v>
      </c>
      <c r="G1650" s="12">
        <f t="shared" si="291"/>
        <v>20.79</v>
      </c>
    </row>
    <row r="1651" ht="15.0" customHeight="1">
      <c r="A1651" s="10" t="s">
        <v>32</v>
      </c>
      <c r="B1651" s="10"/>
      <c r="C1651" s="10" t="s">
        <v>33</v>
      </c>
      <c r="D1651" s="10" t="s">
        <v>34</v>
      </c>
      <c r="E1651" s="14">
        <v>3.0</v>
      </c>
      <c r="F1651" s="15">
        <f>ROUND(20.79,3)</f>
        <v>20.79</v>
      </c>
      <c r="G1651" s="12">
        <f>ROUND((E1651*F1651)/100,2)</f>
        <v>0.62</v>
      </c>
    </row>
    <row r="1652" ht="15.0" customHeight="1">
      <c r="A1652" s="16"/>
      <c r="B1652" s="16"/>
      <c r="C1652" s="16"/>
      <c r="D1652" s="17" t="s">
        <v>836</v>
      </c>
      <c r="E1652" s="16"/>
      <c r="F1652" s="18">
        <f>ROUND((G1646+G1651)*(1+G2/100),2)</f>
        <v>21.41</v>
      </c>
      <c r="G1652" s="16"/>
    </row>
    <row r="1653" ht="21.0" customHeight="1">
      <c r="A1653" s="19" t="s">
        <v>839</v>
      </c>
      <c r="B1653" s="20" t="s">
        <v>18</v>
      </c>
      <c r="C1653" s="20" t="s">
        <v>251</v>
      </c>
      <c r="D1653" s="20" t="s">
        <v>840</v>
      </c>
      <c r="E1653" s="21"/>
      <c r="F1653" s="22">
        <f>F1660</f>
        <v>15.33</v>
      </c>
      <c r="G1653" s="21"/>
    </row>
    <row r="1654" ht="39.75" customHeight="1">
      <c r="A1654" s="11"/>
      <c r="B1654" s="11"/>
      <c r="C1654" s="11"/>
      <c r="D1654" s="10" t="s">
        <v>841</v>
      </c>
    </row>
    <row r="1655" ht="21.0" customHeight="1">
      <c r="A1655" s="10" t="s">
        <v>22</v>
      </c>
      <c r="B1655" s="10" t="s">
        <v>18</v>
      </c>
      <c r="C1655" s="10" t="s">
        <v>23</v>
      </c>
      <c r="D1655" s="10" t="s">
        <v>24</v>
      </c>
      <c r="E1655" s="14">
        <v>0.35</v>
      </c>
      <c r="F1655" s="15">
        <f>F1659</f>
        <v>43.8</v>
      </c>
      <c r="G1655" s="12">
        <f t="shared" ref="G1655:G1659" si="293">ROUND(E1655*F1655,2)</f>
        <v>15.33</v>
      </c>
    </row>
    <row r="1656" ht="24.0" customHeight="1">
      <c r="A1656" s="10" t="s">
        <v>25</v>
      </c>
      <c r="B1656" s="10" t="s">
        <v>26</v>
      </c>
      <c r="C1656" s="10" t="s">
        <v>23</v>
      </c>
      <c r="D1656" s="10" t="s">
        <v>27</v>
      </c>
      <c r="E1656" s="14">
        <v>1.0</v>
      </c>
      <c r="F1656" s="15">
        <f>ROUND(21,3)</f>
        <v>21</v>
      </c>
      <c r="G1656" s="12">
        <f t="shared" si="293"/>
        <v>21</v>
      </c>
    </row>
    <row r="1657" ht="24.0" customHeight="1">
      <c r="A1657" s="10" t="s">
        <v>28</v>
      </c>
      <c r="B1657" s="10" t="s">
        <v>26</v>
      </c>
      <c r="C1657" s="10" t="s">
        <v>23</v>
      </c>
      <c r="D1657" s="10" t="s">
        <v>29</v>
      </c>
      <c r="E1657" s="14">
        <v>1.0</v>
      </c>
      <c r="F1657" s="15">
        <f t="shared" ref="F1657:F1658" si="294">ROUND(19,3)</f>
        <v>19</v>
      </c>
      <c r="G1657" s="12">
        <f t="shared" si="293"/>
        <v>19</v>
      </c>
    </row>
    <row r="1658" ht="24.0" customHeight="1">
      <c r="A1658" s="10" t="s">
        <v>30</v>
      </c>
      <c r="B1658" s="10" t="s">
        <v>26</v>
      </c>
      <c r="C1658" s="10" t="s">
        <v>23</v>
      </c>
      <c r="D1658" s="10" t="s">
        <v>31</v>
      </c>
      <c r="E1658" s="14">
        <v>0.2</v>
      </c>
      <c r="F1658" s="15">
        <f t="shared" si="294"/>
        <v>19</v>
      </c>
      <c r="G1658" s="12">
        <f t="shared" si="293"/>
        <v>3.8</v>
      </c>
    </row>
    <row r="1659" ht="15.0" customHeight="1">
      <c r="A1659" s="11"/>
      <c r="B1659" s="11"/>
      <c r="C1659" s="11"/>
      <c r="D1659" s="10" t="s">
        <v>22</v>
      </c>
      <c r="E1659" s="14">
        <v>0.35</v>
      </c>
      <c r="F1659" s="15">
        <f>ROUND((G1656+G1657+G1658),3)</f>
        <v>43.8</v>
      </c>
      <c r="G1659" s="12">
        <f t="shared" si="293"/>
        <v>15.33</v>
      </c>
    </row>
    <row r="1660" ht="15.0" customHeight="1">
      <c r="A1660" s="16"/>
      <c r="B1660" s="16"/>
      <c r="C1660" s="16"/>
      <c r="D1660" s="17" t="s">
        <v>839</v>
      </c>
      <c r="E1660" s="16"/>
      <c r="F1660" s="18">
        <f>ROUND((G1655)*(1+G2/100),2)</f>
        <v>15.33</v>
      </c>
      <c r="G1660" s="16"/>
    </row>
    <row r="1661" ht="21.0" customHeight="1">
      <c r="A1661" s="19" t="s">
        <v>842</v>
      </c>
      <c r="B1661" s="20" t="s">
        <v>18</v>
      </c>
      <c r="C1661" s="20" t="s">
        <v>251</v>
      </c>
      <c r="D1661" s="20" t="s">
        <v>843</v>
      </c>
      <c r="E1661" s="21"/>
      <c r="F1661" s="22">
        <f>F1668</f>
        <v>22.78</v>
      </c>
      <c r="G1661" s="21"/>
    </row>
    <row r="1662" ht="30.0" customHeight="1">
      <c r="A1662" s="11"/>
      <c r="B1662" s="11"/>
      <c r="C1662" s="11"/>
      <c r="D1662" s="10" t="s">
        <v>844</v>
      </c>
    </row>
    <row r="1663" ht="21.0" customHeight="1">
      <c r="A1663" s="10" t="s">
        <v>22</v>
      </c>
      <c r="B1663" s="10" t="s">
        <v>18</v>
      </c>
      <c r="C1663" s="10" t="s">
        <v>23</v>
      </c>
      <c r="D1663" s="10" t="s">
        <v>24</v>
      </c>
      <c r="E1663" s="14">
        <v>0.52</v>
      </c>
      <c r="F1663" s="15">
        <f>F1667</f>
        <v>43.8</v>
      </c>
      <c r="G1663" s="12">
        <f t="shared" ref="G1663:G1667" si="295">ROUND(E1663*F1663,2)</f>
        <v>22.78</v>
      </c>
    </row>
    <row r="1664" ht="24.0" customHeight="1">
      <c r="A1664" s="10" t="s">
        <v>25</v>
      </c>
      <c r="B1664" s="10" t="s">
        <v>26</v>
      </c>
      <c r="C1664" s="10" t="s">
        <v>23</v>
      </c>
      <c r="D1664" s="10" t="s">
        <v>27</v>
      </c>
      <c r="E1664" s="14">
        <v>1.0</v>
      </c>
      <c r="F1664" s="15">
        <f>ROUND(21,3)</f>
        <v>21</v>
      </c>
      <c r="G1664" s="12">
        <f t="shared" si="295"/>
        <v>21</v>
      </c>
    </row>
    <row r="1665" ht="24.0" customHeight="1">
      <c r="A1665" s="10" t="s">
        <v>28</v>
      </c>
      <c r="B1665" s="10" t="s">
        <v>26</v>
      </c>
      <c r="C1665" s="10" t="s">
        <v>23</v>
      </c>
      <c r="D1665" s="10" t="s">
        <v>29</v>
      </c>
      <c r="E1665" s="14">
        <v>1.0</v>
      </c>
      <c r="F1665" s="15">
        <f t="shared" ref="F1665:F1666" si="296">ROUND(19,3)</f>
        <v>19</v>
      </c>
      <c r="G1665" s="12">
        <f t="shared" si="295"/>
        <v>19</v>
      </c>
    </row>
    <row r="1666" ht="24.0" customHeight="1">
      <c r="A1666" s="10" t="s">
        <v>30</v>
      </c>
      <c r="B1666" s="10" t="s">
        <v>26</v>
      </c>
      <c r="C1666" s="10" t="s">
        <v>23</v>
      </c>
      <c r="D1666" s="10" t="s">
        <v>31</v>
      </c>
      <c r="E1666" s="14">
        <v>0.2</v>
      </c>
      <c r="F1666" s="15">
        <f t="shared" si="296"/>
        <v>19</v>
      </c>
      <c r="G1666" s="12">
        <f t="shared" si="295"/>
        <v>3.8</v>
      </c>
    </row>
    <row r="1667" ht="15.0" customHeight="1">
      <c r="A1667" s="11"/>
      <c r="B1667" s="11"/>
      <c r="C1667" s="11"/>
      <c r="D1667" s="10" t="s">
        <v>22</v>
      </c>
      <c r="E1667" s="14">
        <v>0.52</v>
      </c>
      <c r="F1667" s="15">
        <f>ROUND((G1664+G1665+G1666),3)</f>
        <v>43.8</v>
      </c>
      <c r="G1667" s="12">
        <f t="shared" si="295"/>
        <v>22.78</v>
      </c>
    </row>
    <row r="1668" ht="15.0" customHeight="1">
      <c r="A1668" s="16"/>
      <c r="B1668" s="16"/>
      <c r="C1668" s="16"/>
      <c r="D1668" s="17" t="s">
        <v>842</v>
      </c>
      <c r="E1668" s="16"/>
      <c r="F1668" s="18">
        <f>ROUND((G1663)*(1+G2/100),2)</f>
        <v>22.78</v>
      </c>
      <c r="G1668" s="16"/>
    </row>
    <row r="1669" ht="21.0" customHeight="1">
      <c r="A1669" s="19" t="s">
        <v>845</v>
      </c>
      <c r="B1669" s="20" t="s">
        <v>18</v>
      </c>
      <c r="C1669" s="20" t="s">
        <v>537</v>
      </c>
      <c r="D1669" s="20" t="s">
        <v>846</v>
      </c>
      <c r="E1669" s="21"/>
      <c r="F1669" s="22">
        <f>F1676</f>
        <v>7.3</v>
      </c>
      <c r="G1669" s="21"/>
    </row>
    <row r="1670" ht="21.0" customHeight="1">
      <c r="A1670" s="11"/>
      <c r="B1670" s="11"/>
      <c r="C1670" s="11"/>
      <c r="D1670" s="10" t="s">
        <v>847</v>
      </c>
    </row>
    <row r="1671" ht="21.0" customHeight="1">
      <c r="A1671" s="10" t="s">
        <v>22</v>
      </c>
      <c r="B1671" s="10" t="s">
        <v>18</v>
      </c>
      <c r="C1671" s="10" t="s">
        <v>23</v>
      </c>
      <c r="D1671" s="10" t="s">
        <v>24</v>
      </c>
      <c r="E1671" s="14">
        <v>0.16667</v>
      </c>
      <c r="F1671" s="15">
        <f>F1675</f>
        <v>43.8</v>
      </c>
      <c r="G1671" s="12">
        <f t="shared" ref="G1671:G1675" si="297">ROUND(E1671*F1671,2)</f>
        <v>7.3</v>
      </c>
    </row>
    <row r="1672" ht="24.0" customHeight="1">
      <c r="A1672" s="10" t="s">
        <v>25</v>
      </c>
      <c r="B1672" s="10" t="s">
        <v>26</v>
      </c>
      <c r="C1672" s="10" t="s">
        <v>23</v>
      </c>
      <c r="D1672" s="10" t="s">
        <v>27</v>
      </c>
      <c r="E1672" s="14">
        <v>1.0</v>
      </c>
      <c r="F1672" s="15">
        <f>ROUND(21,3)</f>
        <v>21</v>
      </c>
      <c r="G1672" s="12">
        <f t="shared" si="297"/>
        <v>21</v>
      </c>
    </row>
    <row r="1673" ht="24.0" customHeight="1">
      <c r="A1673" s="10" t="s">
        <v>28</v>
      </c>
      <c r="B1673" s="10" t="s">
        <v>26</v>
      </c>
      <c r="C1673" s="10" t="s">
        <v>23</v>
      </c>
      <c r="D1673" s="10" t="s">
        <v>29</v>
      </c>
      <c r="E1673" s="14">
        <v>1.0</v>
      </c>
      <c r="F1673" s="15">
        <f t="shared" ref="F1673:F1674" si="298">ROUND(19,3)</f>
        <v>19</v>
      </c>
      <c r="G1673" s="12">
        <f t="shared" si="297"/>
        <v>19</v>
      </c>
    </row>
    <row r="1674" ht="24.0" customHeight="1">
      <c r="A1674" s="10" t="s">
        <v>30</v>
      </c>
      <c r="B1674" s="10" t="s">
        <v>26</v>
      </c>
      <c r="C1674" s="10" t="s">
        <v>23</v>
      </c>
      <c r="D1674" s="10" t="s">
        <v>31</v>
      </c>
      <c r="E1674" s="14">
        <v>0.2</v>
      </c>
      <c r="F1674" s="15">
        <f t="shared" si="298"/>
        <v>19</v>
      </c>
      <c r="G1674" s="12">
        <f t="shared" si="297"/>
        <v>3.8</v>
      </c>
    </row>
    <row r="1675" ht="15.0" customHeight="1">
      <c r="A1675" s="11"/>
      <c r="B1675" s="11"/>
      <c r="C1675" s="11"/>
      <c r="D1675" s="10" t="s">
        <v>22</v>
      </c>
      <c r="E1675" s="14">
        <v>0.16667</v>
      </c>
      <c r="F1675" s="15">
        <f>ROUND((G1672+G1673+G1674),3)</f>
        <v>43.8</v>
      </c>
      <c r="G1675" s="12">
        <f t="shared" si="297"/>
        <v>7.3</v>
      </c>
    </row>
    <row r="1676" ht="15.0" customHeight="1">
      <c r="A1676" s="16"/>
      <c r="B1676" s="16"/>
      <c r="C1676" s="16"/>
      <c r="D1676" s="17" t="s">
        <v>845</v>
      </c>
      <c r="E1676" s="16"/>
      <c r="F1676" s="18">
        <f>ROUND((G1671)*(1+G2/100),2)</f>
        <v>7.3</v>
      </c>
      <c r="G1676" s="16"/>
    </row>
    <row r="1677" ht="21.0" customHeight="1">
      <c r="A1677" s="19" t="s">
        <v>848</v>
      </c>
      <c r="B1677" s="20" t="s">
        <v>18</v>
      </c>
      <c r="C1677" s="20" t="s">
        <v>251</v>
      </c>
      <c r="D1677" s="20" t="s">
        <v>849</v>
      </c>
      <c r="E1677" s="21"/>
      <c r="F1677" s="22">
        <f>F1684</f>
        <v>9.2</v>
      </c>
      <c r="G1677" s="21"/>
    </row>
    <row r="1678" ht="30.0" customHeight="1">
      <c r="A1678" s="11"/>
      <c r="B1678" s="11"/>
      <c r="C1678" s="11"/>
      <c r="D1678" s="10" t="s">
        <v>850</v>
      </c>
    </row>
    <row r="1679" ht="21.0" customHeight="1">
      <c r="A1679" s="10" t="s">
        <v>22</v>
      </c>
      <c r="B1679" s="10" t="s">
        <v>18</v>
      </c>
      <c r="C1679" s="10" t="s">
        <v>23</v>
      </c>
      <c r="D1679" s="10" t="s">
        <v>24</v>
      </c>
      <c r="E1679" s="14">
        <v>0.21</v>
      </c>
      <c r="F1679" s="15">
        <f>F1683</f>
        <v>43.8</v>
      </c>
      <c r="G1679" s="12">
        <f t="shared" ref="G1679:G1683" si="299">ROUND(E1679*F1679,2)</f>
        <v>9.2</v>
      </c>
    </row>
    <row r="1680" ht="24.0" customHeight="1">
      <c r="A1680" s="10" t="s">
        <v>25</v>
      </c>
      <c r="B1680" s="10" t="s">
        <v>26</v>
      </c>
      <c r="C1680" s="10" t="s">
        <v>23</v>
      </c>
      <c r="D1680" s="10" t="s">
        <v>27</v>
      </c>
      <c r="E1680" s="14">
        <v>1.0</v>
      </c>
      <c r="F1680" s="15">
        <f>ROUND(21,3)</f>
        <v>21</v>
      </c>
      <c r="G1680" s="12">
        <f t="shared" si="299"/>
        <v>21</v>
      </c>
    </row>
    <row r="1681" ht="24.0" customHeight="1">
      <c r="A1681" s="10" t="s">
        <v>28</v>
      </c>
      <c r="B1681" s="10" t="s">
        <v>26</v>
      </c>
      <c r="C1681" s="10" t="s">
        <v>23</v>
      </c>
      <c r="D1681" s="10" t="s">
        <v>29</v>
      </c>
      <c r="E1681" s="14">
        <v>1.0</v>
      </c>
      <c r="F1681" s="15">
        <f t="shared" ref="F1681:F1682" si="300">ROUND(19,3)</f>
        <v>19</v>
      </c>
      <c r="G1681" s="12">
        <f t="shared" si="299"/>
        <v>19</v>
      </c>
    </row>
    <row r="1682" ht="24.0" customHeight="1">
      <c r="A1682" s="10" t="s">
        <v>30</v>
      </c>
      <c r="B1682" s="10" t="s">
        <v>26</v>
      </c>
      <c r="C1682" s="10" t="s">
        <v>23</v>
      </c>
      <c r="D1682" s="10" t="s">
        <v>31</v>
      </c>
      <c r="E1682" s="14">
        <v>0.2</v>
      </c>
      <c r="F1682" s="15">
        <f t="shared" si="300"/>
        <v>19</v>
      </c>
      <c r="G1682" s="12">
        <f t="shared" si="299"/>
        <v>3.8</v>
      </c>
    </row>
    <row r="1683" ht="15.0" customHeight="1">
      <c r="A1683" s="11"/>
      <c r="B1683" s="11"/>
      <c r="C1683" s="11"/>
      <c r="D1683" s="10" t="s">
        <v>22</v>
      </c>
      <c r="E1683" s="14">
        <v>0.21</v>
      </c>
      <c r="F1683" s="15">
        <f>ROUND((G1680+G1681+G1682),3)</f>
        <v>43.8</v>
      </c>
      <c r="G1683" s="12">
        <f t="shared" si="299"/>
        <v>9.2</v>
      </c>
    </row>
    <row r="1684" ht="15.0" customHeight="1">
      <c r="A1684" s="16"/>
      <c r="B1684" s="16"/>
      <c r="C1684" s="16"/>
      <c r="D1684" s="17" t="s">
        <v>848</v>
      </c>
      <c r="E1684" s="16"/>
      <c r="F1684" s="18">
        <f>ROUND((G1679)*(1+G2/100),2)</f>
        <v>9.2</v>
      </c>
      <c r="G1684" s="16"/>
    </row>
    <row r="1685" ht="15.0" customHeight="1">
      <c r="A1685" s="19" t="s">
        <v>851</v>
      </c>
      <c r="B1685" s="20" t="s">
        <v>18</v>
      </c>
      <c r="C1685" s="20" t="s">
        <v>251</v>
      </c>
      <c r="D1685" s="20" t="s">
        <v>852</v>
      </c>
      <c r="E1685" s="21"/>
      <c r="F1685" s="22">
        <f>F1696</f>
        <v>28.28</v>
      </c>
      <c r="G1685" s="21"/>
    </row>
    <row r="1686" ht="76.5" customHeight="1">
      <c r="A1686" s="11"/>
      <c r="B1686" s="11"/>
      <c r="C1686" s="11"/>
      <c r="D1686" s="10" t="s">
        <v>853</v>
      </c>
    </row>
    <row r="1687" ht="30.0" customHeight="1">
      <c r="A1687" s="10" t="s">
        <v>780</v>
      </c>
      <c r="B1687" s="10" t="s">
        <v>112</v>
      </c>
      <c r="C1687" s="10" t="s">
        <v>23</v>
      </c>
      <c r="D1687" s="10" t="s">
        <v>781</v>
      </c>
      <c r="E1687" s="14">
        <v>0.5</v>
      </c>
      <c r="F1687" s="15">
        <f>ROUND(1.875,3)</f>
        <v>1.875</v>
      </c>
      <c r="G1687" s="12">
        <f t="shared" ref="G1687:G1694" si="301">ROUND(E1687*F1687,2)</f>
        <v>0.94</v>
      </c>
    </row>
    <row r="1688" ht="39.75" customHeight="1">
      <c r="A1688" s="10" t="s">
        <v>778</v>
      </c>
      <c r="B1688" s="10" t="s">
        <v>112</v>
      </c>
      <c r="C1688" s="10" t="s">
        <v>23</v>
      </c>
      <c r="D1688" s="10" t="s">
        <v>779</v>
      </c>
      <c r="E1688" s="14">
        <v>0.5</v>
      </c>
      <c r="F1688" s="15">
        <f>ROUND(2,3)</f>
        <v>2</v>
      </c>
      <c r="G1688" s="12">
        <f t="shared" si="301"/>
        <v>1</v>
      </c>
    </row>
    <row r="1689" ht="39.75" customHeight="1">
      <c r="A1689" s="10" t="s">
        <v>188</v>
      </c>
      <c r="B1689" s="10" t="s">
        <v>112</v>
      </c>
      <c r="C1689" s="10" t="s">
        <v>23</v>
      </c>
      <c r="D1689" s="10" t="s">
        <v>189</v>
      </c>
      <c r="E1689" s="14">
        <v>0.5</v>
      </c>
      <c r="F1689" s="15">
        <f>ROUND(7.565,3)</f>
        <v>7.565</v>
      </c>
      <c r="G1689" s="12">
        <f t="shared" si="301"/>
        <v>3.78</v>
      </c>
    </row>
    <row r="1690" ht="21.0" customHeight="1">
      <c r="A1690" s="10" t="s">
        <v>22</v>
      </c>
      <c r="B1690" s="10" t="s">
        <v>18</v>
      </c>
      <c r="C1690" s="10" t="s">
        <v>23</v>
      </c>
      <c r="D1690" s="10" t="s">
        <v>24</v>
      </c>
      <c r="E1690" s="14">
        <v>0.5</v>
      </c>
      <c r="F1690" s="15">
        <f>F1694</f>
        <v>43.8</v>
      </c>
      <c r="G1690" s="12">
        <f t="shared" si="301"/>
        <v>21.9</v>
      </c>
    </row>
    <row r="1691" ht="24.0" customHeight="1">
      <c r="A1691" s="10" t="s">
        <v>25</v>
      </c>
      <c r="B1691" s="10" t="s">
        <v>26</v>
      </c>
      <c r="C1691" s="10" t="s">
        <v>23</v>
      </c>
      <c r="D1691" s="10" t="s">
        <v>27</v>
      </c>
      <c r="E1691" s="14">
        <v>1.0</v>
      </c>
      <c r="F1691" s="15">
        <f>ROUND(21,3)</f>
        <v>21</v>
      </c>
      <c r="G1691" s="12">
        <f t="shared" si="301"/>
        <v>21</v>
      </c>
    </row>
    <row r="1692" ht="24.0" customHeight="1">
      <c r="A1692" s="10" t="s">
        <v>28</v>
      </c>
      <c r="B1692" s="10" t="s">
        <v>26</v>
      </c>
      <c r="C1692" s="10" t="s">
        <v>23</v>
      </c>
      <c r="D1692" s="10" t="s">
        <v>29</v>
      </c>
      <c r="E1692" s="14">
        <v>1.0</v>
      </c>
      <c r="F1692" s="15">
        <f t="shared" ref="F1692:F1693" si="302">ROUND(19,3)</f>
        <v>19</v>
      </c>
      <c r="G1692" s="12">
        <f t="shared" si="301"/>
        <v>19</v>
      </c>
    </row>
    <row r="1693" ht="24.0" customHeight="1">
      <c r="A1693" s="10" t="s">
        <v>30</v>
      </c>
      <c r="B1693" s="10" t="s">
        <v>26</v>
      </c>
      <c r="C1693" s="10" t="s">
        <v>23</v>
      </c>
      <c r="D1693" s="10" t="s">
        <v>31</v>
      </c>
      <c r="E1693" s="14">
        <v>0.2</v>
      </c>
      <c r="F1693" s="15">
        <f t="shared" si="302"/>
        <v>19</v>
      </c>
      <c r="G1693" s="12">
        <f t="shared" si="301"/>
        <v>3.8</v>
      </c>
    </row>
    <row r="1694" ht="15.0" customHeight="1">
      <c r="A1694" s="11"/>
      <c r="B1694" s="11"/>
      <c r="C1694" s="11"/>
      <c r="D1694" s="10" t="s">
        <v>22</v>
      </c>
      <c r="E1694" s="14">
        <v>0.5</v>
      </c>
      <c r="F1694" s="15">
        <f>ROUND((G1691+G1692+G1693),3)</f>
        <v>43.8</v>
      </c>
      <c r="G1694" s="12">
        <f t="shared" si="301"/>
        <v>21.9</v>
      </c>
    </row>
    <row r="1695" ht="15.0" customHeight="1">
      <c r="A1695" s="10" t="s">
        <v>32</v>
      </c>
      <c r="B1695" s="10"/>
      <c r="C1695" s="10" t="s">
        <v>33</v>
      </c>
      <c r="D1695" s="10" t="s">
        <v>34</v>
      </c>
      <c r="E1695" s="14">
        <v>3.0</v>
      </c>
      <c r="F1695" s="15">
        <f>ROUND(21.9,3)</f>
        <v>21.9</v>
      </c>
      <c r="G1695" s="12">
        <f>ROUND((E1695*F1695)/100,2)</f>
        <v>0.66</v>
      </c>
    </row>
    <row r="1696" ht="15.0" customHeight="1">
      <c r="A1696" s="16"/>
      <c r="B1696" s="16"/>
      <c r="C1696" s="16"/>
      <c r="D1696" s="17" t="s">
        <v>851</v>
      </c>
      <c r="E1696" s="16"/>
      <c r="F1696" s="18">
        <f>ROUND((G1687+G1688+G1689+G1690+G1695)*(1+G2/100),2)</f>
        <v>28.28</v>
      </c>
      <c r="G1696" s="16"/>
    </row>
    <row r="1697" ht="21.0" customHeight="1">
      <c r="A1697" s="19" t="s">
        <v>854</v>
      </c>
      <c r="B1697" s="20" t="s">
        <v>18</v>
      </c>
      <c r="C1697" s="20" t="s">
        <v>251</v>
      </c>
      <c r="D1697" s="20" t="s">
        <v>855</v>
      </c>
      <c r="E1697" s="21"/>
      <c r="F1697" s="22">
        <f>F1706</f>
        <v>32.92</v>
      </c>
      <c r="G1697" s="21"/>
    </row>
    <row r="1698" ht="48.75" customHeight="1">
      <c r="A1698" s="11"/>
      <c r="B1698" s="11"/>
      <c r="C1698" s="11"/>
      <c r="D1698" s="10" t="s">
        <v>856</v>
      </c>
    </row>
    <row r="1699" ht="30.0" customHeight="1">
      <c r="A1699" s="10" t="s">
        <v>748</v>
      </c>
      <c r="B1699" s="10" t="s">
        <v>112</v>
      </c>
      <c r="C1699" s="10" t="s">
        <v>23</v>
      </c>
      <c r="D1699" s="10" t="s">
        <v>749</v>
      </c>
      <c r="E1699" s="14">
        <v>0.2</v>
      </c>
      <c r="F1699" s="15">
        <f>ROUND(3.74,3)</f>
        <v>3.74</v>
      </c>
      <c r="G1699" s="12">
        <f t="shared" ref="G1699:G1705" si="303">ROUND(E1699*F1699,2)</f>
        <v>0.75</v>
      </c>
    </row>
    <row r="1700" ht="39.75" customHeight="1">
      <c r="A1700" s="10" t="s">
        <v>188</v>
      </c>
      <c r="B1700" s="10" t="s">
        <v>112</v>
      </c>
      <c r="C1700" s="10" t="s">
        <v>23</v>
      </c>
      <c r="D1700" s="10" t="s">
        <v>189</v>
      </c>
      <c r="E1700" s="14">
        <v>0.2</v>
      </c>
      <c r="F1700" s="15">
        <f>ROUND(7.565,3)</f>
        <v>7.565</v>
      </c>
      <c r="G1700" s="12">
        <f t="shared" si="303"/>
        <v>1.51</v>
      </c>
    </row>
    <row r="1701" ht="21.0" customHeight="1">
      <c r="A1701" s="10" t="s">
        <v>22</v>
      </c>
      <c r="B1701" s="10" t="s">
        <v>18</v>
      </c>
      <c r="C1701" s="10" t="s">
        <v>23</v>
      </c>
      <c r="D1701" s="10" t="s">
        <v>24</v>
      </c>
      <c r="E1701" s="14">
        <v>0.7</v>
      </c>
      <c r="F1701" s="15">
        <f>F1705</f>
        <v>43.8</v>
      </c>
      <c r="G1701" s="12">
        <f t="shared" si="303"/>
        <v>30.66</v>
      </c>
    </row>
    <row r="1702" ht="24.0" customHeight="1">
      <c r="A1702" s="10" t="s">
        <v>25</v>
      </c>
      <c r="B1702" s="10" t="s">
        <v>26</v>
      </c>
      <c r="C1702" s="10" t="s">
        <v>23</v>
      </c>
      <c r="D1702" s="10" t="s">
        <v>27</v>
      </c>
      <c r="E1702" s="14">
        <v>1.0</v>
      </c>
      <c r="F1702" s="15">
        <f>ROUND(21,3)</f>
        <v>21</v>
      </c>
      <c r="G1702" s="12">
        <f t="shared" si="303"/>
        <v>21</v>
      </c>
    </row>
    <row r="1703" ht="24.0" customHeight="1">
      <c r="A1703" s="10" t="s">
        <v>28</v>
      </c>
      <c r="B1703" s="10" t="s">
        <v>26</v>
      </c>
      <c r="C1703" s="10" t="s">
        <v>23</v>
      </c>
      <c r="D1703" s="10" t="s">
        <v>29</v>
      </c>
      <c r="E1703" s="14">
        <v>1.0</v>
      </c>
      <c r="F1703" s="15">
        <f t="shared" ref="F1703:F1704" si="304">ROUND(19,3)</f>
        <v>19</v>
      </c>
      <c r="G1703" s="12">
        <f t="shared" si="303"/>
        <v>19</v>
      </c>
    </row>
    <row r="1704" ht="24.0" customHeight="1">
      <c r="A1704" s="10" t="s">
        <v>30</v>
      </c>
      <c r="B1704" s="10" t="s">
        <v>26</v>
      </c>
      <c r="C1704" s="10" t="s">
        <v>23</v>
      </c>
      <c r="D1704" s="10" t="s">
        <v>31</v>
      </c>
      <c r="E1704" s="14">
        <v>0.2</v>
      </c>
      <c r="F1704" s="15">
        <f t="shared" si="304"/>
        <v>19</v>
      </c>
      <c r="G1704" s="12">
        <f t="shared" si="303"/>
        <v>3.8</v>
      </c>
    </row>
    <row r="1705" ht="15.0" customHeight="1">
      <c r="A1705" s="11"/>
      <c r="B1705" s="11"/>
      <c r="C1705" s="11"/>
      <c r="D1705" s="10" t="s">
        <v>22</v>
      </c>
      <c r="E1705" s="14">
        <v>0.7</v>
      </c>
      <c r="F1705" s="15">
        <f>ROUND((G1702+G1703+G1704),3)</f>
        <v>43.8</v>
      </c>
      <c r="G1705" s="12">
        <f t="shared" si="303"/>
        <v>30.66</v>
      </c>
    </row>
    <row r="1706" ht="15.0" customHeight="1">
      <c r="A1706" s="16"/>
      <c r="B1706" s="16"/>
      <c r="C1706" s="16"/>
      <c r="D1706" s="17" t="s">
        <v>854</v>
      </c>
      <c r="E1706" s="16"/>
      <c r="F1706" s="18">
        <f>ROUND((G1699+G1700+G1701)*(1+G2/100),2)</f>
        <v>32.92</v>
      </c>
      <c r="G1706" s="16"/>
    </row>
    <row r="1707" ht="21.0" customHeight="1">
      <c r="A1707" s="19" t="s">
        <v>857</v>
      </c>
      <c r="B1707" s="20" t="s">
        <v>18</v>
      </c>
      <c r="C1707" s="20" t="s">
        <v>858</v>
      </c>
      <c r="D1707" s="20" t="s">
        <v>859</v>
      </c>
      <c r="E1707" s="21"/>
      <c r="F1707" s="22">
        <f>F1718</f>
        <v>524.09</v>
      </c>
      <c r="G1707" s="21"/>
    </row>
    <row r="1708" ht="21.0" customHeight="1">
      <c r="A1708" s="11"/>
      <c r="B1708" s="11"/>
      <c r="C1708" s="11"/>
      <c r="D1708" s="10" t="s">
        <v>860</v>
      </c>
    </row>
    <row r="1709" ht="30.0" customHeight="1">
      <c r="A1709" s="10" t="s">
        <v>780</v>
      </c>
      <c r="B1709" s="10" t="s">
        <v>112</v>
      </c>
      <c r="C1709" s="10" t="s">
        <v>23</v>
      </c>
      <c r="D1709" s="10" t="s">
        <v>781</v>
      </c>
      <c r="E1709" s="14">
        <v>7.0</v>
      </c>
      <c r="F1709" s="15">
        <f>ROUND(1.875,3)</f>
        <v>1.875</v>
      </c>
      <c r="G1709" s="12">
        <f t="shared" ref="G1709:G1717" si="305">ROUND(E1709*F1709,2)</f>
        <v>13.13</v>
      </c>
    </row>
    <row r="1710" ht="39.75" customHeight="1">
      <c r="A1710" s="10" t="s">
        <v>778</v>
      </c>
      <c r="B1710" s="10" t="s">
        <v>112</v>
      </c>
      <c r="C1710" s="10" t="s">
        <v>23</v>
      </c>
      <c r="D1710" s="10" t="s">
        <v>779</v>
      </c>
      <c r="E1710" s="14">
        <v>7.0</v>
      </c>
      <c r="F1710" s="15">
        <f>ROUND(2,3)</f>
        <v>2</v>
      </c>
      <c r="G1710" s="12">
        <f t="shared" si="305"/>
        <v>14</v>
      </c>
    </row>
    <row r="1711" ht="39.75" customHeight="1">
      <c r="A1711" s="10" t="s">
        <v>188</v>
      </c>
      <c r="B1711" s="10" t="s">
        <v>112</v>
      </c>
      <c r="C1711" s="10" t="s">
        <v>23</v>
      </c>
      <c r="D1711" s="10" t="s">
        <v>189</v>
      </c>
      <c r="E1711" s="14">
        <v>7.0</v>
      </c>
      <c r="F1711" s="15">
        <f>ROUND(7.565,3)</f>
        <v>7.565</v>
      </c>
      <c r="G1711" s="12">
        <f t="shared" si="305"/>
        <v>52.96</v>
      </c>
    </row>
    <row r="1712" ht="21.0" customHeight="1">
      <c r="A1712" s="10" t="s">
        <v>773</v>
      </c>
      <c r="B1712" s="10" t="s">
        <v>112</v>
      </c>
      <c r="C1712" s="10" t="s">
        <v>23</v>
      </c>
      <c r="D1712" s="10" t="s">
        <v>774</v>
      </c>
      <c r="E1712" s="14">
        <v>2.0</v>
      </c>
      <c r="F1712" s="15">
        <f>ROUND(3,3)</f>
        <v>3</v>
      </c>
      <c r="G1712" s="12">
        <f t="shared" si="305"/>
        <v>6</v>
      </c>
    </row>
    <row r="1713" ht="21.0" customHeight="1">
      <c r="A1713" s="10" t="s">
        <v>22</v>
      </c>
      <c r="B1713" s="10" t="s">
        <v>18</v>
      </c>
      <c r="C1713" s="10" t="s">
        <v>23</v>
      </c>
      <c r="D1713" s="10" t="s">
        <v>24</v>
      </c>
      <c r="E1713" s="14">
        <v>10.0</v>
      </c>
      <c r="F1713" s="15">
        <f>F1717</f>
        <v>43.8</v>
      </c>
      <c r="G1713" s="12">
        <f t="shared" si="305"/>
        <v>438</v>
      </c>
    </row>
    <row r="1714" ht="24.0" customHeight="1">
      <c r="A1714" s="10" t="s">
        <v>25</v>
      </c>
      <c r="B1714" s="10" t="s">
        <v>26</v>
      </c>
      <c r="C1714" s="10" t="s">
        <v>23</v>
      </c>
      <c r="D1714" s="10" t="s">
        <v>27</v>
      </c>
      <c r="E1714" s="14">
        <v>1.0</v>
      </c>
      <c r="F1714" s="15">
        <f>ROUND(21,3)</f>
        <v>21</v>
      </c>
      <c r="G1714" s="12">
        <f t="shared" si="305"/>
        <v>21</v>
      </c>
    </row>
    <row r="1715" ht="24.0" customHeight="1">
      <c r="A1715" s="10" t="s">
        <v>28</v>
      </c>
      <c r="B1715" s="10" t="s">
        <v>26</v>
      </c>
      <c r="C1715" s="10" t="s">
        <v>23</v>
      </c>
      <c r="D1715" s="10" t="s">
        <v>29</v>
      </c>
      <c r="E1715" s="14">
        <v>1.0</v>
      </c>
      <c r="F1715" s="15">
        <f t="shared" ref="F1715:F1716" si="306">ROUND(19,3)</f>
        <v>19</v>
      </c>
      <c r="G1715" s="12">
        <f t="shared" si="305"/>
        <v>19</v>
      </c>
    </row>
    <row r="1716" ht="24.0" customHeight="1">
      <c r="A1716" s="10" t="s">
        <v>30</v>
      </c>
      <c r="B1716" s="10" t="s">
        <v>26</v>
      </c>
      <c r="C1716" s="10" t="s">
        <v>23</v>
      </c>
      <c r="D1716" s="10" t="s">
        <v>31</v>
      </c>
      <c r="E1716" s="14">
        <v>0.2</v>
      </c>
      <c r="F1716" s="15">
        <f t="shared" si="306"/>
        <v>19</v>
      </c>
      <c r="G1716" s="12">
        <f t="shared" si="305"/>
        <v>3.8</v>
      </c>
    </row>
    <row r="1717" ht="15.0" customHeight="1">
      <c r="A1717" s="11"/>
      <c r="B1717" s="11"/>
      <c r="C1717" s="11"/>
      <c r="D1717" s="10" t="s">
        <v>22</v>
      </c>
      <c r="E1717" s="14">
        <v>10.0</v>
      </c>
      <c r="F1717" s="15">
        <f>ROUND((G1714+G1715+G1716),3)</f>
        <v>43.8</v>
      </c>
      <c r="G1717" s="12">
        <f t="shared" si="305"/>
        <v>438</v>
      </c>
    </row>
    <row r="1718" ht="15.0" customHeight="1">
      <c r="A1718" s="16"/>
      <c r="B1718" s="16"/>
      <c r="C1718" s="16"/>
      <c r="D1718" s="17" t="s">
        <v>857</v>
      </c>
      <c r="E1718" s="16"/>
      <c r="F1718" s="18">
        <f>ROUND((G1709+G1710+G1711+G1712+G1713)*(1+G2/100),2)</f>
        <v>524.09</v>
      </c>
      <c r="G1718" s="16"/>
    </row>
    <row r="1719" ht="30.0" customHeight="1">
      <c r="A1719" s="19" t="s">
        <v>861</v>
      </c>
      <c r="B1719" s="20" t="s">
        <v>18</v>
      </c>
      <c r="C1719" s="20" t="s">
        <v>251</v>
      </c>
      <c r="D1719" s="20" t="s">
        <v>862</v>
      </c>
      <c r="E1719" s="21"/>
      <c r="F1719" s="22">
        <f>F1731</f>
        <v>29.18</v>
      </c>
      <c r="G1719" s="21"/>
    </row>
    <row r="1720" ht="39.75" customHeight="1">
      <c r="A1720" s="11"/>
      <c r="B1720" s="11"/>
      <c r="C1720" s="11"/>
      <c r="D1720" s="10" t="s">
        <v>863</v>
      </c>
    </row>
    <row r="1721" ht="30.0" customHeight="1">
      <c r="A1721" s="10" t="s">
        <v>780</v>
      </c>
      <c r="B1721" s="10" t="s">
        <v>112</v>
      </c>
      <c r="C1721" s="10" t="s">
        <v>23</v>
      </c>
      <c r="D1721" s="10" t="s">
        <v>781</v>
      </c>
      <c r="E1721" s="14">
        <v>0.2</v>
      </c>
      <c r="F1721" s="15">
        <f>ROUND(1.875,3)</f>
        <v>1.875</v>
      </c>
      <c r="G1721" s="12">
        <f t="shared" ref="G1721:G1730" si="307">ROUND(E1721*F1721,2)</f>
        <v>0.38</v>
      </c>
    </row>
    <row r="1722" ht="39.75" customHeight="1">
      <c r="A1722" s="10" t="s">
        <v>778</v>
      </c>
      <c r="B1722" s="10" t="s">
        <v>112</v>
      </c>
      <c r="C1722" s="10" t="s">
        <v>23</v>
      </c>
      <c r="D1722" s="10" t="s">
        <v>779</v>
      </c>
      <c r="E1722" s="14">
        <v>0.2</v>
      </c>
      <c r="F1722" s="15">
        <f>ROUND(2,3)</f>
        <v>2</v>
      </c>
      <c r="G1722" s="12">
        <f t="shared" si="307"/>
        <v>0.4</v>
      </c>
    </row>
    <row r="1723" ht="39.75" customHeight="1">
      <c r="A1723" s="10" t="s">
        <v>188</v>
      </c>
      <c r="B1723" s="10" t="s">
        <v>112</v>
      </c>
      <c r="C1723" s="10" t="s">
        <v>23</v>
      </c>
      <c r="D1723" s="10" t="s">
        <v>189</v>
      </c>
      <c r="E1723" s="14">
        <v>0.2</v>
      </c>
      <c r="F1723" s="15">
        <f>ROUND(7.565,3)</f>
        <v>7.565</v>
      </c>
      <c r="G1723" s="12">
        <f t="shared" si="307"/>
        <v>1.51</v>
      </c>
    </row>
    <row r="1724" ht="21.0" customHeight="1">
      <c r="A1724" s="10" t="s">
        <v>773</v>
      </c>
      <c r="B1724" s="10" t="s">
        <v>112</v>
      </c>
      <c r="C1724" s="10" t="s">
        <v>23</v>
      </c>
      <c r="D1724" s="10" t="s">
        <v>774</v>
      </c>
      <c r="E1724" s="14">
        <v>0.1</v>
      </c>
      <c r="F1724" s="15">
        <f>ROUND(3,3)</f>
        <v>3</v>
      </c>
      <c r="G1724" s="12">
        <f t="shared" si="307"/>
        <v>0.3</v>
      </c>
    </row>
    <row r="1725" ht="48.75" customHeight="1">
      <c r="A1725" s="10" t="s">
        <v>864</v>
      </c>
      <c r="B1725" s="10" t="s">
        <v>112</v>
      </c>
      <c r="C1725" s="10" t="s">
        <v>23</v>
      </c>
      <c r="D1725" s="10" t="s">
        <v>865</v>
      </c>
      <c r="E1725" s="14">
        <v>0.03</v>
      </c>
      <c r="F1725" s="15">
        <f>ROUND(127,3)</f>
        <v>127</v>
      </c>
      <c r="G1725" s="12">
        <f t="shared" si="307"/>
        <v>3.81</v>
      </c>
    </row>
    <row r="1726" ht="21.0" customHeight="1">
      <c r="A1726" s="10" t="s">
        <v>22</v>
      </c>
      <c r="B1726" s="10" t="s">
        <v>18</v>
      </c>
      <c r="C1726" s="10" t="s">
        <v>23</v>
      </c>
      <c r="D1726" s="10" t="s">
        <v>24</v>
      </c>
      <c r="E1726" s="14">
        <v>0.52</v>
      </c>
      <c r="F1726" s="15">
        <f>F1730</f>
        <v>43.8</v>
      </c>
      <c r="G1726" s="12">
        <f t="shared" si="307"/>
        <v>22.78</v>
      </c>
    </row>
    <row r="1727" ht="24.0" customHeight="1">
      <c r="A1727" s="10" t="s">
        <v>25</v>
      </c>
      <c r="B1727" s="10" t="s">
        <v>26</v>
      </c>
      <c r="C1727" s="10" t="s">
        <v>23</v>
      </c>
      <c r="D1727" s="10" t="s">
        <v>27</v>
      </c>
      <c r="E1727" s="14">
        <v>1.0</v>
      </c>
      <c r="F1727" s="15">
        <f>ROUND(21,3)</f>
        <v>21</v>
      </c>
      <c r="G1727" s="12">
        <f t="shared" si="307"/>
        <v>21</v>
      </c>
    </row>
    <row r="1728" ht="24.0" customHeight="1">
      <c r="A1728" s="10" t="s">
        <v>28</v>
      </c>
      <c r="B1728" s="10" t="s">
        <v>26</v>
      </c>
      <c r="C1728" s="10" t="s">
        <v>23</v>
      </c>
      <c r="D1728" s="10" t="s">
        <v>29</v>
      </c>
      <c r="E1728" s="14">
        <v>1.0</v>
      </c>
      <c r="F1728" s="15">
        <f t="shared" ref="F1728:F1729" si="308">ROUND(19,3)</f>
        <v>19</v>
      </c>
      <c r="G1728" s="12">
        <f t="shared" si="307"/>
        <v>19</v>
      </c>
    </row>
    <row r="1729" ht="24.0" customHeight="1">
      <c r="A1729" s="10" t="s">
        <v>30</v>
      </c>
      <c r="B1729" s="10" t="s">
        <v>26</v>
      </c>
      <c r="C1729" s="10" t="s">
        <v>23</v>
      </c>
      <c r="D1729" s="10" t="s">
        <v>31</v>
      </c>
      <c r="E1729" s="14">
        <v>0.2</v>
      </c>
      <c r="F1729" s="15">
        <f t="shared" si="308"/>
        <v>19</v>
      </c>
      <c r="G1729" s="12">
        <f t="shared" si="307"/>
        <v>3.8</v>
      </c>
    </row>
    <row r="1730" ht="15.0" customHeight="1">
      <c r="A1730" s="11"/>
      <c r="B1730" s="11"/>
      <c r="C1730" s="11"/>
      <c r="D1730" s="10" t="s">
        <v>22</v>
      </c>
      <c r="E1730" s="14">
        <v>0.52</v>
      </c>
      <c r="F1730" s="15">
        <f>ROUND((G1727+G1728+G1729),3)</f>
        <v>43.8</v>
      </c>
      <c r="G1730" s="12">
        <f t="shared" si="307"/>
        <v>22.78</v>
      </c>
    </row>
    <row r="1731" ht="15.0" customHeight="1">
      <c r="A1731" s="16"/>
      <c r="B1731" s="16"/>
      <c r="C1731" s="16"/>
      <c r="D1731" s="17" t="s">
        <v>861</v>
      </c>
      <c r="E1731" s="16"/>
      <c r="F1731" s="18">
        <f>ROUND((G1721+G1722+G1723+G1724+G1725+G1726)*(1+G2/100),2)</f>
        <v>29.18</v>
      </c>
      <c r="G1731" s="16"/>
    </row>
    <row r="1732" ht="39.75" customHeight="1">
      <c r="A1732" s="19" t="s">
        <v>866</v>
      </c>
      <c r="B1732" s="20" t="s">
        <v>18</v>
      </c>
      <c r="C1732" s="20" t="s">
        <v>19</v>
      </c>
      <c r="D1732" s="20" t="s">
        <v>867</v>
      </c>
      <c r="E1732" s="21"/>
      <c r="F1732" s="22">
        <f>F1743</f>
        <v>16.35</v>
      </c>
      <c r="G1732" s="21"/>
    </row>
    <row r="1733" ht="21.0" customHeight="1">
      <c r="A1733" s="11"/>
      <c r="B1733" s="11"/>
      <c r="C1733" s="11"/>
      <c r="D1733" s="10" t="s">
        <v>868</v>
      </c>
    </row>
    <row r="1734" ht="39.75" customHeight="1">
      <c r="A1734" s="10" t="s">
        <v>778</v>
      </c>
      <c r="B1734" s="10" t="s">
        <v>112</v>
      </c>
      <c r="C1734" s="10" t="s">
        <v>23</v>
      </c>
      <c r="D1734" s="10" t="s">
        <v>779</v>
      </c>
      <c r="E1734" s="14">
        <v>0.2</v>
      </c>
      <c r="F1734" s="15">
        <f>ROUND(2,3)</f>
        <v>2</v>
      </c>
      <c r="G1734" s="12">
        <f t="shared" ref="G1734:G1741" si="309">ROUND(E1734*F1734,2)</f>
        <v>0.4</v>
      </c>
    </row>
    <row r="1735" ht="30.0" customHeight="1">
      <c r="A1735" s="10" t="s">
        <v>780</v>
      </c>
      <c r="B1735" s="10" t="s">
        <v>112</v>
      </c>
      <c r="C1735" s="10" t="s">
        <v>23</v>
      </c>
      <c r="D1735" s="10" t="s">
        <v>781</v>
      </c>
      <c r="E1735" s="14">
        <v>1.0E-5</v>
      </c>
      <c r="F1735" s="15">
        <f>ROUND(1.875,3)</f>
        <v>1.875</v>
      </c>
      <c r="G1735" s="12">
        <f t="shared" si="309"/>
        <v>0</v>
      </c>
    </row>
    <row r="1736" ht="39.75" customHeight="1">
      <c r="A1736" s="10" t="s">
        <v>188</v>
      </c>
      <c r="B1736" s="10" t="s">
        <v>112</v>
      </c>
      <c r="C1736" s="10" t="s">
        <v>23</v>
      </c>
      <c r="D1736" s="10" t="s">
        <v>189</v>
      </c>
      <c r="E1736" s="14">
        <v>0.2</v>
      </c>
      <c r="F1736" s="15">
        <f>ROUND(7.565,3)</f>
        <v>7.565</v>
      </c>
      <c r="G1736" s="12">
        <f t="shared" si="309"/>
        <v>1.51</v>
      </c>
    </row>
    <row r="1737" ht="21.0" customHeight="1">
      <c r="A1737" s="10" t="s">
        <v>22</v>
      </c>
      <c r="B1737" s="10" t="s">
        <v>18</v>
      </c>
      <c r="C1737" s="10" t="s">
        <v>23</v>
      </c>
      <c r="D1737" s="10" t="s">
        <v>24</v>
      </c>
      <c r="E1737" s="14">
        <v>0.32</v>
      </c>
      <c r="F1737" s="15">
        <f>F1741</f>
        <v>43.8</v>
      </c>
      <c r="G1737" s="12">
        <f t="shared" si="309"/>
        <v>14.02</v>
      </c>
    </row>
    <row r="1738" ht="24.0" customHeight="1">
      <c r="A1738" s="10" t="s">
        <v>25</v>
      </c>
      <c r="B1738" s="10" t="s">
        <v>26</v>
      </c>
      <c r="C1738" s="10" t="s">
        <v>23</v>
      </c>
      <c r="D1738" s="10" t="s">
        <v>27</v>
      </c>
      <c r="E1738" s="14">
        <v>1.0</v>
      </c>
      <c r="F1738" s="15">
        <f>ROUND(21,3)</f>
        <v>21</v>
      </c>
      <c r="G1738" s="12">
        <f t="shared" si="309"/>
        <v>21</v>
      </c>
    </row>
    <row r="1739" ht="24.0" customHeight="1">
      <c r="A1739" s="10" t="s">
        <v>28</v>
      </c>
      <c r="B1739" s="10" t="s">
        <v>26</v>
      </c>
      <c r="C1739" s="10" t="s">
        <v>23</v>
      </c>
      <c r="D1739" s="10" t="s">
        <v>29</v>
      </c>
      <c r="E1739" s="14">
        <v>1.0</v>
      </c>
      <c r="F1739" s="15">
        <f t="shared" ref="F1739:F1740" si="310">ROUND(19,3)</f>
        <v>19</v>
      </c>
      <c r="G1739" s="12">
        <f t="shared" si="309"/>
        <v>19</v>
      </c>
    </row>
    <row r="1740" ht="24.0" customHeight="1">
      <c r="A1740" s="10" t="s">
        <v>30</v>
      </c>
      <c r="B1740" s="10" t="s">
        <v>26</v>
      </c>
      <c r="C1740" s="10" t="s">
        <v>23</v>
      </c>
      <c r="D1740" s="10" t="s">
        <v>31</v>
      </c>
      <c r="E1740" s="14">
        <v>0.2</v>
      </c>
      <c r="F1740" s="15">
        <f t="shared" si="310"/>
        <v>19</v>
      </c>
      <c r="G1740" s="12">
        <f t="shared" si="309"/>
        <v>3.8</v>
      </c>
    </row>
    <row r="1741" ht="15.0" customHeight="1">
      <c r="A1741" s="11"/>
      <c r="B1741" s="11"/>
      <c r="C1741" s="11"/>
      <c r="D1741" s="10" t="s">
        <v>22</v>
      </c>
      <c r="E1741" s="14">
        <v>0.32</v>
      </c>
      <c r="F1741" s="15">
        <f>ROUND((G1738+G1739+G1740),3)</f>
        <v>43.8</v>
      </c>
      <c r="G1741" s="12">
        <f t="shared" si="309"/>
        <v>14.02</v>
      </c>
    </row>
    <row r="1742" ht="15.0" customHeight="1">
      <c r="A1742" s="10" t="s">
        <v>32</v>
      </c>
      <c r="B1742" s="10"/>
      <c r="C1742" s="10" t="s">
        <v>33</v>
      </c>
      <c r="D1742" s="10" t="s">
        <v>34</v>
      </c>
      <c r="E1742" s="14">
        <v>3.0</v>
      </c>
      <c r="F1742" s="15">
        <f>ROUND(14.02,3)</f>
        <v>14.02</v>
      </c>
      <c r="G1742" s="12">
        <f>ROUND((E1742*F1742)/100,2)</f>
        <v>0.42</v>
      </c>
    </row>
    <row r="1743" ht="15.0" customHeight="1">
      <c r="A1743" s="16"/>
      <c r="B1743" s="16"/>
      <c r="C1743" s="16"/>
      <c r="D1743" s="17" t="s">
        <v>866</v>
      </c>
      <c r="E1743" s="16"/>
      <c r="F1743" s="18">
        <f>ROUND((G1734+G1735+G1736+G1737+G1742)*(1+G2/100),2)</f>
        <v>16.35</v>
      </c>
      <c r="G1743" s="16"/>
    </row>
    <row r="1744" ht="21.0" customHeight="1">
      <c r="A1744" s="19" t="s">
        <v>869</v>
      </c>
      <c r="B1744" s="20" t="s">
        <v>18</v>
      </c>
      <c r="C1744" s="20" t="s">
        <v>19</v>
      </c>
      <c r="D1744" s="20" t="s">
        <v>870</v>
      </c>
      <c r="E1744" s="21"/>
      <c r="F1744" s="22">
        <f>F1753</f>
        <v>13.9</v>
      </c>
      <c r="G1744" s="21"/>
    </row>
    <row r="1745" ht="21.0" customHeight="1">
      <c r="A1745" s="11"/>
      <c r="B1745" s="11"/>
      <c r="C1745" s="11"/>
      <c r="D1745" s="10" t="s">
        <v>871</v>
      </c>
    </row>
    <row r="1746" ht="30.0" customHeight="1">
      <c r="A1746" s="10" t="s">
        <v>748</v>
      </c>
      <c r="B1746" s="10" t="s">
        <v>112</v>
      </c>
      <c r="C1746" s="10" t="s">
        <v>23</v>
      </c>
      <c r="D1746" s="10" t="s">
        <v>749</v>
      </c>
      <c r="E1746" s="14">
        <v>0.1</v>
      </c>
      <c r="F1746" s="15">
        <f>ROUND(3.74,3)</f>
        <v>3.74</v>
      </c>
      <c r="G1746" s="12">
        <f t="shared" ref="G1746:G1751" si="311">ROUND(E1746*F1746,2)</f>
        <v>0.37</v>
      </c>
    </row>
    <row r="1747" ht="21.0" customHeight="1">
      <c r="A1747" s="10" t="s">
        <v>22</v>
      </c>
      <c r="B1747" s="10" t="s">
        <v>18</v>
      </c>
      <c r="C1747" s="10" t="s">
        <v>23</v>
      </c>
      <c r="D1747" s="10" t="s">
        <v>24</v>
      </c>
      <c r="E1747" s="14">
        <v>0.3</v>
      </c>
      <c r="F1747" s="15">
        <f>F1751</f>
        <v>43.8</v>
      </c>
      <c r="G1747" s="12">
        <f t="shared" si="311"/>
        <v>13.14</v>
      </c>
    </row>
    <row r="1748" ht="24.0" customHeight="1">
      <c r="A1748" s="10" t="s">
        <v>25</v>
      </c>
      <c r="B1748" s="10" t="s">
        <v>26</v>
      </c>
      <c r="C1748" s="10" t="s">
        <v>23</v>
      </c>
      <c r="D1748" s="10" t="s">
        <v>27</v>
      </c>
      <c r="E1748" s="14">
        <v>1.0</v>
      </c>
      <c r="F1748" s="15">
        <f>ROUND(21,3)</f>
        <v>21</v>
      </c>
      <c r="G1748" s="12">
        <f t="shared" si="311"/>
        <v>21</v>
      </c>
    </row>
    <row r="1749" ht="24.0" customHeight="1">
      <c r="A1749" s="10" t="s">
        <v>28</v>
      </c>
      <c r="B1749" s="10" t="s">
        <v>26</v>
      </c>
      <c r="C1749" s="10" t="s">
        <v>23</v>
      </c>
      <c r="D1749" s="10" t="s">
        <v>29</v>
      </c>
      <c r="E1749" s="14">
        <v>1.0</v>
      </c>
      <c r="F1749" s="15">
        <f t="shared" ref="F1749:F1750" si="312">ROUND(19,3)</f>
        <v>19</v>
      </c>
      <c r="G1749" s="12">
        <f t="shared" si="311"/>
        <v>19</v>
      </c>
    </row>
    <row r="1750" ht="24.0" customHeight="1">
      <c r="A1750" s="10" t="s">
        <v>30</v>
      </c>
      <c r="B1750" s="10" t="s">
        <v>26</v>
      </c>
      <c r="C1750" s="10" t="s">
        <v>23</v>
      </c>
      <c r="D1750" s="10" t="s">
        <v>31</v>
      </c>
      <c r="E1750" s="14">
        <v>0.2</v>
      </c>
      <c r="F1750" s="15">
        <f t="shared" si="312"/>
        <v>19</v>
      </c>
      <c r="G1750" s="12">
        <f t="shared" si="311"/>
        <v>3.8</v>
      </c>
    </row>
    <row r="1751" ht="15.0" customHeight="1">
      <c r="A1751" s="11"/>
      <c r="B1751" s="11"/>
      <c r="C1751" s="11"/>
      <c r="D1751" s="10" t="s">
        <v>22</v>
      </c>
      <c r="E1751" s="14">
        <v>0.3</v>
      </c>
      <c r="F1751" s="15">
        <f>ROUND((G1748+G1749+G1750),3)</f>
        <v>43.8</v>
      </c>
      <c r="G1751" s="12">
        <f t="shared" si="311"/>
        <v>13.14</v>
      </c>
    </row>
    <row r="1752" ht="15.0" customHeight="1">
      <c r="A1752" s="10" t="s">
        <v>32</v>
      </c>
      <c r="B1752" s="10"/>
      <c r="C1752" s="10" t="s">
        <v>33</v>
      </c>
      <c r="D1752" s="10" t="s">
        <v>34</v>
      </c>
      <c r="E1752" s="14">
        <v>3.0</v>
      </c>
      <c r="F1752" s="15">
        <f>ROUND(13.14,3)</f>
        <v>13.14</v>
      </c>
      <c r="G1752" s="12">
        <f>ROUND((E1752*F1752)/100,2)</f>
        <v>0.39</v>
      </c>
    </row>
    <row r="1753" ht="15.0" customHeight="1">
      <c r="A1753" s="16"/>
      <c r="B1753" s="16"/>
      <c r="C1753" s="16"/>
      <c r="D1753" s="17" t="s">
        <v>869</v>
      </c>
      <c r="E1753" s="16"/>
      <c r="F1753" s="18">
        <f>ROUND((G1746+G1747+G1752)*(1+G2/100),2)</f>
        <v>13.9</v>
      </c>
      <c r="G1753" s="16"/>
    </row>
    <row r="1754" ht="30.0" customHeight="1">
      <c r="A1754" s="19" t="s">
        <v>872</v>
      </c>
      <c r="B1754" s="20" t="s">
        <v>18</v>
      </c>
      <c r="C1754" s="20" t="s">
        <v>19</v>
      </c>
      <c r="D1754" s="20" t="s">
        <v>873</v>
      </c>
      <c r="E1754" s="21"/>
      <c r="F1754" s="22">
        <f>F1762</f>
        <v>22.95</v>
      </c>
      <c r="G1754" s="21"/>
    </row>
    <row r="1755" ht="30.0" customHeight="1">
      <c r="A1755" s="11"/>
      <c r="B1755" s="11"/>
      <c r="C1755" s="11"/>
      <c r="D1755" s="10" t="s">
        <v>874</v>
      </c>
    </row>
    <row r="1756" ht="24.0" customHeight="1">
      <c r="A1756" s="10" t="s">
        <v>286</v>
      </c>
      <c r="B1756" s="10" t="s">
        <v>18</v>
      </c>
      <c r="C1756" s="10" t="s">
        <v>23</v>
      </c>
      <c r="D1756" s="10" t="s">
        <v>287</v>
      </c>
      <c r="E1756" s="14">
        <v>0.45</v>
      </c>
      <c r="F1756" s="15">
        <f>F1760</f>
        <v>49.5</v>
      </c>
      <c r="G1756" s="12">
        <f t="shared" ref="G1756:G1760" si="313">ROUND(E1756*F1756,2)</f>
        <v>22.28</v>
      </c>
    </row>
    <row r="1757" ht="24.0" customHeight="1">
      <c r="A1757" s="10" t="s">
        <v>288</v>
      </c>
      <c r="B1757" s="10" t="s">
        <v>26</v>
      </c>
      <c r="C1757" s="10" t="s">
        <v>23</v>
      </c>
      <c r="D1757" s="10" t="s">
        <v>289</v>
      </c>
      <c r="E1757" s="14">
        <v>1.0</v>
      </c>
      <c r="F1757" s="15">
        <f>ROUND(21,3)</f>
        <v>21</v>
      </c>
      <c r="G1757" s="12">
        <f t="shared" si="313"/>
        <v>21</v>
      </c>
    </row>
    <row r="1758" ht="24.0" customHeight="1">
      <c r="A1758" s="10" t="s">
        <v>290</v>
      </c>
      <c r="B1758" s="10" t="s">
        <v>26</v>
      </c>
      <c r="C1758" s="10" t="s">
        <v>23</v>
      </c>
      <c r="D1758" s="10" t="s">
        <v>291</v>
      </c>
      <c r="E1758" s="14">
        <v>1.0</v>
      </c>
      <c r="F1758" s="15">
        <f t="shared" ref="F1758:F1759" si="314">ROUND(19,3)</f>
        <v>19</v>
      </c>
      <c r="G1758" s="12">
        <f t="shared" si="313"/>
        <v>19</v>
      </c>
    </row>
    <row r="1759" ht="24.0" customHeight="1">
      <c r="A1759" s="10" t="s">
        <v>292</v>
      </c>
      <c r="B1759" s="10" t="s">
        <v>26</v>
      </c>
      <c r="C1759" s="10" t="s">
        <v>23</v>
      </c>
      <c r="D1759" s="10" t="s">
        <v>293</v>
      </c>
      <c r="E1759" s="14">
        <v>0.5</v>
      </c>
      <c r="F1759" s="15">
        <f t="shared" si="314"/>
        <v>19</v>
      </c>
      <c r="G1759" s="12">
        <f t="shared" si="313"/>
        <v>9.5</v>
      </c>
    </row>
    <row r="1760" ht="15.0" customHeight="1">
      <c r="A1760" s="11"/>
      <c r="B1760" s="11"/>
      <c r="C1760" s="11"/>
      <c r="D1760" s="10" t="s">
        <v>286</v>
      </c>
      <c r="E1760" s="14">
        <v>0.45</v>
      </c>
      <c r="F1760" s="15">
        <f>ROUND((G1757+G1758+G1759),3)</f>
        <v>49.5</v>
      </c>
      <c r="G1760" s="12">
        <f t="shared" si="313"/>
        <v>22.28</v>
      </c>
    </row>
    <row r="1761" ht="15.0" customHeight="1">
      <c r="A1761" s="10" t="s">
        <v>32</v>
      </c>
      <c r="B1761" s="10"/>
      <c r="C1761" s="10" t="s">
        <v>33</v>
      </c>
      <c r="D1761" s="10" t="s">
        <v>34</v>
      </c>
      <c r="E1761" s="14">
        <v>3.0</v>
      </c>
      <c r="F1761" s="15">
        <f>ROUND(22.28,3)</f>
        <v>22.28</v>
      </c>
      <c r="G1761" s="12">
        <f>ROUND((E1761*F1761)/100,2)</f>
        <v>0.67</v>
      </c>
    </row>
    <row r="1762" ht="15.0" customHeight="1">
      <c r="A1762" s="16"/>
      <c r="B1762" s="16"/>
      <c r="C1762" s="16"/>
      <c r="D1762" s="17" t="s">
        <v>872</v>
      </c>
      <c r="E1762" s="16"/>
      <c r="F1762" s="18">
        <f>ROUND((G1756+G1761)*(1+G2/100),2)</f>
        <v>22.95</v>
      </c>
      <c r="G1762" s="16"/>
    </row>
    <row r="1763" ht="21.0" customHeight="1">
      <c r="A1763" s="19" t="s">
        <v>875</v>
      </c>
      <c r="B1763" s="20" t="s">
        <v>18</v>
      </c>
      <c r="C1763" s="20" t="s">
        <v>251</v>
      </c>
      <c r="D1763" s="20" t="s">
        <v>876</v>
      </c>
      <c r="E1763" s="21"/>
      <c r="F1763" s="22">
        <f>F1771</f>
        <v>15.79</v>
      </c>
      <c r="G1763" s="21"/>
    </row>
    <row r="1764" ht="21.0" customHeight="1">
      <c r="A1764" s="11"/>
      <c r="B1764" s="11"/>
      <c r="C1764" s="11"/>
      <c r="D1764" s="10" t="s">
        <v>877</v>
      </c>
    </row>
    <row r="1765" ht="21.0" customHeight="1">
      <c r="A1765" s="10" t="s">
        <v>22</v>
      </c>
      <c r="B1765" s="10" t="s">
        <v>18</v>
      </c>
      <c r="C1765" s="10" t="s">
        <v>23</v>
      </c>
      <c r="D1765" s="10" t="s">
        <v>24</v>
      </c>
      <c r="E1765" s="14">
        <v>0.35</v>
      </c>
      <c r="F1765" s="15">
        <f>F1769</f>
        <v>43.8</v>
      </c>
      <c r="G1765" s="12">
        <f t="shared" ref="G1765:G1769" si="315">ROUND(E1765*F1765,2)</f>
        <v>15.33</v>
      </c>
    </row>
    <row r="1766" ht="24.0" customHeight="1">
      <c r="A1766" s="10" t="s">
        <v>25</v>
      </c>
      <c r="B1766" s="10" t="s">
        <v>26</v>
      </c>
      <c r="C1766" s="10" t="s">
        <v>23</v>
      </c>
      <c r="D1766" s="10" t="s">
        <v>27</v>
      </c>
      <c r="E1766" s="14">
        <v>1.0</v>
      </c>
      <c r="F1766" s="15">
        <f>ROUND(21,3)</f>
        <v>21</v>
      </c>
      <c r="G1766" s="12">
        <f t="shared" si="315"/>
        <v>21</v>
      </c>
    </row>
    <row r="1767" ht="24.0" customHeight="1">
      <c r="A1767" s="10" t="s">
        <v>28</v>
      </c>
      <c r="B1767" s="10" t="s">
        <v>26</v>
      </c>
      <c r="C1767" s="10" t="s">
        <v>23</v>
      </c>
      <c r="D1767" s="10" t="s">
        <v>29</v>
      </c>
      <c r="E1767" s="14">
        <v>1.0</v>
      </c>
      <c r="F1767" s="15">
        <f t="shared" ref="F1767:F1768" si="316">ROUND(19,3)</f>
        <v>19</v>
      </c>
      <c r="G1767" s="12">
        <f t="shared" si="315"/>
        <v>19</v>
      </c>
    </row>
    <row r="1768" ht="24.0" customHeight="1">
      <c r="A1768" s="10" t="s">
        <v>30</v>
      </c>
      <c r="B1768" s="10" t="s">
        <v>26</v>
      </c>
      <c r="C1768" s="10" t="s">
        <v>23</v>
      </c>
      <c r="D1768" s="10" t="s">
        <v>31</v>
      </c>
      <c r="E1768" s="14">
        <v>0.2</v>
      </c>
      <c r="F1768" s="15">
        <f t="shared" si="316"/>
        <v>19</v>
      </c>
      <c r="G1768" s="12">
        <f t="shared" si="315"/>
        <v>3.8</v>
      </c>
    </row>
    <row r="1769" ht="15.0" customHeight="1">
      <c r="A1769" s="11"/>
      <c r="B1769" s="11"/>
      <c r="C1769" s="11"/>
      <c r="D1769" s="10" t="s">
        <v>22</v>
      </c>
      <c r="E1769" s="14">
        <v>0.35</v>
      </c>
      <c r="F1769" s="15">
        <f>ROUND((G1766+G1767+G1768),3)</f>
        <v>43.8</v>
      </c>
      <c r="G1769" s="12">
        <f t="shared" si="315"/>
        <v>15.33</v>
      </c>
    </row>
    <row r="1770" ht="15.0" customHeight="1">
      <c r="A1770" s="10" t="s">
        <v>32</v>
      </c>
      <c r="B1770" s="10"/>
      <c r="C1770" s="10" t="s">
        <v>33</v>
      </c>
      <c r="D1770" s="10" t="s">
        <v>34</v>
      </c>
      <c r="E1770" s="14">
        <v>3.0</v>
      </c>
      <c r="F1770" s="15">
        <f>ROUND(15.33,3)</f>
        <v>15.33</v>
      </c>
      <c r="G1770" s="12">
        <f>ROUND((E1770*F1770)/100,2)</f>
        <v>0.46</v>
      </c>
    </row>
    <row r="1771" ht="15.0" customHeight="1">
      <c r="A1771" s="16"/>
      <c r="B1771" s="16"/>
      <c r="C1771" s="16"/>
      <c r="D1771" s="17" t="s">
        <v>875</v>
      </c>
      <c r="E1771" s="16"/>
      <c r="F1771" s="18">
        <f>ROUND((G1765+G1770)*(1+G2/100),2)</f>
        <v>15.79</v>
      </c>
      <c r="G1771" s="16"/>
    </row>
    <row r="1772" ht="30.0" customHeight="1">
      <c r="A1772" s="19" t="s">
        <v>878</v>
      </c>
      <c r="B1772" s="20" t="s">
        <v>18</v>
      </c>
      <c r="C1772" s="20" t="s">
        <v>251</v>
      </c>
      <c r="D1772" s="20" t="s">
        <v>879</v>
      </c>
      <c r="E1772" s="21"/>
      <c r="F1772" s="22">
        <f>F1780</f>
        <v>26.77</v>
      </c>
      <c r="G1772" s="21"/>
    </row>
    <row r="1773" ht="21.0" customHeight="1">
      <c r="A1773" s="11"/>
      <c r="B1773" s="11"/>
      <c r="C1773" s="11"/>
      <c r="D1773" s="10" t="s">
        <v>880</v>
      </c>
    </row>
    <row r="1774" ht="24.0" customHeight="1">
      <c r="A1774" s="10" t="s">
        <v>286</v>
      </c>
      <c r="B1774" s="10" t="s">
        <v>18</v>
      </c>
      <c r="C1774" s="10" t="s">
        <v>23</v>
      </c>
      <c r="D1774" s="10" t="s">
        <v>287</v>
      </c>
      <c r="E1774" s="14">
        <v>0.525</v>
      </c>
      <c r="F1774" s="15">
        <f>F1778</f>
        <v>49.5</v>
      </c>
      <c r="G1774" s="12">
        <f t="shared" ref="G1774:G1778" si="317">ROUND(E1774*F1774,2)</f>
        <v>25.99</v>
      </c>
    </row>
    <row r="1775" ht="24.0" customHeight="1">
      <c r="A1775" s="10" t="s">
        <v>288</v>
      </c>
      <c r="B1775" s="10" t="s">
        <v>26</v>
      </c>
      <c r="C1775" s="10" t="s">
        <v>23</v>
      </c>
      <c r="D1775" s="10" t="s">
        <v>289</v>
      </c>
      <c r="E1775" s="14">
        <v>1.0</v>
      </c>
      <c r="F1775" s="15">
        <f>ROUND(21,3)</f>
        <v>21</v>
      </c>
      <c r="G1775" s="12">
        <f t="shared" si="317"/>
        <v>21</v>
      </c>
    </row>
    <row r="1776" ht="24.0" customHeight="1">
      <c r="A1776" s="10" t="s">
        <v>290</v>
      </c>
      <c r="B1776" s="10" t="s">
        <v>26</v>
      </c>
      <c r="C1776" s="10" t="s">
        <v>23</v>
      </c>
      <c r="D1776" s="10" t="s">
        <v>291</v>
      </c>
      <c r="E1776" s="14">
        <v>1.0</v>
      </c>
      <c r="F1776" s="15">
        <f t="shared" ref="F1776:F1777" si="318">ROUND(19,3)</f>
        <v>19</v>
      </c>
      <c r="G1776" s="12">
        <f t="shared" si="317"/>
        <v>19</v>
      </c>
    </row>
    <row r="1777" ht="24.0" customHeight="1">
      <c r="A1777" s="10" t="s">
        <v>292</v>
      </c>
      <c r="B1777" s="10" t="s">
        <v>26</v>
      </c>
      <c r="C1777" s="10" t="s">
        <v>23</v>
      </c>
      <c r="D1777" s="10" t="s">
        <v>293</v>
      </c>
      <c r="E1777" s="14">
        <v>0.5</v>
      </c>
      <c r="F1777" s="15">
        <f t="shared" si="318"/>
        <v>19</v>
      </c>
      <c r="G1777" s="12">
        <f t="shared" si="317"/>
        <v>9.5</v>
      </c>
    </row>
    <row r="1778" ht="15.0" customHeight="1">
      <c r="A1778" s="11"/>
      <c r="B1778" s="11"/>
      <c r="C1778" s="11"/>
      <c r="D1778" s="10" t="s">
        <v>286</v>
      </c>
      <c r="E1778" s="14">
        <v>0.525</v>
      </c>
      <c r="F1778" s="15">
        <f>ROUND((G1775+G1776+G1777),3)</f>
        <v>49.5</v>
      </c>
      <c r="G1778" s="12">
        <f t="shared" si="317"/>
        <v>25.99</v>
      </c>
    </row>
    <row r="1779" ht="15.0" customHeight="1">
      <c r="A1779" s="10" t="s">
        <v>32</v>
      </c>
      <c r="B1779" s="10"/>
      <c r="C1779" s="10" t="s">
        <v>33</v>
      </c>
      <c r="D1779" s="10" t="s">
        <v>34</v>
      </c>
      <c r="E1779" s="14">
        <v>3.0</v>
      </c>
      <c r="F1779" s="15">
        <f>ROUND(25.99,3)</f>
        <v>25.99</v>
      </c>
      <c r="G1779" s="12">
        <f>ROUND((E1779*F1779)/100,2)</f>
        <v>0.78</v>
      </c>
    </row>
    <row r="1780" ht="15.0" customHeight="1">
      <c r="A1780" s="16"/>
      <c r="B1780" s="16"/>
      <c r="C1780" s="16"/>
      <c r="D1780" s="17" t="s">
        <v>878</v>
      </c>
      <c r="E1780" s="16"/>
      <c r="F1780" s="18">
        <f>ROUND((G1774+G1779)*(1+G2/100),2)</f>
        <v>26.77</v>
      </c>
      <c r="G1780" s="16"/>
    </row>
    <row r="1781" ht="30.0" customHeight="1">
      <c r="A1781" s="19" t="s">
        <v>881</v>
      </c>
      <c r="B1781" s="20" t="s">
        <v>18</v>
      </c>
      <c r="C1781" s="20" t="s">
        <v>251</v>
      </c>
      <c r="D1781" s="20" t="s">
        <v>882</v>
      </c>
      <c r="E1781" s="21"/>
      <c r="F1781" s="22">
        <f>F1790</f>
        <v>47.31</v>
      </c>
      <c r="G1781" s="21"/>
    </row>
    <row r="1782" ht="39.75" customHeight="1">
      <c r="A1782" s="11"/>
      <c r="B1782" s="11"/>
      <c r="C1782" s="11"/>
      <c r="D1782" s="10" t="s">
        <v>883</v>
      </c>
    </row>
    <row r="1783" ht="21.0" customHeight="1">
      <c r="A1783" s="10" t="s">
        <v>22</v>
      </c>
      <c r="B1783" s="10" t="s">
        <v>18</v>
      </c>
      <c r="C1783" s="10" t="s">
        <v>23</v>
      </c>
      <c r="D1783" s="10" t="s">
        <v>24</v>
      </c>
      <c r="E1783" s="14">
        <v>1.0</v>
      </c>
      <c r="F1783" s="15">
        <f>F1787</f>
        <v>43.8</v>
      </c>
      <c r="G1783" s="12">
        <f t="shared" ref="G1783:G1788" si="319">ROUND(E1783*F1783,2)</f>
        <v>43.8</v>
      </c>
    </row>
    <row r="1784" ht="24.0" customHeight="1">
      <c r="A1784" s="10" t="s">
        <v>25</v>
      </c>
      <c r="B1784" s="10" t="s">
        <v>26</v>
      </c>
      <c r="C1784" s="10" t="s">
        <v>23</v>
      </c>
      <c r="D1784" s="10" t="s">
        <v>27</v>
      </c>
      <c r="E1784" s="14">
        <v>1.0</v>
      </c>
      <c r="F1784" s="15">
        <f>ROUND(21,3)</f>
        <v>21</v>
      </c>
      <c r="G1784" s="12">
        <f t="shared" si="319"/>
        <v>21</v>
      </c>
    </row>
    <row r="1785" ht="24.0" customHeight="1">
      <c r="A1785" s="10" t="s">
        <v>28</v>
      </c>
      <c r="B1785" s="10" t="s">
        <v>26</v>
      </c>
      <c r="C1785" s="10" t="s">
        <v>23</v>
      </c>
      <c r="D1785" s="10" t="s">
        <v>29</v>
      </c>
      <c r="E1785" s="14">
        <v>1.0</v>
      </c>
      <c r="F1785" s="15">
        <f t="shared" ref="F1785:F1786" si="320">ROUND(19,3)</f>
        <v>19</v>
      </c>
      <c r="G1785" s="12">
        <f t="shared" si="319"/>
        <v>19</v>
      </c>
    </row>
    <row r="1786" ht="24.0" customHeight="1">
      <c r="A1786" s="10" t="s">
        <v>30</v>
      </c>
      <c r="B1786" s="10" t="s">
        <v>26</v>
      </c>
      <c r="C1786" s="10" t="s">
        <v>23</v>
      </c>
      <c r="D1786" s="10" t="s">
        <v>31</v>
      </c>
      <c r="E1786" s="14">
        <v>0.2</v>
      </c>
      <c r="F1786" s="15">
        <f t="shared" si="320"/>
        <v>19</v>
      </c>
      <c r="G1786" s="12">
        <f t="shared" si="319"/>
        <v>3.8</v>
      </c>
    </row>
    <row r="1787" ht="15.0" customHeight="1">
      <c r="A1787" s="11"/>
      <c r="B1787" s="11"/>
      <c r="C1787" s="11"/>
      <c r="D1787" s="10" t="s">
        <v>22</v>
      </c>
      <c r="E1787" s="14">
        <v>1.0</v>
      </c>
      <c r="F1787" s="15">
        <f>ROUND((G1784+G1785+G1786),3)</f>
        <v>43.8</v>
      </c>
      <c r="G1787" s="12">
        <f t="shared" si="319"/>
        <v>43.8</v>
      </c>
    </row>
    <row r="1788" ht="21.0" customHeight="1">
      <c r="A1788" s="10" t="s">
        <v>884</v>
      </c>
      <c r="B1788" s="10" t="s">
        <v>112</v>
      </c>
      <c r="C1788" s="10" t="s">
        <v>23</v>
      </c>
      <c r="D1788" s="10" t="s">
        <v>885</v>
      </c>
      <c r="E1788" s="14">
        <v>0.4</v>
      </c>
      <c r="F1788" s="15">
        <f>ROUND(3.3,3)</f>
        <v>3.3</v>
      </c>
      <c r="G1788" s="12">
        <f t="shared" si="319"/>
        <v>1.32</v>
      </c>
    </row>
    <row r="1789" ht="15.0" customHeight="1">
      <c r="A1789" s="10" t="s">
        <v>32</v>
      </c>
      <c r="B1789" s="10"/>
      <c r="C1789" s="10" t="s">
        <v>33</v>
      </c>
      <c r="D1789" s="10" t="s">
        <v>34</v>
      </c>
      <c r="E1789" s="14">
        <v>5.0</v>
      </c>
      <c r="F1789" s="15">
        <f>ROUND(43.8,3)</f>
        <v>43.8</v>
      </c>
      <c r="G1789" s="12">
        <f>ROUND((E1789*F1789)/100,2)</f>
        <v>2.19</v>
      </c>
    </row>
    <row r="1790" ht="15.0" customHeight="1">
      <c r="A1790" s="16"/>
      <c r="B1790" s="16"/>
      <c r="C1790" s="16"/>
      <c r="D1790" s="17" t="s">
        <v>881</v>
      </c>
      <c r="E1790" s="16"/>
      <c r="F1790" s="18">
        <f>ROUND((G1783+G1788+G1789)*(1+G2/100),2)</f>
        <v>47.31</v>
      </c>
      <c r="G1790" s="16"/>
    </row>
    <row r="1791" ht="30.0" customHeight="1">
      <c r="A1791" s="19" t="s">
        <v>886</v>
      </c>
      <c r="B1791" s="20" t="s">
        <v>18</v>
      </c>
      <c r="C1791" s="20" t="s">
        <v>251</v>
      </c>
      <c r="D1791" s="20" t="s">
        <v>887</v>
      </c>
      <c r="E1791" s="21"/>
      <c r="F1791" s="22">
        <f>F1803</f>
        <v>31.78</v>
      </c>
      <c r="G1791" s="21"/>
    </row>
    <row r="1792" ht="48.75" customHeight="1">
      <c r="A1792" s="11"/>
      <c r="B1792" s="11"/>
      <c r="C1792" s="11"/>
      <c r="D1792" s="10" t="s">
        <v>888</v>
      </c>
    </row>
    <row r="1793" ht="30.0" customHeight="1">
      <c r="A1793" s="10" t="s">
        <v>684</v>
      </c>
      <c r="B1793" s="10" t="s">
        <v>18</v>
      </c>
      <c r="C1793" s="10" t="s">
        <v>23</v>
      </c>
      <c r="D1793" s="10" t="s">
        <v>685</v>
      </c>
      <c r="E1793" s="14">
        <v>0.4</v>
      </c>
      <c r="F1793" s="15">
        <f>F1795</f>
        <v>4.17</v>
      </c>
      <c r="G1793" s="12">
        <f t="shared" ref="G1793:G1801" si="321">ROUND(E1793*F1793,2)</f>
        <v>1.67</v>
      </c>
    </row>
    <row r="1794" ht="30.0" customHeight="1">
      <c r="A1794" s="10" t="s">
        <v>686</v>
      </c>
      <c r="B1794" s="10" t="s">
        <v>112</v>
      </c>
      <c r="C1794" s="10" t="s">
        <v>231</v>
      </c>
      <c r="D1794" s="10" t="s">
        <v>687</v>
      </c>
      <c r="E1794" s="14">
        <v>0.00417</v>
      </c>
      <c r="F1794" s="15">
        <f>ROUND(999,3)</f>
        <v>999</v>
      </c>
      <c r="G1794" s="12">
        <f t="shared" si="321"/>
        <v>4.17</v>
      </c>
    </row>
    <row r="1795" ht="15.0" customHeight="1">
      <c r="A1795" s="11"/>
      <c r="B1795" s="11"/>
      <c r="C1795" s="11"/>
      <c r="D1795" s="10" t="s">
        <v>684</v>
      </c>
      <c r="E1795" s="14">
        <v>0.4</v>
      </c>
      <c r="F1795" s="15">
        <f>ROUND((G1794),3)</f>
        <v>4.17</v>
      </c>
      <c r="G1795" s="12">
        <f t="shared" si="321"/>
        <v>1.67</v>
      </c>
    </row>
    <row r="1796" ht="21.0" customHeight="1">
      <c r="A1796" s="10" t="s">
        <v>884</v>
      </c>
      <c r="B1796" s="10" t="s">
        <v>112</v>
      </c>
      <c r="C1796" s="10" t="s">
        <v>23</v>
      </c>
      <c r="D1796" s="10" t="s">
        <v>885</v>
      </c>
      <c r="E1796" s="14">
        <v>0.1</v>
      </c>
      <c r="F1796" s="15">
        <f>ROUND(3.3,3)</f>
        <v>3.3</v>
      </c>
      <c r="G1796" s="12">
        <f t="shared" si="321"/>
        <v>0.33</v>
      </c>
    </row>
    <row r="1797" ht="21.0" customHeight="1">
      <c r="A1797" s="10" t="s">
        <v>22</v>
      </c>
      <c r="B1797" s="10" t="s">
        <v>18</v>
      </c>
      <c r="C1797" s="10" t="s">
        <v>23</v>
      </c>
      <c r="D1797" s="10" t="s">
        <v>24</v>
      </c>
      <c r="E1797" s="14">
        <v>0.66666</v>
      </c>
      <c r="F1797" s="15">
        <f>F1801</f>
        <v>43.8</v>
      </c>
      <c r="G1797" s="12">
        <f t="shared" si="321"/>
        <v>29.2</v>
      </c>
    </row>
    <row r="1798" ht="24.0" customHeight="1">
      <c r="A1798" s="10" t="s">
        <v>25</v>
      </c>
      <c r="B1798" s="10" t="s">
        <v>26</v>
      </c>
      <c r="C1798" s="10" t="s">
        <v>23</v>
      </c>
      <c r="D1798" s="10" t="s">
        <v>27</v>
      </c>
      <c r="E1798" s="14">
        <v>1.0</v>
      </c>
      <c r="F1798" s="15">
        <f>ROUND(21,3)</f>
        <v>21</v>
      </c>
      <c r="G1798" s="12">
        <f t="shared" si="321"/>
        <v>21</v>
      </c>
    </row>
    <row r="1799" ht="24.0" customHeight="1">
      <c r="A1799" s="10" t="s">
        <v>28</v>
      </c>
      <c r="B1799" s="10" t="s">
        <v>26</v>
      </c>
      <c r="C1799" s="10" t="s">
        <v>23</v>
      </c>
      <c r="D1799" s="10" t="s">
        <v>29</v>
      </c>
      <c r="E1799" s="14">
        <v>1.0</v>
      </c>
      <c r="F1799" s="15">
        <f t="shared" ref="F1799:F1800" si="322">ROUND(19,3)</f>
        <v>19</v>
      </c>
      <c r="G1799" s="12">
        <f t="shared" si="321"/>
        <v>19</v>
      </c>
    </row>
    <row r="1800" ht="24.0" customHeight="1">
      <c r="A1800" s="10" t="s">
        <v>30</v>
      </c>
      <c r="B1800" s="10" t="s">
        <v>26</v>
      </c>
      <c r="C1800" s="10" t="s">
        <v>23</v>
      </c>
      <c r="D1800" s="10" t="s">
        <v>31</v>
      </c>
      <c r="E1800" s="14">
        <v>0.2</v>
      </c>
      <c r="F1800" s="15">
        <f t="shared" si="322"/>
        <v>19</v>
      </c>
      <c r="G1800" s="12">
        <f t="shared" si="321"/>
        <v>3.8</v>
      </c>
    </row>
    <row r="1801" ht="15.0" customHeight="1">
      <c r="A1801" s="11"/>
      <c r="B1801" s="11"/>
      <c r="C1801" s="11"/>
      <c r="D1801" s="10" t="s">
        <v>22</v>
      </c>
      <c r="E1801" s="14">
        <v>0.66666</v>
      </c>
      <c r="F1801" s="15">
        <f>ROUND((G1798+G1799+G1800),3)</f>
        <v>43.8</v>
      </c>
      <c r="G1801" s="12">
        <f t="shared" si="321"/>
        <v>29.2</v>
      </c>
    </row>
    <row r="1802" ht="15.0" customHeight="1">
      <c r="A1802" s="10" t="s">
        <v>32</v>
      </c>
      <c r="B1802" s="10"/>
      <c r="C1802" s="10" t="s">
        <v>33</v>
      </c>
      <c r="D1802" s="10" t="s">
        <v>34</v>
      </c>
      <c r="E1802" s="14">
        <v>2.0</v>
      </c>
      <c r="F1802" s="15">
        <f>ROUND(29.2,3)</f>
        <v>29.2</v>
      </c>
      <c r="G1802" s="12">
        <f>ROUND((E1802*F1802)/100,2)</f>
        <v>0.58</v>
      </c>
    </row>
    <row r="1803" ht="15.0" customHeight="1">
      <c r="A1803" s="16"/>
      <c r="B1803" s="16"/>
      <c r="C1803" s="16"/>
      <c r="D1803" s="17" t="s">
        <v>886</v>
      </c>
      <c r="E1803" s="16"/>
      <c r="F1803" s="18">
        <f>ROUND((G1793+G1796+G1797+G1802)*(1+G2/100),2)</f>
        <v>31.78</v>
      </c>
      <c r="G1803" s="16"/>
    </row>
    <row r="1804" ht="15.0" customHeight="1">
      <c r="A1804" s="19" t="s">
        <v>889</v>
      </c>
      <c r="B1804" s="20" t="s">
        <v>18</v>
      </c>
      <c r="C1804" s="20" t="s">
        <v>321</v>
      </c>
      <c r="D1804" s="20" t="s">
        <v>890</v>
      </c>
      <c r="E1804" s="21"/>
      <c r="F1804" s="22">
        <f>F1814</f>
        <v>165.61</v>
      </c>
      <c r="G1804" s="21"/>
    </row>
    <row r="1805" ht="30.0" customHeight="1">
      <c r="A1805" s="11"/>
      <c r="B1805" s="11"/>
      <c r="C1805" s="11"/>
      <c r="D1805" s="10" t="s">
        <v>891</v>
      </c>
    </row>
    <row r="1806" ht="21.0" customHeight="1">
      <c r="A1806" s="10" t="s">
        <v>22</v>
      </c>
      <c r="B1806" s="10" t="s">
        <v>18</v>
      </c>
      <c r="C1806" s="10" t="s">
        <v>23</v>
      </c>
      <c r="D1806" s="10" t="s">
        <v>24</v>
      </c>
      <c r="E1806" s="14">
        <v>3.6</v>
      </c>
      <c r="F1806" s="15">
        <f>F1810</f>
        <v>43.8</v>
      </c>
      <c r="G1806" s="12">
        <f t="shared" ref="G1806:G1812" si="323">ROUND(E1806*F1806,2)</f>
        <v>157.68</v>
      </c>
    </row>
    <row r="1807" ht="24.0" customHeight="1">
      <c r="A1807" s="10" t="s">
        <v>25</v>
      </c>
      <c r="B1807" s="10" t="s">
        <v>26</v>
      </c>
      <c r="C1807" s="10" t="s">
        <v>23</v>
      </c>
      <c r="D1807" s="10" t="s">
        <v>27</v>
      </c>
      <c r="E1807" s="14">
        <v>1.0</v>
      </c>
      <c r="F1807" s="15">
        <f>ROUND(21,3)</f>
        <v>21</v>
      </c>
      <c r="G1807" s="12">
        <f t="shared" si="323"/>
        <v>21</v>
      </c>
    </row>
    <row r="1808" ht="24.0" customHeight="1">
      <c r="A1808" s="10" t="s">
        <v>28</v>
      </c>
      <c r="B1808" s="10" t="s">
        <v>26</v>
      </c>
      <c r="C1808" s="10" t="s">
        <v>23</v>
      </c>
      <c r="D1808" s="10" t="s">
        <v>29</v>
      </c>
      <c r="E1808" s="14">
        <v>1.0</v>
      </c>
      <c r="F1808" s="15">
        <f t="shared" ref="F1808:F1809" si="324">ROUND(19,3)</f>
        <v>19</v>
      </c>
      <c r="G1808" s="12">
        <f t="shared" si="323"/>
        <v>19</v>
      </c>
    </row>
    <row r="1809" ht="24.0" customHeight="1">
      <c r="A1809" s="10" t="s">
        <v>30</v>
      </c>
      <c r="B1809" s="10" t="s">
        <v>26</v>
      </c>
      <c r="C1809" s="10" t="s">
        <v>23</v>
      </c>
      <c r="D1809" s="10" t="s">
        <v>31</v>
      </c>
      <c r="E1809" s="14">
        <v>0.2</v>
      </c>
      <c r="F1809" s="15">
        <f t="shared" si="324"/>
        <v>19</v>
      </c>
      <c r="G1809" s="12">
        <f t="shared" si="323"/>
        <v>3.8</v>
      </c>
    </row>
    <row r="1810" ht="15.0" customHeight="1">
      <c r="A1810" s="11"/>
      <c r="B1810" s="11"/>
      <c r="C1810" s="11"/>
      <c r="D1810" s="10" t="s">
        <v>22</v>
      </c>
      <c r="E1810" s="14">
        <v>3.6</v>
      </c>
      <c r="F1810" s="15">
        <f>ROUND((G1807+G1808+G1809),3)</f>
        <v>43.8</v>
      </c>
      <c r="G1810" s="12">
        <f t="shared" si="323"/>
        <v>157.68</v>
      </c>
    </row>
    <row r="1811" ht="39.75" customHeight="1">
      <c r="A1811" s="10" t="s">
        <v>188</v>
      </c>
      <c r="B1811" s="10" t="s">
        <v>112</v>
      </c>
      <c r="C1811" s="10" t="s">
        <v>23</v>
      </c>
      <c r="D1811" s="10" t="s">
        <v>189</v>
      </c>
      <c r="E1811" s="14">
        <v>0.5</v>
      </c>
      <c r="F1811" s="15">
        <f>ROUND(7.565,3)</f>
        <v>7.565</v>
      </c>
      <c r="G1811" s="12">
        <f t="shared" si="323"/>
        <v>3.78</v>
      </c>
    </row>
    <row r="1812" ht="39.75" customHeight="1">
      <c r="A1812" s="10" t="s">
        <v>778</v>
      </c>
      <c r="B1812" s="10" t="s">
        <v>112</v>
      </c>
      <c r="C1812" s="10" t="s">
        <v>23</v>
      </c>
      <c r="D1812" s="10" t="s">
        <v>779</v>
      </c>
      <c r="E1812" s="14">
        <v>0.5</v>
      </c>
      <c r="F1812" s="15">
        <f>ROUND(2,3)</f>
        <v>2</v>
      </c>
      <c r="G1812" s="12">
        <f t="shared" si="323"/>
        <v>1</v>
      </c>
    </row>
    <row r="1813" ht="15.0" customHeight="1">
      <c r="A1813" s="10" t="s">
        <v>32</v>
      </c>
      <c r="B1813" s="10"/>
      <c r="C1813" s="10" t="s">
        <v>33</v>
      </c>
      <c r="D1813" s="10" t="s">
        <v>34</v>
      </c>
      <c r="E1813" s="14">
        <v>2.0</v>
      </c>
      <c r="F1813" s="15">
        <f>ROUND(157.68,3)</f>
        <v>157.68</v>
      </c>
      <c r="G1813" s="12">
        <f>ROUND((E1813*F1813)/100,2)</f>
        <v>3.15</v>
      </c>
    </row>
    <row r="1814" ht="15.0" customHeight="1">
      <c r="A1814" s="16"/>
      <c r="B1814" s="16"/>
      <c r="C1814" s="16"/>
      <c r="D1814" s="17" t="s">
        <v>889</v>
      </c>
      <c r="E1814" s="16"/>
      <c r="F1814" s="18">
        <f>ROUND((G1806+G1811+G1812+G1813)*(1+G2/100),2)</f>
        <v>165.61</v>
      </c>
      <c r="G1814" s="16"/>
    </row>
    <row r="1815" ht="30.0" customHeight="1">
      <c r="A1815" s="19" t="s">
        <v>892</v>
      </c>
      <c r="B1815" s="20" t="s">
        <v>18</v>
      </c>
      <c r="C1815" s="20" t="s">
        <v>251</v>
      </c>
      <c r="D1815" s="20" t="s">
        <v>893</v>
      </c>
      <c r="E1815" s="21"/>
      <c r="F1815" s="22">
        <f>F1823</f>
        <v>4.47</v>
      </c>
      <c r="G1815" s="21"/>
    </row>
    <row r="1816" ht="30.0" customHeight="1">
      <c r="A1816" s="11"/>
      <c r="B1816" s="11"/>
      <c r="C1816" s="11"/>
      <c r="D1816" s="10" t="s">
        <v>894</v>
      </c>
    </row>
    <row r="1817" ht="21.0" customHeight="1">
      <c r="A1817" s="10" t="s">
        <v>22</v>
      </c>
      <c r="B1817" s="10" t="s">
        <v>18</v>
      </c>
      <c r="C1817" s="10" t="s">
        <v>23</v>
      </c>
      <c r="D1817" s="10" t="s">
        <v>24</v>
      </c>
      <c r="E1817" s="14">
        <v>0.1</v>
      </c>
      <c r="F1817" s="15">
        <f>F1821</f>
        <v>43.8</v>
      </c>
      <c r="G1817" s="12">
        <f t="shared" ref="G1817:G1821" si="325">ROUND(E1817*F1817,2)</f>
        <v>4.38</v>
      </c>
    </row>
    <row r="1818" ht="24.0" customHeight="1">
      <c r="A1818" s="10" t="s">
        <v>25</v>
      </c>
      <c r="B1818" s="10" t="s">
        <v>26</v>
      </c>
      <c r="C1818" s="10" t="s">
        <v>23</v>
      </c>
      <c r="D1818" s="10" t="s">
        <v>27</v>
      </c>
      <c r="E1818" s="14">
        <v>1.0</v>
      </c>
      <c r="F1818" s="15">
        <f>ROUND(21,3)</f>
        <v>21</v>
      </c>
      <c r="G1818" s="12">
        <f t="shared" si="325"/>
        <v>21</v>
      </c>
    </row>
    <row r="1819" ht="24.0" customHeight="1">
      <c r="A1819" s="10" t="s">
        <v>28</v>
      </c>
      <c r="B1819" s="10" t="s">
        <v>26</v>
      </c>
      <c r="C1819" s="10" t="s">
        <v>23</v>
      </c>
      <c r="D1819" s="10" t="s">
        <v>29</v>
      </c>
      <c r="E1819" s="14">
        <v>1.0</v>
      </c>
      <c r="F1819" s="15">
        <f t="shared" ref="F1819:F1820" si="326">ROUND(19,3)</f>
        <v>19</v>
      </c>
      <c r="G1819" s="12">
        <f t="shared" si="325"/>
        <v>19</v>
      </c>
    </row>
    <row r="1820" ht="24.0" customHeight="1">
      <c r="A1820" s="10" t="s">
        <v>30</v>
      </c>
      <c r="B1820" s="10" t="s">
        <v>26</v>
      </c>
      <c r="C1820" s="10" t="s">
        <v>23</v>
      </c>
      <c r="D1820" s="10" t="s">
        <v>31</v>
      </c>
      <c r="E1820" s="14">
        <v>0.2</v>
      </c>
      <c r="F1820" s="15">
        <f t="shared" si="326"/>
        <v>19</v>
      </c>
      <c r="G1820" s="12">
        <f t="shared" si="325"/>
        <v>3.8</v>
      </c>
    </row>
    <row r="1821" ht="15.0" customHeight="1">
      <c r="A1821" s="11"/>
      <c r="B1821" s="11"/>
      <c r="C1821" s="11"/>
      <c r="D1821" s="10" t="s">
        <v>22</v>
      </c>
      <c r="E1821" s="14">
        <v>0.1</v>
      </c>
      <c r="F1821" s="15">
        <f>ROUND((G1818+G1819+G1820),3)</f>
        <v>43.8</v>
      </c>
      <c r="G1821" s="12">
        <f t="shared" si="325"/>
        <v>4.38</v>
      </c>
    </row>
    <row r="1822" ht="15.0" customHeight="1">
      <c r="A1822" s="10" t="s">
        <v>32</v>
      </c>
      <c r="B1822" s="10"/>
      <c r="C1822" s="10" t="s">
        <v>33</v>
      </c>
      <c r="D1822" s="10" t="s">
        <v>34</v>
      </c>
      <c r="E1822" s="14">
        <v>2.0</v>
      </c>
      <c r="F1822" s="15">
        <f>ROUND(4.38,3)</f>
        <v>4.38</v>
      </c>
      <c r="G1822" s="12">
        <f>ROUND((E1822*F1822)/100,2)</f>
        <v>0.09</v>
      </c>
    </row>
    <row r="1823" ht="15.0" customHeight="1">
      <c r="A1823" s="16"/>
      <c r="B1823" s="16"/>
      <c r="C1823" s="16"/>
      <c r="D1823" s="17" t="s">
        <v>892</v>
      </c>
      <c r="E1823" s="16"/>
      <c r="F1823" s="18">
        <f>ROUND((G1817+G1822)*(1+G2/100),2)</f>
        <v>4.47</v>
      </c>
      <c r="G1823" s="16"/>
    </row>
    <row r="1824" ht="15.0" customHeight="1">
      <c r="A1824" s="19" t="s">
        <v>895</v>
      </c>
      <c r="B1824" s="20" t="s">
        <v>18</v>
      </c>
      <c r="C1824" s="20" t="s">
        <v>251</v>
      </c>
      <c r="D1824" s="20" t="s">
        <v>896</v>
      </c>
      <c r="E1824" s="21"/>
      <c r="F1824" s="22">
        <f>F1832</f>
        <v>9.93</v>
      </c>
      <c r="G1824" s="21"/>
    </row>
    <row r="1825" ht="30.0" customHeight="1">
      <c r="A1825" s="11"/>
      <c r="B1825" s="11"/>
      <c r="C1825" s="11"/>
      <c r="D1825" s="10" t="s">
        <v>897</v>
      </c>
    </row>
    <row r="1826" ht="21.0" customHeight="1">
      <c r="A1826" s="10" t="s">
        <v>22</v>
      </c>
      <c r="B1826" s="10" t="s">
        <v>18</v>
      </c>
      <c r="C1826" s="10" t="s">
        <v>23</v>
      </c>
      <c r="D1826" s="10" t="s">
        <v>24</v>
      </c>
      <c r="E1826" s="14">
        <v>0.22</v>
      </c>
      <c r="F1826" s="15">
        <f>F1830</f>
        <v>43.8</v>
      </c>
      <c r="G1826" s="12">
        <f t="shared" ref="G1826:G1830" si="327">ROUND(E1826*F1826,2)</f>
        <v>9.64</v>
      </c>
    </row>
    <row r="1827" ht="24.0" customHeight="1">
      <c r="A1827" s="10" t="s">
        <v>25</v>
      </c>
      <c r="B1827" s="10" t="s">
        <v>26</v>
      </c>
      <c r="C1827" s="10" t="s">
        <v>23</v>
      </c>
      <c r="D1827" s="10" t="s">
        <v>27</v>
      </c>
      <c r="E1827" s="14">
        <v>1.0</v>
      </c>
      <c r="F1827" s="15">
        <f>ROUND(21,3)</f>
        <v>21</v>
      </c>
      <c r="G1827" s="12">
        <f t="shared" si="327"/>
        <v>21</v>
      </c>
    </row>
    <row r="1828" ht="24.0" customHeight="1">
      <c r="A1828" s="10" t="s">
        <v>28</v>
      </c>
      <c r="B1828" s="10" t="s">
        <v>26</v>
      </c>
      <c r="C1828" s="10" t="s">
        <v>23</v>
      </c>
      <c r="D1828" s="10" t="s">
        <v>29</v>
      </c>
      <c r="E1828" s="14">
        <v>1.0</v>
      </c>
      <c r="F1828" s="15">
        <f t="shared" ref="F1828:F1829" si="328">ROUND(19,3)</f>
        <v>19</v>
      </c>
      <c r="G1828" s="12">
        <f t="shared" si="327"/>
        <v>19</v>
      </c>
    </row>
    <row r="1829" ht="24.0" customHeight="1">
      <c r="A1829" s="10" t="s">
        <v>30</v>
      </c>
      <c r="B1829" s="10" t="s">
        <v>26</v>
      </c>
      <c r="C1829" s="10" t="s">
        <v>23</v>
      </c>
      <c r="D1829" s="10" t="s">
        <v>31</v>
      </c>
      <c r="E1829" s="14">
        <v>0.2</v>
      </c>
      <c r="F1829" s="15">
        <f t="shared" si="328"/>
        <v>19</v>
      </c>
      <c r="G1829" s="12">
        <f t="shared" si="327"/>
        <v>3.8</v>
      </c>
    </row>
    <row r="1830" ht="15.0" customHeight="1">
      <c r="A1830" s="11"/>
      <c r="B1830" s="11"/>
      <c r="C1830" s="11"/>
      <c r="D1830" s="10" t="s">
        <v>22</v>
      </c>
      <c r="E1830" s="14">
        <v>0.22</v>
      </c>
      <c r="F1830" s="15">
        <f>ROUND((G1827+G1828+G1829),3)</f>
        <v>43.8</v>
      </c>
      <c r="G1830" s="12">
        <f t="shared" si="327"/>
        <v>9.64</v>
      </c>
    </row>
    <row r="1831" ht="15.0" customHeight="1">
      <c r="A1831" s="10" t="s">
        <v>32</v>
      </c>
      <c r="B1831" s="10"/>
      <c r="C1831" s="10" t="s">
        <v>33</v>
      </c>
      <c r="D1831" s="10" t="s">
        <v>34</v>
      </c>
      <c r="E1831" s="14">
        <v>3.0</v>
      </c>
      <c r="F1831" s="15">
        <f>ROUND(9.64,3)</f>
        <v>9.64</v>
      </c>
      <c r="G1831" s="12">
        <f>ROUND((E1831*F1831)/100,2)</f>
        <v>0.29</v>
      </c>
    </row>
    <row r="1832" ht="15.0" customHeight="1">
      <c r="A1832" s="16"/>
      <c r="B1832" s="16"/>
      <c r="C1832" s="16"/>
      <c r="D1832" s="17" t="s">
        <v>895</v>
      </c>
      <c r="E1832" s="16"/>
      <c r="F1832" s="18">
        <f>ROUND((G1826+G1831)*(1+G2/100),2)</f>
        <v>9.93</v>
      </c>
      <c r="G1832" s="16"/>
    </row>
    <row r="1833" ht="15.0" customHeight="1">
      <c r="A1833" s="23"/>
      <c r="B1833" s="23"/>
      <c r="C1833" s="23"/>
      <c r="D1833" s="32" t="s">
        <v>790</v>
      </c>
      <c r="E1833" s="33"/>
      <c r="F1833" s="33"/>
      <c r="G1833" s="33"/>
    </row>
    <row r="1834" ht="34.5" customHeight="1">
      <c r="A1834" s="34" t="s">
        <v>898</v>
      </c>
      <c r="B1834" s="34" t="s">
        <v>10</v>
      </c>
      <c r="C1834" s="35"/>
      <c r="D1834" s="34" t="s">
        <v>899</v>
      </c>
      <c r="E1834" s="35"/>
      <c r="F1834" s="35"/>
      <c r="G1834" s="35"/>
    </row>
    <row r="1835" ht="15.0" customHeight="1">
      <c r="A1835" s="42" t="s">
        <v>900</v>
      </c>
      <c r="B1835" s="42" t="s">
        <v>10</v>
      </c>
      <c r="C1835" s="43"/>
      <c r="D1835" s="42" t="s">
        <v>901</v>
      </c>
      <c r="E1835" s="43"/>
      <c r="F1835" s="43"/>
      <c r="G1835" s="43"/>
    </row>
    <row r="1836" ht="30.0" customHeight="1">
      <c r="A1836" s="13" t="s">
        <v>902</v>
      </c>
      <c r="B1836" s="10" t="s">
        <v>18</v>
      </c>
      <c r="C1836" s="10" t="s">
        <v>295</v>
      </c>
      <c r="D1836" s="10" t="s">
        <v>903</v>
      </c>
      <c r="E1836" s="11"/>
      <c r="F1836" s="12">
        <f>F1843</f>
        <v>153.3</v>
      </c>
      <c r="G1836" s="11"/>
    </row>
    <row r="1837" ht="30.0" customHeight="1">
      <c r="A1837" s="11"/>
      <c r="B1837" s="11"/>
      <c r="C1837" s="11"/>
      <c r="D1837" s="10" t="s">
        <v>904</v>
      </c>
    </row>
    <row r="1838" ht="21.0" customHeight="1">
      <c r="A1838" s="10" t="s">
        <v>22</v>
      </c>
      <c r="B1838" s="10" t="s">
        <v>18</v>
      </c>
      <c r="C1838" s="10" t="s">
        <v>23</v>
      </c>
      <c r="D1838" s="10" t="s">
        <v>24</v>
      </c>
      <c r="E1838" s="14">
        <v>3.5</v>
      </c>
      <c r="F1838" s="15">
        <f>F1842</f>
        <v>43.8</v>
      </c>
      <c r="G1838" s="12">
        <f t="shared" ref="G1838:G1842" si="329">ROUND(E1838*F1838,2)</f>
        <v>153.3</v>
      </c>
    </row>
    <row r="1839" ht="24.0" customHeight="1">
      <c r="A1839" s="10" t="s">
        <v>25</v>
      </c>
      <c r="B1839" s="10" t="s">
        <v>26</v>
      </c>
      <c r="C1839" s="10" t="s">
        <v>23</v>
      </c>
      <c r="D1839" s="10" t="s">
        <v>27</v>
      </c>
      <c r="E1839" s="14">
        <v>1.0</v>
      </c>
      <c r="F1839" s="15">
        <f>ROUND(21,3)</f>
        <v>21</v>
      </c>
      <c r="G1839" s="12">
        <f t="shared" si="329"/>
        <v>21</v>
      </c>
    </row>
    <row r="1840" ht="24.0" customHeight="1">
      <c r="A1840" s="10" t="s">
        <v>28</v>
      </c>
      <c r="B1840" s="10" t="s">
        <v>26</v>
      </c>
      <c r="C1840" s="10" t="s">
        <v>23</v>
      </c>
      <c r="D1840" s="10" t="s">
        <v>29</v>
      </c>
      <c r="E1840" s="14">
        <v>1.0</v>
      </c>
      <c r="F1840" s="15">
        <f t="shared" ref="F1840:F1841" si="330">ROUND(19,3)</f>
        <v>19</v>
      </c>
      <c r="G1840" s="12">
        <f t="shared" si="329"/>
        <v>19</v>
      </c>
    </row>
    <row r="1841" ht="24.0" customHeight="1">
      <c r="A1841" s="10" t="s">
        <v>30</v>
      </c>
      <c r="B1841" s="10" t="s">
        <v>26</v>
      </c>
      <c r="C1841" s="10" t="s">
        <v>23</v>
      </c>
      <c r="D1841" s="10" t="s">
        <v>31</v>
      </c>
      <c r="E1841" s="14">
        <v>0.2</v>
      </c>
      <c r="F1841" s="15">
        <f t="shared" si="330"/>
        <v>19</v>
      </c>
      <c r="G1841" s="12">
        <f t="shared" si="329"/>
        <v>3.8</v>
      </c>
    </row>
    <row r="1842" ht="15.0" customHeight="1">
      <c r="A1842" s="11"/>
      <c r="B1842" s="11"/>
      <c r="C1842" s="11"/>
      <c r="D1842" s="10" t="s">
        <v>22</v>
      </c>
      <c r="E1842" s="14">
        <v>3.5</v>
      </c>
      <c r="F1842" s="15">
        <f>ROUND((G1839+G1840+G1841),3)</f>
        <v>43.8</v>
      </c>
      <c r="G1842" s="12">
        <f t="shared" si="329"/>
        <v>153.3</v>
      </c>
    </row>
    <row r="1843" ht="15.0" customHeight="1">
      <c r="A1843" s="16"/>
      <c r="B1843" s="16"/>
      <c r="C1843" s="16"/>
      <c r="D1843" s="17" t="s">
        <v>902</v>
      </c>
      <c r="E1843" s="16"/>
      <c r="F1843" s="18">
        <f>ROUND((G1838)*(1+G2/100),2)</f>
        <v>153.3</v>
      </c>
      <c r="G1843" s="16"/>
    </row>
    <row r="1844" ht="21.0" customHeight="1">
      <c r="A1844" s="19" t="s">
        <v>905</v>
      </c>
      <c r="B1844" s="20" t="s">
        <v>18</v>
      </c>
      <c r="C1844" s="20" t="s">
        <v>295</v>
      </c>
      <c r="D1844" s="20" t="s">
        <v>906</v>
      </c>
      <c r="E1844" s="21"/>
      <c r="F1844" s="22">
        <f>F1851</f>
        <v>43.8</v>
      </c>
      <c r="G1844" s="21"/>
    </row>
    <row r="1845" ht="30.0" customHeight="1">
      <c r="A1845" s="11"/>
      <c r="B1845" s="11"/>
      <c r="C1845" s="11"/>
      <c r="D1845" s="10" t="s">
        <v>907</v>
      </c>
    </row>
    <row r="1846" ht="21.0" customHeight="1">
      <c r="A1846" s="10" t="s">
        <v>22</v>
      </c>
      <c r="B1846" s="10" t="s">
        <v>18</v>
      </c>
      <c r="C1846" s="10" t="s">
        <v>23</v>
      </c>
      <c r="D1846" s="10" t="s">
        <v>24</v>
      </c>
      <c r="E1846" s="14">
        <v>1.0</v>
      </c>
      <c r="F1846" s="15">
        <f>F1850</f>
        <v>43.8</v>
      </c>
      <c r="G1846" s="12">
        <f t="shared" ref="G1846:G1850" si="331">ROUND(E1846*F1846,2)</f>
        <v>43.8</v>
      </c>
    </row>
    <row r="1847" ht="24.0" customHeight="1">
      <c r="A1847" s="10" t="s">
        <v>25</v>
      </c>
      <c r="B1847" s="10" t="s">
        <v>26</v>
      </c>
      <c r="C1847" s="10" t="s">
        <v>23</v>
      </c>
      <c r="D1847" s="10" t="s">
        <v>27</v>
      </c>
      <c r="E1847" s="14">
        <v>1.0</v>
      </c>
      <c r="F1847" s="15">
        <f>ROUND(21,3)</f>
        <v>21</v>
      </c>
      <c r="G1847" s="12">
        <f t="shared" si="331"/>
        <v>21</v>
      </c>
    </row>
    <row r="1848" ht="24.0" customHeight="1">
      <c r="A1848" s="10" t="s">
        <v>28</v>
      </c>
      <c r="B1848" s="10" t="s">
        <v>26</v>
      </c>
      <c r="C1848" s="10" t="s">
        <v>23</v>
      </c>
      <c r="D1848" s="10" t="s">
        <v>29</v>
      </c>
      <c r="E1848" s="14">
        <v>1.0</v>
      </c>
      <c r="F1848" s="15">
        <f t="shared" ref="F1848:F1849" si="332">ROUND(19,3)</f>
        <v>19</v>
      </c>
      <c r="G1848" s="12">
        <f t="shared" si="331"/>
        <v>19</v>
      </c>
    </row>
    <row r="1849" ht="24.0" customHeight="1">
      <c r="A1849" s="10" t="s">
        <v>30</v>
      </c>
      <c r="B1849" s="10" t="s">
        <v>26</v>
      </c>
      <c r="C1849" s="10" t="s">
        <v>23</v>
      </c>
      <c r="D1849" s="10" t="s">
        <v>31</v>
      </c>
      <c r="E1849" s="14">
        <v>0.2</v>
      </c>
      <c r="F1849" s="15">
        <f t="shared" si="332"/>
        <v>19</v>
      </c>
      <c r="G1849" s="12">
        <f t="shared" si="331"/>
        <v>3.8</v>
      </c>
    </row>
    <row r="1850" ht="15.0" customHeight="1">
      <c r="A1850" s="11"/>
      <c r="B1850" s="11"/>
      <c r="C1850" s="11"/>
      <c r="D1850" s="10" t="s">
        <v>22</v>
      </c>
      <c r="E1850" s="14">
        <v>1.0</v>
      </c>
      <c r="F1850" s="15">
        <f>ROUND((G1847+G1848+G1849),3)</f>
        <v>43.8</v>
      </c>
      <c r="G1850" s="12">
        <f t="shared" si="331"/>
        <v>43.8</v>
      </c>
    </row>
    <row r="1851" ht="15.0" customHeight="1">
      <c r="A1851" s="16"/>
      <c r="B1851" s="16"/>
      <c r="C1851" s="16"/>
      <c r="D1851" s="17" t="s">
        <v>905</v>
      </c>
      <c r="E1851" s="16"/>
      <c r="F1851" s="18">
        <f>ROUND((G1846)*(1+G2/100),2)</f>
        <v>43.8</v>
      </c>
      <c r="G1851" s="16"/>
    </row>
    <row r="1852" ht="15.0" customHeight="1">
      <c r="A1852" s="19" t="s">
        <v>908</v>
      </c>
      <c r="B1852" s="20" t="s">
        <v>18</v>
      </c>
      <c r="C1852" s="20" t="s">
        <v>295</v>
      </c>
      <c r="D1852" s="20" t="s">
        <v>909</v>
      </c>
      <c r="E1852" s="21"/>
      <c r="F1852" s="22">
        <f>F1859</f>
        <v>65.7</v>
      </c>
      <c r="G1852" s="21"/>
    </row>
    <row r="1853" ht="39.75" customHeight="1">
      <c r="A1853" s="11"/>
      <c r="B1853" s="11"/>
      <c r="C1853" s="11"/>
      <c r="D1853" s="10" t="s">
        <v>910</v>
      </c>
    </row>
    <row r="1854" ht="21.0" customHeight="1">
      <c r="A1854" s="10" t="s">
        <v>22</v>
      </c>
      <c r="B1854" s="10" t="s">
        <v>18</v>
      </c>
      <c r="C1854" s="10" t="s">
        <v>23</v>
      </c>
      <c r="D1854" s="10" t="s">
        <v>24</v>
      </c>
      <c r="E1854" s="14">
        <v>1.5</v>
      </c>
      <c r="F1854" s="15">
        <f>F1858</f>
        <v>43.8</v>
      </c>
      <c r="G1854" s="12">
        <f t="shared" ref="G1854:G1858" si="333">ROUND(E1854*F1854,2)</f>
        <v>65.7</v>
      </c>
    </row>
    <row r="1855" ht="24.0" customHeight="1">
      <c r="A1855" s="10" t="s">
        <v>25</v>
      </c>
      <c r="B1855" s="10" t="s">
        <v>26</v>
      </c>
      <c r="C1855" s="10" t="s">
        <v>23</v>
      </c>
      <c r="D1855" s="10" t="s">
        <v>27</v>
      </c>
      <c r="E1855" s="14">
        <v>1.0</v>
      </c>
      <c r="F1855" s="15">
        <f>ROUND(21,3)</f>
        <v>21</v>
      </c>
      <c r="G1855" s="12">
        <f t="shared" si="333"/>
        <v>21</v>
      </c>
    </row>
    <row r="1856" ht="24.0" customHeight="1">
      <c r="A1856" s="10" t="s">
        <v>28</v>
      </c>
      <c r="B1856" s="10" t="s">
        <v>26</v>
      </c>
      <c r="C1856" s="10" t="s">
        <v>23</v>
      </c>
      <c r="D1856" s="10" t="s">
        <v>29</v>
      </c>
      <c r="E1856" s="14">
        <v>1.0</v>
      </c>
      <c r="F1856" s="15">
        <f t="shared" ref="F1856:F1857" si="334">ROUND(19,3)</f>
        <v>19</v>
      </c>
      <c r="G1856" s="12">
        <f t="shared" si="333"/>
        <v>19</v>
      </c>
    </row>
    <row r="1857" ht="24.0" customHeight="1">
      <c r="A1857" s="10" t="s">
        <v>30</v>
      </c>
      <c r="B1857" s="10" t="s">
        <v>26</v>
      </c>
      <c r="C1857" s="10" t="s">
        <v>23</v>
      </c>
      <c r="D1857" s="10" t="s">
        <v>31</v>
      </c>
      <c r="E1857" s="14">
        <v>0.2</v>
      </c>
      <c r="F1857" s="15">
        <f t="shared" si="334"/>
        <v>19</v>
      </c>
      <c r="G1857" s="12">
        <f t="shared" si="333"/>
        <v>3.8</v>
      </c>
    </row>
    <row r="1858" ht="15.0" customHeight="1">
      <c r="A1858" s="11"/>
      <c r="B1858" s="11"/>
      <c r="C1858" s="11"/>
      <c r="D1858" s="10" t="s">
        <v>22</v>
      </c>
      <c r="E1858" s="14">
        <v>1.5</v>
      </c>
      <c r="F1858" s="15">
        <f>ROUND((G1855+G1856+G1857),3)</f>
        <v>43.8</v>
      </c>
      <c r="G1858" s="12">
        <f t="shared" si="333"/>
        <v>65.7</v>
      </c>
    </row>
    <row r="1859" ht="15.0" customHeight="1">
      <c r="A1859" s="16"/>
      <c r="B1859" s="16"/>
      <c r="C1859" s="16"/>
      <c r="D1859" s="17" t="s">
        <v>908</v>
      </c>
      <c r="E1859" s="16"/>
      <c r="F1859" s="18">
        <f>ROUND((G1854)*(1+G2/100),2)</f>
        <v>65.7</v>
      </c>
      <c r="G1859" s="16"/>
    </row>
    <row r="1860" ht="21.0" customHeight="1">
      <c r="A1860" s="19" t="s">
        <v>911</v>
      </c>
      <c r="B1860" s="20" t="s">
        <v>18</v>
      </c>
      <c r="C1860" s="20" t="s">
        <v>537</v>
      </c>
      <c r="D1860" s="20" t="s">
        <v>912</v>
      </c>
      <c r="E1860" s="21"/>
      <c r="F1860" s="22">
        <f>F1868</f>
        <v>13.97</v>
      </c>
      <c r="G1860" s="21"/>
    </row>
    <row r="1861" ht="39.75" customHeight="1">
      <c r="A1861" s="11"/>
      <c r="B1861" s="11"/>
      <c r="C1861" s="11"/>
      <c r="D1861" s="10" t="s">
        <v>913</v>
      </c>
    </row>
    <row r="1862" ht="15.0" customHeight="1">
      <c r="A1862" s="10" t="s">
        <v>914</v>
      </c>
      <c r="B1862" s="10" t="s">
        <v>42</v>
      </c>
      <c r="C1862" s="10" t="s">
        <v>23</v>
      </c>
      <c r="D1862" s="10" t="s">
        <v>915</v>
      </c>
      <c r="E1862" s="14">
        <v>0.133</v>
      </c>
      <c r="F1862" s="15">
        <f>ROUND(6.25,3)</f>
        <v>6.25</v>
      </c>
      <c r="G1862" s="12">
        <f t="shared" ref="G1862:G1867" si="335">ROUND(E1862*F1862,2)</f>
        <v>0.83</v>
      </c>
    </row>
    <row r="1863" ht="21.0" customHeight="1">
      <c r="A1863" s="10" t="s">
        <v>22</v>
      </c>
      <c r="B1863" s="10" t="s">
        <v>18</v>
      </c>
      <c r="C1863" s="10" t="s">
        <v>23</v>
      </c>
      <c r="D1863" s="10" t="s">
        <v>24</v>
      </c>
      <c r="E1863" s="14">
        <v>0.3</v>
      </c>
      <c r="F1863" s="15">
        <f>F1867</f>
        <v>43.8</v>
      </c>
      <c r="G1863" s="12">
        <f t="shared" si="335"/>
        <v>13.14</v>
      </c>
    </row>
    <row r="1864" ht="24.0" customHeight="1">
      <c r="A1864" s="10" t="s">
        <v>25</v>
      </c>
      <c r="B1864" s="10" t="s">
        <v>26</v>
      </c>
      <c r="C1864" s="10" t="s">
        <v>23</v>
      </c>
      <c r="D1864" s="10" t="s">
        <v>27</v>
      </c>
      <c r="E1864" s="14">
        <v>1.0</v>
      </c>
      <c r="F1864" s="15">
        <f>ROUND(21,3)</f>
        <v>21</v>
      </c>
      <c r="G1864" s="12">
        <f t="shared" si="335"/>
        <v>21</v>
      </c>
    </row>
    <row r="1865" ht="24.0" customHeight="1">
      <c r="A1865" s="10" t="s">
        <v>28</v>
      </c>
      <c r="B1865" s="10" t="s">
        <v>26</v>
      </c>
      <c r="C1865" s="10" t="s">
        <v>23</v>
      </c>
      <c r="D1865" s="10" t="s">
        <v>29</v>
      </c>
      <c r="E1865" s="14">
        <v>1.0</v>
      </c>
      <c r="F1865" s="15">
        <f t="shared" ref="F1865:F1866" si="336">ROUND(19,3)</f>
        <v>19</v>
      </c>
      <c r="G1865" s="12">
        <f t="shared" si="335"/>
        <v>19</v>
      </c>
    </row>
    <row r="1866" ht="24.0" customHeight="1">
      <c r="A1866" s="10" t="s">
        <v>30</v>
      </c>
      <c r="B1866" s="10" t="s">
        <v>26</v>
      </c>
      <c r="C1866" s="10" t="s">
        <v>23</v>
      </c>
      <c r="D1866" s="10" t="s">
        <v>31</v>
      </c>
      <c r="E1866" s="14">
        <v>0.2</v>
      </c>
      <c r="F1866" s="15">
        <f t="shared" si="336"/>
        <v>19</v>
      </c>
      <c r="G1866" s="12">
        <f t="shared" si="335"/>
        <v>3.8</v>
      </c>
    </row>
    <row r="1867" ht="15.0" customHeight="1">
      <c r="A1867" s="11"/>
      <c r="B1867" s="11"/>
      <c r="C1867" s="11"/>
      <c r="D1867" s="10" t="s">
        <v>22</v>
      </c>
      <c r="E1867" s="14">
        <v>0.3</v>
      </c>
      <c r="F1867" s="15">
        <f>ROUND((G1864+G1865+G1866),3)</f>
        <v>43.8</v>
      </c>
      <c r="G1867" s="12">
        <f t="shared" si="335"/>
        <v>13.14</v>
      </c>
    </row>
    <row r="1868" ht="15.0" customHeight="1">
      <c r="A1868" s="16"/>
      <c r="B1868" s="16"/>
      <c r="C1868" s="16"/>
      <c r="D1868" s="17" t="s">
        <v>911</v>
      </c>
      <c r="E1868" s="16"/>
      <c r="F1868" s="18">
        <f>ROUND((G1862+G1863)*(1+G2/100),2)</f>
        <v>13.97</v>
      </c>
      <c r="G1868" s="16"/>
    </row>
    <row r="1869" ht="30.0" customHeight="1">
      <c r="A1869" s="19" t="s">
        <v>916</v>
      </c>
      <c r="B1869" s="20" t="s">
        <v>18</v>
      </c>
      <c r="C1869" s="20" t="s">
        <v>295</v>
      </c>
      <c r="D1869" s="20" t="s">
        <v>917</v>
      </c>
      <c r="E1869" s="21"/>
      <c r="F1869" s="22">
        <f>F1879</f>
        <v>90.42</v>
      </c>
      <c r="G1869" s="21"/>
    </row>
    <row r="1870" ht="39.75" customHeight="1">
      <c r="A1870" s="11"/>
      <c r="B1870" s="11"/>
      <c r="C1870" s="11"/>
      <c r="D1870" s="10" t="s">
        <v>918</v>
      </c>
    </row>
    <row r="1871" ht="21.0" customHeight="1">
      <c r="A1871" s="10" t="s">
        <v>237</v>
      </c>
      <c r="B1871" s="10" t="s">
        <v>42</v>
      </c>
      <c r="C1871" s="10" t="s">
        <v>231</v>
      </c>
      <c r="D1871" s="10" t="s">
        <v>238</v>
      </c>
      <c r="E1871" s="14">
        <v>0.3</v>
      </c>
      <c r="F1871" s="15">
        <f>ROUND(6.32,3)</f>
        <v>6.32</v>
      </c>
      <c r="G1871" s="12">
        <f t="shared" ref="G1871:G1878" si="337">ROUND(E1871*F1871,2)</f>
        <v>1.9</v>
      </c>
    </row>
    <row r="1872" ht="21.0" customHeight="1">
      <c r="A1872" s="10" t="s">
        <v>919</v>
      </c>
      <c r="B1872" s="10" t="s">
        <v>42</v>
      </c>
      <c r="C1872" s="10" t="s">
        <v>344</v>
      </c>
      <c r="D1872" s="10" t="s">
        <v>920</v>
      </c>
      <c r="E1872" s="14">
        <v>1.0</v>
      </c>
      <c r="F1872" s="15">
        <f>ROUND(0.9,3)</f>
        <v>0.9</v>
      </c>
      <c r="G1872" s="12">
        <f t="shared" si="337"/>
        <v>0.9</v>
      </c>
    </row>
    <row r="1873" ht="21.0" customHeight="1">
      <c r="A1873" s="10" t="s">
        <v>348</v>
      </c>
      <c r="B1873" s="10" t="s">
        <v>42</v>
      </c>
      <c r="C1873" s="10" t="s">
        <v>226</v>
      </c>
      <c r="D1873" s="10" t="s">
        <v>349</v>
      </c>
      <c r="E1873" s="14">
        <v>0.005</v>
      </c>
      <c r="F1873" s="15">
        <f>ROUND(4.95,3)</f>
        <v>4.95</v>
      </c>
      <c r="G1873" s="12">
        <f t="shared" si="337"/>
        <v>0.02</v>
      </c>
    </row>
    <row r="1874" ht="21.0" customHeight="1">
      <c r="A1874" s="10" t="s">
        <v>22</v>
      </c>
      <c r="B1874" s="10" t="s">
        <v>18</v>
      </c>
      <c r="C1874" s="10" t="s">
        <v>23</v>
      </c>
      <c r="D1874" s="10" t="s">
        <v>24</v>
      </c>
      <c r="E1874" s="14">
        <v>2.0</v>
      </c>
      <c r="F1874" s="15">
        <f>F1878</f>
        <v>43.8</v>
      </c>
      <c r="G1874" s="12">
        <f t="shared" si="337"/>
        <v>87.6</v>
      </c>
    </row>
    <row r="1875" ht="24.0" customHeight="1">
      <c r="A1875" s="10" t="s">
        <v>25</v>
      </c>
      <c r="B1875" s="10" t="s">
        <v>26</v>
      </c>
      <c r="C1875" s="10" t="s">
        <v>23</v>
      </c>
      <c r="D1875" s="10" t="s">
        <v>27</v>
      </c>
      <c r="E1875" s="14">
        <v>1.0</v>
      </c>
      <c r="F1875" s="15">
        <f>ROUND(21,3)</f>
        <v>21</v>
      </c>
      <c r="G1875" s="12">
        <f t="shared" si="337"/>
        <v>21</v>
      </c>
    </row>
    <row r="1876" ht="24.0" customHeight="1">
      <c r="A1876" s="10" t="s">
        <v>28</v>
      </c>
      <c r="B1876" s="10" t="s">
        <v>26</v>
      </c>
      <c r="C1876" s="10" t="s">
        <v>23</v>
      </c>
      <c r="D1876" s="10" t="s">
        <v>29</v>
      </c>
      <c r="E1876" s="14">
        <v>1.0</v>
      </c>
      <c r="F1876" s="15">
        <f t="shared" ref="F1876:F1877" si="338">ROUND(19,3)</f>
        <v>19</v>
      </c>
      <c r="G1876" s="12">
        <f t="shared" si="337"/>
        <v>19</v>
      </c>
    </row>
    <row r="1877" ht="24.0" customHeight="1">
      <c r="A1877" s="10" t="s">
        <v>30</v>
      </c>
      <c r="B1877" s="10" t="s">
        <v>26</v>
      </c>
      <c r="C1877" s="10" t="s">
        <v>23</v>
      </c>
      <c r="D1877" s="10" t="s">
        <v>31</v>
      </c>
      <c r="E1877" s="14">
        <v>0.2</v>
      </c>
      <c r="F1877" s="15">
        <f t="shared" si="338"/>
        <v>19</v>
      </c>
      <c r="G1877" s="12">
        <f t="shared" si="337"/>
        <v>3.8</v>
      </c>
    </row>
    <row r="1878" ht="15.0" customHeight="1">
      <c r="A1878" s="11"/>
      <c r="B1878" s="11"/>
      <c r="C1878" s="11"/>
      <c r="D1878" s="10" t="s">
        <v>22</v>
      </c>
      <c r="E1878" s="14">
        <v>2.0</v>
      </c>
      <c r="F1878" s="15">
        <f>ROUND((G1875+G1876+G1877),3)</f>
        <v>43.8</v>
      </c>
      <c r="G1878" s="12">
        <f t="shared" si="337"/>
        <v>87.6</v>
      </c>
    </row>
    <row r="1879" ht="15.0" customHeight="1">
      <c r="A1879" s="16"/>
      <c r="B1879" s="16"/>
      <c r="C1879" s="16"/>
      <c r="D1879" s="17" t="s">
        <v>916</v>
      </c>
      <c r="E1879" s="16"/>
      <c r="F1879" s="18">
        <f>ROUND((G1871+G1872+G1873+G1874)*(1+G2/100),2)</f>
        <v>90.42</v>
      </c>
      <c r="G1879" s="16"/>
    </row>
    <row r="1880" ht="30.0" customHeight="1">
      <c r="A1880" s="19" t="s">
        <v>921</v>
      </c>
      <c r="B1880" s="20" t="s">
        <v>18</v>
      </c>
      <c r="C1880" s="20" t="s">
        <v>295</v>
      </c>
      <c r="D1880" s="20" t="s">
        <v>922</v>
      </c>
      <c r="E1880" s="21"/>
      <c r="F1880" s="22">
        <f>F1890</f>
        <v>94.36</v>
      </c>
      <c r="G1880" s="21"/>
    </row>
    <row r="1881" ht="48.75" customHeight="1">
      <c r="A1881" s="11"/>
      <c r="B1881" s="11"/>
      <c r="C1881" s="11"/>
      <c r="D1881" s="10" t="s">
        <v>923</v>
      </c>
    </row>
    <row r="1882" ht="21.0" customHeight="1">
      <c r="A1882" s="10" t="s">
        <v>230</v>
      </c>
      <c r="B1882" s="10" t="s">
        <v>42</v>
      </c>
      <c r="C1882" s="10" t="s">
        <v>231</v>
      </c>
      <c r="D1882" s="10" t="s">
        <v>232</v>
      </c>
      <c r="E1882" s="14">
        <v>1.0</v>
      </c>
      <c r="F1882" s="15">
        <f>ROUND(3.47,3)</f>
        <v>3.47</v>
      </c>
      <c r="G1882" s="12">
        <f t="shared" ref="G1882:G1888" si="339">ROUND(E1882*F1882,2)</f>
        <v>3.47</v>
      </c>
    </row>
    <row r="1883" ht="21.0" customHeight="1">
      <c r="A1883" s="10" t="s">
        <v>242</v>
      </c>
      <c r="B1883" s="10" t="s">
        <v>42</v>
      </c>
      <c r="C1883" s="10" t="s">
        <v>226</v>
      </c>
      <c r="D1883" s="10" t="s">
        <v>243</v>
      </c>
      <c r="E1883" s="14">
        <v>0.5</v>
      </c>
      <c r="F1883" s="15">
        <f>ROUND(1.32,3)</f>
        <v>1.32</v>
      </c>
      <c r="G1883" s="12">
        <f t="shared" si="339"/>
        <v>0.66</v>
      </c>
    </row>
    <row r="1884" ht="21.0" customHeight="1">
      <c r="A1884" s="10" t="s">
        <v>22</v>
      </c>
      <c r="B1884" s="10" t="s">
        <v>18</v>
      </c>
      <c r="C1884" s="10" t="s">
        <v>23</v>
      </c>
      <c r="D1884" s="10" t="s">
        <v>24</v>
      </c>
      <c r="E1884" s="14">
        <v>2.0</v>
      </c>
      <c r="F1884" s="15">
        <f>F1888</f>
        <v>43.8</v>
      </c>
      <c r="G1884" s="12">
        <f t="shared" si="339"/>
        <v>87.6</v>
      </c>
    </row>
    <row r="1885" ht="24.0" customHeight="1">
      <c r="A1885" s="10" t="s">
        <v>25</v>
      </c>
      <c r="B1885" s="10" t="s">
        <v>26</v>
      </c>
      <c r="C1885" s="10" t="s">
        <v>23</v>
      </c>
      <c r="D1885" s="10" t="s">
        <v>27</v>
      </c>
      <c r="E1885" s="14">
        <v>1.0</v>
      </c>
      <c r="F1885" s="15">
        <f>ROUND(21,3)</f>
        <v>21</v>
      </c>
      <c r="G1885" s="12">
        <f t="shared" si="339"/>
        <v>21</v>
      </c>
    </row>
    <row r="1886" ht="24.0" customHeight="1">
      <c r="A1886" s="10" t="s">
        <v>28</v>
      </c>
      <c r="B1886" s="10" t="s">
        <v>26</v>
      </c>
      <c r="C1886" s="10" t="s">
        <v>23</v>
      </c>
      <c r="D1886" s="10" t="s">
        <v>29</v>
      </c>
      <c r="E1886" s="14">
        <v>1.0</v>
      </c>
      <c r="F1886" s="15">
        <f t="shared" ref="F1886:F1887" si="340">ROUND(19,3)</f>
        <v>19</v>
      </c>
      <c r="G1886" s="12">
        <f t="shared" si="339"/>
        <v>19</v>
      </c>
    </row>
    <row r="1887" ht="24.0" customHeight="1">
      <c r="A1887" s="10" t="s">
        <v>30</v>
      </c>
      <c r="B1887" s="10" t="s">
        <v>26</v>
      </c>
      <c r="C1887" s="10" t="s">
        <v>23</v>
      </c>
      <c r="D1887" s="10" t="s">
        <v>31</v>
      </c>
      <c r="E1887" s="14">
        <v>0.2</v>
      </c>
      <c r="F1887" s="15">
        <f t="shared" si="340"/>
        <v>19</v>
      </c>
      <c r="G1887" s="12">
        <f t="shared" si="339"/>
        <v>3.8</v>
      </c>
    </row>
    <row r="1888" ht="15.0" customHeight="1">
      <c r="A1888" s="11"/>
      <c r="B1888" s="11"/>
      <c r="C1888" s="11"/>
      <c r="D1888" s="10" t="s">
        <v>22</v>
      </c>
      <c r="E1888" s="14">
        <v>2.0</v>
      </c>
      <c r="F1888" s="15">
        <f>ROUND((G1885+G1886+G1887),3)</f>
        <v>43.8</v>
      </c>
      <c r="G1888" s="12">
        <f t="shared" si="339"/>
        <v>87.6</v>
      </c>
    </row>
    <row r="1889" ht="15.0" customHeight="1">
      <c r="A1889" s="10" t="s">
        <v>32</v>
      </c>
      <c r="B1889" s="10"/>
      <c r="C1889" s="10" t="s">
        <v>33</v>
      </c>
      <c r="D1889" s="10" t="s">
        <v>34</v>
      </c>
      <c r="E1889" s="14">
        <v>3.0</v>
      </c>
      <c r="F1889" s="15">
        <f>ROUND(87.6,3)</f>
        <v>87.6</v>
      </c>
      <c r="G1889" s="12">
        <f>ROUND((E1889*F1889)/100,2)</f>
        <v>2.63</v>
      </c>
    </row>
    <row r="1890" ht="15.0" customHeight="1">
      <c r="A1890" s="16"/>
      <c r="B1890" s="16"/>
      <c r="C1890" s="16"/>
      <c r="D1890" s="17" t="s">
        <v>921</v>
      </c>
      <c r="E1890" s="16"/>
      <c r="F1890" s="18">
        <f>ROUND((G1882+G1883+G1884+G1889)*(1+G2/100),2)</f>
        <v>94.36</v>
      </c>
      <c r="G1890" s="16"/>
    </row>
    <row r="1891" ht="39.75" customHeight="1">
      <c r="A1891" s="19" t="s">
        <v>924</v>
      </c>
      <c r="B1891" s="20" t="s">
        <v>18</v>
      </c>
      <c r="C1891" s="20" t="s">
        <v>251</v>
      </c>
      <c r="D1891" s="20" t="s">
        <v>925</v>
      </c>
      <c r="E1891" s="21"/>
      <c r="F1891" s="22">
        <f>F1901</f>
        <v>20.14</v>
      </c>
      <c r="G1891" s="21"/>
    </row>
    <row r="1892" ht="21.0" customHeight="1">
      <c r="A1892" s="11"/>
      <c r="B1892" s="11"/>
      <c r="C1892" s="11"/>
      <c r="D1892" s="10" t="s">
        <v>926</v>
      </c>
    </row>
    <row r="1893" ht="21.0" customHeight="1">
      <c r="A1893" s="10" t="s">
        <v>235</v>
      </c>
      <c r="B1893" s="10" t="s">
        <v>42</v>
      </c>
      <c r="C1893" s="10" t="s">
        <v>231</v>
      </c>
      <c r="D1893" s="10" t="s">
        <v>236</v>
      </c>
      <c r="E1893" s="14">
        <v>0.41667</v>
      </c>
      <c r="F1893" s="15">
        <f>ROUND(30.17,3)</f>
        <v>30.17</v>
      </c>
      <c r="G1893" s="12">
        <f t="shared" ref="G1893:G1899" si="341">ROUND(E1893*F1893,2)</f>
        <v>12.57</v>
      </c>
    </row>
    <row r="1894" ht="21.0" customHeight="1">
      <c r="A1894" s="10" t="s">
        <v>230</v>
      </c>
      <c r="B1894" s="10" t="s">
        <v>42</v>
      </c>
      <c r="C1894" s="10" t="s">
        <v>231</v>
      </c>
      <c r="D1894" s="10" t="s">
        <v>232</v>
      </c>
      <c r="E1894" s="14">
        <v>0.06</v>
      </c>
      <c r="F1894" s="15">
        <f>ROUND(3.47,3)</f>
        <v>3.47</v>
      </c>
      <c r="G1894" s="12">
        <f t="shared" si="341"/>
        <v>0.21</v>
      </c>
    </row>
    <row r="1895" ht="21.0" customHeight="1">
      <c r="A1895" s="10" t="s">
        <v>22</v>
      </c>
      <c r="B1895" s="10" t="s">
        <v>18</v>
      </c>
      <c r="C1895" s="10" t="s">
        <v>23</v>
      </c>
      <c r="D1895" s="10" t="s">
        <v>24</v>
      </c>
      <c r="E1895" s="14">
        <v>0.16</v>
      </c>
      <c r="F1895" s="15">
        <f>F1899</f>
        <v>43.8</v>
      </c>
      <c r="G1895" s="12">
        <f t="shared" si="341"/>
        <v>7.01</v>
      </c>
    </row>
    <row r="1896" ht="24.0" customHeight="1">
      <c r="A1896" s="10" t="s">
        <v>25</v>
      </c>
      <c r="B1896" s="10" t="s">
        <v>26</v>
      </c>
      <c r="C1896" s="10" t="s">
        <v>23</v>
      </c>
      <c r="D1896" s="10" t="s">
        <v>27</v>
      </c>
      <c r="E1896" s="14">
        <v>1.0</v>
      </c>
      <c r="F1896" s="15">
        <f>ROUND(21,3)</f>
        <v>21</v>
      </c>
      <c r="G1896" s="12">
        <f t="shared" si="341"/>
        <v>21</v>
      </c>
    </row>
    <row r="1897" ht="24.0" customHeight="1">
      <c r="A1897" s="10" t="s">
        <v>28</v>
      </c>
      <c r="B1897" s="10" t="s">
        <v>26</v>
      </c>
      <c r="C1897" s="10" t="s">
        <v>23</v>
      </c>
      <c r="D1897" s="10" t="s">
        <v>29</v>
      </c>
      <c r="E1897" s="14">
        <v>1.0</v>
      </c>
      <c r="F1897" s="15">
        <f t="shared" ref="F1897:F1898" si="342">ROUND(19,3)</f>
        <v>19</v>
      </c>
      <c r="G1897" s="12">
        <f t="shared" si="341"/>
        <v>19</v>
      </c>
    </row>
    <row r="1898" ht="24.0" customHeight="1">
      <c r="A1898" s="10" t="s">
        <v>30</v>
      </c>
      <c r="B1898" s="10" t="s">
        <v>26</v>
      </c>
      <c r="C1898" s="10" t="s">
        <v>23</v>
      </c>
      <c r="D1898" s="10" t="s">
        <v>31</v>
      </c>
      <c r="E1898" s="14">
        <v>0.2</v>
      </c>
      <c r="F1898" s="15">
        <f t="shared" si="342"/>
        <v>19</v>
      </c>
      <c r="G1898" s="12">
        <f t="shared" si="341"/>
        <v>3.8</v>
      </c>
    </row>
    <row r="1899" ht="15.0" customHeight="1">
      <c r="A1899" s="11"/>
      <c r="B1899" s="11"/>
      <c r="C1899" s="11"/>
      <c r="D1899" s="10" t="s">
        <v>22</v>
      </c>
      <c r="E1899" s="14">
        <v>0.16</v>
      </c>
      <c r="F1899" s="15">
        <f>ROUND((G1896+G1897+G1898),3)</f>
        <v>43.8</v>
      </c>
      <c r="G1899" s="12">
        <f t="shared" si="341"/>
        <v>7.01</v>
      </c>
    </row>
    <row r="1900" ht="15.0" customHeight="1">
      <c r="A1900" s="10" t="s">
        <v>32</v>
      </c>
      <c r="B1900" s="10"/>
      <c r="C1900" s="10" t="s">
        <v>33</v>
      </c>
      <c r="D1900" s="10" t="s">
        <v>34</v>
      </c>
      <c r="E1900" s="14">
        <v>5.0</v>
      </c>
      <c r="F1900" s="15">
        <f>ROUND(7.01,3)</f>
        <v>7.01</v>
      </c>
      <c r="G1900" s="12">
        <f>ROUND((E1900*F1900)/100,2)</f>
        <v>0.35</v>
      </c>
    </row>
    <row r="1901" ht="15.0" customHeight="1">
      <c r="A1901" s="16"/>
      <c r="B1901" s="16"/>
      <c r="C1901" s="16"/>
      <c r="D1901" s="17" t="s">
        <v>924</v>
      </c>
      <c r="E1901" s="16"/>
      <c r="F1901" s="18">
        <f>ROUND((G1893+G1894+G1895+G1900)*(1+G2/100),2)</f>
        <v>20.14</v>
      </c>
      <c r="G1901" s="16"/>
    </row>
    <row r="1902" ht="39.75" customHeight="1">
      <c r="A1902" s="19" t="s">
        <v>927</v>
      </c>
      <c r="B1902" s="20" t="s">
        <v>18</v>
      </c>
      <c r="C1902" s="20" t="s">
        <v>251</v>
      </c>
      <c r="D1902" s="20" t="s">
        <v>928</v>
      </c>
      <c r="E1902" s="21"/>
      <c r="F1902" s="22">
        <f>F1912</f>
        <v>31.18</v>
      </c>
      <c r="G1902" s="21"/>
    </row>
    <row r="1903" ht="21.0" customHeight="1">
      <c r="A1903" s="11"/>
      <c r="B1903" s="11"/>
      <c r="C1903" s="11"/>
      <c r="D1903" s="10" t="s">
        <v>929</v>
      </c>
    </row>
    <row r="1904" ht="21.0" customHeight="1">
      <c r="A1904" s="10" t="s">
        <v>235</v>
      </c>
      <c r="B1904" s="10" t="s">
        <v>42</v>
      </c>
      <c r="C1904" s="10" t="s">
        <v>231</v>
      </c>
      <c r="D1904" s="10" t="s">
        <v>236</v>
      </c>
      <c r="E1904" s="14">
        <v>0.41667</v>
      </c>
      <c r="F1904" s="15">
        <f>ROUND(30.17,3)</f>
        <v>30.17</v>
      </c>
      <c r="G1904" s="12">
        <f t="shared" ref="G1904:G1910" si="343">ROUND(E1904*F1904,2)</f>
        <v>12.57</v>
      </c>
    </row>
    <row r="1905" ht="21.0" customHeight="1">
      <c r="A1905" s="10" t="s">
        <v>230</v>
      </c>
      <c r="B1905" s="10" t="s">
        <v>42</v>
      </c>
      <c r="C1905" s="10" t="s">
        <v>231</v>
      </c>
      <c r="D1905" s="10" t="s">
        <v>232</v>
      </c>
      <c r="E1905" s="14">
        <v>0.06</v>
      </c>
      <c r="F1905" s="15">
        <f>ROUND(3.47,3)</f>
        <v>3.47</v>
      </c>
      <c r="G1905" s="12">
        <f t="shared" si="343"/>
        <v>0.21</v>
      </c>
    </row>
    <row r="1906" ht="21.0" customHeight="1">
      <c r="A1906" s="10" t="s">
        <v>22</v>
      </c>
      <c r="B1906" s="10" t="s">
        <v>18</v>
      </c>
      <c r="C1906" s="10" t="s">
        <v>23</v>
      </c>
      <c r="D1906" s="10" t="s">
        <v>24</v>
      </c>
      <c r="E1906" s="14">
        <v>0.4</v>
      </c>
      <c r="F1906" s="15">
        <f>F1910</f>
        <v>43.8</v>
      </c>
      <c r="G1906" s="12">
        <f t="shared" si="343"/>
        <v>17.52</v>
      </c>
    </row>
    <row r="1907" ht="24.0" customHeight="1">
      <c r="A1907" s="10" t="s">
        <v>25</v>
      </c>
      <c r="B1907" s="10" t="s">
        <v>26</v>
      </c>
      <c r="C1907" s="10" t="s">
        <v>23</v>
      </c>
      <c r="D1907" s="10" t="s">
        <v>27</v>
      </c>
      <c r="E1907" s="14">
        <v>1.0</v>
      </c>
      <c r="F1907" s="15">
        <f>ROUND(21,3)</f>
        <v>21</v>
      </c>
      <c r="G1907" s="12">
        <f t="shared" si="343"/>
        <v>21</v>
      </c>
    </row>
    <row r="1908" ht="24.0" customHeight="1">
      <c r="A1908" s="10" t="s">
        <v>28</v>
      </c>
      <c r="B1908" s="10" t="s">
        <v>26</v>
      </c>
      <c r="C1908" s="10" t="s">
        <v>23</v>
      </c>
      <c r="D1908" s="10" t="s">
        <v>29</v>
      </c>
      <c r="E1908" s="14">
        <v>1.0</v>
      </c>
      <c r="F1908" s="15">
        <f t="shared" ref="F1908:F1909" si="344">ROUND(19,3)</f>
        <v>19</v>
      </c>
      <c r="G1908" s="12">
        <f t="shared" si="343"/>
        <v>19</v>
      </c>
    </row>
    <row r="1909" ht="24.0" customHeight="1">
      <c r="A1909" s="10" t="s">
        <v>30</v>
      </c>
      <c r="B1909" s="10" t="s">
        <v>26</v>
      </c>
      <c r="C1909" s="10" t="s">
        <v>23</v>
      </c>
      <c r="D1909" s="10" t="s">
        <v>31</v>
      </c>
      <c r="E1909" s="14">
        <v>0.2</v>
      </c>
      <c r="F1909" s="15">
        <f t="shared" si="344"/>
        <v>19</v>
      </c>
      <c r="G1909" s="12">
        <f t="shared" si="343"/>
        <v>3.8</v>
      </c>
    </row>
    <row r="1910" ht="15.0" customHeight="1">
      <c r="A1910" s="11"/>
      <c r="B1910" s="11"/>
      <c r="C1910" s="11"/>
      <c r="D1910" s="10" t="s">
        <v>22</v>
      </c>
      <c r="E1910" s="14">
        <v>0.4</v>
      </c>
      <c r="F1910" s="15">
        <f>ROUND((G1907+G1908+G1909),3)</f>
        <v>43.8</v>
      </c>
      <c r="G1910" s="12">
        <f t="shared" si="343"/>
        <v>17.52</v>
      </c>
    </row>
    <row r="1911" ht="15.0" customHeight="1">
      <c r="A1911" s="10" t="s">
        <v>32</v>
      </c>
      <c r="B1911" s="10"/>
      <c r="C1911" s="10" t="s">
        <v>33</v>
      </c>
      <c r="D1911" s="10" t="s">
        <v>34</v>
      </c>
      <c r="E1911" s="14">
        <v>5.0</v>
      </c>
      <c r="F1911" s="15">
        <f>ROUND(17.52,3)</f>
        <v>17.52</v>
      </c>
      <c r="G1911" s="12">
        <f>ROUND((E1911*F1911)/100,2)</f>
        <v>0.88</v>
      </c>
    </row>
    <row r="1912" ht="15.0" customHeight="1">
      <c r="A1912" s="16"/>
      <c r="B1912" s="16"/>
      <c r="C1912" s="16"/>
      <c r="D1912" s="17" t="s">
        <v>927</v>
      </c>
      <c r="E1912" s="16"/>
      <c r="F1912" s="18">
        <f>ROUND((G1904+G1905+G1906+G1911)*(1+G2/100),2)</f>
        <v>31.18</v>
      </c>
      <c r="G1912" s="16"/>
    </row>
    <row r="1913" ht="21.0" customHeight="1">
      <c r="A1913" s="19" t="s">
        <v>930</v>
      </c>
      <c r="B1913" s="20" t="s">
        <v>18</v>
      </c>
      <c r="C1913" s="20" t="s">
        <v>321</v>
      </c>
      <c r="D1913" s="20" t="s">
        <v>931</v>
      </c>
      <c r="E1913" s="21"/>
      <c r="F1913" s="22">
        <f>F1923</f>
        <v>23.19</v>
      </c>
      <c r="G1913" s="21"/>
    </row>
    <row r="1914" ht="48.75" customHeight="1">
      <c r="A1914" s="11"/>
      <c r="B1914" s="11"/>
      <c r="C1914" s="11"/>
      <c r="D1914" s="10" t="s">
        <v>932</v>
      </c>
    </row>
    <row r="1915" ht="21.0" customHeight="1">
      <c r="A1915" s="10" t="s">
        <v>230</v>
      </c>
      <c r="B1915" s="10" t="s">
        <v>42</v>
      </c>
      <c r="C1915" s="10" t="s">
        <v>231</v>
      </c>
      <c r="D1915" s="10" t="s">
        <v>232</v>
      </c>
      <c r="E1915" s="14">
        <v>1.0</v>
      </c>
      <c r="F1915" s="15">
        <f>ROUND(3.47,3)</f>
        <v>3.47</v>
      </c>
      <c r="G1915" s="12">
        <f t="shared" ref="G1915:G1921" si="345">ROUND(E1915*F1915,2)</f>
        <v>3.47</v>
      </c>
    </row>
    <row r="1916" ht="21.0" customHeight="1">
      <c r="A1916" s="10" t="s">
        <v>242</v>
      </c>
      <c r="B1916" s="10" t="s">
        <v>42</v>
      </c>
      <c r="C1916" s="10" t="s">
        <v>226</v>
      </c>
      <c r="D1916" s="10" t="s">
        <v>243</v>
      </c>
      <c r="E1916" s="14">
        <v>1.0</v>
      </c>
      <c r="F1916" s="15">
        <f>ROUND(1.32,3)</f>
        <v>1.32</v>
      </c>
      <c r="G1916" s="12">
        <f t="shared" si="345"/>
        <v>1.32</v>
      </c>
    </row>
    <row r="1917" ht="21.0" customHeight="1">
      <c r="A1917" s="10" t="s">
        <v>22</v>
      </c>
      <c r="B1917" s="10" t="s">
        <v>18</v>
      </c>
      <c r="C1917" s="10" t="s">
        <v>23</v>
      </c>
      <c r="D1917" s="10" t="s">
        <v>24</v>
      </c>
      <c r="E1917" s="14">
        <v>0.4</v>
      </c>
      <c r="F1917" s="15">
        <f>F1921</f>
        <v>43.8</v>
      </c>
      <c r="G1917" s="12">
        <f t="shared" si="345"/>
        <v>17.52</v>
      </c>
    </row>
    <row r="1918" ht="24.0" customHeight="1">
      <c r="A1918" s="10" t="s">
        <v>25</v>
      </c>
      <c r="B1918" s="10" t="s">
        <v>26</v>
      </c>
      <c r="C1918" s="10" t="s">
        <v>23</v>
      </c>
      <c r="D1918" s="10" t="s">
        <v>27</v>
      </c>
      <c r="E1918" s="14">
        <v>1.0</v>
      </c>
      <c r="F1918" s="15">
        <f>ROUND(21,3)</f>
        <v>21</v>
      </c>
      <c r="G1918" s="12">
        <f t="shared" si="345"/>
        <v>21</v>
      </c>
    </row>
    <row r="1919" ht="24.0" customHeight="1">
      <c r="A1919" s="10" t="s">
        <v>28</v>
      </c>
      <c r="B1919" s="10" t="s">
        <v>26</v>
      </c>
      <c r="C1919" s="10" t="s">
        <v>23</v>
      </c>
      <c r="D1919" s="10" t="s">
        <v>29</v>
      </c>
      <c r="E1919" s="14">
        <v>1.0</v>
      </c>
      <c r="F1919" s="15">
        <f t="shared" ref="F1919:F1920" si="346">ROUND(19,3)</f>
        <v>19</v>
      </c>
      <c r="G1919" s="12">
        <f t="shared" si="345"/>
        <v>19</v>
      </c>
    </row>
    <row r="1920" ht="24.0" customHeight="1">
      <c r="A1920" s="10" t="s">
        <v>30</v>
      </c>
      <c r="B1920" s="10" t="s">
        <v>26</v>
      </c>
      <c r="C1920" s="10" t="s">
        <v>23</v>
      </c>
      <c r="D1920" s="10" t="s">
        <v>31</v>
      </c>
      <c r="E1920" s="14">
        <v>0.2</v>
      </c>
      <c r="F1920" s="15">
        <f t="shared" si="346"/>
        <v>19</v>
      </c>
      <c r="G1920" s="12">
        <f t="shared" si="345"/>
        <v>3.8</v>
      </c>
    </row>
    <row r="1921" ht="15.0" customHeight="1">
      <c r="A1921" s="11"/>
      <c r="B1921" s="11"/>
      <c r="C1921" s="11"/>
      <c r="D1921" s="10" t="s">
        <v>22</v>
      </c>
      <c r="E1921" s="14">
        <v>0.4</v>
      </c>
      <c r="F1921" s="15">
        <f>ROUND((G1918+G1919+G1920),3)</f>
        <v>43.8</v>
      </c>
      <c r="G1921" s="12">
        <f t="shared" si="345"/>
        <v>17.52</v>
      </c>
    </row>
    <row r="1922" ht="15.0" customHeight="1">
      <c r="A1922" s="10" t="s">
        <v>32</v>
      </c>
      <c r="B1922" s="10"/>
      <c r="C1922" s="10" t="s">
        <v>33</v>
      </c>
      <c r="D1922" s="10" t="s">
        <v>34</v>
      </c>
      <c r="E1922" s="14">
        <v>5.0</v>
      </c>
      <c r="F1922" s="15">
        <f>ROUND(17.52,3)</f>
        <v>17.52</v>
      </c>
      <c r="G1922" s="12">
        <f>ROUND((E1922*F1922)/100,2)</f>
        <v>0.88</v>
      </c>
    </row>
    <row r="1923" ht="15.0" customHeight="1">
      <c r="A1923" s="16"/>
      <c r="B1923" s="16"/>
      <c r="C1923" s="16"/>
      <c r="D1923" s="17" t="s">
        <v>930</v>
      </c>
      <c r="E1923" s="16"/>
      <c r="F1923" s="18">
        <f>ROUND((G1915+G1916+G1917+G1922)*(1+G2/100),2)</f>
        <v>23.19</v>
      </c>
      <c r="G1923" s="16"/>
    </row>
    <row r="1924" ht="30.0" customHeight="1">
      <c r="A1924" s="19" t="s">
        <v>933</v>
      </c>
      <c r="B1924" s="20" t="s">
        <v>18</v>
      </c>
      <c r="C1924" s="20" t="s">
        <v>295</v>
      </c>
      <c r="D1924" s="20" t="s">
        <v>934</v>
      </c>
      <c r="E1924" s="21"/>
      <c r="F1924" s="22">
        <f>F1932</f>
        <v>22.56</v>
      </c>
      <c r="G1924" s="21"/>
    </row>
    <row r="1925" ht="21.0" customHeight="1">
      <c r="A1925" s="11"/>
      <c r="B1925" s="11"/>
      <c r="C1925" s="11"/>
      <c r="D1925" s="10" t="s">
        <v>935</v>
      </c>
    </row>
    <row r="1926" ht="21.0" customHeight="1">
      <c r="A1926" s="10" t="s">
        <v>22</v>
      </c>
      <c r="B1926" s="10" t="s">
        <v>18</v>
      </c>
      <c r="C1926" s="10" t="s">
        <v>23</v>
      </c>
      <c r="D1926" s="10" t="s">
        <v>24</v>
      </c>
      <c r="E1926" s="14">
        <v>0.5</v>
      </c>
      <c r="F1926" s="15">
        <f>F1930</f>
        <v>43.8</v>
      </c>
      <c r="G1926" s="12">
        <f t="shared" ref="G1926:G1930" si="347">ROUND(E1926*F1926,2)</f>
        <v>21.9</v>
      </c>
    </row>
    <row r="1927" ht="24.0" customHeight="1">
      <c r="A1927" s="10" t="s">
        <v>25</v>
      </c>
      <c r="B1927" s="10" t="s">
        <v>26</v>
      </c>
      <c r="C1927" s="10" t="s">
        <v>23</v>
      </c>
      <c r="D1927" s="10" t="s">
        <v>27</v>
      </c>
      <c r="E1927" s="14">
        <v>1.0</v>
      </c>
      <c r="F1927" s="15">
        <f>ROUND(21,3)</f>
        <v>21</v>
      </c>
      <c r="G1927" s="12">
        <f t="shared" si="347"/>
        <v>21</v>
      </c>
    </row>
    <row r="1928" ht="24.0" customHeight="1">
      <c r="A1928" s="10" t="s">
        <v>28</v>
      </c>
      <c r="B1928" s="10" t="s">
        <v>26</v>
      </c>
      <c r="C1928" s="10" t="s">
        <v>23</v>
      </c>
      <c r="D1928" s="10" t="s">
        <v>29</v>
      </c>
      <c r="E1928" s="14">
        <v>1.0</v>
      </c>
      <c r="F1928" s="15">
        <f t="shared" ref="F1928:F1929" si="348">ROUND(19,3)</f>
        <v>19</v>
      </c>
      <c r="G1928" s="12">
        <f t="shared" si="347"/>
        <v>19</v>
      </c>
    </row>
    <row r="1929" ht="24.0" customHeight="1">
      <c r="A1929" s="10" t="s">
        <v>30</v>
      </c>
      <c r="B1929" s="10" t="s">
        <v>26</v>
      </c>
      <c r="C1929" s="10" t="s">
        <v>23</v>
      </c>
      <c r="D1929" s="10" t="s">
        <v>31</v>
      </c>
      <c r="E1929" s="14">
        <v>0.2</v>
      </c>
      <c r="F1929" s="15">
        <f t="shared" si="348"/>
        <v>19</v>
      </c>
      <c r="G1929" s="12">
        <f t="shared" si="347"/>
        <v>3.8</v>
      </c>
    </row>
    <row r="1930" ht="15.0" customHeight="1">
      <c r="A1930" s="11"/>
      <c r="B1930" s="11"/>
      <c r="C1930" s="11"/>
      <c r="D1930" s="10" t="s">
        <v>22</v>
      </c>
      <c r="E1930" s="14">
        <v>0.5</v>
      </c>
      <c r="F1930" s="15">
        <f>ROUND((G1927+G1928+G1929),3)</f>
        <v>43.8</v>
      </c>
      <c r="G1930" s="12">
        <f t="shared" si="347"/>
        <v>21.9</v>
      </c>
    </row>
    <row r="1931" ht="15.0" customHeight="1">
      <c r="A1931" s="10" t="s">
        <v>32</v>
      </c>
      <c r="B1931" s="10"/>
      <c r="C1931" s="10" t="s">
        <v>33</v>
      </c>
      <c r="D1931" s="10" t="s">
        <v>34</v>
      </c>
      <c r="E1931" s="14">
        <v>3.0</v>
      </c>
      <c r="F1931" s="15">
        <f>ROUND(21.9,3)</f>
        <v>21.9</v>
      </c>
      <c r="G1931" s="12">
        <f>ROUND((E1931*F1931)/100,2)</f>
        <v>0.66</v>
      </c>
    </row>
    <row r="1932" ht="15.0" customHeight="1">
      <c r="A1932" s="16"/>
      <c r="B1932" s="16"/>
      <c r="C1932" s="16"/>
      <c r="D1932" s="17" t="s">
        <v>933</v>
      </c>
      <c r="E1932" s="16"/>
      <c r="F1932" s="18">
        <f>ROUND((G1926+G1931)*(1+G2/100),2)</f>
        <v>22.56</v>
      </c>
      <c r="G1932" s="16"/>
    </row>
    <row r="1933" ht="21.0" customHeight="1">
      <c r="A1933" s="19" t="s">
        <v>936</v>
      </c>
      <c r="B1933" s="20" t="s">
        <v>18</v>
      </c>
      <c r="C1933" s="20" t="s">
        <v>321</v>
      </c>
      <c r="D1933" s="20" t="s">
        <v>937</v>
      </c>
      <c r="E1933" s="21"/>
      <c r="F1933" s="22">
        <f>F1941</f>
        <v>18.05</v>
      </c>
      <c r="G1933" s="21"/>
    </row>
    <row r="1934" ht="30.0" customHeight="1">
      <c r="A1934" s="11"/>
      <c r="B1934" s="11"/>
      <c r="C1934" s="11"/>
      <c r="D1934" s="10" t="s">
        <v>938</v>
      </c>
    </row>
    <row r="1935" ht="21.0" customHeight="1">
      <c r="A1935" s="10" t="s">
        <v>22</v>
      </c>
      <c r="B1935" s="10" t="s">
        <v>18</v>
      </c>
      <c r="C1935" s="10" t="s">
        <v>23</v>
      </c>
      <c r="D1935" s="10" t="s">
        <v>24</v>
      </c>
      <c r="E1935" s="14">
        <v>0.4</v>
      </c>
      <c r="F1935" s="15">
        <f>F1939</f>
        <v>43.8</v>
      </c>
      <c r="G1935" s="12">
        <f t="shared" ref="G1935:G1939" si="349">ROUND(E1935*F1935,2)</f>
        <v>17.52</v>
      </c>
    </row>
    <row r="1936" ht="24.0" customHeight="1">
      <c r="A1936" s="10" t="s">
        <v>25</v>
      </c>
      <c r="B1936" s="10" t="s">
        <v>26</v>
      </c>
      <c r="C1936" s="10" t="s">
        <v>23</v>
      </c>
      <c r="D1936" s="10" t="s">
        <v>27</v>
      </c>
      <c r="E1936" s="14">
        <v>1.0</v>
      </c>
      <c r="F1936" s="15">
        <f>ROUND(21,3)</f>
        <v>21</v>
      </c>
      <c r="G1936" s="12">
        <f t="shared" si="349"/>
        <v>21</v>
      </c>
    </row>
    <row r="1937" ht="24.0" customHeight="1">
      <c r="A1937" s="10" t="s">
        <v>28</v>
      </c>
      <c r="B1937" s="10" t="s">
        <v>26</v>
      </c>
      <c r="C1937" s="10" t="s">
        <v>23</v>
      </c>
      <c r="D1937" s="10" t="s">
        <v>29</v>
      </c>
      <c r="E1937" s="14">
        <v>1.0</v>
      </c>
      <c r="F1937" s="15">
        <f t="shared" ref="F1937:F1938" si="350">ROUND(19,3)</f>
        <v>19</v>
      </c>
      <c r="G1937" s="12">
        <f t="shared" si="349"/>
        <v>19</v>
      </c>
    </row>
    <row r="1938" ht="24.0" customHeight="1">
      <c r="A1938" s="10" t="s">
        <v>30</v>
      </c>
      <c r="B1938" s="10" t="s">
        <v>26</v>
      </c>
      <c r="C1938" s="10" t="s">
        <v>23</v>
      </c>
      <c r="D1938" s="10" t="s">
        <v>31</v>
      </c>
      <c r="E1938" s="14">
        <v>0.2</v>
      </c>
      <c r="F1938" s="15">
        <f t="shared" si="350"/>
        <v>19</v>
      </c>
      <c r="G1938" s="12">
        <f t="shared" si="349"/>
        <v>3.8</v>
      </c>
    </row>
    <row r="1939" ht="15.0" customHeight="1">
      <c r="A1939" s="11"/>
      <c r="B1939" s="11"/>
      <c r="C1939" s="11"/>
      <c r="D1939" s="10" t="s">
        <v>22</v>
      </c>
      <c r="E1939" s="14">
        <v>0.4</v>
      </c>
      <c r="F1939" s="15">
        <f>ROUND((G1936+G1937+G1938),3)</f>
        <v>43.8</v>
      </c>
      <c r="G1939" s="12">
        <f t="shared" si="349"/>
        <v>17.52</v>
      </c>
    </row>
    <row r="1940" ht="15.0" customHeight="1">
      <c r="A1940" s="10" t="s">
        <v>32</v>
      </c>
      <c r="B1940" s="10"/>
      <c r="C1940" s="10" t="s">
        <v>33</v>
      </c>
      <c r="D1940" s="10" t="s">
        <v>34</v>
      </c>
      <c r="E1940" s="14">
        <v>3.0</v>
      </c>
      <c r="F1940" s="15">
        <f>ROUND(17.52,3)</f>
        <v>17.52</v>
      </c>
      <c r="G1940" s="12">
        <f>ROUND((E1940*F1940)/100,2)</f>
        <v>0.53</v>
      </c>
    </row>
    <row r="1941" ht="15.0" customHeight="1">
      <c r="A1941" s="16"/>
      <c r="B1941" s="16"/>
      <c r="C1941" s="16"/>
      <c r="D1941" s="17" t="s">
        <v>936</v>
      </c>
      <c r="E1941" s="16"/>
      <c r="F1941" s="18">
        <f>ROUND((G1935+G1940)*(1+G2/100),2)</f>
        <v>18.05</v>
      </c>
      <c r="G1941" s="16"/>
    </row>
    <row r="1942" ht="21.0" customHeight="1">
      <c r="A1942" s="19" t="s">
        <v>939</v>
      </c>
      <c r="B1942" s="20" t="s">
        <v>18</v>
      </c>
      <c r="C1942" s="20" t="s">
        <v>321</v>
      </c>
      <c r="D1942" s="20" t="s">
        <v>940</v>
      </c>
      <c r="E1942" s="21"/>
      <c r="F1942" s="22">
        <f>F1950</f>
        <v>30.59</v>
      </c>
      <c r="G1942" s="21"/>
    </row>
    <row r="1943" ht="39.75" customHeight="1">
      <c r="A1943" s="11"/>
      <c r="B1943" s="11"/>
      <c r="C1943" s="11"/>
      <c r="D1943" s="10" t="s">
        <v>941</v>
      </c>
    </row>
    <row r="1944" ht="24.0" customHeight="1">
      <c r="A1944" s="10" t="s">
        <v>286</v>
      </c>
      <c r="B1944" s="10" t="s">
        <v>18</v>
      </c>
      <c r="C1944" s="10" t="s">
        <v>23</v>
      </c>
      <c r="D1944" s="10" t="s">
        <v>287</v>
      </c>
      <c r="E1944" s="14">
        <v>0.6</v>
      </c>
      <c r="F1944" s="15">
        <f>F1948</f>
        <v>49.5</v>
      </c>
      <c r="G1944" s="12">
        <f t="shared" ref="G1944:G1948" si="351">ROUND(E1944*F1944,2)</f>
        <v>29.7</v>
      </c>
    </row>
    <row r="1945" ht="24.0" customHeight="1">
      <c r="A1945" s="10" t="s">
        <v>288</v>
      </c>
      <c r="B1945" s="10" t="s">
        <v>26</v>
      </c>
      <c r="C1945" s="10" t="s">
        <v>23</v>
      </c>
      <c r="D1945" s="10" t="s">
        <v>289</v>
      </c>
      <c r="E1945" s="14">
        <v>1.0</v>
      </c>
      <c r="F1945" s="15">
        <f>ROUND(21,3)</f>
        <v>21</v>
      </c>
      <c r="G1945" s="12">
        <f t="shared" si="351"/>
        <v>21</v>
      </c>
    </row>
    <row r="1946" ht="24.0" customHeight="1">
      <c r="A1946" s="10" t="s">
        <v>290</v>
      </c>
      <c r="B1946" s="10" t="s">
        <v>26</v>
      </c>
      <c r="C1946" s="10" t="s">
        <v>23</v>
      </c>
      <c r="D1946" s="10" t="s">
        <v>291</v>
      </c>
      <c r="E1946" s="14">
        <v>1.0</v>
      </c>
      <c r="F1946" s="15">
        <f t="shared" ref="F1946:F1947" si="352">ROUND(19,3)</f>
        <v>19</v>
      </c>
      <c r="G1946" s="12">
        <f t="shared" si="351"/>
        <v>19</v>
      </c>
    </row>
    <row r="1947" ht="24.0" customHeight="1">
      <c r="A1947" s="10" t="s">
        <v>292</v>
      </c>
      <c r="B1947" s="10" t="s">
        <v>26</v>
      </c>
      <c r="C1947" s="10" t="s">
        <v>23</v>
      </c>
      <c r="D1947" s="10" t="s">
        <v>293</v>
      </c>
      <c r="E1947" s="14">
        <v>0.5</v>
      </c>
      <c r="F1947" s="15">
        <f t="shared" si="352"/>
        <v>19</v>
      </c>
      <c r="G1947" s="12">
        <f t="shared" si="351"/>
        <v>9.5</v>
      </c>
    </row>
    <row r="1948" ht="15.0" customHeight="1">
      <c r="A1948" s="11"/>
      <c r="B1948" s="11"/>
      <c r="C1948" s="11"/>
      <c r="D1948" s="10" t="s">
        <v>286</v>
      </c>
      <c r="E1948" s="14">
        <v>0.6</v>
      </c>
      <c r="F1948" s="15">
        <f>ROUND((G1945+G1946+G1947),3)</f>
        <v>49.5</v>
      </c>
      <c r="G1948" s="12">
        <f t="shared" si="351"/>
        <v>29.7</v>
      </c>
    </row>
    <row r="1949" ht="15.0" customHeight="1">
      <c r="A1949" s="10" t="s">
        <v>32</v>
      </c>
      <c r="B1949" s="10"/>
      <c r="C1949" s="10" t="s">
        <v>33</v>
      </c>
      <c r="D1949" s="10" t="s">
        <v>34</v>
      </c>
      <c r="E1949" s="14">
        <v>3.0</v>
      </c>
      <c r="F1949" s="15">
        <f>ROUND(29.7,3)</f>
        <v>29.7</v>
      </c>
      <c r="G1949" s="12">
        <f>ROUND((E1949*F1949)/100,2)</f>
        <v>0.89</v>
      </c>
    </row>
    <row r="1950" ht="15.0" customHeight="1">
      <c r="A1950" s="16"/>
      <c r="B1950" s="16"/>
      <c r="C1950" s="16"/>
      <c r="D1950" s="17" t="s">
        <v>939</v>
      </c>
      <c r="E1950" s="16"/>
      <c r="F1950" s="18">
        <f>ROUND((G1944+G1949)*(1+G2/100),2)</f>
        <v>30.59</v>
      </c>
      <c r="G1950" s="16"/>
    </row>
    <row r="1951" ht="21.0" customHeight="1">
      <c r="A1951" s="19" t="s">
        <v>942</v>
      </c>
      <c r="B1951" s="20" t="s">
        <v>18</v>
      </c>
      <c r="C1951" s="20" t="s">
        <v>295</v>
      </c>
      <c r="D1951" s="20" t="s">
        <v>943</v>
      </c>
      <c r="E1951" s="21"/>
      <c r="F1951" s="22">
        <f>F1959</f>
        <v>13.53</v>
      </c>
      <c r="G1951" s="21"/>
    </row>
    <row r="1952" ht="21.0" customHeight="1">
      <c r="A1952" s="11"/>
      <c r="B1952" s="11"/>
      <c r="C1952" s="11"/>
      <c r="D1952" s="10" t="s">
        <v>944</v>
      </c>
    </row>
    <row r="1953" ht="21.0" customHeight="1">
      <c r="A1953" s="10" t="s">
        <v>22</v>
      </c>
      <c r="B1953" s="10" t="s">
        <v>18</v>
      </c>
      <c r="C1953" s="10" t="s">
        <v>23</v>
      </c>
      <c r="D1953" s="10" t="s">
        <v>24</v>
      </c>
      <c r="E1953" s="14">
        <v>0.3</v>
      </c>
      <c r="F1953" s="15">
        <f>F1957</f>
        <v>43.8</v>
      </c>
      <c r="G1953" s="12">
        <f t="shared" ref="G1953:G1957" si="353">ROUND(E1953*F1953,2)</f>
        <v>13.14</v>
      </c>
    </row>
    <row r="1954" ht="24.0" customHeight="1">
      <c r="A1954" s="10" t="s">
        <v>25</v>
      </c>
      <c r="B1954" s="10" t="s">
        <v>26</v>
      </c>
      <c r="C1954" s="10" t="s">
        <v>23</v>
      </c>
      <c r="D1954" s="10" t="s">
        <v>27</v>
      </c>
      <c r="E1954" s="14">
        <v>1.0</v>
      </c>
      <c r="F1954" s="15">
        <f>ROUND(21,3)</f>
        <v>21</v>
      </c>
      <c r="G1954" s="12">
        <f t="shared" si="353"/>
        <v>21</v>
      </c>
    </row>
    <row r="1955" ht="24.0" customHeight="1">
      <c r="A1955" s="10" t="s">
        <v>28</v>
      </c>
      <c r="B1955" s="10" t="s">
        <v>26</v>
      </c>
      <c r="C1955" s="10" t="s">
        <v>23</v>
      </c>
      <c r="D1955" s="10" t="s">
        <v>29</v>
      </c>
      <c r="E1955" s="14">
        <v>1.0</v>
      </c>
      <c r="F1955" s="15">
        <f t="shared" ref="F1955:F1956" si="354">ROUND(19,3)</f>
        <v>19</v>
      </c>
      <c r="G1955" s="12">
        <f t="shared" si="353"/>
        <v>19</v>
      </c>
    </row>
    <row r="1956" ht="24.0" customHeight="1">
      <c r="A1956" s="10" t="s">
        <v>30</v>
      </c>
      <c r="B1956" s="10" t="s">
        <v>26</v>
      </c>
      <c r="C1956" s="10" t="s">
        <v>23</v>
      </c>
      <c r="D1956" s="10" t="s">
        <v>31</v>
      </c>
      <c r="E1956" s="14">
        <v>0.2</v>
      </c>
      <c r="F1956" s="15">
        <f t="shared" si="354"/>
        <v>19</v>
      </c>
      <c r="G1956" s="12">
        <f t="shared" si="353"/>
        <v>3.8</v>
      </c>
    </row>
    <row r="1957" ht="15.0" customHeight="1">
      <c r="A1957" s="11"/>
      <c r="B1957" s="11"/>
      <c r="C1957" s="11"/>
      <c r="D1957" s="10" t="s">
        <v>22</v>
      </c>
      <c r="E1957" s="14">
        <v>0.3</v>
      </c>
      <c r="F1957" s="15">
        <f>ROUND((G1954+G1955+G1956),3)</f>
        <v>43.8</v>
      </c>
      <c r="G1957" s="12">
        <f t="shared" si="353"/>
        <v>13.14</v>
      </c>
    </row>
    <row r="1958" ht="15.0" customHeight="1">
      <c r="A1958" s="10" t="s">
        <v>32</v>
      </c>
      <c r="B1958" s="10"/>
      <c r="C1958" s="10" t="s">
        <v>33</v>
      </c>
      <c r="D1958" s="10" t="s">
        <v>34</v>
      </c>
      <c r="E1958" s="14">
        <v>3.0</v>
      </c>
      <c r="F1958" s="15">
        <f>ROUND(13.14,3)</f>
        <v>13.14</v>
      </c>
      <c r="G1958" s="12">
        <f>ROUND((E1958*F1958)/100,2)</f>
        <v>0.39</v>
      </c>
    </row>
    <row r="1959" ht="15.0" customHeight="1">
      <c r="A1959" s="16"/>
      <c r="B1959" s="16"/>
      <c r="C1959" s="16"/>
      <c r="D1959" s="17" t="s">
        <v>942</v>
      </c>
      <c r="E1959" s="16"/>
      <c r="F1959" s="18">
        <f>ROUND((G1953+G1958)*(1+G2/100),2)</f>
        <v>13.53</v>
      </c>
      <c r="G1959" s="16"/>
    </row>
    <row r="1960" ht="30.0" customHeight="1">
      <c r="A1960" s="19" t="s">
        <v>945</v>
      </c>
      <c r="B1960" s="20" t="s">
        <v>18</v>
      </c>
      <c r="C1960" s="20" t="s">
        <v>295</v>
      </c>
      <c r="D1960" s="20" t="s">
        <v>946</v>
      </c>
      <c r="E1960" s="21"/>
      <c r="F1960" s="22">
        <f>F1971</f>
        <v>62.96</v>
      </c>
      <c r="G1960" s="21"/>
    </row>
    <row r="1961" ht="39.75" customHeight="1">
      <c r="A1961" s="11"/>
      <c r="B1961" s="11"/>
      <c r="C1961" s="11"/>
      <c r="D1961" s="10" t="s">
        <v>918</v>
      </c>
    </row>
    <row r="1962" ht="21.0" customHeight="1">
      <c r="A1962" s="10" t="s">
        <v>237</v>
      </c>
      <c r="B1962" s="10" t="s">
        <v>42</v>
      </c>
      <c r="C1962" s="10" t="s">
        <v>231</v>
      </c>
      <c r="D1962" s="10" t="s">
        <v>238</v>
      </c>
      <c r="E1962" s="14">
        <v>0.3</v>
      </c>
      <c r="F1962" s="15">
        <f>ROUND(6.32,3)</f>
        <v>6.32</v>
      </c>
      <c r="G1962" s="12">
        <f t="shared" ref="G1962:G1969" si="355">ROUND(E1962*F1962,2)</f>
        <v>1.9</v>
      </c>
    </row>
    <row r="1963" ht="21.0" customHeight="1">
      <c r="A1963" s="10" t="s">
        <v>919</v>
      </c>
      <c r="B1963" s="10" t="s">
        <v>42</v>
      </c>
      <c r="C1963" s="10" t="s">
        <v>344</v>
      </c>
      <c r="D1963" s="10" t="s">
        <v>920</v>
      </c>
      <c r="E1963" s="14">
        <v>1.0</v>
      </c>
      <c r="F1963" s="15">
        <f>ROUND(0.9,3)</f>
        <v>0.9</v>
      </c>
      <c r="G1963" s="12">
        <f t="shared" si="355"/>
        <v>0.9</v>
      </c>
    </row>
    <row r="1964" ht="21.0" customHeight="1">
      <c r="A1964" s="10" t="s">
        <v>348</v>
      </c>
      <c r="B1964" s="10" t="s">
        <v>42</v>
      </c>
      <c r="C1964" s="10" t="s">
        <v>226</v>
      </c>
      <c r="D1964" s="10" t="s">
        <v>349</v>
      </c>
      <c r="E1964" s="14">
        <v>0.005</v>
      </c>
      <c r="F1964" s="15">
        <f>ROUND(4.95,3)</f>
        <v>4.95</v>
      </c>
      <c r="G1964" s="12">
        <f t="shared" si="355"/>
        <v>0.02</v>
      </c>
    </row>
    <row r="1965" ht="21.0" customHeight="1">
      <c r="A1965" s="10" t="s">
        <v>22</v>
      </c>
      <c r="B1965" s="10" t="s">
        <v>18</v>
      </c>
      <c r="C1965" s="10" t="s">
        <v>23</v>
      </c>
      <c r="D1965" s="10" t="s">
        <v>24</v>
      </c>
      <c r="E1965" s="14">
        <v>1.333</v>
      </c>
      <c r="F1965" s="15">
        <f>F1969</f>
        <v>43.8</v>
      </c>
      <c r="G1965" s="12">
        <f t="shared" si="355"/>
        <v>58.39</v>
      </c>
    </row>
    <row r="1966" ht="24.0" customHeight="1">
      <c r="A1966" s="10" t="s">
        <v>25</v>
      </c>
      <c r="B1966" s="10" t="s">
        <v>26</v>
      </c>
      <c r="C1966" s="10" t="s">
        <v>23</v>
      </c>
      <c r="D1966" s="10" t="s">
        <v>27</v>
      </c>
      <c r="E1966" s="14">
        <v>1.0</v>
      </c>
      <c r="F1966" s="15">
        <f>ROUND(21,3)</f>
        <v>21</v>
      </c>
      <c r="G1966" s="12">
        <f t="shared" si="355"/>
        <v>21</v>
      </c>
    </row>
    <row r="1967" ht="24.0" customHeight="1">
      <c r="A1967" s="10" t="s">
        <v>28</v>
      </c>
      <c r="B1967" s="10" t="s">
        <v>26</v>
      </c>
      <c r="C1967" s="10" t="s">
        <v>23</v>
      </c>
      <c r="D1967" s="10" t="s">
        <v>29</v>
      </c>
      <c r="E1967" s="14">
        <v>1.0</v>
      </c>
      <c r="F1967" s="15">
        <f t="shared" ref="F1967:F1968" si="356">ROUND(19,3)</f>
        <v>19</v>
      </c>
      <c r="G1967" s="12">
        <f t="shared" si="355"/>
        <v>19</v>
      </c>
    </row>
    <row r="1968" ht="24.0" customHeight="1">
      <c r="A1968" s="10" t="s">
        <v>30</v>
      </c>
      <c r="B1968" s="10" t="s">
        <v>26</v>
      </c>
      <c r="C1968" s="10" t="s">
        <v>23</v>
      </c>
      <c r="D1968" s="10" t="s">
        <v>31</v>
      </c>
      <c r="E1968" s="14">
        <v>0.2</v>
      </c>
      <c r="F1968" s="15">
        <f t="shared" si="356"/>
        <v>19</v>
      </c>
      <c r="G1968" s="12">
        <f t="shared" si="355"/>
        <v>3.8</v>
      </c>
    </row>
    <row r="1969" ht="15.0" customHeight="1">
      <c r="A1969" s="11"/>
      <c r="B1969" s="11"/>
      <c r="C1969" s="11"/>
      <c r="D1969" s="10" t="s">
        <v>22</v>
      </c>
      <c r="E1969" s="14">
        <v>1.333</v>
      </c>
      <c r="F1969" s="15">
        <f>ROUND((G1966+G1967+G1968),3)</f>
        <v>43.8</v>
      </c>
      <c r="G1969" s="12">
        <f t="shared" si="355"/>
        <v>58.39</v>
      </c>
    </row>
    <row r="1970" ht="15.0" customHeight="1">
      <c r="A1970" s="10" t="s">
        <v>32</v>
      </c>
      <c r="B1970" s="10"/>
      <c r="C1970" s="10" t="s">
        <v>33</v>
      </c>
      <c r="D1970" s="10" t="s">
        <v>34</v>
      </c>
      <c r="E1970" s="14">
        <v>3.0</v>
      </c>
      <c r="F1970" s="15">
        <f>ROUND(58.39,3)</f>
        <v>58.39</v>
      </c>
      <c r="G1970" s="12">
        <f>ROUND((E1970*F1970)/100,2)</f>
        <v>1.75</v>
      </c>
    </row>
    <row r="1971" ht="15.0" customHeight="1">
      <c r="A1971" s="16"/>
      <c r="B1971" s="16"/>
      <c r="C1971" s="16"/>
      <c r="D1971" s="17" t="s">
        <v>945</v>
      </c>
      <c r="E1971" s="16"/>
      <c r="F1971" s="18">
        <f>ROUND((G1962+G1963+G1964+G1965+G1970)*(1+G2/100),2)</f>
        <v>62.96</v>
      </c>
      <c r="G1971" s="16"/>
    </row>
    <row r="1972" ht="30.0" customHeight="1">
      <c r="A1972" s="19" t="s">
        <v>947</v>
      </c>
      <c r="B1972" s="20" t="s">
        <v>18</v>
      </c>
      <c r="C1972" s="20" t="s">
        <v>321</v>
      </c>
      <c r="D1972" s="20" t="s">
        <v>948</v>
      </c>
      <c r="E1972" s="21"/>
      <c r="F1972" s="22">
        <f>F1980</f>
        <v>18.05</v>
      </c>
      <c r="G1972" s="21"/>
    </row>
    <row r="1973" ht="21.0" customHeight="1">
      <c r="A1973" s="11"/>
      <c r="B1973" s="11"/>
      <c r="C1973" s="11"/>
      <c r="D1973" s="10" t="s">
        <v>949</v>
      </c>
    </row>
    <row r="1974" ht="21.0" customHeight="1">
      <c r="A1974" s="10" t="s">
        <v>22</v>
      </c>
      <c r="B1974" s="10" t="s">
        <v>18</v>
      </c>
      <c r="C1974" s="10" t="s">
        <v>23</v>
      </c>
      <c r="D1974" s="10" t="s">
        <v>24</v>
      </c>
      <c r="E1974" s="14">
        <v>0.4</v>
      </c>
      <c r="F1974" s="15">
        <f>F1978</f>
        <v>43.8</v>
      </c>
      <c r="G1974" s="12">
        <f t="shared" ref="G1974:G1978" si="357">ROUND(E1974*F1974,2)</f>
        <v>17.52</v>
      </c>
    </row>
    <row r="1975" ht="24.0" customHeight="1">
      <c r="A1975" s="10" t="s">
        <v>25</v>
      </c>
      <c r="B1975" s="10" t="s">
        <v>26</v>
      </c>
      <c r="C1975" s="10" t="s">
        <v>23</v>
      </c>
      <c r="D1975" s="10" t="s">
        <v>27</v>
      </c>
      <c r="E1975" s="14">
        <v>1.0</v>
      </c>
      <c r="F1975" s="15">
        <f>ROUND(21,3)</f>
        <v>21</v>
      </c>
      <c r="G1975" s="12">
        <f t="shared" si="357"/>
        <v>21</v>
      </c>
    </row>
    <row r="1976" ht="24.0" customHeight="1">
      <c r="A1976" s="10" t="s">
        <v>28</v>
      </c>
      <c r="B1976" s="10" t="s">
        <v>26</v>
      </c>
      <c r="C1976" s="10" t="s">
        <v>23</v>
      </c>
      <c r="D1976" s="10" t="s">
        <v>29</v>
      </c>
      <c r="E1976" s="14">
        <v>1.0</v>
      </c>
      <c r="F1976" s="15">
        <f t="shared" ref="F1976:F1977" si="358">ROUND(19,3)</f>
        <v>19</v>
      </c>
      <c r="G1976" s="12">
        <f t="shared" si="357"/>
        <v>19</v>
      </c>
    </row>
    <row r="1977" ht="24.0" customHeight="1">
      <c r="A1977" s="10" t="s">
        <v>30</v>
      </c>
      <c r="B1977" s="10" t="s">
        <v>26</v>
      </c>
      <c r="C1977" s="10" t="s">
        <v>23</v>
      </c>
      <c r="D1977" s="10" t="s">
        <v>31</v>
      </c>
      <c r="E1977" s="14">
        <v>0.2</v>
      </c>
      <c r="F1977" s="15">
        <f t="shared" si="358"/>
        <v>19</v>
      </c>
      <c r="G1977" s="12">
        <f t="shared" si="357"/>
        <v>3.8</v>
      </c>
    </row>
    <row r="1978" ht="15.0" customHeight="1">
      <c r="A1978" s="11"/>
      <c r="B1978" s="11"/>
      <c r="C1978" s="11"/>
      <c r="D1978" s="10" t="s">
        <v>22</v>
      </c>
      <c r="E1978" s="14">
        <v>0.4</v>
      </c>
      <c r="F1978" s="15">
        <f>ROUND((G1975+G1976+G1977),3)</f>
        <v>43.8</v>
      </c>
      <c r="G1978" s="12">
        <f t="shared" si="357"/>
        <v>17.52</v>
      </c>
    </row>
    <row r="1979" ht="15.0" customHeight="1">
      <c r="A1979" s="10" t="s">
        <v>32</v>
      </c>
      <c r="B1979" s="10"/>
      <c r="C1979" s="10" t="s">
        <v>33</v>
      </c>
      <c r="D1979" s="10" t="s">
        <v>34</v>
      </c>
      <c r="E1979" s="14">
        <v>3.0</v>
      </c>
      <c r="F1979" s="15">
        <f>ROUND(17.52,3)</f>
        <v>17.52</v>
      </c>
      <c r="G1979" s="12">
        <f>ROUND((E1979*F1979)/100,2)</f>
        <v>0.53</v>
      </c>
    </row>
    <row r="1980" ht="15.0" customHeight="1">
      <c r="A1980" s="16"/>
      <c r="B1980" s="16"/>
      <c r="C1980" s="16"/>
      <c r="D1980" s="17" t="s">
        <v>947</v>
      </c>
      <c r="E1980" s="16"/>
      <c r="F1980" s="18">
        <f>ROUND((G1974+G1979)*(1+G2/100),2)</f>
        <v>18.05</v>
      </c>
      <c r="G1980" s="16"/>
    </row>
    <row r="1981" ht="39.75" customHeight="1">
      <c r="A1981" s="19" t="s">
        <v>950</v>
      </c>
      <c r="B1981" s="20" t="s">
        <v>18</v>
      </c>
      <c r="C1981" s="20" t="s">
        <v>19</v>
      </c>
      <c r="D1981" s="20" t="s">
        <v>951</v>
      </c>
      <c r="E1981" s="21"/>
      <c r="F1981" s="22">
        <f>F1993</f>
        <v>47.7</v>
      </c>
      <c r="G1981" s="21"/>
    </row>
    <row r="1982" ht="48.75" customHeight="1">
      <c r="A1982" s="11"/>
      <c r="B1982" s="11"/>
      <c r="C1982" s="11"/>
      <c r="D1982" s="10" t="s">
        <v>952</v>
      </c>
    </row>
    <row r="1983" ht="21.0" customHeight="1">
      <c r="A1983" s="10" t="s">
        <v>230</v>
      </c>
      <c r="B1983" s="10" t="s">
        <v>42</v>
      </c>
      <c r="C1983" s="10" t="s">
        <v>231</v>
      </c>
      <c r="D1983" s="10" t="s">
        <v>232</v>
      </c>
      <c r="E1983" s="14">
        <v>0.5</v>
      </c>
      <c r="F1983" s="15">
        <f>ROUND(3.47,3)</f>
        <v>3.47</v>
      </c>
      <c r="G1983" s="12">
        <f t="shared" ref="G1983:G1991" si="359">ROUND(E1983*F1983,2)</f>
        <v>1.74</v>
      </c>
    </row>
    <row r="1984" ht="21.0" customHeight="1">
      <c r="A1984" s="10" t="s">
        <v>242</v>
      </c>
      <c r="B1984" s="10" t="s">
        <v>42</v>
      </c>
      <c r="C1984" s="10" t="s">
        <v>226</v>
      </c>
      <c r="D1984" s="10" t="s">
        <v>243</v>
      </c>
      <c r="E1984" s="14">
        <v>0.1</v>
      </c>
      <c r="F1984" s="15">
        <f>ROUND(1.32,3)</f>
        <v>1.32</v>
      </c>
      <c r="G1984" s="12">
        <f t="shared" si="359"/>
        <v>0.13</v>
      </c>
    </row>
    <row r="1985" ht="39.75" customHeight="1">
      <c r="A1985" s="10" t="s">
        <v>953</v>
      </c>
      <c r="B1985" s="10" t="s">
        <v>112</v>
      </c>
      <c r="C1985" s="10" t="s">
        <v>23</v>
      </c>
      <c r="D1985" s="10" t="s">
        <v>954</v>
      </c>
      <c r="E1985" s="14">
        <v>0.3</v>
      </c>
      <c r="F1985" s="15">
        <f>ROUND(1.75,3)</f>
        <v>1.75</v>
      </c>
      <c r="G1985" s="12">
        <f t="shared" si="359"/>
        <v>0.53</v>
      </c>
    </row>
    <row r="1986" ht="21.0" customHeight="1">
      <c r="A1986" s="10" t="s">
        <v>955</v>
      </c>
      <c r="B1986" s="10" t="s">
        <v>42</v>
      </c>
      <c r="C1986" s="10" t="s">
        <v>956</v>
      </c>
      <c r="D1986" s="10" t="s">
        <v>957</v>
      </c>
      <c r="E1986" s="14">
        <v>0.2</v>
      </c>
      <c r="F1986" s="15">
        <f>ROUND(0.97,3)</f>
        <v>0.97</v>
      </c>
      <c r="G1986" s="12">
        <f t="shared" si="359"/>
        <v>0.19</v>
      </c>
    </row>
    <row r="1987" ht="21.0" customHeight="1">
      <c r="A1987" s="10" t="s">
        <v>22</v>
      </c>
      <c r="B1987" s="10" t="s">
        <v>18</v>
      </c>
      <c r="C1987" s="10" t="s">
        <v>23</v>
      </c>
      <c r="D1987" s="10" t="s">
        <v>24</v>
      </c>
      <c r="E1987" s="14">
        <v>1.0</v>
      </c>
      <c r="F1987" s="15">
        <f>F1991</f>
        <v>43.8</v>
      </c>
      <c r="G1987" s="12">
        <f t="shared" si="359"/>
        <v>43.8</v>
      </c>
    </row>
    <row r="1988" ht="24.0" customHeight="1">
      <c r="A1988" s="10" t="s">
        <v>25</v>
      </c>
      <c r="B1988" s="10" t="s">
        <v>26</v>
      </c>
      <c r="C1988" s="10" t="s">
        <v>23</v>
      </c>
      <c r="D1988" s="10" t="s">
        <v>27</v>
      </c>
      <c r="E1988" s="14">
        <v>1.0</v>
      </c>
      <c r="F1988" s="15">
        <f>ROUND(21,3)</f>
        <v>21</v>
      </c>
      <c r="G1988" s="12">
        <f t="shared" si="359"/>
        <v>21</v>
      </c>
    </row>
    <row r="1989" ht="24.0" customHeight="1">
      <c r="A1989" s="10" t="s">
        <v>28</v>
      </c>
      <c r="B1989" s="10" t="s">
        <v>26</v>
      </c>
      <c r="C1989" s="10" t="s">
        <v>23</v>
      </c>
      <c r="D1989" s="10" t="s">
        <v>29</v>
      </c>
      <c r="E1989" s="14">
        <v>1.0</v>
      </c>
      <c r="F1989" s="15">
        <f t="shared" ref="F1989:F1990" si="360">ROUND(19,3)</f>
        <v>19</v>
      </c>
      <c r="G1989" s="12">
        <f t="shared" si="359"/>
        <v>19</v>
      </c>
    </row>
    <row r="1990" ht="24.0" customHeight="1">
      <c r="A1990" s="10" t="s">
        <v>30</v>
      </c>
      <c r="B1990" s="10" t="s">
        <v>26</v>
      </c>
      <c r="C1990" s="10" t="s">
        <v>23</v>
      </c>
      <c r="D1990" s="10" t="s">
        <v>31</v>
      </c>
      <c r="E1990" s="14">
        <v>0.2</v>
      </c>
      <c r="F1990" s="15">
        <f t="shared" si="360"/>
        <v>19</v>
      </c>
      <c r="G1990" s="12">
        <f t="shared" si="359"/>
        <v>3.8</v>
      </c>
    </row>
    <row r="1991" ht="15.0" customHeight="1">
      <c r="A1991" s="11"/>
      <c r="B1991" s="11"/>
      <c r="C1991" s="11"/>
      <c r="D1991" s="10" t="s">
        <v>22</v>
      </c>
      <c r="E1991" s="14">
        <v>1.0</v>
      </c>
      <c r="F1991" s="15">
        <f>ROUND((G1988+G1989+G1990),3)</f>
        <v>43.8</v>
      </c>
      <c r="G1991" s="12">
        <f t="shared" si="359"/>
        <v>43.8</v>
      </c>
    </row>
    <row r="1992" ht="15.0" customHeight="1">
      <c r="A1992" s="10" t="s">
        <v>32</v>
      </c>
      <c r="B1992" s="10"/>
      <c r="C1992" s="10" t="s">
        <v>33</v>
      </c>
      <c r="D1992" s="10" t="s">
        <v>34</v>
      </c>
      <c r="E1992" s="14">
        <v>3.0</v>
      </c>
      <c r="F1992" s="15">
        <f>ROUND(43.8,3)</f>
        <v>43.8</v>
      </c>
      <c r="G1992" s="12">
        <f>ROUND((E1992*F1992)/100,2)</f>
        <v>1.31</v>
      </c>
    </row>
    <row r="1993" ht="15.0" customHeight="1">
      <c r="A1993" s="16"/>
      <c r="B1993" s="16"/>
      <c r="C1993" s="16"/>
      <c r="D1993" s="17" t="s">
        <v>950</v>
      </c>
      <c r="E1993" s="16"/>
      <c r="F1993" s="18">
        <f>ROUND((G1983+G1984+G1985+G1986+G1987+G1992)*(1+G2/100),2)</f>
        <v>47.7</v>
      </c>
      <c r="G1993" s="16"/>
    </row>
    <row r="1994" ht="39.75" customHeight="1">
      <c r="A1994" s="19" t="s">
        <v>958</v>
      </c>
      <c r="B1994" s="20" t="s">
        <v>18</v>
      </c>
      <c r="C1994" s="20" t="s">
        <v>19</v>
      </c>
      <c r="D1994" s="20" t="s">
        <v>959</v>
      </c>
      <c r="E1994" s="21"/>
      <c r="F1994" s="22">
        <f>F2004</f>
        <v>27.79</v>
      </c>
      <c r="G1994" s="21"/>
    </row>
    <row r="1995" ht="30.0" customHeight="1">
      <c r="A1995" s="11"/>
      <c r="B1995" s="11"/>
      <c r="C1995" s="11"/>
      <c r="D1995" s="10" t="s">
        <v>960</v>
      </c>
    </row>
    <row r="1996" ht="39.75" customHeight="1">
      <c r="A1996" s="10" t="s">
        <v>953</v>
      </c>
      <c r="B1996" s="10" t="s">
        <v>112</v>
      </c>
      <c r="C1996" s="10" t="s">
        <v>23</v>
      </c>
      <c r="D1996" s="10" t="s">
        <v>954</v>
      </c>
      <c r="E1996" s="14">
        <v>0.3</v>
      </c>
      <c r="F1996" s="15">
        <f>ROUND(1.75,3)</f>
        <v>1.75</v>
      </c>
      <c r="G1996" s="12">
        <f t="shared" ref="G1996:G2002" si="361">ROUND(E1996*F1996,2)</f>
        <v>0.53</v>
      </c>
    </row>
    <row r="1997" ht="21.0" customHeight="1">
      <c r="A1997" s="10" t="s">
        <v>955</v>
      </c>
      <c r="B1997" s="10" t="s">
        <v>42</v>
      </c>
      <c r="C1997" s="10" t="s">
        <v>956</v>
      </c>
      <c r="D1997" s="10" t="s">
        <v>957</v>
      </c>
      <c r="E1997" s="14">
        <v>0.2</v>
      </c>
      <c r="F1997" s="15">
        <f>ROUND(0.97,3)</f>
        <v>0.97</v>
      </c>
      <c r="G1997" s="12">
        <f t="shared" si="361"/>
        <v>0.19</v>
      </c>
    </row>
    <row r="1998" ht="21.0" customHeight="1">
      <c r="A1998" s="10" t="s">
        <v>22</v>
      </c>
      <c r="B1998" s="10" t="s">
        <v>18</v>
      </c>
      <c r="C1998" s="10" t="s">
        <v>23</v>
      </c>
      <c r="D1998" s="10" t="s">
        <v>24</v>
      </c>
      <c r="E1998" s="14">
        <v>0.6</v>
      </c>
      <c r="F1998" s="15">
        <f>F2002</f>
        <v>43.8</v>
      </c>
      <c r="G1998" s="12">
        <f t="shared" si="361"/>
        <v>26.28</v>
      </c>
    </row>
    <row r="1999" ht="24.0" customHeight="1">
      <c r="A1999" s="10" t="s">
        <v>25</v>
      </c>
      <c r="B1999" s="10" t="s">
        <v>26</v>
      </c>
      <c r="C1999" s="10" t="s">
        <v>23</v>
      </c>
      <c r="D1999" s="10" t="s">
        <v>27</v>
      </c>
      <c r="E1999" s="14">
        <v>1.0</v>
      </c>
      <c r="F1999" s="15">
        <f>ROUND(21,3)</f>
        <v>21</v>
      </c>
      <c r="G1999" s="12">
        <f t="shared" si="361"/>
        <v>21</v>
      </c>
    </row>
    <row r="2000" ht="24.0" customHeight="1">
      <c r="A2000" s="10" t="s">
        <v>28</v>
      </c>
      <c r="B2000" s="10" t="s">
        <v>26</v>
      </c>
      <c r="C2000" s="10" t="s">
        <v>23</v>
      </c>
      <c r="D2000" s="10" t="s">
        <v>29</v>
      </c>
      <c r="E2000" s="14">
        <v>1.0</v>
      </c>
      <c r="F2000" s="15">
        <f t="shared" ref="F2000:F2001" si="362">ROUND(19,3)</f>
        <v>19</v>
      </c>
      <c r="G2000" s="12">
        <f t="shared" si="361"/>
        <v>19</v>
      </c>
    </row>
    <row r="2001" ht="24.0" customHeight="1">
      <c r="A2001" s="10" t="s">
        <v>30</v>
      </c>
      <c r="B2001" s="10" t="s">
        <v>26</v>
      </c>
      <c r="C2001" s="10" t="s">
        <v>23</v>
      </c>
      <c r="D2001" s="10" t="s">
        <v>31</v>
      </c>
      <c r="E2001" s="14">
        <v>0.2</v>
      </c>
      <c r="F2001" s="15">
        <f t="shared" si="362"/>
        <v>19</v>
      </c>
      <c r="G2001" s="12">
        <f t="shared" si="361"/>
        <v>3.8</v>
      </c>
    </row>
    <row r="2002" ht="15.0" customHeight="1">
      <c r="A2002" s="11"/>
      <c r="B2002" s="11"/>
      <c r="C2002" s="11"/>
      <c r="D2002" s="10" t="s">
        <v>22</v>
      </c>
      <c r="E2002" s="14">
        <v>0.6</v>
      </c>
      <c r="F2002" s="15">
        <f>ROUND((G1999+G2000+G2001),3)</f>
        <v>43.8</v>
      </c>
      <c r="G2002" s="12">
        <f t="shared" si="361"/>
        <v>26.28</v>
      </c>
    </row>
    <row r="2003" ht="15.0" customHeight="1">
      <c r="A2003" s="10" t="s">
        <v>32</v>
      </c>
      <c r="B2003" s="10"/>
      <c r="C2003" s="10" t="s">
        <v>33</v>
      </c>
      <c r="D2003" s="10" t="s">
        <v>34</v>
      </c>
      <c r="E2003" s="14">
        <v>3.0</v>
      </c>
      <c r="F2003" s="15">
        <f>ROUND(26.28,3)</f>
        <v>26.28</v>
      </c>
      <c r="G2003" s="12">
        <f>ROUND((E2003*F2003)/100,2)</f>
        <v>0.79</v>
      </c>
    </row>
    <row r="2004" ht="15.0" customHeight="1">
      <c r="A2004" s="16"/>
      <c r="B2004" s="16"/>
      <c r="C2004" s="16"/>
      <c r="D2004" s="17" t="s">
        <v>958</v>
      </c>
      <c r="E2004" s="16"/>
      <c r="F2004" s="18">
        <f>ROUND((G1996+G1997+G1998+G2003)*(1+G2/100),2)</f>
        <v>27.79</v>
      </c>
      <c r="G2004" s="16"/>
    </row>
    <row r="2005" ht="15.0" customHeight="1">
      <c r="A2005" s="19" t="s">
        <v>961</v>
      </c>
      <c r="B2005" s="20" t="s">
        <v>18</v>
      </c>
      <c r="C2005" s="20" t="s">
        <v>251</v>
      </c>
      <c r="D2005" s="20" t="s">
        <v>962</v>
      </c>
      <c r="E2005" s="21"/>
      <c r="F2005" s="22">
        <f>F2013</f>
        <v>9.02</v>
      </c>
      <c r="G2005" s="21"/>
    </row>
    <row r="2006" ht="30.0" customHeight="1">
      <c r="A2006" s="11"/>
      <c r="B2006" s="11"/>
      <c r="C2006" s="11"/>
      <c r="D2006" s="10" t="s">
        <v>963</v>
      </c>
    </row>
    <row r="2007" ht="21.0" customHeight="1">
      <c r="A2007" s="10" t="s">
        <v>22</v>
      </c>
      <c r="B2007" s="10" t="s">
        <v>18</v>
      </c>
      <c r="C2007" s="10" t="s">
        <v>23</v>
      </c>
      <c r="D2007" s="10" t="s">
        <v>24</v>
      </c>
      <c r="E2007" s="14">
        <v>0.2</v>
      </c>
      <c r="F2007" s="15">
        <f>F2011</f>
        <v>43.8</v>
      </c>
      <c r="G2007" s="12">
        <f t="shared" ref="G2007:G2011" si="363">ROUND(E2007*F2007,2)</f>
        <v>8.76</v>
      </c>
    </row>
    <row r="2008" ht="24.0" customHeight="1">
      <c r="A2008" s="10" t="s">
        <v>25</v>
      </c>
      <c r="B2008" s="10" t="s">
        <v>26</v>
      </c>
      <c r="C2008" s="10" t="s">
        <v>23</v>
      </c>
      <c r="D2008" s="10" t="s">
        <v>27</v>
      </c>
      <c r="E2008" s="14">
        <v>1.0</v>
      </c>
      <c r="F2008" s="15">
        <f>ROUND(21,3)</f>
        <v>21</v>
      </c>
      <c r="G2008" s="12">
        <f t="shared" si="363"/>
        <v>21</v>
      </c>
    </row>
    <row r="2009" ht="24.0" customHeight="1">
      <c r="A2009" s="10" t="s">
        <v>28</v>
      </c>
      <c r="B2009" s="10" t="s">
        <v>26</v>
      </c>
      <c r="C2009" s="10" t="s">
        <v>23</v>
      </c>
      <c r="D2009" s="10" t="s">
        <v>29</v>
      </c>
      <c r="E2009" s="14">
        <v>1.0</v>
      </c>
      <c r="F2009" s="15">
        <f t="shared" ref="F2009:F2010" si="364">ROUND(19,3)</f>
        <v>19</v>
      </c>
      <c r="G2009" s="12">
        <f t="shared" si="363"/>
        <v>19</v>
      </c>
    </row>
    <row r="2010" ht="24.0" customHeight="1">
      <c r="A2010" s="10" t="s">
        <v>30</v>
      </c>
      <c r="B2010" s="10" t="s">
        <v>26</v>
      </c>
      <c r="C2010" s="10" t="s">
        <v>23</v>
      </c>
      <c r="D2010" s="10" t="s">
        <v>31</v>
      </c>
      <c r="E2010" s="14">
        <v>0.2</v>
      </c>
      <c r="F2010" s="15">
        <f t="shared" si="364"/>
        <v>19</v>
      </c>
      <c r="G2010" s="12">
        <f t="shared" si="363"/>
        <v>3.8</v>
      </c>
    </row>
    <row r="2011" ht="15.0" customHeight="1">
      <c r="A2011" s="11"/>
      <c r="B2011" s="11"/>
      <c r="C2011" s="11"/>
      <c r="D2011" s="10" t="s">
        <v>22</v>
      </c>
      <c r="E2011" s="14">
        <v>0.2</v>
      </c>
      <c r="F2011" s="15">
        <f>ROUND((G2008+G2009+G2010),3)</f>
        <v>43.8</v>
      </c>
      <c r="G2011" s="12">
        <f t="shared" si="363"/>
        <v>8.76</v>
      </c>
    </row>
    <row r="2012" ht="15.0" customHeight="1">
      <c r="A2012" s="10" t="s">
        <v>32</v>
      </c>
      <c r="B2012" s="10"/>
      <c r="C2012" s="10" t="s">
        <v>33</v>
      </c>
      <c r="D2012" s="10" t="s">
        <v>34</v>
      </c>
      <c r="E2012" s="14">
        <v>3.0</v>
      </c>
      <c r="F2012" s="15">
        <f>ROUND(8.76,3)</f>
        <v>8.76</v>
      </c>
      <c r="G2012" s="12">
        <f>ROUND((E2012*F2012)/100,2)</f>
        <v>0.26</v>
      </c>
    </row>
    <row r="2013" ht="15.0" customHeight="1">
      <c r="A2013" s="16"/>
      <c r="B2013" s="16"/>
      <c r="C2013" s="16"/>
      <c r="D2013" s="17" t="s">
        <v>961</v>
      </c>
      <c r="E2013" s="16"/>
      <c r="F2013" s="18">
        <f>ROUND((G2007+G2012)*(1+G2/100),2)</f>
        <v>9.02</v>
      </c>
      <c r="G2013" s="16"/>
    </row>
    <row r="2014" ht="21.0" customHeight="1">
      <c r="A2014" s="19" t="s">
        <v>964</v>
      </c>
      <c r="B2014" s="20" t="s">
        <v>18</v>
      </c>
      <c r="C2014" s="20" t="s">
        <v>295</v>
      </c>
      <c r="D2014" s="20" t="s">
        <v>965</v>
      </c>
      <c r="E2014" s="21"/>
      <c r="F2014" s="22">
        <f>F2027</f>
        <v>58.49</v>
      </c>
      <c r="G2014" s="21"/>
    </row>
    <row r="2015" ht="57.75" customHeight="1">
      <c r="A2015" s="11"/>
      <c r="B2015" s="11"/>
      <c r="C2015" s="11"/>
      <c r="D2015" s="10" t="s">
        <v>966</v>
      </c>
    </row>
    <row r="2016" ht="21.0" customHeight="1">
      <c r="A2016" s="10" t="s">
        <v>967</v>
      </c>
      <c r="B2016" s="10" t="s">
        <v>42</v>
      </c>
      <c r="C2016" s="10" t="s">
        <v>325</v>
      </c>
      <c r="D2016" s="10" t="s">
        <v>968</v>
      </c>
      <c r="E2016" s="14">
        <v>0.1</v>
      </c>
      <c r="F2016" s="15">
        <f>ROUND(6.49,3)</f>
        <v>6.49</v>
      </c>
      <c r="G2016" s="12">
        <f t="shared" ref="G2016:G2025" si="365">ROUND(E2016*F2016,2)</f>
        <v>0.65</v>
      </c>
    </row>
    <row r="2017" ht="21.0" customHeight="1">
      <c r="A2017" s="10" t="s">
        <v>230</v>
      </c>
      <c r="B2017" s="10" t="s">
        <v>42</v>
      </c>
      <c r="C2017" s="10" t="s">
        <v>231</v>
      </c>
      <c r="D2017" s="10" t="s">
        <v>232</v>
      </c>
      <c r="E2017" s="14">
        <v>0.5</v>
      </c>
      <c r="F2017" s="15">
        <f>ROUND(3.47,3)</f>
        <v>3.47</v>
      </c>
      <c r="G2017" s="12">
        <f t="shared" si="365"/>
        <v>1.74</v>
      </c>
    </row>
    <row r="2018" ht="21.0" customHeight="1">
      <c r="A2018" s="10" t="s">
        <v>242</v>
      </c>
      <c r="B2018" s="10" t="s">
        <v>42</v>
      </c>
      <c r="C2018" s="10" t="s">
        <v>226</v>
      </c>
      <c r="D2018" s="10" t="s">
        <v>243</v>
      </c>
      <c r="E2018" s="14">
        <v>0.1</v>
      </c>
      <c r="F2018" s="15">
        <f>ROUND(1.32,3)</f>
        <v>1.32</v>
      </c>
      <c r="G2018" s="12">
        <f t="shared" si="365"/>
        <v>0.13</v>
      </c>
    </row>
    <row r="2019" ht="21.0" customHeight="1">
      <c r="A2019" s="10" t="s">
        <v>969</v>
      </c>
      <c r="B2019" s="10" t="s">
        <v>112</v>
      </c>
      <c r="C2019" s="10" t="s">
        <v>23</v>
      </c>
      <c r="D2019" s="10" t="s">
        <v>970</v>
      </c>
      <c r="E2019" s="14">
        <v>0.3</v>
      </c>
      <c r="F2019" s="15">
        <f>ROUND(2,3)</f>
        <v>2</v>
      </c>
      <c r="G2019" s="12">
        <f t="shared" si="365"/>
        <v>0.6</v>
      </c>
    </row>
    <row r="2020" ht="30.0" customHeight="1">
      <c r="A2020" s="10" t="s">
        <v>971</v>
      </c>
      <c r="B2020" s="10" t="s">
        <v>42</v>
      </c>
      <c r="C2020" s="10" t="s">
        <v>231</v>
      </c>
      <c r="D2020" s="10" t="s">
        <v>972</v>
      </c>
      <c r="E2020" s="14">
        <v>0.25</v>
      </c>
      <c r="F2020" s="15">
        <f>ROUND(4.92,3)</f>
        <v>4.92</v>
      </c>
      <c r="G2020" s="12">
        <f t="shared" si="365"/>
        <v>1.23</v>
      </c>
    </row>
    <row r="2021" ht="21.0" customHeight="1">
      <c r="A2021" s="10" t="s">
        <v>22</v>
      </c>
      <c r="B2021" s="10" t="s">
        <v>18</v>
      </c>
      <c r="C2021" s="10" t="s">
        <v>23</v>
      </c>
      <c r="D2021" s="10" t="s">
        <v>24</v>
      </c>
      <c r="E2021" s="14">
        <v>1.2</v>
      </c>
      <c r="F2021" s="15">
        <f>F2025</f>
        <v>43.8</v>
      </c>
      <c r="G2021" s="12">
        <f t="shared" si="365"/>
        <v>52.56</v>
      </c>
    </row>
    <row r="2022" ht="24.0" customHeight="1">
      <c r="A2022" s="10" t="s">
        <v>25</v>
      </c>
      <c r="B2022" s="10" t="s">
        <v>26</v>
      </c>
      <c r="C2022" s="10" t="s">
        <v>23</v>
      </c>
      <c r="D2022" s="10" t="s">
        <v>27</v>
      </c>
      <c r="E2022" s="14">
        <v>1.0</v>
      </c>
      <c r="F2022" s="15">
        <f>ROUND(21,3)</f>
        <v>21</v>
      </c>
      <c r="G2022" s="12">
        <f t="shared" si="365"/>
        <v>21</v>
      </c>
    </row>
    <row r="2023" ht="24.0" customHeight="1">
      <c r="A2023" s="10" t="s">
        <v>28</v>
      </c>
      <c r="B2023" s="10" t="s">
        <v>26</v>
      </c>
      <c r="C2023" s="10" t="s">
        <v>23</v>
      </c>
      <c r="D2023" s="10" t="s">
        <v>29</v>
      </c>
      <c r="E2023" s="14">
        <v>1.0</v>
      </c>
      <c r="F2023" s="15">
        <f t="shared" ref="F2023:F2024" si="366">ROUND(19,3)</f>
        <v>19</v>
      </c>
      <c r="G2023" s="12">
        <f t="shared" si="365"/>
        <v>19</v>
      </c>
    </row>
    <row r="2024" ht="24.0" customHeight="1">
      <c r="A2024" s="10" t="s">
        <v>30</v>
      </c>
      <c r="B2024" s="10" t="s">
        <v>26</v>
      </c>
      <c r="C2024" s="10" t="s">
        <v>23</v>
      </c>
      <c r="D2024" s="10" t="s">
        <v>31</v>
      </c>
      <c r="E2024" s="14">
        <v>0.2</v>
      </c>
      <c r="F2024" s="15">
        <f t="shared" si="366"/>
        <v>19</v>
      </c>
      <c r="G2024" s="12">
        <f t="shared" si="365"/>
        <v>3.8</v>
      </c>
    </row>
    <row r="2025" ht="15.0" customHeight="1">
      <c r="A2025" s="11"/>
      <c r="B2025" s="11"/>
      <c r="C2025" s="11"/>
      <c r="D2025" s="10" t="s">
        <v>22</v>
      </c>
      <c r="E2025" s="14">
        <v>1.2</v>
      </c>
      <c r="F2025" s="15">
        <f>ROUND((G2022+G2023+G2024),3)</f>
        <v>43.8</v>
      </c>
      <c r="G2025" s="12">
        <f t="shared" si="365"/>
        <v>52.56</v>
      </c>
    </row>
    <row r="2026" ht="15.0" customHeight="1">
      <c r="A2026" s="10" t="s">
        <v>32</v>
      </c>
      <c r="B2026" s="10"/>
      <c r="C2026" s="10" t="s">
        <v>33</v>
      </c>
      <c r="D2026" s="10" t="s">
        <v>34</v>
      </c>
      <c r="E2026" s="14">
        <v>3.0</v>
      </c>
      <c r="F2026" s="15">
        <f>ROUND(52.56,3)</f>
        <v>52.56</v>
      </c>
      <c r="G2026" s="12">
        <f>ROUND((E2026*F2026)/100,2)</f>
        <v>1.58</v>
      </c>
    </row>
    <row r="2027" ht="15.0" customHeight="1">
      <c r="A2027" s="16"/>
      <c r="B2027" s="16"/>
      <c r="C2027" s="16"/>
      <c r="D2027" s="17" t="s">
        <v>964</v>
      </c>
      <c r="E2027" s="16"/>
      <c r="F2027" s="18">
        <f>ROUND((G2016+G2017+G2018+G2019+G2020+G2021+G2026)*(1+G2/100),2)</f>
        <v>58.49</v>
      </c>
      <c r="G2027" s="16"/>
    </row>
    <row r="2028" ht="21.0" customHeight="1">
      <c r="A2028" s="19" t="s">
        <v>973</v>
      </c>
      <c r="B2028" s="20" t="s">
        <v>18</v>
      </c>
      <c r="C2028" s="20" t="s">
        <v>295</v>
      </c>
      <c r="D2028" s="20" t="s">
        <v>974</v>
      </c>
      <c r="E2028" s="21"/>
      <c r="F2028" s="22">
        <f>F2041</f>
        <v>139.69</v>
      </c>
      <c r="G2028" s="21"/>
    </row>
    <row r="2029" ht="57.75" customHeight="1">
      <c r="A2029" s="11"/>
      <c r="B2029" s="11"/>
      <c r="C2029" s="11"/>
      <c r="D2029" s="10" t="s">
        <v>975</v>
      </c>
    </row>
    <row r="2030" ht="21.0" customHeight="1">
      <c r="A2030" s="10" t="s">
        <v>967</v>
      </c>
      <c r="B2030" s="10" t="s">
        <v>42</v>
      </c>
      <c r="C2030" s="10" t="s">
        <v>325</v>
      </c>
      <c r="D2030" s="10" t="s">
        <v>968</v>
      </c>
      <c r="E2030" s="14">
        <v>0.1</v>
      </c>
      <c r="F2030" s="15">
        <f>ROUND(6.49,3)</f>
        <v>6.49</v>
      </c>
      <c r="G2030" s="12">
        <f t="shared" ref="G2030:G2039" si="367">ROUND(E2030*F2030,2)</f>
        <v>0.65</v>
      </c>
    </row>
    <row r="2031" ht="21.0" customHeight="1">
      <c r="A2031" s="10" t="s">
        <v>230</v>
      </c>
      <c r="B2031" s="10" t="s">
        <v>42</v>
      </c>
      <c r="C2031" s="10" t="s">
        <v>231</v>
      </c>
      <c r="D2031" s="10" t="s">
        <v>232</v>
      </c>
      <c r="E2031" s="14">
        <v>0.5</v>
      </c>
      <c r="F2031" s="15">
        <f>ROUND(3.47,3)</f>
        <v>3.47</v>
      </c>
      <c r="G2031" s="12">
        <f t="shared" si="367"/>
        <v>1.74</v>
      </c>
    </row>
    <row r="2032" ht="21.0" customHeight="1">
      <c r="A2032" s="10" t="s">
        <v>242</v>
      </c>
      <c r="B2032" s="10" t="s">
        <v>42</v>
      </c>
      <c r="C2032" s="10" t="s">
        <v>226</v>
      </c>
      <c r="D2032" s="10" t="s">
        <v>243</v>
      </c>
      <c r="E2032" s="14">
        <v>0.1</v>
      </c>
      <c r="F2032" s="15">
        <f>ROUND(1.32,3)</f>
        <v>1.32</v>
      </c>
      <c r="G2032" s="12">
        <f t="shared" si="367"/>
        <v>0.13</v>
      </c>
    </row>
    <row r="2033" ht="21.0" customHeight="1">
      <c r="A2033" s="10" t="s">
        <v>969</v>
      </c>
      <c r="B2033" s="10" t="s">
        <v>112</v>
      </c>
      <c r="C2033" s="10" t="s">
        <v>23</v>
      </c>
      <c r="D2033" s="10" t="s">
        <v>970</v>
      </c>
      <c r="E2033" s="14">
        <v>0.3</v>
      </c>
      <c r="F2033" s="15">
        <f>ROUND(2,3)</f>
        <v>2</v>
      </c>
      <c r="G2033" s="12">
        <f t="shared" si="367"/>
        <v>0.6</v>
      </c>
    </row>
    <row r="2034" ht="30.0" customHeight="1">
      <c r="A2034" s="10" t="s">
        <v>971</v>
      </c>
      <c r="B2034" s="10" t="s">
        <v>42</v>
      </c>
      <c r="C2034" s="10" t="s">
        <v>231</v>
      </c>
      <c r="D2034" s="10" t="s">
        <v>972</v>
      </c>
      <c r="E2034" s="14">
        <v>0.25</v>
      </c>
      <c r="F2034" s="15">
        <f>ROUND(4.92,3)</f>
        <v>4.92</v>
      </c>
      <c r="G2034" s="12">
        <f t="shared" si="367"/>
        <v>1.23</v>
      </c>
    </row>
    <row r="2035" ht="21.0" customHeight="1">
      <c r="A2035" s="10" t="s">
        <v>22</v>
      </c>
      <c r="B2035" s="10" t="s">
        <v>18</v>
      </c>
      <c r="C2035" s="10" t="s">
        <v>23</v>
      </c>
      <c r="D2035" s="10" t="s">
        <v>24</v>
      </c>
      <c r="E2035" s="14">
        <v>3.0</v>
      </c>
      <c r="F2035" s="15">
        <f>F2039</f>
        <v>43.8</v>
      </c>
      <c r="G2035" s="12">
        <f t="shared" si="367"/>
        <v>131.4</v>
      </c>
    </row>
    <row r="2036" ht="24.0" customHeight="1">
      <c r="A2036" s="10" t="s">
        <v>25</v>
      </c>
      <c r="B2036" s="10" t="s">
        <v>26</v>
      </c>
      <c r="C2036" s="10" t="s">
        <v>23</v>
      </c>
      <c r="D2036" s="10" t="s">
        <v>27</v>
      </c>
      <c r="E2036" s="14">
        <v>1.0</v>
      </c>
      <c r="F2036" s="15">
        <f>ROUND(21,3)</f>
        <v>21</v>
      </c>
      <c r="G2036" s="12">
        <f t="shared" si="367"/>
        <v>21</v>
      </c>
    </row>
    <row r="2037" ht="24.0" customHeight="1">
      <c r="A2037" s="10" t="s">
        <v>28</v>
      </c>
      <c r="B2037" s="10" t="s">
        <v>26</v>
      </c>
      <c r="C2037" s="10" t="s">
        <v>23</v>
      </c>
      <c r="D2037" s="10" t="s">
        <v>29</v>
      </c>
      <c r="E2037" s="14">
        <v>1.0</v>
      </c>
      <c r="F2037" s="15">
        <f t="shared" ref="F2037:F2038" si="368">ROUND(19,3)</f>
        <v>19</v>
      </c>
      <c r="G2037" s="12">
        <f t="shared" si="367"/>
        <v>19</v>
      </c>
    </row>
    <row r="2038" ht="24.0" customHeight="1">
      <c r="A2038" s="10" t="s">
        <v>30</v>
      </c>
      <c r="B2038" s="10" t="s">
        <v>26</v>
      </c>
      <c r="C2038" s="10" t="s">
        <v>23</v>
      </c>
      <c r="D2038" s="10" t="s">
        <v>31</v>
      </c>
      <c r="E2038" s="14">
        <v>0.2</v>
      </c>
      <c r="F2038" s="15">
        <f t="shared" si="368"/>
        <v>19</v>
      </c>
      <c r="G2038" s="12">
        <f t="shared" si="367"/>
        <v>3.8</v>
      </c>
    </row>
    <row r="2039" ht="15.0" customHeight="1">
      <c r="A2039" s="11"/>
      <c r="B2039" s="11"/>
      <c r="C2039" s="11"/>
      <c r="D2039" s="10" t="s">
        <v>22</v>
      </c>
      <c r="E2039" s="14">
        <v>3.0</v>
      </c>
      <c r="F2039" s="15">
        <f>ROUND((G2036+G2037+G2038),3)</f>
        <v>43.8</v>
      </c>
      <c r="G2039" s="12">
        <f t="shared" si="367"/>
        <v>131.4</v>
      </c>
    </row>
    <row r="2040" ht="15.0" customHeight="1">
      <c r="A2040" s="10" t="s">
        <v>32</v>
      </c>
      <c r="B2040" s="10"/>
      <c r="C2040" s="10" t="s">
        <v>33</v>
      </c>
      <c r="D2040" s="10" t="s">
        <v>34</v>
      </c>
      <c r="E2040" s="14">
        <v>3.0</v>
      </c>
      <c r="F2040" s="15">
        <f>ROUND(131.4,3)</f>
        <v>131.4</v>
      </c>
      <c r="G2040" s="12">
        <f>ROUND((E2040*F2040)/100,2)</f>
        <v>3.94</v>
      </c>
    </row>
    <row r="2041" ht="15.0" customHeight="1">
      <c r="A2041" s="16"/>
      <c r="B2041" s="16"/>
      <c r="C2041" s="16"/>
      <c r="D2041" s="17" t="s">
        <v>973</v>
      </c>
      <c r="E2041" s="16"/>
      <c r="F2041" s="18">
        <f>ROUND((G2030+G2031+G2032+G2033+G2034+G2035+G2040)*(1+G2/100),2)</f>
        <v>139.69</v>
      </c>
      <c r="G2041" s="16"/>
    </row>
    <row r="2042" ht="30.0" customHeight="1">
      <c r="A2042" s="19" t="s">
        <v>976</v>
      </c>
      <c r="B2042" s="20" t="s">
        <v>18</v>
      </c>
      <c r="C2042" s="20" t="s">
        <v>295</v>
      </c>
      <c r="D2042" s="20" t="s">
        <v>977</v>
      </c>
      <c r="E2042" s="21"/>
      <c r="F2042" s="22">
        <f>F2050</f>
        <v>45.11</v>
      </c>
      <c r="G2042" s="21"/>
    </row>
    <row r="2043" ht="30.0" customHeight="1">
      <c r="A2043" s="11"/>
      <c r="B2043" s="11"/>
      <c r="C2043" s="11"/>
      <c r="D2043" s="10" t="s">
        <v>978</v>
      </c>
    </row>
    <row r="2044" ht="21.0" customHeight="1">
      <c r="A2044" s="10" t="s">
        <v>22</v>
      </c>
      <c r="B2044" s="10" t="s">
        <v>18</v>
      </c>
      <c r="C2044" s="10" t="s">
        <v>23</v>
      </c>
      <c r="D2044" s="10" t="s">
        <v>24</v>
      </c>
      <c r="E2044" s="14">
        <v>1.0</v>
      </c>
      <c r="F2044" s="15">
        <f>F2048</f>
        <v>43.8</v>
      </c>
      <c r="G2044" s="12">
        <f t="shared" ref="G2044:G2048" si="369">ROUND(E2044*F2044,2)</f>
        <v>43.8</v>
      </c>
    </row>
    <row r="2045" ht="24.0" customHeight="1">
      <c r="A2045" s="10" t="s">
        <v>25</v>
      </c>
      <c r="B2045" s="10" t="s">
        <v>26</v>
      </c>
      <c r="C2045" s="10" t="s">
        <v>23</v>
      </c>
      <c r="D2045" s="10" t="s">
        <v>27</v>
      </c>
      <c r="E2045" s="14">
        <v>1.0</v>
      </c>
      <c r="F2045" s="15">
        <f>ROUND(21,3)</f>
        <v>21</v>
      </c>
      <c r="G2045" s="12">
        <f t="shared" si="369"/>
        <v>21</v>
      </c>
    </row>
    <row r="2046" ht="24.0" customHeight="1">
      <c r="A2046" s="10" t="s">
        <v>28</v>
      </c>
      <c r="B2046" s="10" t="s">
        <v>26</v>
      </c>
      <c r="C2046" s="10" t="s">
        <v>23</v>
      </c>
      <c r="D2046" s="10" t="s">
        <v>29</v>
      </c>
      <c r="E2046" s="14">
        <v>1.0</v>
      </c>
      <c r="F2046" s="15">
        <f t="shared" ref="F2046:F2047" si="370">ROUND(19,3)</f>
        <v>19</v>
      </c>
      <c r="G2046" s="12">
        <f t="shared" si="369"/>
        <v>19</v>
      </c>
    </row>
    <row r="2047" ht="24.0" customHeight="1">
      <c r="A2047" s="10" t="s">
        <v>30</v>
      </c>
      <c r="B2047" s="10" t="s">
        <v>26</v>
      </c>
      <c r="C2047" s="10" t="s">
        <v>23</v>
      </c>
      <c r="D2047" s="10" t="s">
        <v>31</v>
      </c>
      <c r="E2047" s="14">
        <v>0.2</v>
      </c>
      <c r="F2047" s="15">
        <f t="shared" si="370"/>
        <v>19</v>
      </c>
      <c r="G2047" s="12">
        <f t="shared" si="369"/>
        <v>3.8</v>
      </c>
    </row>
    <row r="2048" ht="15.0" customHeight="1">
      <c r="A2048" s="11"/>
      <c r="B2048" s="11"/>
      <c r="C2048" s="11"/>
      <c r="D2048" s="10" t="s">
        <v>22</v>
      </c>
      <c r="E2048" s="14">
        <v>1.0</v>
      </c>
      <c r="F2048" s="15">
        <f>ROUND((G2045+G2046+G2047),3)</f>
        <v>43.8</v>
      </c>
      <c r="G2048" s="12">
        <f t="shared" si="369"/>
        <v>43.8</v>
      </c>
    </row>
    <row r="2049" ht="15.0" customHeight="1">
      <c r="A2049" s="10" t="s">
        <v>32</v>
      </c>
      <c r="B2049" s="10"/>
      <c r="C2049" s="10" t="s">
        <v>33</v>
      </c>
      <c r="D2049" s="10" t="s">
        <v>34</v>
      </c>
      <c r="E2049" s="14">
        <v>3.0</v>
      </c>
      <c r="F2049" s="15">
        <f>ROUND(43.8,3)</f>
        <v>43.8</v>
      </c>
      <c r="G2049" s="12">
        <f>ROUND((E2049*F2049)/100,2)</f>
        <v>1.31</v>
      </c>
    </row>
    <row r="2050" ht="15.0" customHeight="1">
      <c r="A2050" s="16"/>
      <c r="B2050" s="16"/>
      <c r="C2050" s="16"/>
      <c r="D2050" s="17" t="s">
        <v>976</v>
      </c>
      <c r="E2050" s="16"/>
      <c r="F2050" s="18">
        <f>ROUND((G2044+G2049)*(1+G2/100),2)</f>
        <v>45.11</v>
      </c>
      <c r="G2050" s="16"/>
    </row>
    <row r="2051" ht="21.0" customHeight="1">
      <c r="A2051" s="19" t="s">
        <v>979</v>
      </c>
      <c r="B2051" s="20" t="s">
        <v>18</v>
      </c>
      <c r="C2051" s="20" t="s">
        <v>537</v>
      </c>
      <c r="D2051" s="20" t="s">
        <v>980</v>
      </c>
      <c r="E2051" s="21"/>
      <c r="F2051" s="22">
        <f>F2061</f>
        <v>5.94</v>
      </c>
      <c r="G2051" s="21"/>
    </row>
    <row r="2052" ht="30.0" customHeight="1">
      <c r="A2052" s="11"/>
      <c r="B2052" s="11"/>
      <c r="C2052" s="11"/>
      <c r="D2052" s="10" t="s">
        <v>981</v>
      </c>
    </row>
    <row r="2053" ht="30.0" customHeight="1">
      <c r="A2053" s="10" t="s">
        <v>982</v>
      </c>
      <c r="B2053" s="10" t="s">
        <v>42</v>
      </c>
      <c r="C2053" s="10" t="s">
        <v>344</v>
      </c>
      <c r="D2053" s="10" t="s">
        <v>983</v>
      </c>
      <c r="E2053" s="14">
        <v>0.04</v>
      </c>
      <c r="F2053" s="15">
        <f>ROUND(0.85,3)</f>
        <v>0.85</v>
      </c>
      <c r="G2053" s="12">
        <f t="shared" ref="G2053:G2059" si="371">ROUND(E2053*F2053,2)</f>
        <v>0.03</v>
      </c>
    </row>
    <row r="2054" ht="24.0" customHeight="1">
      <c r="A2054" s="10" t="s">
        <v>984</v>
      </c>
      <c r="B2054" s="10" t="s">
        <v>42</v>
      </c>
      <c r="C2054" s="10" t="s">
        <v>43</v>
      </c>
      <c r="D2054" s="10" t="s">
        <v>985</v>
      </c>
      <c r="E2054" s="14">
        <v>0.01</v>
      </c>
      <c r="F2054" s="15">
        <f>ROUND(9.48,3)</f>
        <v>9.48</v>
      </c>
      <c r="G2054" s="12">
        <f t="shared" si="371"/>
        <v>0.09</v>
      </c>
    </row>
    <row r="2055" ht="21.0" customHeight="1">
      <c r="A2055" s="10" t="s">
        <v>22</v>
      </c>
      <c r="B2055" s="10" t="s">
        <v>18</v>
      </c>
      <c r="C2055" s="10" t="s">
        <v>23</v>
      </c>
      <c r="D2055" s="10" t="s">
        <v>24</v>
      </c>
      <c r="E2055" s="14">
        <v>0.129</v>
      </c>
      <c r="F2055" s="15">
        <f>F2059</f>
        <v>43.8</v>
      </c>
      <c r="G2055" s="12">
        <f t="shared" si="371"/>
        <v>5.65</v>
      </c>
    </row>
    <row r="2056" ht="24.0" customHeight="1">
      <c r="A2056" s="10" t="s">
        <v>25</v>
      </c>
      <c r="B2056" s="10" t="s">
        <v>26</v>
      </c>
      <c r="C2056" s="10" t="s">
        <v>23</v>
      </c>
      <c r="D2056" s="10" t="s">
        <v>27</v>
      </c>
      <c r="E2056" s="14">
        <v>1.0</v>
      </c>
      <c r="F2056" s="15">
        <f>ROUND(21,3)</f>
        <v>21</v>
      </c>
      <c r="G2056" s="12">
        <f t="shared" si="371"/>
        <v>21</v>
      </c>
    </row>
    <row r="2057" ht="24.0" customHeight="1">
      <c r="A2057" s="10" t="s">
        <v>28</v>
      </c>
      <c r="B2057" s="10" t="s">
        <v>26</v>
      </c>
      <c r="C2057" s="10" t="s">
        <v>23</v>
      </c>
      <c r="D2057" s="10" t="s">
        <v>29</v>
      </c>
      <c r="E2057" s="14">
        <v>1.0</v>
      </c>
      <c r="F2057" s="15">
        <f t="shared" ref="F2057:F2058" si="372">ROUND(19,3)</f>
        <v>19</v>
      </c>
      <c r="G2057" s="12">
        <f t="shared" si="371"/>
        <v>19</v>
      </c>
    </row>
    <row r="2058" ht="24.0" customHeight="1">
      <c r="A2058" s="10" t="s">
        <v>30</v>
      </c>
      <c r="B2058" s="10" t="s">
        <v>26</v>
      </c>
      <c r="C2058" s="10" t="s">
        <v>23</v>
      </c>
      <c r="D2058" s="10" t="s">
        <v>31</v>
      </c>
      <c r="E2058" s="14">
        <v>0.2</v>
      </c>
      <c r="F2058" s="15">
        <f t="shared" si="372"/>
        <v>19</v>
      </c>
      <c r="G2058" s="12">
        <f t="shared" si="371"/>
        <v>3.8</v>
      </c>
    </row>
    <row r="2059" ht="15.0" customHeight="1">
      <c r="A2059" s="11"/>
      <c r="B2059" s="11"/>
      <c r="C2059" s="11"/>
      <c r="D2059" s="10" t="s">
        <v>22</v>
      </c>
      <c r="E2059" s="14">
        <v>0.129</v>
      </c>
      <c r="F2059" s="15">
        <f>ROUND((G2056+G2057+G2058),3)</f>
        <v>43.8</v>
      </c>
      <c r="G2059" s="12">
        <f t="shared" si="371"/>
        <v>5.65</v>
      </c>
    </row>
    <row r="2060" ht="15.0" customHeight="1">
      <c r="A2060" s="10" t="s">
        <v>32</v>
      </c>
      <c r="B2060" s="10"/>
      <c r="C2060" s="10" t="s">
        <v>33</v>
      </c>
      <c r="D2060" s="10" t="s">
        <v>34</v>
      </c>
      <c r="E2060" s="14">
        <v>3.0</v>
      </c>
      <c r="F2060" s="15">
        <f>ROUND(5.65,3)</f>
        <v>5.65</v>
      </c>
      <c r="G2060" s="12">
        <f>ROUND((E2060*F2060)/100,2)</f>
        <v>0.17</v>
      </c>
    </row>
    <row r="2061" ht="15.0" customHeight="1">
      <c r="A2061" s="16"/>
      <c r="B2061" s="16"/>
      <c r="C2061" s="16"/>
      <c r="D2061" s="17" t="s">
        <v>979</v>
      </c>
      <c r="E2061" s="16"/>
      <c r="F2061" s="18">
        <f>ROUND((G2053+G2054+G2055+G2060)*(1+G2/100),2)</f>
        <v>5.94</v>
      </c>
      <c r="G2061" s="16"/>
    </row>
    <row r="2062" ht="21.0" customHeight="1">
      <c r="A2062" s="19" t="s">
        <v>986</v>
      </c>
      <c r="B2062" s="20" t="s">
        <v>18</v>
      </c>
      <c r="C2062" s="20" t="s">
        <v>295</v>
      </c>
      <c r="D2062" s="20" t="s">
        <v>987</v>
      </c>
      <c r="E2062" s="21"/>
      <c r="F2062" s="22">
        <f>F2070</f>
        <v>31.58</v>
      </c>
      <c r="G2062" s="21"/>
    </row>
    <row r="2063" ht="39.75" customHeight="1">
      <c r="A2063" s="11"/>
      <c r="B2063" s="11"/>
      <c r="C2063" s="11"/>
      <c r="D2063" s="10" t="s">
        <v>988</v>
      </c>
    </row>
    <row r="2064" ht="21.0" customHeight="1">
      <c r="A2064" s="10" t="s">
        <v>22</v>
      </c>
      <c r="B2064" s="10" t="s">
        <v>18</v>
      </c>
      <c r="C2064" s="10" t="s">
        <v>23</v>
      </c>
      <c r="D2064" s="10" t="s">
        <v>24</v>
      </c>
      <c r="E2064" s="14">
        <v>0.7</v>
      </c>
      <c r="F2064" s="15">
        <f>F2068</f>
        <v>43.8</v>
      </c>
      <c r="G2064" s="12">
        <f t="shared" ref="G2064:G2068" si="373">ROUND(E2064*F2064,2)</f>
        <v>30.66</v>
      </c>
    </row>
    <row r="2065" ht="24.0" customHeight="1">
      <c r="A2065" s="10" t="s">
        <v>25</v>
      </c>
      <c r="B2065" s="10" t="s">
        <v>26</v>
      </c>
      <c r="C2065" s="10" t="s">
        <v>23</v>
      </c>
      <c r="D2065" s="10" t="s">
        <v>27</v>
      </c>
      <c r="E2065" s="14">
        <v>1.0</v>
      </c>
      <c r="F2065" s="15">
        <f>ROUND(21,3)</f>
        <v>21</v>
      </c>
      <c r="G2065" s="12">
        <f t="shared" si="373"/>
        <v>21</v>
      </c>
    </row>
    <row r="2066" ht="24.0" customHeight="1">
      <c r="A2066" s="10" t="s">
        <v>28</v>
      </c>
      <c r="B2066" s="10" t="s">
        <v>26</v>
      </c>
      <c r="C2066" s="10" t="s">
        <v>23</v>
      </c>
      <c r="D2066" s="10" t="s">
        <v>29</v>
      </c>
      <c r="E2066" s="14">
        <v>1.0</v>
      </c>
      <c r="F2066" s="15">
        <f t="shared" ref="F2066:F2067" si="374">ROUND(19,3)</f>
        <v>19</v>
      </c>
      <c r="G2066" s="12">
        <f t="shared" si="373"/>
        <v>19</v>
      </c>
    </row>
    <row r="2067" ht="24.0" customHeight="1">
      <c r="A2067" s="10" t="s">
        <v>30</v>
      </c>
      <c r="B2067" s="10" t="s">
        <v>26</v>
      </c>
      <c r="C2067" s="10" t="s">
        <v>23</v>
      </c>
      <c r="D2067" s="10" t="s">
        <v>31</v>
      </c>
      <c r="E2067" s="14">
        <v>0.2</v>
      </c>
      <c r="F2067" s="15">
        <f t="shared" si="374"/>
        <v>19</v>
      </c>
      <c r="G2067" s="12">
        <f t="shared" si="373"/>
        <v>3.8</v>
      </c>
    </row>
    <row r="2068" ht="15.0" customHeight="1">
      <c r="A2068" s="11"/>
      <c r="B2068" s="11"/>
      <c r="C2068" s="11"/>
      <c r="D2068" s="10" t="s">
        <v>22</v>
      </c>
      <c r="E2068" s="14">
        <v>0.7</v>
      </c>
      <c r="F2068" s="15">
        <f>ROUND((G2065+G2066+G2067),3)</f>
        <v>43.8</v>
      </c>
      <c r="G2068" s="12">
        <f t="shared" si="373"/>
        <v>30.66</v>
      </c>
    </row>
    <row r="2069" ht="15.0" customHeight="1">
      <c r="A2069" s="10" t="s">
        <v>32</v>
      </c>
      <c r="B2069" s="10"/>
      <c r="C2069" s="10" t="s">
        <v>33</v>
      </c>
      <c r="D2069" s="10" t="s">
        <v>34</v>
      </c>
      <c r="E2069" s="14">
        <v>3.0</v>
      </c>
      <c r="F2069" s="15">
        <f>ROUND(30.66,3)</f>
        <v>30.66</v>
      </c>
      <c r="G2069" s="12">
        <f>ROUND((E2069*F2069)/100,2)</f>
        <v>0.92</v>
      </c>
    </row>
    <row r="2070" ht="15.0" customHeight="1">
      <c r="A2070" s="16"/>
      <c r="B2070" s="16"/>
      <c r="C2070" s="16"/>
      <c r="D2070" s="17" t="s">
        <v>986</v>
      </c>
      <c r="E2070" s="16"/>
      <c r="F2070" s="18">
        <f>ROUND((G2064+G2069)*(1+G2/100),2)</f>
        <v>31.58</v>
      </c>
      <c r="G2070" s="16"/>
    </row>
    <row r="2071" ht="21.0" customHeight="1">
      <c r="A2071" s="19" t="s">
        <v>989</v>
      </c>
      <c r="B2071" s="20" t="s">
        <v>18</v>
      </c>
      <c r="C2071" s="20" t="s">
        <v>295</v>
      </c>
      <c r="D2071" s="20" t="s">
        <v>990</v>
      </c>
      <c r="E2071" s="21"/>
      <c r="F2071" s="22">
        <f>F2080</f>
        <v>15.92</v>
      </c>
      <c r="G2071" s="21"/>
    </row>
    <row r="2072" ht="30.0" customHeight="1">
      <c r="A2072" s="11"/>
      <c r="B2072" s="11"/>
      <c r="C2072" s="11"/>
      <c r="D2072" s="10" t="s">
        <v>991</v>
      </c>
    </row>
    <row r="2073" ht="21.0" customHeight="1">
      <c r="A2073" s="10" t="s">
        <v>242</v>
      </c>
      <c r="B2073" s="10" t="s">
        <v>42</v>
      </c>
      <c r="C2073" s="10" t="s">
        <v>226</v>
      </c>
      <c r="D2073" s="10" t="s">
        <v>243</v>
      </c>
      <c r="E2073" s="14">
        <v>0.1</v>
      </c>
      <c r="F2073" s="15">
        <f>ROUND(1.32,3)</f>
        <v>1.32</v>
      </c>
      <c r="G2073" s="12">
        <f t="shared" ref="G2073:G2078" si="375">ROUND(E2073*F2073,2)</f>
        <v>0.13</v>
      </c>
    </row>
    <row r="2074" ht="21.0" customHeight="1">
      <c r="A2074" s="10" t="s">
        <v>22</v>
      </c>
      <c r="B2074" s="10" t="s">
        <v>18</v>
      </c>
      <c r="C2074" s="10" t="s">
        <v>23</v>
      </c>
      <c r="D2074" s="10" t="s">
        <v>24</v>
      </c>
      <c r="E2074" s="14">
        <v>0.35</v>
      </c>
      <c r="F2074" s="15">
        <f>F2078</f>
        <v>43.8</v>
      </c>
      <c r="G2074" s="12">
        <f t="shared" si="375"/>
        <v>15.33</v>
      </c>
    </row>
    <row r="2075" ht="24.0" customHeight="1">
      <c r="A2075" s="10" t="s">
        <v>25</v>
      </c>
      <c r="B2075" s="10" t="s">
        <v>26</v>
      </c>
      <c r="C2075" s="10" t="s">
        <v>23</v>
      </c>
      <c r="D2075" s="10" t="s">
        <v>27</v>
      </c>
      <c r="E2075" s="14">
        <v>1.0</v>
      </c>
      <c r="F2075" s="15">
        <f>ROUND(21,3)</f>
        <v>21</v>
      </c>
      <c r="G2075" s="12">
        <f t="shared" si="375"/>
        <v>21</v>
      </c>
    </row>
    <row r="2076" ht="24.0" customHeight="1">
      <c r="A2076" s="10" t="s">
        <v>28</v>
      </c>
      <c r="B2076" s="10" t="s">
        <v>26</v>
      </c>
      <c r="C2076" s="10" t="s">
        <v>23</v>
      </c>
      <c r="D2076" s="10" t="s">
        <v>29</v>
      </c>
      <c r="E2076" s="14">
        <v>1.0</v>
      </c>
      <c r="F2076" s="15">
        <f t="shared" ref="F2076:F2077" si="376">ROUND(19,3)</f>
        <v>19</v>
      </c>
      <c r="G2076" s="12">
        <f t="shared" si="375"/>
        <v>19</v>
      </c>
    </row>
    <row r="2077" ht="24.0" customHeight="1">
      <c r="A2077" s="10" t="s">
        <v>30</v>
      </c>
      <c r="B2077" s="10" t="s">
        <v>26</v>
      </c>
      <c r="C2077" s="10" t="s">
        <v>23</v>
      </c>
      <c r="D2077" s="10" t="s">
        <v>31</v>
      </c>
      <c r="E2077" s="14">
        <v>0.2</v>
      </c>
      <c r="F2077" s="15">
        <f t="shared" si="376"/>
        <v>19</v>
      </c>
      <c r="G2077" s="12">
        <f t="shared" si="375"/>
        <v>3.8</v>
      </c>
    </row>
    <row r="2078" ht="15.0" customHeight="1">
      <c r="A2078" s="11"/>
      <c r="B2078" s="11"/>
      <c r="C2078" s="11"/>
      <c r="D2078" s="10" t="s">
        <v>22</v>
      </c>
      <c r="E2078" s="14">
        <v>0.35</v>
      </c>
      <c r="F2078" s="15">
        <f>ROUND((G2075+G2076+G2077),3)</f>
        <v>43.8</v>
      </c>
      <c r="G2078" s="12">
        <f t="shared" si="375"/>
        <v>15.33</v>
      </c>
    </row>
    <row r="2079" ht="15.0" customHeight="1">
      <c r="A2079" s="10" t="s">
        <v>32</v>
      </c>
      <c r="B2079" s="10"/>
      <c r="C2079" s="10" t="s">
        <v>33</v>
      </c>
      <c r="D2079" s="10" t="s">
        <v>34</v>
      </c>
      <c r="E2079" s="14">
        <v>3.0</v>
      </c>
      <c r="F2079" s="15">
        <f>ROUND(15.33,3)</f>
        <v>15.33</v>
      </c>
      <c r="G2079" s="12">
        <f>ROUND((E2079*F2079)/100,2)</f>
        <v>0.46</v>
      </c>
    </row>
    <row r="2080" ht="15.0" customHeight="1">
      <c r="A2080" s="16"/>
      <c r="B2080" s="16"/>
      <c r="C2080" s="16"/>
      <c r="D2080" s="17" t="s">
        <v>989</v>
      </c>
      <c r="E2080" s="16"/>
      <c r="F2080" s="18">
        <f>ROUND((G2073+G2074+G2079)*(1+G2/100),2)</f>
        <v>15.92</v>
      </c>
      <c r="G2080" s="16"/>
    </row>
    <row r="2081" ht="30.0" customHeight="1">
      <c r="A2081" s="19" t="s">
        <v>992</v>
      </c>
      <c r="B2081" s="20" t="s">
        <v>18</v>
      </c>
      <c r="C2081" s="20" t="s">
        <v>295</v>
      </c>
      <c r="D2081" s="20" t="s">
        <v>993</v>
      </c>
      <c r="E2081" s="21"/>
      <c r="F2081" s="22">
        <f>F2090</f>
        <v>9.08</v>
      </c>
      <c r="G2081" s="21"/>
    </row>
    <row r="2082" ht="21.0" customHeight="1">
      <c r="A2082" s="11"/>
      <c r="B2082" s="11"/>
      <c r="C2082" s="11"/>
      <c r="D2082" s="10" t="s">
        <v>994</v>
      </c>
    </row>
    <row r="2083" ht="24.0" customHeight="1">
      <c r="A2083" s="10" t="s">
        <v>318</v>
      </c>
      <c r="B2083" s="10" t="s">
        <v>42</v>
      </c>
      <c r="C2083" s="10" t="s">
        <v>43</v>
      </c>
      <c r="D2083" s="10" t="s">
        <v>319</v>
      </c>
      <c r="E2083" s="14">
        <v>0.01</v>
      </c>
      <c r="F2083" s="15">
        <f>ROUND(5.8,3)</f>
        <v>5.8</v>
      </c>
      <c r="G2083" s="12">
        <f t="shared" ref="G2083:G2088" si="377">ROUND(E2083*F2083,2)</f>
        <v>0.06</v>
      </c>
    </row>
    <row r="2084" ht="21.0" customHeight="1">
      <c r="A2084" s="10" t="s">
        <v>22</v>
      </c>
      <c r="B2084" s="10" t="s">
        <v>18</v>
      </c>
      <c r="C2084" s="10" t="s">
        <v>23</v>
      </c>
      <c r="D2084" s="10" t="s">
        <v>24</v>
      </c>
      <c r="E2084" s="14">
        <v>0.2</v>
      </c>
      <c r="F2084" s="15">
        <f>F2088</f>
        <v>43.8</v>
      </c>
      <c r="G2084" s="12">
        <f t="shared" si="377"/>
        <v>8.76</v>
      </c>
    </row>
    <row r="2085" ht="24.0" customHeight="1">
      <c r="A2085" s="10" t="s">
        <v>25</v>
      </c>
      <c r="B2085" s="10" t="s">
        <v>26</v>
      </c>
      <c r="C2085" s="10" t="s">
        <v>23</v>
      </c>
      <c r="D2085" s="10" t="s">
        <v>27</v>
      </c>
      <c r="E2085" s="14">
        <v>1.0</v>
      </c>
      <c r="F2085" s="15">
        <f>ROUND(21,3)</f>
        <v>21</v>
      </c>
      <c r="G2085" s="12">
        <f t="shared" si="377"/>
        <v>21</v>
      </c>
    </row>
    <row r="2086" ht="24.0" customHeight="1">
      <c r="A2086" s="10" t="s">
        <v>28</v>
      </c>
      <c r="B2086" s="10" t="s">
        <v>26</v>
      </c>
      <c r="C2086" s="10" t="s">
        <v>23</v>
      </c>
      <c r="D2086" s="10" t="s">
        <v>29</v>
      </c>
      <c r="E2086" s="14">
        <v>1.0</v>
      </c>
      <c r="F2086" s="15">
        <f t="shared" ref="F2086:F2087" si="378">ROUND(19,3)</f>
        <v>19</v>
      </c>
      <c r="G2086" s="12">
        <f t="shared" si="377"/>
        <v>19</v>
      </c>
    </row>
    <row r="2087" ht="24.0" customHeight="1">
      <c r="A2087" s="10" t="s">
        <v>30</v>
      </c>
      <c r="B2087" s="10" t="s">
        <v>26</v>
      </c>
      <c r="C2087" s="10" t="s">
        <v>23</v>
      </c>
      <c r="D2087" s="10" t="s">
        <v>31</v>
      </c>
      <c r="E2087" s="14">
        <v>0.2</v>
      </c>
      <c r="F2087" s="15">
        <f t="shared" si="378"/>
        <v>19</v>
      </c>
      <c r="G2087" s="12">
        <f t="shared" si="377"/>
        <v>3.8</v>
      </c>
    </row>
    <row r="2088" ht="15.0" customHeight="1">
      <c r="A2088" s="11"/>
      <c r="B2088" s="11"/>
      <c r="C2088" s="11"/>
      <c r="D2088" s="10" t="s">
        <v>22</v>
      </c>
      <c r="E2088" s="14">
        <v>0.2</v>
      </c>
      <c r="F2088" s="15">
        <f>ROUND((G2085+G2086+G2087),3)</f>
        <v>43.8</v>
      </c>
      <c r="G2088" s="12">
        <f t="shared" si="377"/>
        <v>8.76</v>
      </c>
    </row>
    <row r="2089" ht="15.0" customHeight="1">
      <c r="A2089" s="10" t="s">
        <v>32</v>
      </c>
      <c r="B2089" s="10"/>
      <c r="C2089" s="10" t="s">
        <v>33</v>
      </c>
      <c r="D2089" s="10" t="s">
        <v>34</v>
      </c>
      <c r="E2089" s="14">
        <v>3.0</v>
      </c>
      <c r="F2089" s="15">
        <f>ROUND(8.76,3)</f>
        <v>8.76</v>
      </c>
      <c r="G2089" s="12">
        <f>ROUND((E2089*F2089)/100,2)</f>
        <v>0.26</v>
      </c>
    </row>
    <row r="2090" ht="15.0" customHeight="1">
      <c r="A2090" s="16"/>
      <c r="B2090" s="16"/>
      <c r="C2090" s="16"/>
      <c r="D2090" s="17" t="s">
        <v>992</v>
      </c>
      <c r="E2090" s="16"/>
      <c r="F2090" s="18">
        <f>ROUND((G2083+G2084+G2089)*(1+G2/100),2)</f>
        <v>9.08</v>
      </c>
      <c r="G2090" s="16"/>
    </row>
    <row r="2091" ht="21.0" customHeight="1">
      <c r="A2091" s="19" t="s">
        <v>995</v>
      </c>
      <c r="B2091" s="20" t="s">
        <v>18</v>
      </c>
      <c r="C2091" s="20" t="s">
        <v>295</v>
      </c>
      <c r="D2091" s="20" t="s">
        <v>996</v>
      </c>
      <c r="E2091" s="21"/>
      <c r="F2091" s="22">
        <f>F2102</f>
        <v>32.53</v>
      </c>
      <c r="G2091" s="21"/>
    </row>
    <row r="2092" ht="57.75" customHeight="1">
      <c r="A2092" s="11"/>
      <c r="B2092" s="11"/>
      <c r="C2092" s="11"/>
      <c r="D2092" s="10" t="s">
        <v>997</v>
      </c>
    </row>
    <row r="2093" ht="21.0" customHeight="1">
      <c r="A2093" s="10" t="s">
        <v>967</v>
      </c>
      <c r="B2093" s="10" t="s">
        <v>42</v>
      </c>
      <c r="C2093" s="10" t="s">
        <v>325</v>
      </c>
      <c r="D2093" s="10" t="s">
        <v>968</v>
      </c>
      <c r="E2093" s="14">
        <v>0.1</v>
      </c>
      <c r="F2093" s="15">
        <f>ROUND(6.49,3)</f>
        <v>6.49</v>
      </c>
      <c r="G2093" s="12">
        <f t="shared" ref="G2093:G2100" si="379">ROUND(E2093*F2093,2)</f>
        <v>0.65</v>
      </c>
    </row>
    <row r="2094" ht="21.0" customHeight="1">
      <c r="A2094" s="10" t="s">
        <v>969</v>
      </c>
      <c r="B2094" s="10" t="s">
        <v>112</v>
      </c>
      <c r="C2094" s="10" t="s">
        <v>23</v>
      </c>
      <c r="D2094" s="10" t="s">
        <v>970</v>
      </c>
      <c r="E2094" s="14">
        <v>0.3</v>
      </c>
      <c r="F2094" s="15">
        <f>ROUND(2,3)</f>
        <v>2</v>
      </c>
      <c r="G2094" s="12">
        <f t="shared" si="379"/>
        <v>0.6</v>
      </c>
    </row>
    <row r="2095" ht="30.0" customHeight="1">
      <c r="A2095" s="10" t="s">
        <v>971</v>
      </c>
      <c r="B2095" s="10" t="s">
        <v>42</v>
      </c>
      <c r="C2095" s="10" t="s">
        <v>231</v>
      </c>
      <c r="D2095" s="10" t="s">
        <v>972</v>
      </c>
      <c r="E2095" s="14">
        <v>0.25</v>
      </c>
      <c r="F2095" s="15">
        <f>ROUND(4.92,3)</f>
        <v>4.92</v>
      </c>
      <c r="G2095" s="12">
        <f t="shared" si="379"/>
        <v>1.23</v>
      </c>
    </row>
    <row r="2096" ht="21.0" customHeight="1">
      <c r="A2096" s="10" t="s">
        <v>22</v>
      </c>
      <c r="B2096" s="10" t="s">
        <v>18</v>
      </c>
      <c r="C2096" s="10" t="s">
        <v>23</v>
      </c>
      <c r="D2096" s="10" t="s">
        <v>24</v>
      </c>
      <c r="E2096" s="14">
        <v>0.666</v>
      </c>
      <c r="F2096" s="15">
        <f>F2100</f>
        <v>43.8</v>
      </c>
      <c r="G2096" s="12">
        <f t="shared" si="379"/>
        <v>29.17</v>
      </c>
    </row>
    <row r="2097" ht="24.0" customHeight="1">
      <c r="A2097" s="10" t="s">
        <v>25</v>
      </c>
      <c r="B2097" s="10" t="s">
        <v>26</v>
      </c>
      <c r="C2097" s="10" t="s">
        <v>23</v>
      </c>
      <c r="D2097" s="10" t="s">
        <v>27</v>
      </c>
      <c r="E2097" s="14">
        <v>1.0</v>
      </c>
      <c r="F2097" s="15">
        <f>ROUND(21,3)</f>
        <v>21</v>
      </c>
      <c r="G2097" s="12">
        <f t="shared" si="379"/>
        <v>21</v>
      </c>
    </row>
    <row r="2098" ht="24.0" customHeight="1">
      <c r="A2098" s="10" t="s">
        <v>28</v>
      </c>
      <c r="B2098" s="10" t="s">
        <v>26</v>
      </c>
      <c r="C2098" s="10" t="s">
        <v>23</v>
      </c>
      <c r="D2098" s="10" t="s">
        <v>29</v>
      </c>
      <c r="E2098" s="14">
        <v>1.0</v>
      </c>
      <c r="F2098" s="15">
        <f t="shared" ref="F2098:F2099" si="380">ROUND(19,3)</f>
        <v>19</v>
      </c>
      <c r="G2098" s="12">
        <f t="shared" si="379"/>
        <v>19</v>
      </c>
    </row>
    <row r="2099" ht="24.0" customHeight="1">
      <c r="A2099" s="10" t="s">
        <v>30</v>
      </c>
      <c r="B2099" s="10" t="s">
        <v>26</v>
      </c>
      <c r="C2099" s="10" t="s">
        <v>23</v>
      </c>
      <c r="D2099" s="10" t="s">
        <v>31</v>
      </c>
      <c r="E2099" s="14">
        <v>0.2</v>
      </c>
      <c r="F2099" s="15">
        <f t="shared" si="380"/>
        <v>19</v>
      </c>
      <c r="G2099" s="12">
        <f t="shared" si="379"/>
        <v>3.8</v>
      </c>
    </row>
    <row r="2100" ht="15.0" customHeight="1">
      <c r="A2100" s="11"/>
      <c r="B2100" s="11"/>
      <c r="C2100" s="11"/>
      <c r="D2100" s="10" t="s">
        <v>22</v>
      </c>
      <c r="E2100" s="14">
        <v>0.666</v>
      </c>
      <c r="F2100" s="15">
        <f>ROUND((G2097+G2098+G2099),3)</f>
        <v>43.8</v>
      </c>
      <c r="G2100" s="12">
        <f t="shared" si="379"/>
        <v>29.17</v>
      </c>
    </row>
    <row r="2101" ht="15.0" customHeight="1">
      <c r="A2101" s="10" t="s">
        <v>32</v>
      </c>
      <c r="B2101" s="10"/>
      <c r="C2101" s="10" t="s">
        <v>33</v>
      </c>
      <c r="D2101" s="10" t="s">
        <v>34</v>
      </c>
      <c r="E2101" s="14">
        <v>3.0</v>
      </c>
      <c r="F2101" s="15">
        <f>ROUND(29.17,3)</f>
        <v>29.17</v>
      </c>
      <c r="G2101" s="12">
        <f>ROUND((E2101*F2101)/100,2)</f>
        <v>0.88</v>
      </c>
    </row>
    <row r="2102" ht="15.0" customHeight="1">
      <c r="A2102" s="16"/>
      <c r="B2102" s="16"/>
      <c r="C2102" s="16"/>
      <c r="D2102" s="17" t="s">
        <v>995</v>
      </c>
      <c r="E2102" s="16"/>
      <c r="F2102" s="18">
        <f>ROUND((G2093+G2094+G2095+G2096+G2101)*(1+G2/100),2)</f>
        <v>32.53</v>
      </c>
      <c r="G2102" s="16"/>
    </row>
    <row r="2103" ht="21.0" customHeight="1">
      <c r="A2103" s="19" t="s">
        <v>998</v>
      </c>
      <c r="B2103" s="20" t="s">
        <v>18</v>
      </c>
      <c r="C2103" s="20" t="s">
        <v>321</v>
      </c>
      <c r="D2103" s="20" t="s">
        <v>999</v>
      </c>
      <c r="E2103" s="21"/>
      <c r="F2103" s="22">
        <f>F2113</f>
        <v>13.2</v>
      </c>
      <c r="G2103" s="21"/>
    </row>
    <row r="2104" ht="21.0" customHeight="1">
      <c r="A2104" s="11"/>
      <c r="B2104" s="11"/>
      <c r="C2104" s="11"/>
      <c r="D2104" s="10" t="s">
        <v>1000</v>
      </c>
    </row>
    <row r="2105" ht="39.75" customHeight="1">
      <c r="A2105" s="10" t="s">
        <v>953</v>
      </c>
      <c r="B2105" s="10" t="s">
        <v>112</v>
      </c>
      <c r="C2105" s="10" t="s">
        <v>23</v>
      </c>
      <c r="D2105" s="10" t="s">
        <v>954</v>
      </c>
      <c r="E2105" s="14">
        <v>0.3</v>
      </c>
      <c r="F2105" s="15">
        <f>ROUND(1.75,3)</f>
        <v>1.75</v>
      </c>
      <c r="G2105" s="12">
        <f t="shared" ref="G2105:G2111" si="381">ROUND(E2105*F2105,2)</f>
        <v>0.53</v>
      </c>
    </row>
    <row r="2106" ht="21.0" customHeight="1">
      <c r="A2106" s="10" t="s">
        <v>955</v>
      </c>
      <c r="B2106" s="10" t="s">
        <v>42</v>
      </c>
      <c r="C2106" s="10" t="s">
        <v>956</v>
      </c>
      <c r="D2106" s="10" t="s">
        <v>957</v>
      </c>
      <c r="E2106" s="14">
        <v>0.04</v>
      </c>
      <c r="F2106" s="15">
        <f>ROUND(0.97,3)</f>
        <v>0.97</v>
      </c>
      <c r="G2106" s="12">
        <f t="shared" si="381"/>
        <v>0.04</v>
      </c>
    </row>
    <row r="2107" ht="21.0" customHeight="1">
      <c r="A2107" s="10" t="s">
        <v>22</v>
      </c>
      <c r="B2107" s="10" t="s">
        <v>18</v>
      </c>
      <c r="C2107" s="10" t="s">
        <v>23</v>
      </c>
      <c r="D2107" s="10" t="s">
        <v>24</v>
      </c>
      <c r="E2107" s="14">
        <v>0.28</v>
      </c>
      <c r="F2107" s="15">
        <f>F2111</f>
        <v>43.8</v>
      </c>
      <c r="G2107" s="12">
        <f t="shared" si="381"/>
        <v>12.26</v>
      </c>
    </row>
    <row r="2108" ht="24.0" customHeight="1">
      <c r="A2108" s="10" t="s">
        <v>25</v>
      </c>
      <c r="B2108" s="10" t="s">
        <v>26</v>
      </c>
      <c r="C2108" s="10" t="s">
        <v>23</v>
      </c>
      <c r="D2108" s="10" t="s">
        <v>27</v>
      </c>
      <c r="E2108" s="14">
        <v>1.0</v>
      </c>
      <c r="F2108" s="15">
        <f>ROUND(21,3)</f>
        <v>21</v>
      </c>
      <c r="G2108" s="12">
        <f t="shared" si="381"/>
        <v>21</v>
      </c>
    </row>
    <row r="2109" ht="24.0" customHeight="1">
      <c r="A2109" s="10" t="s">
        <v>28</v>
      </c>
      <c r="B2109" s="10" t="s">
        <v>26</v>
      </c>
      <c r="C2109" s="10" t="s">
        <v>23</v>
      </c>
      <c r="D2109" s="10" t="s">
        <v>29</v>
      </c>
      <c r="E2109" s="14">
        <v>1.0</v>
      </c>
      <c r="F2109" s="15">
        <f t="shared" ref="F2109:F2110" si="382">ROUND(19,3)</f>
        <v>19</v>
      </c>
      <c r="G2109" s="12">
        <f t="shared" si="381"/>
        <v>19</v>
      </c>
    </row>
    <row r="2110" ht="24.0" customHeight="1">
      <c r="A2110" s="10" t="s">
        <v>30</v>
      </c>
      <c r="B2110" s="10" t="s">
        <v>26</v>
      </c>
      <c r="C2110" s="10" t="s">
        <v>23</v>
      </c>
      <c r="D2110" s="10" t="s">
        <v>31</v>
      </c>
      <c r="E2110" s="14">
        <v>0.2</v>
      </c>
      <c r="F2110" s="15">
        <f t="shared" si="382"/>
        <v>19</v>
      </c>
      <c r="G2110" s="12">
        <f t="shared" si="381"/>
        <v>3.8</v>
      </c>
    </row>
    <row r="2111" ht="15.0" customHeight="1">
      <c r="A2111" s="11"/>
      <c r="B2111" s="11"/>
      <c r="C2111" s="11"/>
      <c r="D2111" s="10" t="s">
        <v>22</v>
      </c>
      <c r="E2111" s="14">
        <v>0.28</v>
      </c>
      <c r="F2111" s="15">
        <f>ROUND((G2108+G2109+G2110),3)</f>
        <v>43.8</v>
      </c>
      <c r="G2111" s="12">
        <f t="shared" si="381"/>
        <v>12.26</v>
      </c>
    </row>
    <row r="2112" ht="15.0" customHeight="1">
      <c r="A2112" s="10" t="s">
        <v>32</v>
      </c>
      <c r="B2112" s="10"/>
      <c r="C2112" s="10" t="s">
        <v>33</v>
      </c>
      <c r="D2112" s="10" t="s">
        <v>34</v>
      </c>
      <c r="E2112" s="14">
        <v>3.0</v>
      </c>
      <c r="F2112" s="15">
        <f>ROUND(12.26,3)</f>
        <v>12.26</v>
      </c>
      <c r="G2112" s="12">
        <f>ROUND((E2112*F2112)/100,2)</f>
        <v>0.37</v>
      </c>
    </row>
    <row r="2113" ht="15.0" customHeight="1">
      <c r="A2113" s="16"/>
      <c r="B2113" s="16"/>
      <c r="C2113" s="16"/>
      <c r="D2113" s="17" t="s">
        <v>998</v>
      </c>
      <c r="E2113" s="16"/>
      <c r="F2113" s="18">
        <f>ROUND((G2105+G2106+G2107+G2112)*(1+G2/100),2)</f>
        <v>13.2</v>
      </c>
      <c r="G2113" s="16"/>
    </row>
    <row r="2114" ht="30.0" customHeight="1">
      <c r="A2114" s="19" t="s">
        <v>1001</v>
      </c>
      <c r="B2114" s="20" t="s">
        <v>18</v>
      </c>
      <c r="C2114" s="20" t="s">
        <v>295</v>
      </c>
      <c r="D2114" s="20" t="s">
        <v>1002</v>
      </c>
      <c r="E2114" s="21"/>
      <c r="F2114" s="22">
        <f>F2129</f>
        <v>51.76</v>
      </c>
      <c r="G2114" s="21"/>
    </row>
    <row r="2115" ht="39.75" customHeight="1">
      <c r="A2115" s="11"/>
      <c r="B2115" s="11"/>
      <c r="C2115" s="11"/>
      <c r="D2115" s="10" t="s">
        <v>1003</v>
      </c>
    </row>
    <row r="2116" ht="30.0" customHeight="1">
      <c r="A2116" s="10" t="s">
        <v>1004</v>
      </c>
      <c r="B2116" s="10" t="s">
        <v>42</v>
      </c>
      <c r="C2116" s="10" t="s">
        <v>184</v>
      </c>
      <c r="D2116" s="10" t="s">
        <v>1005</v>
      </c>
      <c r="E2116" s="14">
        <v>0.2</v>
      </c>
      <c r="F2116" s="15">
        <f>ROUND(22.45,3)</f>
        <v>22.45</v>
      </c>
      <c r="G2116" s="12">
        <f t="shared" ref="G2116:G2127" si="383">ROUND(E2116*F2116,2)</f>
        <v>4.49</v>
      </c>
    </row>
    <row r="2117" ht="30.0" customHeight="1">
      <c r="A2117" s="10" t="s">
        <v>1006</v>
      </c>
      <c r="B2117" s="10" t="s">
        <v>42</v>
      </c>
      <c r="C2117" s="10" t="s">
        <v>184</v>
      </c>
      <c r="D2117" s="10" t="s">
        <v>1007</v>
      </c>
      <c r="E2117" s="14">
        <v>0.044</v>
      </c>
      <c r="F2117" s="15">
        <f>ROUND(16.81,3)</f>
        <v>16.81</v>
      </c>
      <c r="G2117" s="12">
        <f t="shared" si="383"/>
        <v>0.74</v>
      </c>
    </row>
    <row r="2118" ht="30.0" customHeight="1">
      <c r="A2118" s="10" t="s">
        <v>684</v>
      </c>
      <c r="B2118" s="10" t="s">
        <v>18</v>
      </c>
      <c r="C2118" s="10" t="s">
        <v>23</v>
      </c>
      <c r="D2118" s="10" t="s">
        <v>685</v>
      </c>
      <c r="E2118" s="14">
        <v>0.2</v>
      </c>
      <c r="F2118" s="15">
        <f>F2120</f>
        <v>4.17</v>
      </c>
      <c r="G2118" s="12">
        <f t="shared" si="383"/>
        <v>0.83</v>
      </c>
    </row>
    <row r="2119" ht="30.0" customHeight="1">
      <c r="A2119" s="10" t="s">
        <v>686</v>
      </c>
      <c r="B2119" s="10" t="s">
        <v>112</v>
      </c>
      <c r="C2119" s="10" t="s">
        <v>231</v>
      </c>
      <c r="D2119" s="10" t="s">
        <v>687</v>
      </c>
      <c r="E2119" s="14">
        <v>0.00417</v>
      </c>
      <c r="F2119" s="15">
        <f>ROUND(999,3)</f>
        <v>999</v>
      </c>
      <c r="G2119" s="12">
        <f t="shared" si="383"/>
        <v>4.17</v>
      </c>
    </row>
    <row r="2120" ht="15.0" customHeight="1">
      <c r="A2120" s="11"/>
      <c r="B2120" s="11"/>
      <c r="C2120" s="11"/>
      <c r="D2120" s="10" t="s">
        <v>684</v>
      </c>
      <c r="E2120" s="14">
        <v>0.2</v>
      </c>
      <c r="F2120" s="15">
        <f>ROUND((G2119),3)</f>
        <v>4.17</v>
      </c>
      <c r="G2120" s="12">
        <f t="shared" si="383"/>
        <v>0.83</v>
      </c>
    </row>
    <row r="2121" ht="39.75" customHeight="1">
      <c r="A2121" s="10" t="s">
        <v>953</v>
      </c>
      <c r="B2121" s="10" t="s">
        <v>112</v>
      </c>
      <c r="C2121" s="10" t="s">
        <v>23</v>
      </c>
      <c r="D2121" s="10" t="s">
        <v>954</v>
      </c>
      <c r="E2121" s="14">
        <v>0.2</v>
      </c>
      <c r="F2121" s="15">
        <f>ROUND(1.75,3)</f>
        <v>1.75</v>
      </c>
      <c r="G2121" s="12">
        <f t="shared" si="383"/>
        <v>0.35</v>
      </c>
    </row>
    <row r="2122" ht="21.0" customHeight="1">
      <c r="A2122" s="10" t="s">
        <v>955</v>
      </c>
      <c r="B2122" s="10" t="s">
        <v>42</v>
      </c>
      <c r="C2122" s="10" t="s">
        <v>956</v>
      </c>
      <c r="D2122" s="10" t="s">
        <v>957</v>
      </c>
      <c r="E2122" s="14">
        <v>0.25</v>
      </c>
      <c r="F2122" s="15">
        <f>ROUND(0.97,3)</f>
        <v>0.97</v>
      </c>
      <c r="G2122" s="12">
        <f t="shared" si="383"/>
        <v>0.24</v>
      </c>
    </row>
    <row r="2123" ht="21.0" customHeight="1">
      <c r="A2123" s="10" t="s">
        <v>22</v>
      </c>
      <c r="B2123" s="10" t="s">
        <v>18</v>
      </c>
      <c r="C2123" s="10" t="s">
        <v>23</v>
      </c>
      <c r="D2123" s="10" t="s">
        <v>24</v>
      </c>
      <c r="E2123" s="14">
        <v>1.0</v>
      </c>
      <c r="F2123" s="15">
        <f>F2127</f>
        <v>43.8</v>
      </c>
      <c r="G2123" s="12">
        <f t="shared" si="383"/>
        <v>43.8</v>
      </c>
    </row>
    <row r="2124" ht="24.0" customHeight="1">
      <c r="A2124" s="10" t="s">
        <v>25</v>
      </c>
      <c r="B2124" s="10" t="s">
        <v>26</v>
      </c>
      <c r="C2124" s="10" t="s">
        <v>23</v>
      </c>
      <c r="D2124" s="10" t="s">
        <v>27</v>
      </c>
      <c r="E2124" s="14">
        <v>1.0</v>
      </c>
      <c r="F2124" s="15">
        <f>ROUND(21,3)</f>
        <v>21</v>
      </c>
      <c r="G2124" s="12">
        <f t="shared" si="383"/>
        <v>21</v>
      </c>
    </row>
    <row r="2125" ht="24.0" customHeight="1">
      <c r="A2125" s="10" t="s">
        <v>28</v>
      </c>
      <c r="B2125" s="10" t="s">
        <v>26</v>
      </c>
      <c r="C2125" s="10" t="s">
        <v>23</v>
      </c>
      <c r="D2125" s="10" t="s">
        <v>29</v>
      </c>
      <c r="E2125" s="14">
        <v>1.0</v>
      </c>
      <c r="F2125" s="15">
        <f t="shared" ref="F2125:F2126" si="384">ROUND(19,3)</f>
        <v>19</v>
      </c>
      <c r="G2125" s="12">
        <f t="shared" si="383"/>
        <v>19</v>
      </c>
    </row>
    <row r="2126" ht="24.0" customHeight="1">
      <c r="A2126" s="10" t="s">
        <v>30</v>
      </c>
      <c r="B2126" s="10" t="s">
        <v>26</v>
      </c>
      <c r="C2126" s="10" t="s">
        <v>23</v>
      </c>
      <c r="D2126" s="10" t="s">
        <v>31</v>
      </c>
      <c r="E2126" s="14">
        <v>0.2</v>
      </c>
      <c r="F2126" s="15">
        <f t="shared" si="384"/>
        <v>19</v>
      </c>
      <c r="G2126" s="12">
        <f t="shared" si="383"/>
        <v>3.8</v>
      </c>
    </row>
    <row r="2127" ht="15.0" customHeight="1">
      <c r="A2127" s="11"/>
      <c r="B2127" s="11"/>
      <c r="C2127" s="11"/>
      <c r="D2127" s="10" t="s">
        <v>22</v>
      </c>
      <c r="E2127" s="14">
        <v>1.0</v>
      </c>
      <c r="F2127" s="15">
        <f>ROUND((G2124+G2125+G2126),3)</f>
        <v>43.8</v>
      </c>
      <c r="G2127" s="12">
        <f t="shared" si="383"/>
        <v>43.8</v>
      </c>
    </row>
    <row r="2128" ht="15.0" customHeight="1">
      <c r="A2128" s="10" t="s">
        <v>32</v>
      </c>
      <c r="B2128" s="10"/>
      <c r="C2128" s="10" t="s">
        <v>33</v>
      </c>
      <c r="D2128" s="10" t="s">
        <v>34</v>
      </c>
      <c r="E2128" s="14">
        <v>3.0</v>
      </c>
      <c r="F2128" s="15">
        <f>ROUND(43.8,3)</f>
        <v>43.8</v>
      </c>
      <c r="G2128" s="12">
        <f>ROUND((E2128*F2128)/100,2)</f>
        <v>1.31</v>
      </c>
    </row>
    <row r="2129" ht="15.0" customHeight="1">
      <c r="A2129" s="16"/>
      <c r="B2129" s="16"/>
      <c r="C2129" s="16"/>
      <c r="D2129" s="17" t="s">
        <v>1001</v>
      </c>
      <c r="E2129" s="16"/>
      <c r="F2129" s="18">
        <f>ROUND((G2116+G2117+G2118+G2121+G2122+G2123+G2128)*(1+G2/100),2)</f>
        <v>51.76</v>
      </c>
      <c r="G2129" s="16"/>
    </row>
    <row r="2130" ht="95.25" customHeight="1">
      <c r="A2130" s="19" t="s">
        <v>1008</v>
      </c>
      <c r="B2130" s="20" t="s">
        <v>18</v>
      </c>
      <c r="C2130" s="20" t="s">
        <v>295</v>
      </c>
      <c r="D2130" s="20" t="s">
        <v>1009</v>
      </c>
      <c r="E2130" s="21"/>
      <c r="F2130" s="22">
        <f>F2140</f>
        <v>115.65</v>
      </c>
      <c r="G2130" s="21"/>
    </row>
    <row r="2131" ht="57.75" customHeight="1">
      <c r="A2131" s="11"/>
      <c r="B2131" s="11"/>
      <c r="C2131" s="11"/>
      <c r="D2131" s="10" t="s">
        <v>1010</v>
      </c>
    </row>
    <row r="2132" ht="21.0" customHeight="1">
      <c r="A2132" s="10" t="s">
        <v>230</v>
      </c>
      <c r="B2132" s="10" t="s">
        <v>42</v>
      </c>
      <c r="C2132" s="10" t="s">
        <v>231</v>
      </c>
      <c r="D2132" s="10" t="s">
        <v>232</v>
      </c>
      <c r="E2132" s="14">
        <v>0.75</v>
      </c>
      <c r="F2132" s="15">
        <f>ROUND(3.47,3)</f>
        <v>3.47</v>
      </c>
      <c r="G2132" s="12">
        <f t="shared" ref="G2132:G2138" si="385">ROUND(E2132*F2132,2)</f>
        <v>2.6</v>
      </c>
    </row>
    <row r="2133" ht="21.0" customHeight="1">
      <c r="A2133" s="10" t="s">
        <v>242</v>
      </c>
      <c r="B2133" s="10" t="s">
        <v>42</v>
      </c>
      <c r="C2133" s="10" t="s">
        <v>226</v>
      </c>
      <c r="D2133" s="10" t="s">
        <v>243</v>
      </c>
      <c r="E2133" s="14">
        <v>0.2</v>
      </c>
      <c r="F2133" s="15">
        <f>ROUND(1.32,3)</f>
        <v>1.32</v>
      </c>
      <c r="G2133" s="12">
        <f t="shared" si="385"/>
        <v>0.26</v>
      </c>
    </row>
    <row r="2134" ht="21.0" customHeight="1">
      <c r="A2134" s="10" t="s">
        <v>22</v>
      </c>
      <c r="B2134" s="10" t="s">
        <v>18</v>
      </c>
      <c r="C2134" s="10" t="s">
        <v>23</v>
      </c>
      <c r="D2134" s="10" t="s">
        <v>24</v>
      </c>
      <c r="E2134" s="14">
        <v>2.5</v>
      </c>
      <c r="F2134" s="15">
        <f>F2138</f>
        <v>43.8</v>
      </c>
      <c r="G2134" s="12">
        <f t="shared" si="385"/>
        <v>109.5</v>
      </c>
    </row>
    <row r="2135" ht="24.0" customHeight="1">
      <c r="A2135" s="10" t="s">
        <v>25</v>
      </c>
      <c r="B2135" s="10" t="s">
        <v>26</v>
      </c>
      <c r="C2135" s="10" t="s">
        <v>23</v>
      </c>
      <c r="D2135" s="10" t="s">
        <v>27</v>
      </c>
      <c r="E2135" s="14">
        <v>1.0</v>
      </c>
      <c r="F2135" s="15">
        <f>ROUND(21,3)</f>
        <v>21</v>
      </c>
      <c r="G2135" s="12">
        <f t="shared" si="385"/>
        <v>21</v>
      </c>
    </row>
    <row r="2136" ht="24.0" customHeight="1">
      <c r="A2136" s="10" t="s">
        <v>28</v>
      </c>
      <c r="B2136" s="10" t="s">
        <v>26</v>
      </c>
      <c r="C2136" s="10" t="s">
        <v>23</v>
      </c>
      <c r="D2136" s="10" t="s">
        <v>29</v>
      </c>
      <c r="E2136" s="14">
        <v>1.0</v>
      </c>
      <c r="F2136" s="15">
        <f t="shared" ref="F2136:F2137" si="386">ROUND(19,3)</f>
        <v>19</v>
      </c>
      <c r="G2136" s="12">
        <f t="shared" si="385"/>
        <v>19</v>
      </c>
    </row>
    <row r="2137" ht="24.0" customHeight="1">
      <c r="A2137" s="10" t="s">
        <v>30</v>
      </c>
      <c r="B2137" s="10" t="s">
        <v>26</v>
      </c>
      <c r="C2137" s="10" t="s">
        <v>23</v>
      </c>
      <c r="D2137" s="10" t="s">
        <v>31</v>
      </c>
      <c r="E2137" s="14">
        <v>0.2</v>
      </c>
      <c r="F2137" s="15">
        <f t="shared" si="386"/>
        <v>19</v>
      </c>
      <c r="G2137" s="12">
        <f t="shared" si="385"/>
        <v>3.8</v>
      </c>
    </row>
    <row r="2138" ht="15.0" customHeight="1">
      <c r="A2138" s="11"/>
      <c r="B2138" s="11"/>
      <c r="C2138" s="11"/>
      <c r="D2138" s="10" t="s">
        <v>22</v>
      </c>
      <c r="E2138" s="14">
        <v>2.5</v>
      </c>
      <c r="F2138" s="15">
        <f>ROUND((G2135+G2136+G2137),3)</f>
        <v>43.8</v>
      </c>
      <c r="G2138" s="12">
        <f t="shared" si="385"/>
        <v>109.5</v>
      </c>
    </row>
    <row r="2139" ht="15.0" customHeight="1">
      <c r="A2139" s="10" t="s">
        <v>32</v>
      </c>
      <c r="B2139" s="10"/>
      <c r="C2139" s="10" t="s">
        <v>33</v>
      </c>
      <c r="D2139" s="10" t="s">
        <v>34</v>
      </c>
      <c r="E2139" s="14">
        <v>3.0</v>
      </c>
      <c r="F2139" s="15">
        <f>ROUND(109.5,3)</f>
        <v>109.5</v>
      </c>
      <c r="G2139" s="12">
        <f>ROUND((E2139*F2139)/100,2)</f>
        <v>3.29</v>
      </c>
    </row>
    <row r="2140" ht="15.0" customHeight="1">
      <c r="A2140" s="16"/>
      <c r="B2140" s="16"/>
      <c r="C2140" s="16"/>
      <c r="D2140" s="17" t="s">
        <v>1008</v>
      </c>
      <c r="E2140" s="16"/>
      <c r="F2140" s="18">
        <f>ROUND((G2132+G2133+G2134+G2139)*(1+G2/100),2)</f>
        <v>115.65</v>
      </c>
      <c r="G2140" s="16"/>
    </row>
    <row r="2141" ht="95.25" customHeight="1">
      <c r="A2141" s="19" t="s">
        <v>1011</v>
      </c>
      <c r="B2141" s="20" t="s">
        <v>18</v>
      </c>
      <c r="C2141" s="20" t="s">
        <v>295</v>
      </c>
      <c r="D2141" s="20" t="s">
        <v>1012</v>
      </c>
      <c r="E2141" s="21"/>
      <c r="F2141" s="22">
        <f>F2151</f>
        <v>130.12</v>
      </c>
      <c r="G2141" s="21"/>
    </row>
    <row r="2142" ht="57.75" customHeight="1">
      <c r="A2142" s="11"/>
      <c r="B2142" s="11"/>
      <c r="C2142" s="11"/>
      <c r="D2142" s="10" t="s">
        <v>1013</v>
      </c>
    </row>
    <row r="2143" ht="21.0" customHeight="1">
      <c r="A2143" s="10" t="s">
        <v>230</v>
      </c>
      <c r="B2143" s="10" t="s">
        <v>42</v>
      </c>
      <c r="C2143" s="10" t="s">
        <v>231</v>
      </c>
      <c r="D2143" s="10" t="s">
        <v>232</v>
      </c>
      <c r="E2143" s="14">
        <v>1.0</v>
      </c>
      <c r="F2143" s="15">
        <f>ROUND(3.47,3)</f>
        <v>3.47</v>
      </c>
      <c r="G2143" s="12">
        <f t="shared" ref="G2143:G2149" si="387">ROUND(E2143*F2143,2)</f>
        <v>3.47</v>
      </c>
    </row>
    <row r="2144" ht="21.0" customHeight="1">
      <c r="A2144" s="10" t="s">
        <v>242</v>
      </c>
      <c r="B2144" s="10" t="s">
        <v>42</v>
      </c>
      <c r="C2144" s="10" t="s">
        <v>226</v>
      </c>
      <c r="D2144" s="10" t="s">
        <v>243</v>
      </c>
      <c r="E2144" s="14">
        <v>0.25</v>
      </c>
      <c r="F2144" s="15">
        <f>ROUND(1.32,3)</f>
        <v>1.32</v>
      </c>
      <c r="G2144" s="12">
        <f t="shared" si="387"/>
        <v>0.33</v>
      </c>
    </row>
    <row r="2145" ht="21.0" customHeight="1">
      <c r="A2145" s="10" t="s">
        <v>22</v>
      </c>
      <c r="B2145" s="10" t="s">
        <v>18</v>
      </c>
      <c r="C2145" s="10" t="s">
        <v>23</v>
      </c>
      <c r="D2145" s="10" t="s">
        <v>24</v>
      </c>
      <c r="E2145" s="14">
        <v>2.8</v>
      </c>
      <c r="F2145" s="15">
        <f>F2149</f>
        <v>43.8</v>
      </c>
      <c r="G2145" s="12">
        <f t="shared" si="387"/>
        <v>122.64</v>
      </c>
    </row>
    <row r="2146" ht="24.0" customHeight="1">
      <c r="A2146" s="10" t="s">
        <v>25</v>
      </c>
      <c r="B2146" s="10" t="s">
        <v>26</v>
      </c>
      <c r="C2146" s="10" t="s">
        <v>23</v>
      </c>
      <c r="D2146" s="10" t="s">
        <v>27</v>
      </c>
      <c r="E2146" s="14">
        <v>1.0</v>
      </c>
      <c r="F2146" s="15">
        <f>ROUND(21,3)</f>
        <v>21</v>
      </c>
      <c r="G2146" s="12">
        <f t="shared" si="387"/>
        <v>21</v>
      </c>
    </row>
    <row r="2147" ht="24.0" customHeight="1">
      <c r="A2147" s="10" t="s">
        <v>28</v>
      </c>
      <c r="B2147" s="10" t="s">
        <v>26</v>
      </c>
      <c r="C2147" s="10" t="s">
        <v>23</v>
      </c>
      <c r="D2147" s="10" t="s">
        <v>29</v>
      </c>
      <c r="E2147" s="14">
        <v>1.0</v>
      </c>
      <c r="F2147" s="15">
        <f t="shared" ref="F2147:F2148" si="388">ROUND(19,3)</f>
        <v>19</v>
      </c>
      <c r="G2147" s="12">
        <f t="shared" si="387"/>
        <v>19</v>
      </c>
    </row>
    <row r="2148" ht="24.0" customHeight="1">
      <c r="A2148" s="10" t="s">
        <v>30</v>
      </c>
      <c r="B2148" s="10" t="s">
        <v>26</v>
      </c>
      <c r="C2148" s="10" t="s">
        <v>23</v>
      </c>
      <c r="D2148" s="10" t="s">
        <v>31</v>
      </c>
      <c r="E2148" s="14">
        <v>0.2</v>
      </c>
      <c r="F2148" s="15">
        <f t="shared" si="388"/>
        <v>19</v>
      </c>
      <c r="G2148" s="12">
        <f t="shared" si="387"/>
        <v>3.8</v>
      </c>
    </row>
    <row r="2149" ht="15.0" customHeight="1">
      <c r="A2149" s="11"/>
      <c r="B2149" s="11"/>
      <c r="C2149" s="11"/>
      <c r="D2149" s="10" t="s">
        <v>22</v>
      </c>
      <c r="E2149" s="14">
        <v>2.8</v>
      </c>
      <c r="F2149" s="15">
        <f>ROUND((G2146+G2147+G2148),3)</f>
        <v>43.8</v>
      </c>
      <c r="G2149" s="12">
        <f t="shared" si="387"/>
        <v>122.64</v>
      </c>
    </row>
    <row r="2150" ht="15.0" customHeight="1">
      <c r="A2150" s="10" t="s">
        <v>32</v>
      </c>
      <c r="B2150" s="10"/>
      <c r="C2150" s="10" t="s">
        <v>33</v>
      </c>
      <c r="D2150" s="10" t="s">
        <v>34</v>
      </c>
      <c r="E2150" s="14">
        <v>3.0</v>
      </c>
      <c r="F2150" s="15">
        <f>ROUND(122.64,3)</f>
        <v>122.64</v>
      </c>
      <c r="G2150" s="12">
        <f>ROUND((E2150*F2150)/100,2)</f>
        <v>3.68</v>
      </c>
    </row>
    <row r="2151" ht="15.0" customHeight="1">
      <c r="A2151" s="16"/>
      <c r="B2151" s="16"/>
      <c r="C2151" s="16"/>
      <c r="D2151" s="17" t="s">
        <v>1011</v>
      </c>
      <c r="E2151" s="16"/>
      <c r="F2151" s="18">
        <f>ROUND((G2143+G2144+G2145+G2150)*(1+G2/100),2)</f>
        <v>130.12</v>
      </c>
      <c r="G2151" s="16"/>
    </row>
    <row r="2152" ht="85.5" customHeight="1">
      <c r="A2152" s="19" t="s">
        <v>1014</v>
      </c>
      <c r="B2152" s="20" t="s">
        <v>18</v>
      </c>
      <c r="C2152" s="20" t="s">
        <v>295</v>
      </c>
      <c r="D2152" s="20" t="s">
        <v>1015</v>
      </c>
      <c r="E2152" s="21"/>
      <c r="F2152" s="22">
        <f>F2162</f>
        <v>29.01</v>
      </c>
      <c r="G2152" s="21"/>
    </row>
    <row r="2153" ht="30.0" customHeight="1">
      <c r="A2153" s="11"/>
      <c r="B2153" s="11"/>
      <c r="C2153" s="11"/>
      <c r="D2153" s="10" t="s">
        <v>1016</v>
      </c>
    </row>
    <row r="2154" ht="21.0" customHeight="1">
      <c r="A2154" s="10" t="s">
        <v>237</v>
      </c>
      <c r="B2154" s="10" t="s">
        <v>42</v>
      </c>
      <c r="C2154" s="10" t="s">
        <v>231</v>
      </c>
      <c r="D2154" s="10" t="s">
        <v>238</v>
      </c>
      <c r="E2154" s="14">
        <v>1.0</v>
      </c>
      <c r="F2154" s="15">
        <f>ROUND(6.32,3)</f>
        <v>6.32</v>
      </c>
      <c r="G2154" s="12">
        <f t="shared" ref="G2154:G2160" si="389">ROUND(E2154*F2154,2)</f>
        <v>6.32</v>
      </c>
    </row>
    <row r="2155" ht="21.0" customHeight="1">
      <c r="A2155" s="10" t="s">
        <v>242</v>
      </c>
      <c r="B2155" s="10" t="s">
        <v>42</v>
      </c>
      <c r="C2155" s="10" t="s">
        <v>226</v>
      </c>
      <c r="D2155" s="10" t="s">
        <v>243</v>
      </c>
      <c r="E2155" s="14">
        <v>0.1</v>
      </c>
      <c r="F2155" s="15">
        <f>ROUND(1.32,3)</f>
        <v>1.32</v>
      </c>
      <c r="G2155" s="12">
        <f t="shared" si="389"/>
        <v>0.13</v>
      </c>
    </row>
    <row r="2156" ht="21.0" customHeight="1">
      <c r="A2156" s="10" t="s">
        <v>22</v>
      </c>
      <c r="B2156" s="10" t="s">
        <v>18</v>
      </c>
      <c r="C2156" s="10" t="s">
        <v>23</v>
      </c>
      <c r="D2156" s="10" t="s">
        <v>24</v>
      </c>
      <c r="E2156" s="14">
        <v>0.5</v>
      </c>
      <c r="F2156" s="15">
        <f>F2160</f>
        <v>43.8</v>
      </c>
      <c r="G2156" s="12">
        <f t="shared" si="389"/>
        <v>21.9</v>
      </c>
    </row>
    <row r="2157" ht="24.0" customHeight="1">
      <c r="A2157" s="10" t="s">
        <v>25</v>
      </c>
      <c r="B2157" s="10" t="s">
        <v>26</v>
      </c>
      <c r="C2157" s="10" t="s">
        <v>23</v>
      </c>
      <c r="D2157" s="10" t="s">
        <v>27</v>
      </c>
      <c r="E2157" s="14">
        <v>1.0</v>
      </c>
      <c r="F2157" s="15">
        <f>ROUND(21,3)</f>
        <v>21</v>
      </c>
      <c r="G2157" s="12">
        <f t="shared" si="389"/>
        <v>21</v>
      </c>
    </row>
    <row r="2158" ht="24.0" customHeight="1">
      <c r="A2158" s="10" t="s">
        <v>28</v>
      </c>
      <c r="B2158" s="10" t="s">
        <v>26</v>
      </c>
      <c r="C2158" s="10" t="s">
        <v>23</v>
      </c>
      <c r="D2158" s="10" t="s">
        <v>29</v>
      </c>
      <c r="E2158" s="14">
        <v>1.0</v>
      </c>
      <c r="F2158" s="15">
        <f t="shared" ref="F2158:F2159" si="390">ROUND(19,3)</f>
        <v>19</v>
      </c>
      <c r="G2158" s="12">
        <f t="shared" si="389"/>
        <v>19</v>
      </c>
    </row>
    <row r="2159" ht="24.0" customHeight="1">
      <c r="A2159" s="10" t="s">
        <v>30</v>
      </c>
      <c r="B2159" s="10" t="s">
        <v>26</v>
      </c>
      <c r="C2159" s="10" t="s">
        <v>23</v>
      </c>
      <c r="D2159" s="10" t="s">
        <v>31</v>
      </c>
      <c r="E2159" s="14">
        <v>0.2</v>
      </c>
      <c r="F2159" s="15">
        <f t="shared" si="390"/>
        <v>19</v>
      </c>
      <c r="G2159" s="12">
        <f t="shared" si="389"/>
        <v>3.8</v>
      </c>
    </row>
    <row r="2160" ht="15.0" customHeight="1">
      <c r="A2160" s="11"/>
      <c r="B2160" s="11"/>
      <c r="C2160" s="11"/>
      <c r="D2160" s="10" t="s">
        <v>22</v>
      </c>
      <c r="E2160" s="14">
        <v>0.5</v>
      </c>
      <c r="F2160" s="15">
        <f>ROUND((G2157+G2158+G2159),3)</f>
        <v>43.8</v>
      </c>
      <c r="G2160" s="12">
        <f t="shared" si="389"/>
        <v>21.9</v>
      </c>
    </row>
    <row r="2161" ht="15.0" customHeight="1">
      <c r="A2161" s="10" t="s">
        <v>32</v>
      </c>
      <c r="B2161" s="10"/>
      <c r="C2161" s="10" t="s">
        <v>33</v>
      </c>
      <c r="D2161" s="10" t="s">
        <v>34</v>
      </c>
      <c r="E2161" s="14">
        <v>3.0</v>
      </c>
      <c r="F2161" s="15">
        <f>ROUND(21.9,3)</f>
        <v>21.9</v>
      </c>
      <c r="G2161" s="12">
        <f>ROUND((E2161*F2161)/100,2)</f>
        <v>0.66</v>
      </c>
    </row>
    <row r="2162" ht="15.0" customHeight="1">
      <c r="A2162" s="16"/>
      <c r="B2162" s="16"/>
      <c r="C2162" s="16"/>
      <c r="D2162" s="17" t="s">
        <v>1014</v>
      </c>
      <c r="E2162" s="16"/>
      <c r="F2162" s="18">
        <f>ROUND((G2154+G2155+G2156+G2161)*(1+G2/100),2)</f>
        <v>29.01</v>
      </c>
      <c r="G2162" s="16"/>
    </row>
    <row r="2163" ht="39.75" customHeight="1">
      <c r="A2163" s="19" t="s">
        <v>1017</v>
      </c>
      <c r="B2163" s="20" t="s">
        <v>18</v>
      </c>
      <c r="C2163" s="20" t="s">
        <v>1018</v>
      </c>
      <c r="D2163" s="20" t="s">
        <v>1019</v>
      </c>
      <c r="E2163" s="21"/>
      <c r="F2163" s="22">
        <f>F2174</f>
        <v>34.16</v>
      </c>
      <c r="G2163" s="21"/>
    </row>
    <row r="2164" ht="21.0" customHeight="1">
      <c r="A2164" s="11"/>
      <c r="B2164" s="11"/>
      <c r="C2164" s="11"/>
      <c r="D2164" s="10" t="s">
        <v>1020</v>
      </c>
    </row>
    <row r="2165" ht="21.0" customHeight="1">
      <c r="A2165" s="10" t="s">
        <v>237</v>
      </c>
      <c r="B2165" s="10" t="s">
        <v>42</v>
      </c>
      <c r="C2165" s="10" t="s">
        <v>231</v>
      </c>
      <c r="D2165" s="10" t="s">
        <v>238</v>
      </c>
      <c r="E2165" s="14">
        <v>0.5</v>
      </c>
      <c r="F2165" s="15">
        <f>ROUND(6.32,3)</f>
        <v>6.32</v>
      </c>
      <c r="G2165" s="12">
        <f t="shared" ref="G2165:G2172" si="391">ROUND(E2165*F2165,2)</f>
        <v>3.16</v>
      </c>
    </row>
    <row r="2166" ht="21.0" customHeight="1">
      <c r="A2166" s="10" t="s">
        <v>919</v>
      </c>
      <c r="B2166" s="10" t="s">
        <v>42</v>
      </c>
      <c r="C2166" s="10" t="s">
        <v>344</v>
      </c>
      <c r="D2166" s="10" t="s">
        <v>920</v>
      </c>
      <c r="E2166" s="14">
        <v>1.0</v>
      </c>
      <c r="F2166" s="15">
        <f>ROUND(0.9,3)</f>
        <v>0.9</v>
      </c>
      <c r="G2166" s="12">
        <f t="shared" si="391"/>
        <v>0.9</v>
      </c>
    </row>
    <row r="2167" ht="21.0" customHeight="1">
      <c r="A2167" s="10" t="s">
        <v>348</v>
      </c>
      <c r="B2167" s="10" t="s">
        <v>42</v>
      </c>
      <c r="C2167" s="10" t="s">
        <v>226</v>
      </c>
      <c r="D2167" s="10" t="s">
        <v>349</v>
      </c>
      <c r="E2167" s="14">
        <v>0.005</v>
      </c>
      <c r="F2167" s="15">
        <f>ROUND(4.95,3)</f>
        <v>4.95</v>
      </c>
      <c r="G2167" s="12">
        <f t="shared" si="391"/>
        <v>0.02</v>
      </c>
    </row>
    <row r="2168" ht="21.0" customHeight="1">
      <c r="A2168" s="10" t="s">
        <v>22</v>
      </c>
      <c r="B2168" s="10" t="s">
        <v>18</v>
      </c>
      <c r="C2168" s="10" t="s">
        <v>23</v>
      </c>
      <c r="D2168" s="10" t="s">
        <v>24</v>
      </c>
      <c r="E2168" s="14">
        <v>0.66667</v>
      </c>
      <c r="F2168" s="15">
        <f>F2172</f>
        <v>43.8</v>
      </c>
      <c r="G2168" s="12">
        <f t="shared" si="391"/>
        <v>29.2</v>
      </c>
    </row>
    <row r="2169" ht="24.0" customHeight="1">
      <c r="A2169" s="10" t="s">
        <v>25</v>
      </c>
      <c r="B2169" s="10" t="s">
        <v>26</v>
      </c>
      <c r="C2169" s="10" t="s">
        <v>23</v>
      </c>
      <c r="D2169" s="10" t="s">
        <v>27</v>
      </c>
      <c r="E2169" s="14">
        <v>1.0</v>
      </c>
      <c r="F2169" s="15">
        <f>ROUND(21,3)</f>
        <v>21</v>
      </c>
      <c r="G2169" s="12">
        <f t="shared" si="391"/>
        <v>21</v>
      </c>
    </row>
    <row r="2170" ht="24.0" customHeight="1">
      <c r="A2170" s="10" t="s">
        <v>28</v>
      </c>
      <c r="B2170" s="10" t="s">
        <v>26</v>
      </c>
      <c r="C2170" s="10" t="s">
        <v>23</v>
      </c>
      <c r="D2170" s="10" t="s">
        <v>29</v>
      </c>
      <c r="E2170" s="14">
        <v>1.0</v>
      </c>
      <c r="F2170" s="15">
        <f t="shared" ref="F2170:F2171" si="392">ROUND(19,3)</f>
        <v>19</v>
      </c>
      <c r="G2170" s="12">
        <f t="shared" si="391"/>
        <v>19</v>
      </c>
    </row>
    <row r="2171" ht="24.0" customHeight="1">
      <c r="A2171" s="10" t="s">
        <v>30</v>
      </c>
      <c r="B2171" s="10" t="s">
        <v>26</v>
      </c>
      <c r="C2171" s="10" t="s">
        <v>23</v>
      </c>
      <c r="D2171" s="10" t="s">
        <v>31</v>
      </c>
      <c r="E2171" s="14">
        <v>0.2</v>
      </c>
      <c r="F2171" s="15">
        <f t="shared" si="392"/>
        <v>19</v>
      </c>
      <c r="G2171" s="12">
        <f t="shared" si="391"/>
        <v>3.8</v>
      </c>
    </row>
    <row r="2172" ht="15.0" customHeight="1">
      <c r="A2172" s="11"/>
      <c r="B2172" s="11"/>
      <c r="C2172" s="11"/>
      <c r="D2172" s="10" t="s">
        <v>22</v>
      </c>
      <c r="E2172" s="14">
        <v>0.66667</v>
      </c>
      <c r="F2172" s="15">
        <f>ROUND((G2169+G2170+G2171),3)</f>
        <v>43.8</v>
      </c>
      <c r="G2172" s="12">
        <f t="shared" si="391"/>
        <v>29.2</v>
      </c>
    </row>
    <row r="2173" ht="15.0" customHeight="1">
      <c r="A2173" s="10" t="s">
        <v>32</v>
      </c>
      <c r="B2173" s="10"/>
      <c r="C2173" s="10" t="s">
        <v>33</v>
      </c>
      <c r="D2173" s="10" t="s">
        <v>34</v>
      </c>
      <c r="E2173" s="14">
        <v>3.0</v>
      </c>
      <c r="F2173" s="15">
        <f>ROUND(29.2,3)</f>
        <v>29.2</v>
      </c>
      <c r="G2173" s="12">
        <f>ROUND((E2173*F2173)/100,2)</f>
        <v>0.88</v>
      </c>
    </row>
    <row r="2174" ht="15.0" customHeight="1">
      <c r="A2174" s="16"/>
      <c r="B2174" s="16"/>
      <c r="C2174" s="16"/>
      <c r="D2174" s="17" t="s">
        <v>1017</v>
      </c>
      <c r="E2174" s="16"/>
      <c r="F2174" s="18">
        <f>ROUND((G2165+G2166+G2167+G2168+G2173)*(1+G2/100),2)</f>
        <v>34.16</v>
      </c>
      <c r="G2174" s="16"/>
    </row>
    <row r="2175" ht="15.0" customHeight="1">
      <c r="A2175" s="23"/>
      <c r="B2175" s="23"/>
      <c r="C2175" s="23"/>
      <c r="D2175" s="24" t="s">
        <v>900</v>
      </c>
      <c r="E2175" s="25"/>
      <c r="F2175" s="25"/>
      <c r="G2175" s="25"/>
    </row>
    <row r="2176" ht="21.75" customHeight="1">
      <c r="A2176" s="26" t="s">
        <v>1021</v>
      </c>
      <c r="B2176" s="26" t="s">
        <v>10</v>
      </c>
      <c r="C2176" s="27"/>
      <c r="D2176" s="26" t="s">
        <v>1022</v>
      </c>
      <c r="E2176" s="27"/>
      <c r="F2176" s="27"/>
      <c r="G2176" s="27"/>
    </row>
    <row r="2177" ht="30.0" customHeight="1">
      <c r="A2177" s="13" t="s">
        <v>1023</v>
      </c>
      <c r="B2177" s="10" t="s">
        <v>18</v>
      </c>
      <c r="C2177" s="10" t="s">
        <v>19</v>
      </c>
      <c r="D2177" s="10" t="s">
        <v>1024</v>
      </c>
      <c r="E2177" s="11"/>
      <c r="F2177" s="12">
        <f>F2189</f>
        <v>42.79</v>
      </c>
      <c r="G2177" s="11"/>
    </row>
    <row r="2178" ht="48.75" customHeight="1">
      <c r="A2178" s="11"/>
      <c r="B2178" s="11"/>
      <c r="C2178" s="11"/>
      <c r="D2178" s="10" t="s">
        <v>1025</v>
      </c>
    </row>
    <row r="2179" ht="21.0" customHeight="1">
      <c r="A2179" s="10" t="s">
        <v>230</v>
      </c>
      <c r="B2179" s="10" t="s">
        <v>42</v>
      </c>
      <c r="C2179" s="10" t="s">
        <v>231</v>
      </c>
      <c r="D2179" s="10" t="s">
        <v>232</v>
      </c>
      <c r="E2179" s="14">
        <v>0.25</v>
      </c>
      <c r="F2179" s="15">
        <f>ROUND(3.47,3)</f>
        <v>3.47</v>
      </c>
      <c r="G2179" s="12">
        <f t="shared" ref="G2179:G2187" si="393">ROUND(E2179*F2179,2)</f>
        <v>0.87</v>
      </c>
    </row>
    <row r="2180" ht="21.0" customHeight="1">
      <c r="A2180" s="10" t="s">
        <v>242</v>
      </c>
      <c r="B2180" s="10" t="s">
        <v>42</v>
      </c>
      <c r="C2180" s="10" t="s">
        <v>226</v>
      </c>
      <c r="D2180" s="10" t="s">
        <v>243</v>
      </c>
      <c r="E2180" s="14">
        <v>0.1</v>
      </c>
      <c r="F2180" s="15">
        <f>ROUND(1.32,3)</f>
        <v>1.32</v>
      </c>
      <c r="G2180" s="12">
        <f t="shared" si="393"/>
        <v>0.13</v>
      </c>
    </row>
    <row r="2181" ht="39.75" customHeight="1">
      <c r="A2181" s="10" t="s">
        <v>953</v>
      </c>
      <c r="B2181" s="10" t="s">
        <v>112</v>
      </c>
      <c r="C2181" s="10" t="s">
        <v>23</v>
      </c>
      <c r="D2181" s="10" t="s">
        <v>954</v>
      </c>
      <c r="E2181" s="14">
        <v>0.4</v>
      </c>
      <c r="F2181" s="15">
        <f>ROUND(1.75,3)</f>
        <v>1.75</v>
      </c>
      <c r="G2181" s="12">
        <f t="shared" si="393"/>
        <v>0.7</v>
      </c>
    </row>
    <row r="2182" ht="21.0" customHeight="1">
      <c r="A2182" s="10" t="s">
        <v>955</v>
      </c>
      <c r="B2182" s="10" t="s">
        <v>42</v>
      </c>
      <c r="C2182" s="10" t="s">
        <v>956</v>
      </c>
      <c r="D2182" s="10" t="s">
        <v>957</v>
      </c>
      <c r="E2182" s="14">
        <v>0.5</v>
      </c>
      <c r="F2182" s="15">
        <f>ROUND(0.97,3)</f>
        <v>0.97</v>
      </c>
      <c r="G2182" s="12">
        <f t="shared" si="393"/>
        <v>0.49</v>
      </c>
    </row>
    <row r="2183" ht="21.0" customHeight="1">
      <c r="A2183" s="10" t="s">
        <v>22</v>
      </c>
      <c r="B2183" s="10" t="s">
        <v>18</v>
      </c>
      <c r="C2183" s="10" t="s">
        <v>23</v>
      </c>
      <c r="D2183" s="10" t="s">
        <v>24</v>
      </c>
      <c r="E2183" s="14">
        <v>0.9</v>
      </c>
      <c r="F2183" s="15">
        <f>F2187</f>
        <v>43.8</v>
      </c>
      <c r="G2183" s="12">
        <f t="shared" si="393"/>
        <v>39.42</v>
      </c>
    </row>
    <row r="2184" ht="24.0" customHeight="1">
      <c r="A2184" s="10" t="s">
        <v>25</v>
      </c>
      <c r="B2184" s="10" t="s">
        <v>26</v>
      </c>
      <c r="C2184" s="10" t="s">
        <v>23</v>
      </c>
      <c r="D2184" s="10" t="s">
        <v>27</v>
      </c>
      <c r="E2184" s="14">
        <v>1.0</v>
      </c>
      <c r="F2184" s="15">
        <f>ROUND(21,3)</f>
        <v>21</v>
      </c>
      <c r="G2184" s="12">
        <f t="shared" si="393"/>
        <v>21</v>
      </c>
    </row>
    <row r="2185" ht="24.0" customHeight="1">
      <c r="A2185" s="10" t="s">
        <v>28</v>
      </c>
      <c r="B2185" s="10" t="s">
        <v>26</v>
      </c>
      <c r="C2185" s="10" t="s">
        <v>23</v>
      </c>
      <c r="D2185" s="10" t="s">
        <v>29</v>
      </c>
      <c r="E2185" s="14">
        <v>1.0</v>
      </c>
      <c r="F2185" s="15">
        <f t="shared" ref="F2185:F2186" si="394">ROUND(19,3)</f>
        <v>19</v>
      </c>
      <c r="G2185" s="12">
        <f t="shared" si="393"/>
        <v>19</v>
      </c>
    </row>
    <row r="2186" ht="24.0" customHeight="1">
      <c r="A2186" s="10" t="s">
        <v>30</v>
      </c>
      <c r="B2186" s="10" t="s">
        <v>26</v>
      </c>
      <c r="C2186" s="10" t="s">
        <v>23</v>
      </c>
      <c r="D2186" s="10" t="s">
        <v>31</v>
      </c>
      <c r="E2186" s="14">
        <v>0.2</v>
      </c>
      <c r="F2186" s="15">
        <f t="shared" si="394"/>
        <v>19</v>
      </c>
      <c r="G2186" s="12">
        <f t="shared" si="393"/>
        <v>3.8</v>
      </c>
    </row>
    <row r="2187" ht="15.0" customHeight="1">
      <c r="A2187" s="11"/>
      <c r="B2187" s="11"/>
      <c r="C2187" s="11"/>
      <c r="D2187" s="10" t="s">
        <v>22</v>
      </c>
      <c r="E2187" s="14">
        <v>0.9</v>
      </c>
      <c r="F2187" s="15">
        <f>ROUND((G2184+G2185+G2186),3)</f>
        <v>43.8</v>
      </c>
      <c r="G2187" s="12">
        <f t="shared" si="393"/>
        <v>39.42</v>
      </c>
    </row>
    <row r="2188" ht="15.0" customHeight="1">
      <c r="A2188" s="10" t="s">
        <v>32</v>
      </c>
      <c r="B2188" s="10"/>
      <c r="C2188" s="10" t="s">
        <v>33</v>
      </c>
      <c r="D2188" s="10" t="s">
        <v>34</v>
      </c>
      <c r="E2188" s="14">
        <v>3.0</v>
      </c>
      <c r="F2188" s="15">
        <f>ROUND(39.42,3)</f>
        <v>39.42</v>
      </c>
      <c r="G2188" s="12">
        <f>ROUND((E2188*F2188)/100,2)</f>
        <v>1.18</v>
      </c>
    </row>
    <row r="2189" ht="15.0" customHeight="1">
      <c r="A2189" s="16"/>
      <c r="B2189" s="16"/>
      <c r="C2189" s="16"/>
      <c r="D2189" s="17" t="s">
        <v>1023</v>
      </c>
      <c r="E2189" s="16"/>
      <c r="F2189" s="18">
        <f>ROUND((G2179+G2180+G2181+G2182+G2183+G2188)*(1+G2/100),2)</f>
        <v>42.79</v>
      </c>
      <c r="G2189" s="16"/>
    </row>
    <row r="2190" ht="30.0" customHeight="1">
      <c r="A2190" s="19" t="s">
        <v>1026</v>
      </c>
      <c r="B2190" s="20" t="s">
        <v>18</v>
      </c>
      <c r="C2190" s="20" t="s">
        <v>19</v>
      </c>
      <c r="D2190" s="20" t="s">
        <v>1027</v>
      </c>
      <c r="E2190" s="21"/>
      <c r="F2190" s="22">
        <f>F2200</f>
        <v>34.56</v>
      </c>
      <c r="G2190" s="21"/>
    </row>
    <row r="2191" ht="21.0" customHeight="1">
      <c r="A2191" s="11"/>
      <c r="B2191" s="11"/>
      <c r="C2191" s="11"/>
      <c r="D2191" s="10" t="s">
        <v>1028</v>
      </c>
    </row>
    <row r="2192" ht="39.75" customHeight="1">
      <c r="A2192" s="10" t="s">
        <v>953</v>
      </c>
      <c r="B2192" s="10" t="s">
        <v>112</v>
      </c>
      <c r="C2192" s="10" t="s">
        <v>23</v>
      </c>
      <c r="D2192" s="10" t="s">
        <v>954</v>
      </c>
      <c r="E2192" s="14">
        <v>0.3</v>
      </c>
      <c r="F2192" s="15">
        <f>ROUND(1.75,3)</f>
        <v>1.75</v>
      </c>
      <c r="G2192" s="12">
        <f t="shared" ref="G2192:G2198" si="395">ROUND(E2192*F2192,2)</f>
        <v>0.53</v>
      </c>
    </row>
    <row r="2193" ht="21.0" customHeight="1">
      <c r="A2193" s="10" t="s">
        <v>955</v>
      </c>
      <c r="B2193" s="10" t="s">
        <v>42</v>
      </c>
      <c r="C2193" s="10" t="s">
        <v>956</v>
      </c>
      <c r="D2193" s="10" t="s">
        <v>957</v>
      </c>
      <c r="E2193" s="14">
        <v>0.2</v>
      </c>
      <c r="F2193" s="15">
        <f>ROUND(0.97,3)</f>
        <v>0.97</v>
      </c>
      <c r="G2193" s="12">
        <f t="shared" si="395"/>
        <v>0.19</v>
      </c>
    </row>
    <row r="2194" ht="21.0" customHeight="1">
      <c r="A2194" s="10" t="s">
        <v>22</v>
      </c>
      <c r="B2194" s="10" t="s">
        <v>18</v>
      </c>
      <c r="C2194" s="10" t="s">
        <v>23</v>
      </c>
      <c r="D2194" s="10" t="s">
        <v>24</v>
      </c>
      <c r="E2194" s="14">
        <v>0.75</v>
      </c>
      <c r="F2194" s="15">
        <f>F2198</f>
        <v>43.8</v>
      </c>
      <c r="G2194" s="12">
        <f t="shared" si="395"/>
        <v>32.85</v>
      </c>
    </row>
    <row r="2195" ht="24.0" customHeight="1">
      <c r="A2195" s="10" t="s">
        <v>25</v>
      </c>
      <c r="B2195" s="10" t="s">
        <v>26</v>
      </c>
      <c r="C2195" s="10" t="s">
        <v>23</v>
      </c>
      <c r="D2195" s="10" t="s">
        <v>27</v>
      </c>
      <c r="E2195" s="14">
        <v>1.0</v>
      </c>
      <c r="F2195" s="15">
        <f>ROUND(21,3)</f>
        <v>21</v>
      </c>
      <c r="G2195" s="12">
        <f t="shared" si="395"/>
        <v>21</v>
      </c>
    </row>
    <row r="2196" ht="24.0" customHeight="1">
      <c r="A2196" s="10" t="s">
        <v>28</v>
      </c>
      <c r="B2196" s="10" t="s">
        <v>26</v>
      </c>
      <c r="C2196" s="10" t="s">
        <v>23</v>
      </c>
      <c r="D2196" s="10" t="s">
        <v>29</v>
      </c>
      <c r="E2196" s="14">
        <v>1.0</v>
      </c>
      <c r="F2196" s="15">
        <f t="shared" ref="F2196:F2197" si="396">ROUND(19,3)</f>
        <v>19</v>
      </c>
      <c r="G2196" s="12">
        <f t="shared" si="395"/>
        <v>19</v>
      </c>
    </row>
    <row r="2197" ht="24.0" customHeight="1">
      <c r="A2197" s="10" t="s">
        <v>30</v>
      </c>
      <c r="B2197" s="10" t="s">
        <v>26</v>
      </c>
      <c r="C2197" s="10" t="s">
        <v>23</v>
      </c>
      <c r="D2197" s="10" t="s">
        <v>31</v>
      </c>
      <c r="E2197" s="14">
        <v>0.2</v>
      </c>
      <c r="F2197" s="15">
        <f t="shared" si="396"/>
        <v>19</v>
      </c>
      <c r="G2197" s="12">
        <f t="shared" si="395"/>
        <v>3.8</v>
      </c>
    </row>
    <row r="2198" ht="15.0" customHeight="1">
      <c r="A2198" s="11"/>
      <c r="B2198" s="11"/>
      <c r="C2198" s="11"/>
      <c r="D2198" s="10" t="s">
        <v>22</v>
      </c>
      <c r="E2198" s="14">
        <v>0.75</v>
      </c>
      <c r="F2198" s="15">
        <f>ROUND((G2195+G2196+G2197),3)</f>
        <v>43.8</v>
      </c>
      <c r="G2198" s="12">
        <f t="shared" si="395"/>
        <v>32.85</v>
      </c>
    </row>
    <row r="2199" ht="15.0" customHeight="1">
      <c r="A2199" s="10" t="s">
        <v>32</v>
      </c>
      <c r="B2199" s="10"/>
      <c r="C2199" s="10" t="s">
        <v>33</v>
      </c>
      <c r="D2199" s="10" t="s">
        <v>34</v>
      </c>
      <c r="E2199" s="14">
        <v>3.0</v>
      </c>
      <c r="F2199" s="15">
        <f>ROUND(32.85,3)</f>
        <v>32.85</v>
      </c>
      <c r="G2199" s="12">
        <f>ROUND((E2199*F2199)/100,2)</f>
        <v>0.99</v>
      </c>
    </row>
    <row r="2200" ht="15.0" customHeight="1">
      <c r="A2200" s="16"/>
      <c r="B2200" s="16"/>
      <c r="C2200" s="16"/>
      <c r="D2200" s="17" t="s">
        <v>1026</v>
      </c>
      <c r="E2200" s="16"/>
      <c r="F2200" s="18">
        <f>ROUND((G2192+G2193+G2194+G2199)*(1+G2/100),2)</f>
        <v>34.56</v>
      </c>
      <c r="G2200" s="16"/>
    </row>
    <row r="2201" ht="30.0" customHeight="1">
      <c r="A2201" s="19" t="s">
        <v>1029</v>
      </c>
      <c r="B2201" s="20" t="s">
        <v>18</v>
      </c>
      <c r="C2201" s="20" t="s">
        <v>19</v>
      </c>
      <c r="D2201" s="20" t="s">
        <v>1030</v>
      </c>
      <c r="E2201" s="21"/>
      <c r="F2201" s="22">
        <f>F2213</f>
        <v>37.76</v>
      </c>
      <c r="G2201" s="21"/>
    </row>
    <row r="2202" ht="48.75" customHeight="1">
      <c r="A2202" s="11"/>
      <c r="B2202" s="11"/>
      <c r="C2202" s="11"/>
      <c r="D2202" s="10" t="s">
        <v>1031</v>
      </c>
    </row>
    <row r="2203" ht="21.0" customHeight="1">
      <c r="A2203" s="10" t="s">
        <v>230</v>
      </c>
      <c r="B2203" s="10" t="s">
        <v>42</v>
      </c>
      <c r="C2203" s="10" t="s">
        <v>231</v>
      </c>
      <c r="D2203" s="10" t="s">
        <v>232</v>
      </c>
      <c r="E2203" s="14">
        <v>0.25</v>
      </c>
      <c r="F2203" s="15">
        <f>ROUND(3.47,3)</f>
        <v>3.47</v>
      </c>
      <c r="G2203" s="12">
        <f t="shared" ref="G2203:G2211" si="397">ROUND(E2203*F2203,2)</f>
        <v>0.87</v>
      </c>
    </row>
    <row r="2204" ht="21.0" customHeight="1">
      <c r="A2204" s="10" t="s">
        <v>242</v>
      </c>
      <c r="B2204" s="10" t="s">
        <v>42</v>
      </c>
      <c r="C2204" s="10" t="s">
        <v>226</v>
      </c>
      <c r="D2204" s="10" t="s">
        <v>243</v>
      </c>
      <c r="E2204" s="14">
        <v>0.1</v>
      </c>
      <c r="F2204" s="15">
        <f>ROUND(1.32,3)</f>
        <v>1.32</v>
      </c>
      <c r="G2204" s="12">
        <f t="shared" si="397"/>
        <v>0.13</v>
      </c>
    </row>
    <row r="2205" ht="39.75" customHeight="1">
      <c r="A2205" s="10" t="s">
        <v>953</v>
      </c>
      <c r="B2205" s="10" t="s">
        <v>112</v>
      </c>
      <c r="C2205" s="10" t="s">
        <v>23</v>
      </c>
      <c r="D2205" s="10" t="s">
        <v>954</v>
      </c>
      <c r="E2205" s="14">
        <v>0.2</v>
      </c>
      <c r="F2205" s="15">
        <f>ROUND(1.75,3)</f>
        <v>1.75</v>
      </c>
      <c r="G2205" s="12">
        <f t="shared" si="397"/>
        <v>0.35</v>
      </c>
    </row>
    <row r="2206" ht="21.0" customHeight="1">
      <c r="A2206" s="10" t="s">
        <v>955</v>
      </c>
      <c r="B2206" s="10" t="s">
        <v>42</v>
      </c>
      <c r="C2206" s="10" t="s">
        <v>956</v>
      </c>
      <c r="D2206" s="10" t="s">
        <v>957</v>
      </c>
      <c r="E2206" s="14">
        <v>0.33333</v>
      </c>
      <c r="F2206" s="15">
        <f>ROUND(0.97,3)</f>
        <v>0.97</v>
      </c>
      <c r="G2206" s="12">
        <f t="shared" si="397"/>
        <v>0.32</v>
      </c>
    </row>
    <row r="2207" ht="21.0" customHeight="1">
      <c r="A2207" s="10" t="s">
        <v>22</v>
      </c>
      <c r="B2207" s="10" t="s">
        <v>18</v>
      </c>
      <c r="C2207" s="10" t="s">
        <v>23</v>
      </c>
      <c r="D2207" s="10" t="s">
        <v>24</v>
      </c>
      <c r="E2207" s="14">
        <v>0.8</v>
      </c>
      <c r="F2207" s="15">
        <f>F2211</f>
        <v>43.8</v>
      </c>
      <c r="G2207" s="12">
        <f t="shared" si="397"/>
        <v>35.04</v>
      </c>
    </row>
    <row r="2208" ht="24.0" customHeight="1">
      <c r="A2208" s="10" t="s">
        <v>25</v>
      </c>
      <c r="B2208" s="10" t="s">
        <v>26</v>
      </c>
      <c r="C2208" s="10" t="s">
        <v>23</v>
      </c>
      <c r="D2208" s="10" t="s">
        <v>27</v>
      </c>
      <c r="E2208" s="14">
        <v>1.0</v>
      </c>
      <c r="F2208" s="15">
        <f>ROUND(21,3)</f>
        <v>21</v>
      </c>
      <c r="G2208" s="12">
        <f t="shared" si="397"/>
        <v>21</v>
      </c>
    </row>
    <row r="2209" ht="24.0" customHeight="1">
      <c r="A2209" s="10" t="s">
        <v>28</v>
      </c>
      <c r="B2209" s="10" t="s">
        <v>26</v>
      </c>
      <c r="C2209" s="10" t="s">
        <v>23</v>
      </c>
      <c r="D2209" s="10" t="s">
        <v>29</v>
      </c>
      <c r="E2209" s="14">
        <v>1.0</v>
      </c>
      <c r="F2209" s="15">
        <f t="shared" ref="F2209:F2210" si="398">ROUND(19,3)</f>
        <v>19</v>
      </c>
      <c r="G2209" s="12">
        <f t="shared" si="397"/>
        <v>19</v>
      </c>
    </row>
    <row r="2210" ht="24.0" customHeight="1">
      <c r="A2210" s="10" t="s">
        <v>30</v>
      </c>
      <c r="B2210" s="10" t="s">
        <v>26</v>
      </c>
      <c r="C2210" s="10" t="s">
        <v>23</v>
      </c>
      <c r="D2210" s="10" t="s">
        <v>31</v>
      </c>
      <c r="E2210" s="14">
        <v>0.2</v>
      </c>
      <c r="F2210" s="15">
        <f t="shared" si="398"/>
        <v>19</v>
      </c>
      <c r="G2210" s="12">
        <f t="shared" si="397"/>
        <v>3.8</v>
      </c>
    </row>
    <row r="2211" ht="15.0" customHeight="1">
      <c r="A2211" s="11"/>
      <c r="B2211" s="11"/>
      <c r="C2211" s="11"/>
      <c r="D2211" s="10" t="s">
        <v>22</v>
      </c>
      <c r="E2211" s="14">
        <v>0.8</v>
      </c>
      <c r="F2211" s="15">
        <f>ROUND((G2208+G2209+G2210),3)</f>
        <v>43.8</v>
      </c>
      <c r="G2211" s="12">
        <f t="shared" si="397"/>
        <v>35.04</v>
      </c>
    </row>
    <row r="2212" ht="15.0" customHeight="1">
      <c r="A2212" s="10" t="s">
        <v>32</v>
      </c>
      <c r="B2212" s="10"/>
      <c r="C2212" s="10" t="s">
        <v>33</v>
      </c>
      <c r="D2212" s="10" t="s">
        <v>34</v>
      </c>
      <c r="E2212" s="14">
        <v>3.0</v>
      </c>
      <c r="F2212" s="15">
        <f>ROUND(35.04,3)</f>
        <v>35.04</v>
      </c>
      <c r="G2212" s="12">
        <f>ROUND((E2212*F2212)/100,2)</f>
        <v>1.05</v>
      </c>
    </row>
    <row r="2213" ht="24.75" customHeight="1">
      <c r="A2213" s="16"/>
      <c r="B2213" s="16"/>
      <c r="C2213" s="16"/>
      <c r="D2213" s="17" t="s">
        <v>1029</v>
      </c>
      <c r="E2213" s="16"/>
      <c r="F2213" s="18">
        <f>ROUND((G2203+G2204+G2205+G2206+G2207+G2212)*(1+G2/100),2)</f>
        <v>37.76</v>
      </c>
      <c r="G2213" s="16"/>
    </row>
    <row r="2214" ht="30.0" customHeight="1">
      <c r="A2214" s="19" t="s">
        <v>1032</v>
      </c>
      <c r="B2214" s="20" t="s">
        <v>18</v>
      </c>
      <c r="C2214" s="20" t="s">
        <v>19</v>
      </c>
      <c r="D2214" s="20" t="s">
        <v>1033</v>
      </c>
      <c r="E2214" s="21"/>
      <c r="F2214" s="22">
        <f>F2224</f>
        <v>27.74</v>
      </c>
      <c r="G2214" s="21"/>
    </row>
    <row r="2215" ht="30.0" customHeight="1">
      <c r="A2215" s="11"/>
      <c r="B2215" s="11"/>
      <c r="C2215" s="11"/>
      <c r="D2215" s="10" t="s">
        <v>1034</v>
      </c>
    </row>
    <row r="2216" ht="39.75" customHeight="1">
      <c r="A2216" s="10" t="s">
        <v>953</v>
      </c>
      <c r="B2216" s="10" t="s">
        <v>112</v>
      </c>
      <c r="C2216" s="10" t="s">
        <v>23</v>
      </c>
      <c r="D2216" s="10" t="s">
        <v>954</v>
      </c>
      <c r="E2216" s="14">
        <v>0.2</v>
      </c>
      <c r="F2216" s="15">
        <f>ROUND(1.75,3)</f>
        <v>1.75</v>
      </c>
      <c r="G2216" s="12">
        <f t="shared" ref="G2216:G2222" si="399">ROUND(E2216*F2216,2)</f>
        <v>0.35</v>
      </c>
    </row>
    <row r="2217" ht="21.0" customHeight="1">
      <c r="A2217" s="10" t="s">
        <v>955</v>
      </c>
      <c r="B2217" s="10" t="s">
        <v>42</v>
      </c>
      <c r="C2217" s="10" t="s">
        <v>956</v>
      </c>
      <c r="D2217" s="10" t="s">
        <v>957</v>
      </c>
      <c r="E2217" s="14">
        <v>0.33333</v>
      </c>
      <c r="F2217" s="15">
        <f>ROUND(0.97,3)</f>
        <v>0.97</v>
      </c>
      <c r="G2217" s="12">
        <f t="shared" si="399"/>
        <v>0.32</v>
      </c>
    </row>
    <row r="2218" ht="21.0" customHeight="1">
      <c r="A2218" s="10" t="s">
        <v>22</v>
      </c>
      <c r="B2218" s="10" t="s">
        <v>18</v>
      </c>
      <c r="C2218" s="10" t="s">
        <v>23</v>
      </c>
      <c r="D2218" s="10" t="s">
        <v>24</v>
      </c>
      <c r="E2218" s="14">
        <v>0.6</v>
      </c>
      <c r="F2218" s="15">
        <f>F2222</f>
        <v>43.8</v>
      </c>
      <c r="G2218" s="12">
        <f t="shared" si="399"/>
        <v>26.28</v>
      </c>
    </row>
    <row r="2219" ht="24.0" customHeight="1">
      <c r="A2219" s="10" t="s">
        <v>25</v>
      </c>
      <c r="B2219" s="10" t="s">
        <v>26</v>
      </c>
      <c r="C2219" s="10" t="s">
        <v>23</v>
      </c>
      <c r="D2219" s="10" t="s">
        <v>27</v>
      </c>
      <c r="E2219" s="14">
        <v>1.0</v>
      </c>
      <c r="F2219" s="15">
        <f>ROUND(21,3)</f>
        <v>21</v>
      </c>
      <c r="G2219" s="12">
        <f t="shared" si="399"/>
        <v>21</v>
      </c>
    </row>
    <row r="2220" ht="24.0" customHeight="1">
      <c r="A2220" s="10" t="s">
        <v>28</v>
      </c>
      <c r="B2220" s="10" t="s">
        <v>26</v>
      </c>
      <c r="C2220" s="10" t="s">
        <v>23</v>
      </c>
      <c r="D2220" s="10" t="s">
        <v>29</v>
      </c>
      <c r="E2220" s="14">
        <v>1.0</v>
      </c>
      <c r="F2220" s="15">
        <f t="shared" ref="F2220:F2221" si="400">ROUND(19,3)</f>
        <v>19</v>
      </c>
      <c r="G2220" s="12">
        <f t="shared" si="399"/>
        <v>19</v>
      </c>
    </row>
    <row r="2221" ht="24.0" customHeight="1">
      <c r="A2221" s="10" t="s">
        <v>30</v>
      </c>
      <c r="B2221" s="10" t="s">
        <v>26</v>
      </c>
      <c r="C2221" s="10" t="s">
        <v>23</v>
      </c>
      <c r="D2221" s="10" t="s">
        <v>31</v>
      </c>
      <c r="E2221" s="14">
        <v>0.2</v>
      </c>
      <c r="F2221" s="15">
        <f t="shared" si="400"/>
        <v>19</v>
      </c>
      <c r="G2221" s="12">
        <f t="shared" si="399"/>
        <v>3.8</v>
      </c>
    </row>
    <row r="2222" ht="15.0" customHeight="1">
      <c r="A2222" s="11"/>
      <c r="B2222" s="11"/>
      <c r="C2222" s="11"/>
      <c r="D2222" s="10" t="s">
        <v>22</v>
      </c>
      <c r="E2222" s="14">
        <v>0.6</v>
      </c>
      <c r="F2222" s="15">
        <f>ROUND((G2219+G2220+G2221),3)</f>
        <v>43.8</v>
      </c>
      <c r="G2222" s="12">
        <f t="shared" si="399"/>
        <v>26.28</v>
      </c>
    </row>
    <row r="2223" ht="15.0" customHeight="1">
      <c r="A2223" s="10" t="s">
        <v>32</v>
      </c>
      <c r="B2223" s="10"/>
      <c r="C2223" s="10" t="s">
        <v>33</v>
      </c>
      <c r="D2223" s="10" t="s">
        <v>34</v>
      </c>
      <c r="E2223" s="14">
        <v>3.0</v>
      </c>
      <c r="F2223" s="15">
        <f>ROUND(26.28,3)</f>
        <v>26.28</v>
      </c>
      <c r="G2223" s="12">
        <f>ROUND((E2223*F2223)/100,2)</f>
        <v>0.79</v>
      </c>
    </row>
    <row r="2224" ht="24.75" customHeight="1">
      <c r="A2224" s="16"/>
      <c r="B2224" s="16"/>
      <c r="C2224" s="16"/>
      <c r="D2224" s="17" t="s">
        <v>1032</v>
      </c>
      <c r="E2224" s="16"/>
      <c r="F2224" s="18">
        <f>ROUND((G2216+G2217+G2218+G2223)*(1+G2/100),2)</f>
        <v>27.74</v>
      </c>
      <c r="G2224" s="16"/>
    </row>
    <row r="2225" ht="15.0" customHeight="1">
      <c r="A2225" s="23"/>
      <c r="B2225" s="23"/>
      <c r="C2225" s="23"/>
      <c r="D2225" s="24" t="s">
        <v>1021</v>
      </c>
      <c r="E2225" s="25"/>
      <c r="F2225" s="25"/>
      <c r="G2225" s="25"/>
    </row>
    <row r="2226" ht="15.0" customHeight="1">
      <c r="A2226" s="26" t="s">
        <v>1035</v>
      </c>
      <c r="B2226" s="26" t="s">
        <v>10</v>
      </c>
      <c r="C2226" s="27"/>
      <c r="D2226" s="26" t="s">
        <v>1036</v>
      </c>
      <c r="E2226" s="27"/>
      <c r="F2226" s="27"/>
      <c r="G2226" s="27"/>
    </row>
    <row r="2227" ht="24.75" customHeight="1">
      <c r="A2227" s="28" t="s">
        <v>1037</v>
      </c>
      <c r="B2227" s="28" t="s">
        <v>10</v>
      </c>
      <c r="C2227" s="29"/>
      <c r="D2227" s="28" t="s">
        <v>1038</v>
      </c>
      <c r="E2227" s="29"/>
      <c r="F2227" s="29"/>
      <c r="G2227" s="29"/>
    </row>
    <row r="2228" ht="21.0" customHeight="1">
      <c r="A2228" s="13" t="s">
        <v>1039</v>
      </c>
      <c r="B2228" s="10" t="s">
        <v>18</v>
      </c>
      <c r="C2228" s="10" t="s">
        <v>19</v>
      </c>
      <c r="D2228" s="10" t="s">
        <v>1040</v>
      </c>
      <c r="E2228" s="11"/>
      <c r="F2228" s="12">
        <f>F2237</f>
        <v>29.09</v>
      </c>
      <c r="G2228" s="11"/>
    </row>
    <row r="2229" ht="12.0" customHeight="1">
      <c r="A2229" s="11"/>
      <c r="B2229" s="11"/>
      <c r="C2229" s="11"/>
      <c r="D2229" s="10" t="s">
        <v>1041</v>
      </c>
    </row>
    <row r="2230" ht="30.0" customHeight="1">
      <c r="A2230" s="10" t="s">
        <v>1042</v>
      </c>
      <c r="B2230" s="10" t="s">
        <v>42</v>
      </c>
      <c r="C2230" s="10" t="s">
        <v>43</v>
      </c>
      <c r="D2230" s="10" t="s">
        <v>1043</v>
      </c>
      <c r="E2230" s="14">
        <v>1.0</v>
      </c>
      <c r="F2230" s="15">
        <f>ROUND(12.39,3)</f>
        <v>12.39</v>
      </c>
      <c r="G2230" s="12">
        <f t="shared" ref="G2230:G2235" si="401">ROUND(E2230*F2230,2)</f>
        <v>12.39</v>
      </c>
    </row>
    <row r="2231" ht="24.0" customHeight="1">
      <c r="A2231" s="10" t="s">
        <v>1044</v>
      </c>
      <c r="B2231" s="10" t="s">
        <v>112</v>
      </c>
      <c r="C2231" s="10" t="s">
        <v>23</v>
      </c>
      <c r="D2231" s="10" t="s">
        <v>1045</v>
      </c>
      <c r="E2231" s="14">
        <v>0.2</v>
      </c>
      <c r="F2231" s="15">
        <f>ROUND(1.1,3)</f>
        <v>1.1</v>
      </c>
      <c r="G2231" s="12">
        <f t="shared" si="401"/>
        <v>0.22</v>
      </c>
    </row>
    <row r="2232" ht="21.0" customHeight="1">
      <c r="A2232" s="10" t="s">
        <v>1046</v>
      </c>
      <c r="B2232" s="10" t="s">
        <v>18</v>
      </c>
      <c r="C2232" s="10" t="s">
        <v>23</v>
      </c>
      <c r="D2232" s="10" t="s">
        <v>1047</v>
      </c>
      <c r="E2232" s="14">
        <v>0.4</v>
      </c>
      <c r="F2232" s="15">
        <f>F2235</f>
        <v>40</v>
      </c>
      <c r="G2232" s="12">
        <f t="shared" si="401"/>
        <v>16</v>
      </c>
    </row>
    <row r="2233" ht="24.0" customHeight="1">
      <c r="A2233" s="10" t="s">
        <v>25</v>
      </c>
      <c r="B2233" s="10" t="s">
        <v>26</v>
      </c>
      <c r="C2233" s="10" t="s">
        <v>23</v>
      </c>
      <c r="D2233" s="10" t="s">
        <v>27</v>
      </c>
      <c r="E2233" s="14">
        <v>1.0</v>
      </c>
      <c r="F2233" s="15">
        <f>ROUND(21,3)</f>
        <v>21</v>
      </c>
      <c r="G2233" s="12">
        <f t="shared" si="401"/>
        <v>21</v>
      </c>
    </row>
    <row r="2234" ht="24.0" customHeight="1">
      <c r="A2234" s="10" t="s">
        <v>28</v>
      </c>
      <c r="B2234" s="10" t="s">
        <v>26</v>
      </c>
      <c r="C2234" s="10" t="s">
        <v>23</v>
      </c>
      <c r="D2234" s="10" t="s">
        <v>29</v>
      </c>
      <c r="E2234" s="14">
        <v>1.0</v>
      </c>
      <c r="F2234" s="15">
        <f>ROUND(19,3)</f>
        <v>19</v>
      </c>
      <c r="G2234" s="12">
        <f t="shared" si="401"/>
        <v>19</v>
      </c>
    </row>
    <row r="2235" ht="15.0" customHeight="1">
      <c r="A2235" s="11"/>
      <c r="B2235" s="11"/>
      <c r="C2235" s="11"/>
      <c r="D2235" s="10" t="s">
        <v>1046</v>
      </c>
      <c r="E2235" s="14">
        <v>0.4</v>
      </c>
      <c r="F2235" s="15">
        <f>ROUND((G2233+G2234),3)</f>
        <v>40</v>
      </c>
      <c r="G2235" s="12">
        <f t="shared" si="401"/>
        <v>16</v>
      </c>
    </row>
    <row r="2236" ht="15.0" customHeight="1">
      <c r="A2236" s="10" t="s">
        <v>32</v>
      </c>
      <c r="B2236" s="10"/>
      <c r="C2236" s="10" t="s">
        <v>33</v>
      </c>
      <c r="D2236" s="10" t="s">
        <v>34</v>
      </c>
      <c r="E2236" s="14">
        <v>3.0</v>
      </c>
      <c r="F2236" s="15">
        <f>ROUND(16,3)</f>
        <v>16</v>
      </c>
      <c r="G2236" s="12">
        <f>ROUND((E2236*F2236)/100,2)</f>
        <v>0.48</v>
      </c>
    </row>
    <row r="2237" ht="15.0" customHeight="1">
      <c r="A2237" s="16"/>
      <c r="B2237" s="16"/>
      <c r="C2237" s="16"/>
      <c r="D2237" s="17" t="s">
        <v>1039</v>
      </c>
      <c r="E2237" s="16"/>
      <c r="F2237" s="18">
        <f>ROUND((G2230+G2231+G2232+G2236)*(1+G2/100),2)</f>
        <v>29.09</v>
      </c>
      <c r="G2237" s="16"/>
    </row>
    <row r="2238" ht="48.75" customHeight="1">
      <c r="A2238" s="19" t="s">
        <v>1048</v>
      </c>
      <c r="B2238" s="20" t="s">
        <v>18</v>
      </c>
      <c r="C2238" s="20" t="s">
        <v>19</v>
      </c>
      <c r="D2238" s="20" t="s">
        <v>1049</v>
      </c>
      <c r="E2238" s="21"/>
      <c r="F2238" s="22">
        <f>F2248</f>
        <v>11.47</v>
      </c>
      <c r="G2238" s="21"/>
    </row>
    <row r="2239" ht="39.75" customHeight="1">
      <c r="A2239" s="11"/>
      <c r="B2239" s="11"/>
      <c r="C2239" s="11"/>
      <c r="D2239" s="10" t="s">
        <v>1050</v>
      </c>
    </row>
    <row r="2240" ht="30.0" customHeight="1">
      <c r="A2240" s="10" t="s">
        <v>1051</v>
      </c>
      <c r="B2240" s="10" t="s">
        <v>42</v>
      </c>
      <c r="C2240" s="10" t="s">
        <v>43</v>
      </c>
      <c r="D2240" s="10" t="s">
        <v>1052</v>
      </c>
      <c r="E2240" s="14">
        <v>0.06</v>
      </c>
      <c r="F2240" s="15">
        <f>ROUND(110.66,3)</f>
        <v>110.66</v>
      </c>
      <c r="G2240" s="12">
        <f t="shared" ref="G2240:G2246" si="402">ROUND(E2240*F2240,2)</f>
        <v>6.64</v>
      </c>
    </row>
    <row r="2241" ht="24.0" customHeight="1">
      <c r="A2241" s="10" t="s">
        <v>1053</v>
      </c>
      <c r="B2241" s="10" t="s">
        <v>42</v>
      </c>
      <c r="C2241" s="10" t="s">
        <v>43</v>
      </c>
      <c r="D2241" s="10" t="s">
        <v>1054</v>
      </c>
      <c r="E2241" s="14">
        <v>0.05</v>
      </c>
      <c r="F2241" s="15">
        <f>ROUND(4.63,3)</f>
        <v>4.63</v>
      </c>
      <c r="G2241" s="12">
        <f t="shared" si="402"/>
        <v>0.23</v>
      </c>
    </row>
    <row r="2242" ht="21.0" customHeight="1">
      <c r="A2242" s="10" t="s">
        <v>22</v>
      </c>
      <c r="B2242" s="10" t="s">
        <v>18</v>
      </c>
      <c r="C2242" s="10" t="s">
        <v>23</v>
      </c>
      <c r="D2242" s="10" t="s">
        <v>24</v>
      </c>
      <c r="E2242" s="14">
        <v>0.1</v>
      </c>
      <c r="F2242" s="15">
        <f>F2246</f>
        <v>43.8</v>
      </c>
      <c r="G2242" s="12">
        <f t="shared" si="402"/>
        <v>4.38</v>
      </c>
    </row>
    <row r="2243" ht="24.0" customHeight="1">
      <c r="A2243" s="10" t="s">
        <v>25</v>
      </c>
      <c r="B2243" s="10" t="s">
        <v>26</v>
      </c>
      <c r="C2243" s="10" t="s">
        <v>23</v>
      </c>
      <c r="D2243" s="10" t="s">
        <v>27</v>
      </c>
      <c r="E2243" s="14">
        <v>1.0</v>
      </c>
      <c r="F2243" s="15">
        <f>ROUND(21,3)</f>
        <v>21</v>
      </c>
      <c r="G2243" s="12">
        <f t="shared" si="402"/>
        <v>21</v>
      </c>
    </row>
    <row r="2244" ht="24.0" customHeight="1">
      <c r="A2244" s="10" t="s">
        <v>28</v>
      </c>
      <c r="B2244" s="10" t="s">
        <v>26</v>
      </c>
      <c r="C2244" s="10" t="s">
        <v>23</v>
      </c>
      <c r="D2244" s="10" t="s">
        <v>29</v>
      </c>
      <c r="E2244" s="14">
        <v>1.0</v>
      </c>
      <c r="F2244" s="15">
        <f t="shared" ref="F2244:F2245" si="403">ROUND(19,3)</f>
        <v>19</v>
      </c>
      <c r="G2244" s="12">
        <f t="shared" si="402"/>
        <v>19</v>
      </c>
    </row>
    <row r="2245" ht="24.0" customHeight="1">
      <c r="A2245" s="10" t="s">
        <v>30</v>
      </c>
      <c r="B2245" s="10" t="s">
        <v>26</v>
      </c>
      <c r="C2245" s="10" t="s">
        <v>23</v>
      </c>
      <c r="D2245" s="10" t="s">
        <v>31</v>
      </c>
      <c r="E2245" s="14">
        <v>0.2</v>
      </c>
      <c r="F2245" s="15">
        <f t="shared" si="403"/>
        <v>19</v>
      </c>
      <c r="G2245" s="12">
        <f t="shared" si="402"/>
        <v>3.8</v>
      </c>
    </row>
    <row r="2246" ht="15.0" customHeight="1">
      <c r="A2246" s="11"/>
      <c r="B2246" s="11"/>
      <c r="C2246" s="11"/>
      <c r="D2246" s="10" t="s">
        <v>22</v>
      </c>
      <c r="E2246" s="14">
        <v>0.1</v>
      </c>
      <c r="F2246" s="15">
        <f>ROUND((G2243+G2244+G2245),3)</f>
        <v>43.8</v>
      </c>
      <c r="G2246" s="12">
        <f t="shared" si="402"/>
        <v>4.38</v>
      </c>
    </row>
    <row r="2247" ht="15.0" customHeight="1">
      <c r="A2247" s="10" t="s">
        <v>32</v>
      </c>
      <c r="B2247" s="10"/>
      <c r="C2247" s="10" t="s">
        <v>33</v>
      </c>
      <c r="D2247" s="10" t="s">
        <v>34</v>
      </c>
      <c r="E2247" s="14">
        <v>5.0</v>
      </c>
      <c r="F2247" s="15">
        <f>ROUND(4.38,3)</f>
        <v>4.38</v>
      </c>
      <c r="G2247" s="12">
        <f>ROUND((E2247*F2247)/100,2)</f>
        <v>0.22</v>
      </c>
    </row>
    <row r="2248" ht="15.0" customHeight="1">
      <c r="A2248" s="16"/>
      <c r="B2248" s="16"/>
      <c r="C2248" s="16"/>
      <c r="D2248" s="17" t="s">
        <v>1048</v>
      </c>
      <c r="E2248" s="16"/>
      <c r="F2248" s="18">
        <f>ROUND((G2240+G2241+G2242+G2247)*(1+G2/100),2)</f>
        <v>11.47</v>
      </c>
      <c r="G2248" s="16"/>
    </row>
    <row r="2249" ht="48.75" customHeight="1">
      <c r="A2249" s="19" t="s">
        <v>1055</v>
      </c>
      <c r="B2249" s="20" t="s">
        <v>18</v>
      </c>
      <c r="C2249" s="20" t="s">
        <v>19</v>
      </c>
      <c r="D2249" s="20" t="s">
        <v>1056</v>
      </c>
      <c r="E2249" s="21"/>
      <c r="F2249" s="22">
        <f>F2259</f>
        <v>12.58</v>
      </c>
      <c r="G2249" s="21"/>
    </row>
    <row r="2250" ht="39.75" customHeight="1">
      <c r="A2250" s="11"/>
      <c r="B2250" s="11"/>
      <c r="C2250" s="11"/>
      <c r="D2250" s="10" t="s">
        <v>1050</v>
      </c>
    </row>
    <row r="2251" ht="30.0" customHeight="1">
      <c r="A2251" s="10" t="s">
        <v>1057</v>
      </c>
      <c r="B2251" s="10" t="s">
        <v>42</v>
      </c>
      <c r="C2251" s="10" t="s">
        <v>43</v>
      </c>
      <c r="D2251" s="10" t="s">
        <v>1058</v>
      </c>
      <c r="E2251" s="14">
        <v>0.125</v>
      </c>
      <c r="F2251" s="15">
        <f>ROUND(62.73,3)</f>
        <v>62.73</v>
      </c>
      <c r="G2251" s="12">
        <f t="shared" ref="G2251:G2257" si="404">ROUND(E2251*F2251,2)</f>
        <v>7.84</v>
      </c>
    </row>
    <row r="2252" ht="24.0" customHeight="1">
      <c r="A2252" s="10" t="s">
        <v>1053</v>
      </c>
      <c r="B2252" s="10" t="s">
        <v>42</v>
      </c>
      <c r="C2252" s="10" t="s">
        <v>43</v>
      </c>
      <c r="D2252" s="10" t="s">
        <v>1054</v>
      </c>
      <c r="E2252" s="14">
        <v>0.05</v>
      </c>
      <c r="F2252" s="15">
        <f>ROUND(4.63,3)</f>
        <v>4.63</v>
      </c>
      <c r="G2252" s="12">
        <f t="shared" si="404"/>
        <v>0.23</v>
      </c>
    </row>
    <row r="2253" ht="21.0" customHeight="1">
      <c r="A2253" s="10" t="s">
        <v>22</v>
      </c>
      <c r="B2253" s="10" t="s">
        <v>18</v>
      </c>
      <c r="C2253" s="10" t="s">
        <v>23</v>
      </c>
      <c r="D2253" s="10" t="s">
        <v>24</v>
      </c>
      <c r="E2253" s="14">
        <v>0.1</v>
      </c>
      <c r="F2253" s="15">
        <f>F2257</f>
        <v>43.8</v>
      </c>
      <c r="G2253" s="12">
        <f t="shared" si="404"/>
        <v>4.38</v>
      </c>
    </row>
    <row r="2254" ht="24.0" customHeight="1">
      <c r="A2254" s="10" t="s">
        <v>25</v>
      </c>
      <c r="B2254" s="10" t="s">
        <v>26</v>
      </c>
      <c r="C2254" s="10" t="s">
        <v>23</v>
      </c>
      <c r="D2254" s="10" t="s">
        <v>27</v>
      </c>
      <c r="E2254" s="14">
        <v>1.0</v>
      </c>
      <c r="F2254" s="15">
        <f>ROUND(21,3)</f>
        <v>21</v>
      </c>
      <c r="G2254" s="12">
        <f t="shared" si="404"/>
        <v>21</v>
      </c>
    </row>
    <row r="2255" ht="24.0" customHeight="1">
      <c r="A2255" s="10" t="s">
        <v>28</v>
      </c>
      <c r="B2255" s="10" t="s">
        <v>26</v>
      </c>
      <c r="C2255" s="10" t="s">
        <v>23</v>
      </c>
      <c r="D2255" s="10" t="s">
        <v>29</v>
      </c>
      <c r="E2255" s="14">
        <v>1.0</v>
      </c>
      <c r="F2255" s="15">
        <f t="shared" ref="F2255:F2256" si="405">ROUND(19,3)</f>
        <v>19</v>
      </c>
      <c r="G2255" s="12">
        <f t="shared" si="404"/>
        <v>19</v>
      </c>
    </row>
    <row r="2256" ht="24.0" customHeight="1">
      <c r="A2256" s="10" t="s">
        <v>30</v>
      </c>
      <c r="B2256" s="10" t="s">
        <v>26</v>
      </c>
      <c r="C2256" s="10" t="s">
        <v>23</v>
      </c>
      <c r="D2256" s="10" t="s">
        <v>31</v>
      </c>
      <c r="E2256" s="14">
        <v>0.2</v>
      </c>
      <c r="F2256" s="15">
        <f t="shared" si="405"/>
        <v>19</v>
      </c>
      <c r="G2256" s="12">
        <f t="shared" si="404"/>
        <v>3.8</v>
      </c>
    </row>
    <row r="2257" ht="15.0" customHeight="1">
      <c r="A2257" s="11"/>
      <c r="B2257" s="11"/>
      <c r="C2257" s="11"/>
      <c r="D2257" s="10" t="s">
        <v>22</v>
      </c>
      <c r="E2257" s="14">
        <v>0.1</v>
      </c>
      <c r="F2257" s="15">
        <f>ROUND((G2254+G2255+G2256),3)</f>
        <v>43.8</v>
      </c>
      <c r="G2257" s="12">
        <f t="shared" si="404"/>
        <v>4.38</v>
      </c>
    </row>
    <row r="2258" ht="15.0" customHeight="1">
      <c r="A2258" s="10" t="s">
        <v>32</v>
      </c>
      <c r="B2258" s="10"/>
      <c r="C2258" s="10" t="s">
        <v>33</v>
      </c>
      <c r="D2258" s="10" t="s">
        <v>34</v>
      </c>
      <c r="E2258" s="14">
        <v>3.0</v>
      </c>
      <c r="F2258" s="15">
        <f>ROUND(4.38,3)</f>
        <v>4.38</v>
      </c>
      <c r="G2258" s="12">
        <f>ROUND((E2258*F2258)/100,2)</f>
        <v>0.13</v>
      </c>
    </row>
    <row r="2259" ht="15.0" customHeight="1">
      <c r="A2259" s="16"/>
      <c r="B2259" s="16"/>
      <c r="C2259" s="16"/>
      <c r="D2259" s="17" t="s">
        <v>1055</v>
      </c>
      <c r="E2259" s="16"/>
      <c r="F2259" s="18">
        <f>ROUND((G2251+G2252+G2253+G2258)*(1+G2/100),2)</f>
        <v>12.58</v>
      </c>
      <c r="G2259" s="16"/>
    </row>
    <row r="2260" ht="48.75" customHeight="1">
      <c r="A2260" s="19" t="s">
        <v>1059</v>
      </c>
      <c r="B2260" s="20" t="s">
        <v>18</v>
      </c>
      <c r="C2260" s="20" t="s">
        <v>19</v>
      </c>
      <c r="D2260" s="20" t="s">
        <v>1060</v>
      </c>
      <c r="E2260" s="21"/>
      <c r="F2260" s="22">
        <f>F2270</f>
        <v>44.39</v>
      </c>
      <c r="G2260" s="21"/>
    </row>
    <row r="2261" ht="21.0" customHeight="1">
      <c r="A2261" s="11"/>
      <c r="B2261" s="11"/>
      <c r="C2261" s="11"/>
      <c r="D2261" s="10" t="s">
        <v>1061</v>
      </c>
    </row>
    <row r="2262" ht="30.0" customHeight="1">
      <c r="A2262" s="10" t="s">
        <v>1062</v>
      </c>
      <c r="B2262" s="10" t="s">
        <v>42</v>
      </c>
      <c r="C2262" s="10" t="s">
        <v>43</v>
      </c>
      <c r="D2262" s="10" t="s">
        <v>1063</v>
      </c>
      <c r="E2262" s="14">
        <v>0.2625</v>
      </c>
      <c r="F2262" s="15">
        <f>ROUND(73.89,3)</f>
        <v>73.89</v>
      </c>
      <c r="G2262" s="12">
        <f t="shared" ref="G2262:G2268" si="406">ROUND(E2262*F2262,2)</f>
        <v>19.4</v>
      </c>
    </row>
    <row r="2263" ht="24.0" customHeight="1">
      <c r="A2263" s="10" t="s">
        <v>1053</v>
      </c>
      <c r="B2263" s="10" t="s">
        <v>42</v>
      </c>
      <c r="C2263" s="10" t="s">
        <v>43</v>
      </c>
      <c r="D2263" s="10" t="s">
        <v>1054</v>
      </c>
      <c r="E2263" s="14">
        <v>0.1</v>
      </c>
      <c r="F2263" s="15">
        <f>ROUND(4.63,3)</f>
        <v>4.63</v>
      </c>
      <c r="G2263" s="12">
        <f t="shared" si="406"/>
        <v>0.46</v>
      </c>
    </row>
    <row r="2264" ht="21.0" customHeight="1">
      <c r="A2264" s="10" t="s">
        <v>22</v>
      </c>
      <c r="B2264" s="10" t="s">
        <v>18</v>
      </c>
      <c r="C2264" s="10" t="s">
        <v>23</v>
      </c>
      <c r="D2264" s="10" t="s">
        <v>24</v>
      </c>
      <c r="E2264" s="14">
        <v>0.53333</v>
      </c>
      <c r="F2264" s="15">
        <f>F2268</f>
        <v>43.8</v>
      </c>
      <c r="G2264" s="12">
        <f t="shared" si="406"/>
        <v>23.36</v>
      </c>
    </row>
    <row r="2265" ht="24.0" customHeight="1">
      <c r="A2265" s="10" t="s">
        <v>25</v>
      </c>
      <c r="B2265" s="10" t="s">
        <v>26</v>
      </c>
      <c r="C2265" s="10" t="s">
        <v>23</v>
      </c>
      <c r="D2265" s="10" t="s">
        <v>27</v>
      </c>
      <c r="E2265" s="14">
        <v>1.0</v>
      </c>
      <c r="F2265" s="15">
        <f>ROUND(21,3)</f>
        <v>21</v>
      </c>
      <c r="G2265" s="12">
        <f t="shared" si="406"/>
        <v>21</v>
      </c>
    </row>
    <row r="2266" ht="24.0" customHeight="1">
      <c r="A2266" s="10" t="s">
        <v>28</v>
      </c>
      <c r="B2266" s="10" t="s">
        <v>26</v>
      </c>
      <c r="C2266" s="10" t="s">
        <v>23</v>
      </c>
      <c r="D2266" s="10" t="s">
        <v>29</v>
      </c>
      <c r="E2266" s="14">
        <v>1.0</v>
      </c>
      <c r="F2266" s="15">
        <f t="shared" ref="F2266:F2267" si="407">ROUND(19,3)</f>
        <v>19</v>
      </c>
      <c r="G2266" s="12">
        <f t="shared" si="406"/>
        <v>19</v>
      </c>
    </row>
    <row r="2267" ht="24.0" customHeight="1">
      <c r="A2267" s="10" t="s">
        <v>30</v>
      </c>
      <c r="B2267" s="10" t="s">
        <v>26</v>
      </c>
      <c r="C2267" s="10" t="s">
        <v>23</v>
      </c>
      <c r="D2267" s="10" t="s">
        <v>31</v>
      </c>
      <c r="E2267" s="14">
        <v>0.2</v>
      </c>
      <c r="F2267" s="15">
        <f t="shared" si="407"/>
        <v>19</v>
      </c>
      <c r="G2267" s="12">
        <f t="shared" si="406"/>
        <v>3.8</v>
      </c>
    </row>
    <row r="2268" ht="15.0" customHeight="1">
      <c r="A2268" s="11"/>
      <c r="B2268" s="11"/>
      <c r="C2268" s="11"/>
      <c r="D2268" s="10" t="s">
        <v>22</v>
      </c>
      <c r="E2268" s="14">
        <v>0.53333</v>
      </c>
      <c r="F2268" s="15">
        <f>ROUND((G2265+G2266+G2267),3)</f>
        <v>43.8</v>
      </c>
      <c r="G2268" s="12">
        <f t="shared" si="406"/>
        <v>23.36</v>
      </c>
    </row>
    <row r="2269" ht="15.0" customHeight="1">
      <c r="A2269" s="10" t="s">
        <v>32</v>
      </c>
      <c r="B2269" s="10"/>
      <c r="C2269" s="10" t="s">
        <v>33</v>
      </c>
      <c r="D2269" s="10" t="s">
        <v>34</v>
      </c>
      <c r="E2269" s="14">
        <v>5.0</v>
      </c>
      <c r="F2269" s="15">
        <f>ROUND(23.36,3)</f>
        <v>23.36</v>
      </c>
      <c r="G2269" s="12">
        <f>ROUND((E2269*F2269)/100,2)</f>
        <v>1.17</v>
      </c>
    </row>
    <row r="2270" ht="15.0" customHeight="1">
      <c r="A2270" s="16"/>
      <c r="B2270" s="16"/>
      <c r="C2270" s="16"/>
      <c r="D2270" s="17" t="s">
        <v>1059</v>
      </c>
      <c r="E2270" s="16"/>
      <c r="F2270" s="18">
        <f>ROUND((G2262+G2263+G2264+G2269)*(1+G2/100),2)</f>
        <v>44.39</v>
      </c>
      <c r="G2270" s="16"/>
    </row>
    <row r="2271" ht="57.75" customHeight="1">
      <c r="A2271" s="19" t="s">
        <v>1064</v>
      </c>
      <c r="B2271" s="20" t="s">
        <v>18</v>
      </c>
      <c r="C2271" s="20" t="s">
        <v>19</v>
      </c>
      <c r="D2271" s="20" t="s">
        <v>1065</v>
      </c>
      <c r="E2271" s="21"/>
      <c r="F2271" s="22">
        <f>F2281</f>
        <v>32.51</v>
      </c>
      <c r="G2271" s="21"/>
    </row>
    <row r="2272" ht="39.75" customHeight="1">
      <c r="A2272" s="11"/>
      <c r="B2272" s="11"/>
      <c r="C2272" s="11"/>
      <c r="D2272" s="10" t="s">
        <v>1050</v>
      </c>
    </row>
    <row r="2273" ht="30.0" customHeight="1">
      <c r="A2273" s="10" t="s">
        <v>1051</v>
      </c>
      <c r="B2273" s="10" t="s">
        <v>42</v>
      </c>
      <c r="C2273" s="10" t="s">
        <v>43</v>
      </c>
      <c r="D2273" s="10" t="s">
        <v>1052</v>
      </c>
      <c r="E2273" s="14">
        <v>0.18</v>
      </c>
      <c r="F2273" s="15">
        <f>ROUND(110.66,3)</f>
        <v>110.66</v>
      </c>
      <c r="G2273" s="12">
        <f t="shared" ref="G2273:G2279" si="408">ROUND(E2273*F2273,2)</f>
        <v>19.92</v>
      </c>
    </row>
    <row r="2274" ht="24.0" customHeight="1">
      <c r="A2274" s="10" t="s">
        <v>1053</v>
      </c>
      <c r="B2274" s="10" t="s">
        <v>42</v>
      </c>
      <c r="C2274" s="10" t="s">
        <v>43</v>
      </c>
      <c r="D2274" s="10" t="s">
        <v>1054</v>
      </c>
      <c r="E2274" s="14">
        <v>0.12</v>
      </c>
      <c r="F2274" s="15">
        <f>ROUND(4.63,3)</f>
        <v>4.63</v>
      </c>
      <c r="G2274" s="12">
        <f t="shared" si="408"/>
        <v>0.56</v>
      </c>
    </row>
    <row r="2275" ht="21.0" customHeight="1">
      <c r="A2275" s="10" t="s">
        <v>22</v>
      </c>
      <c r="B2275" s="10" t="s">
        <v>18</v>
      </c>
      <c r="C2275" s="10" t="s">
        <v>23</v>
      </c>
      <c r="D2275" s="10" t="s">
        <v>24</v>
      </c>
      <c r="E2275" s="14">
        <v>0.26667</v>
      </c>
      <c r="F2275" s="15">
        <f>F2279</f>
        <v>43.8</v>
      </c>
      <c r="G2275" s="12">
        <f t="shared" si="408"/>
        <v>11.68</v>
      </c>
    </row>
    <row r="2276" ht="24.0" customHeight="1">
      <c r="A2276" s="10" t="s">
        <v>25</v>
      </c>
      <c r="B2276" s="10" t="s">
        <v>26</v>
      </c>
      <c r="C2276" s="10" t="s">
        <v>23</v>
      </c>
      <c r="D2276" s="10" t="s">
        <v>27</v>
      </c>
      <c r="E2276" s="14">
        <v>1.0</v>
      </c>
      <c r="F2276" s="15">
        <f>ROUND(21,3)</f>
        <v>21</v>
      </c>
      <c r="G2276" s="12">
        <f t="shared" si="408"/>
        <v>21</v>
      </c>
    </row>
    <row r="2277" ht="24.0" customHeight="1">
      <c r="A2277" s="10" t="s">
        <v>28</v>
      </c>
      <c r="B2277" s="10" t="s">
        <v>26</v>
      </c>
      <c r="C2277" s="10" t="s">
        <v>23</v>
      </c>
      <c r="D2277" s="10" t="s">
        <v>29</v>
      </c>
      <c r="E2277" s="14">
        <v>1.0</v>
      </c>
      <c r="F2277" s="15">
        <f t="shared" ref="F2277:F2278" si="409">ROUND(19,3)</f>
        <v>19</v>
      </c>
      <c r="G2277" s="12">
        <f t="shared" si="408"/>
        <v>19</v>
      </c>
    </row>
    <row r="2278" ht="24.0" customHeight="1">
      <c r="A2278" s="10" t="s">
        <v>30</v>
      </c>
      <c r="B2278" s="10" t="s">
        <v>26</v>
      </c>
      <c r="C2278" s="10" t="s">
        <v>23</v>
      </c>
      <c r="D2278" s="10" t="s">
        <v>31</v>
      </c>
      <c r="E2278" s="14">
        <v>0.2</v>
      </c>
      <c r="F2278" s="15">
        <f t="shared" si="409"/>
        <v>19</v>
      </c>
      <c r="G2278" s="12">
        <f t="shared" si="408"/>
        <v>3.8</v>
      </c>
    </row>
    <row r="2279" ht="15.0" customHeight="1">
      <c r="A2279" s="11"/>
      <c r="B2279" s="11"/>
      <c r="C2279" s="11"/>
      <c r="D2279" s="10" t="s">
        <v>22</v>
      </c>
      <c r="E2279" s="14">
        <v>0.26667</v>
      </c>
      <c r="F2279" s="15">
        <f>ROUND((G2276+G2277+G2278),3)</f>
        <v>43.8</v>
      </c>
      <c r="G2279" s="12">
        <f t="shared" si="408"/>
        <v>11.68</v>
      </c>
    </row>
    <row r="2280" ht="15.0" customHeight="1">
      <c r="A2280" s="10" t="s">
        <v>32</v>
      </c>
      <c r="B2280" s="10"/>
      <c r="C2280" s="10" t="s">
        <v>33</v>
      </c>
      <c r="D2280" s="10" t="s">
        <v>34</v>
      </c>
      <c r="E2280" s="14">
        <v>3.0</v>
      </c>
      <c r="F2280" s="15">
        <f>ROUND(11.68,3)</f>
        <v>11.68</v>
      </c>
      <c r="G2280" s="12">
        <f>ROUND((E2280*F2280)/100,2)</f>
        <v>0.35</v>
      </c>
    </row>
    <row r="2281" ht="15.0" customHeight="1">
      <c r="A2281" s="16"/>
      <c r="B2281" s="16"/>
      <c r="C2281" s="16"/>
      <c r="D2281" s="17" t="s">
        <v>1064</v>
      </c>
      <c r="E2281" s="16"/>
      <c r="F2281" s="18">
        <f>ROUND((G2273+G2274+G2275+G2280)*(1+G2/100),2)</f>
        <v>32.51</v>
      </c>
      <c r="G2281" s="16"/>
    </row>
    <row r="2282" ht="57.75" customHeight="1">
      <c r="A2282" s="19" t="s">
        <v>1066</v>
      </c>
      <c r="B2282" s="20" t="s">
        <v>18</v>
      </c>
      <c r="C2282" s="20" t="s">
        <v>19</v>
      </c>
      <c r="D2282" s="20" t="s">
        <v>1067</v>
      </c>
      <c r="E2282" s="21"/>
      <c r="F2282" s="22">
        <f>F2292</f>
        <v>31.64</v>
      </c>
      <c r="G2282" s="21"/>
    </row>
    <row r="2283" ht="39.75" customHeight="1">
      <c r="A2283" s="11"/>
      <c r="B2283" s="11"/>
      <c r="C2283" s="11"/>
      <c r="D2283" s="10" t="s">
        <v>1050</v>
      </c>
    </row>
    <row r="2284" ht="30.0" customHeight="1">
      <c r="A2284" s="10" t="s">
        <v>1057</v>
      </c>
      <c r="B2284" s="10" t="s">
        <v>42</v>
      </c>
      <c r="C2284" s="10" t="s">
        <v>43</v>
      </c>
      <c r="D2284" s="10" t="s">
        <v>1058</v>
      </c>
      <c r="E2284" s="14">
        <v>0.3</v>
      </c>
      <c r="F2284" s="15">
        <f>ROUND(62.73,3)</f>
        <v>62.73</v>
      </c>
      <c r="G2284" s="12">
        <f t="shared" ref="G2284:G2290" si="410">ROUND(E2284*F2284,2)</f>
        <v>18.82</v>
      </c>
    </row>
    <row r="2285" ht="24.0" customHeight="1">
      <c r="A2285" s="10" t="s">
        <v>1053</v>
      </c>
      <c r="B2285" s="10" t="s">
        <v>42</v>
      </c>
      <c r="C2285" s="10" t="s">
        <v>43</v>
      </c>
      <c r="D2285" s="10" t="s">
        <v>1054</v>
      </c>
      <c r="E2285" s="14">
        <v>0.12</v>
      </c>
      <c r="F2285" s="15">
        <f>ROUND(4.63,3)</f>
        <v>4.63</v>
      </c>
      <c r="G2285" s="12">
        <f t="shared" si="410"/>
        <v>0.56</v>
      </c>
    </row>
    <row r="2286" ht="21.0" customHeight="1">
      <c r="A2286" s="10" t="s">
        <v>22</v>
      </c>
      <c r="B2286" s="10" t="s">
        <v>18</v>
      </c>
      <c r="C2286" s="10" t="s">
        <v>23</v>
      </c>
      <c r="D2286" s="10" t="s">
        <v>24</v>
      </c>
      <c r="E2286" s="14">
        <v>0.26667</v>
      </c>
      <c r="F2286" s="15">
        <f>F2290</f>
        <v>43.8</v>
      </c>
      <c r="G2286" s="12">
        <f t="shared" si="410"/>
        <v>11.68</v>
      </c>
    </row>
    <row r="2287" ht="24.0" customHeight="1">
      <c r="A2287" s="10" t="s">
        <v>25</v>
      </c>
      <c r="B2287" s="10" t="s">
        <v>26</v>
      </c>
      <c r="C2287" s="10" t="s">
        <v>23</v>
      </c>
      <c r="D2287" s="10" t="s">
        <v>27</v>
      </c>
      <c r="E2287" s="14">
        <v>1.0</v>
      </c>
      <c r="F2287" s="15">
        <f>ROUND(21,3)</f>
        <v>21</v>
      </c>
      <c r="G2287" s="12">
        <f t="shared" si="410"/>
        <v>21</v>
      </c>
    </row>
    <row r="2288" ht="24.0" customHeight="1">
      <c r="A2288" s="10" t="s">
        <v>28</v>
      </c>
      <c r="B2288" s="10" t="s">
        <v>26</v>
      </c>
      <c r="C2288" s="10" t="s">
        <v>23</v>
      </c>
      <c r="D2288" s="10" t="s">
        <v>29</v>
      </c>
      <c r="E2288" s="14">
        <v>1.0</v>
      </c>
      <c r="F2288" s="15">
        <f t="shared" ref="F2288:F2289" si="411">ROUND(19,3)</f>
        <v>19</v>
      </c>
      <c r="G2288" s="12">
        <f t="shared" si="410"/>
        <v>19</v>
      </c>
    </row>
    <row r="2289" ht="24.0" customHeight="1">
      <c r="A2289" s="10" t="s">
        <v>30</v>
      </c>
      <c r="B2289" s="10" t="s">
        <v>26</v>
      </c>
      <c r="C2289" s="10" t="s">
        <v>23</v>
      </c>
      <c r="D2289" s="10" t="s">
        <v>31</v>
      </c>
      <c r="E2289" s="14">
        <v>0.2</v>
      </c>
      <c r="F2289" s="15">
        <f t="shared" si="411"/>
        <v>19</v>
      </c>
      <c r="G2289" s="12">
        <f t="shared" si="410"/>
        <v>3.8</v>
      </c>
    </row>
    <row r="2290" ht="15.0" customHeight="1">
      <c r="A2290" s="11"/>
      <c r="B2290" s="11"/>
      <c r="C2290" s="11"/>
      <c r="D2290" s="10" t="s">
        <v>22</v>
      </c>
      <c r="E2290" s="14">
        <v>0.26667</v>
      </c>
      <c r="F2290" s="15">
        <f>ROUND((G2287+G2288+G2289),3)</f>
        <v>43.8</v>
      </c>
      <c r="G2290" s="12">
        <f t="shared" si="410"/>
        <v>11.68</v>
      </c>
    </row>
    <row r="2291" ht="15.0" customHeight="1">
      <c r="A2291" s="10" t="s">
        <v>32</v>
      </c>
      <c r="B2291" s="10"/>
      <c r="C2291" s="10" t="s">
        <v>33</v>
      </c>
      <c r="D2291" s="10" t="s">
        <v>34</v>
      </c>
      <c r="E2291" s="14">
        <v>5.0</v>
      </c>
      <c r="F2291" s="15">
        <f>ROUND(11.68,3)</f>
        <v>11.68</v>
      </c>
      <c r="G2291" s="12">
        <f>ROUND((E2291*F2291)/100,2)</f>
        <v>0.58</v>
      </c>
    </row>
    <row r="2292" ht="15.0" customHeight="1">
      <c r="A2292" s="16"/>
      <c r="B2292" s="16"/>
      <c r="C2292" s="16"/>
      <c r="D2292" s="17" t="s">
        <v>1066</v>
      </c>
      <c r="E2292" s="16"/>
      <c r="F2292" s="18">
        <f>ROUND((G2284+G2285+G2286+G2291)*(1+G2/100),2)</f>
        <v>31.64</v>
      </c>
      <c r="G2292" s="16"/>
    </row>
    <row r="2293" ht="39.75" customHeight="1">
      <c r="A2293" s="19" t="s">
        <v>1068</v>
      </c>
      <c r="B2293" s="20" t="s">
        <v>18</v>
      </c>
      <c r="C2293" s="20" t="s">
        <v>351</v>
      </c>
      <c r="D2293" s="20" t="s">
        <v>1069</v>
      </c>
      <c r="E2293" s="21"/>
      <c r="F2293" s="22">
        <f>F2303</f>
        <v>11.7</v>
      </c>
      <c r="G2293" s="21"/>
    </row>
    <row r="2294" ht="21.0" customHeight="1">
      <c r="A2294" s="11"/>
      <c r="B2294" s="11"/>
      <c r="C2294" s="11"/>
      <c r="D2294" s="10" t="s">
        <v>1070</v>
      </c>
    </row>
    <row r="2295" ht="30.0" customHeight="1">
      <c r="A2295" s="10" t="s">
        <v>1062</v>
      </c>
      <c r="B2295" s="10" t="s">
        <v>42</v>
      </c>
      <c r="C2295" s="10" t="s">
        <v>43</v>
      </c>
      <c r="D2295" s="10" t="s">
        <v>1063</v>
      </c>
      <c r="E2295" s="14">
        <v>0.0525</v>
      </c>
      <c r="F2295" s="15">
        <f>ROUND(73.89,3)</f>
        <v>73.89</v>
      </c>
      <c r="G2295" s="12">
        <f t="shared" ref="G2295:G2301" si="412">ROUND(E2295*F2295,2)</f>
        <v>3.88</v>
      </c>
    </row>
    <row r="2296" ht="24.0" customHeight="1">
      <c r="A2296" s="10" t="s">
        <v>1053</v>
      </c>
      <c r="B2296" s="10" t="s">
        <v>42</v>
      </c>
      <c r="C2296" s="10" t="s">
        <v>43</v>
      </c>
      <c r="D2296" s="10" t="s">
        <v>1054</v>
      </c>
      <c r="E2296" s="14">
        <v>0.1</v>
      </c>
      <c r="F2296" s="15">
        <f>ROUND(4.63,3)</f>
        <v>4.63</v>
      </c>
      <c r="G2296" s="12">
        <f t="shared" si="412"/>
        <v>0.46</v>
      </c>
    </row>
    <row r="2297" ht="21.0" customHeight="1">
      <c r="A2297" s="10" t="s">
        <v>22</v>
      </c>
      <c r="B2297" s="10" t="s">
        <v>18</v>
      </c>
      <c r="C2297" s="10" t="s">
        <v>23</v>
      </c>
      <c r="D2297" s="10" t="s">
        <v>24</v>
      </c>
      <c r="E2297" s="14">
        <v>0.16</v>
      </c>
      <c r="F2297" s="15">
        <f>F2301</f>
        <v>43.8</v>
      </c>
      <c r="G2297" s="12">
        <f t="shared" si="412"/>
        <v>7.01</v>
      </c>
    </row>
    <row r="2298" ht="24.0" customHeight="1">
      <c r="A2298" s="10" t="s">
        <v>25</v>
      </c>
      <c r="B2298" s="10" t="s">
        <v>26</v>
      </c>
      <c r="C2298" s="10" t="s">
        <v>23</v>
      </c>
      <c r="D2298" s="10" t="s">
        <v>27</v>
      </c>
      <c r="E2298" s="14">
        <v>1.0</v>
      </c>
      <c r="F2298" s="15">
        <f>ROUND(21,3)</f>
        <v>21</v>
      </c>
      <c r="G2298" s="12">
        <f t="shared" si="412"/>
        <v>21</v>
      </c>
    </row>
    <row r="2299" ht="24.0" customHeight="1">
      <c r="A2299" s="10" t="s">
        <v>28</v>
      </c>
      <c r="B2299" s="10" t="s">
        <v>26</v>
      </c>
      <c r="C2299" s="10" t="s">
        <v>23</v>
      </c>
      <c r="D2299" s="10" t="s">
        <v>29</v>
      </c>
      <c r="E2299" s="14">
        <v>1.0</v>
      </c>
      <c r="F2299" s="15">
        <f t="shared" ref="F2299:F2300" si="413">ROUND(19,3)</f>
        <v>19</v>
      </c>
      <c r="G2299" s="12">
        <f t="shared" si="412"/>
        <v>19</v>
      </c>
    </row>
    <row r="2300" ht="24.0" customHeight="1">
      <c r="A2300" s="10" t="s">
        <v>30</v>
      </c>
      <c r="B2300" s="10" t="s">
        <v>26</v>
      </c>
      <c r="C2300" s="10" t="s">
        <v>23</v>
      </c>
      <c r="D2300" s="10" t="s">
        <v>31</v>
      </c>
      <c r="E2300" s="14">
        <v>0.2</v>
      </c>
      <c r="F2300" s="15">
        <f t="shared" si="413"/>
        <v>19</v>
      </c>
      <c r="G2300" s="12">
        <f t="shared" si="412"/>
        <v>3.8</v>
      </c>
    </row>
    <row r="2301" ht="15.0" customHeight="1">
      <c r="A2301" s="11"/>
      <c r="B2301" s="11"/>
      <c r="C2301" s="11"/>
      <c r="D2301" s="10" t="s">
        <v>22</v>
      </c>
      <c r="E2301" s="14">
        <v>0.16</v>
      </c>
      <c r="F2301" s="15">
        <f>ROUND((G2298+G2299+G2300),3)</f>
        <v>43.8</v>
      </c>
      <c r="G2301" s="12">
        <f t="shared" si="412"/>
        <v>7.01</v>
      </c>
    </row>
    <row r="2302" ht="15.0" customHeight="1">
      <c r="A2302" s="10" t="s">
        <v>32</v>
      </c>
      <c r="B2302" s="10"/>
      <c r="C2302" s="10" t="s">
        <v>33</v>
      </c>
      <c r="D2302" s="10" t="s">
        <v>34</v>
      </c>
      <c r="E2302" s="14">
        <v>5.0</v>
      </c>
      <c r="F2302" s="15">
        <f>ROUND(7.01,3)</f>
        <v>7.01</v>
      </c>
      <c r="G2302" s="12">
        <f>ROUND((E2302*F2302)/100,2)</f>
        <v>0.35</v>
      </c>
    </row>
    <row r="2303" ht="15.0" customHeight="1">
      <c r="A2303" s="16"/>
      <c r="B2303" s="16"/>
      <c r="C2303" s="16"/>
      <c r="D2303" s="17" t="s">
        <v>1068</v>
      </c>
      <c r="E2303" s="16"/>
      <c r="F2303" s="18">
        <f>ROUND((G2295+G2296+G2297+G2302)*(1+G2/100),2)</f>
        <v>11.7</v>
      </c>
      <c r="G2303" s="16"/>
    </row>
    <row r="2304" ht="39.75" customHeight="1">
      <c r="A2304" s="19" t="s">
        <v>1071</v>
      </c>
      <c r="B2304" s="20" t="s">
        <v>18</v>
      </c>
      <c r="C2304" s="20" t="s">
        <v>19</v>
      </c>
      <c r="D2304" s="20" t="s">
        <v>1072</v>
      </c>
      <c r="E2304" s="21"/>
      <c r="F2304" s="22">
        <f>F2313</f>
        <v>26.53</v>
      </c>
      <c r="G2304" s="21"/>
    </row>
    <row r="2305" ht="21.0" customHeight="1">
      <c r="A2305" s="11"/>
      <c r="B2305" s="11"/>
      <c r="C2305" s="11"/>
      <c r="D2305" s="10" t="s">
        <v>1073</v>
      </c>
    </row>
    <row r="2306" ht="30.0" customHeight="1">
      <c r="A2306" s="10" t="s">
        <v>1062</v>
      </c>
      <c r="B2306" s="10" t="s">
        <v>42</v>
      </c>
      <c r="C2306" s="10" t="s">
        <v>43</v>
      </c>
      <c r="D2306" s="10" t="s">
        <v>1063</v>
      </c>
      <c r="E2306" s="14">
        <v>0.11</v>
      </c>
      <c r="F2306" s="15">
        <f>ROUND(73.89,3)</f>
        <v>73.89</v>
      </c>
      <c r="G2306" s="12">
        <f t="shared" ref="G2306:G2311" si="414">ROUND(E2306*F2306,2)</f>
        <v>8.13</v>
      </c>
    </row>
    <row r="2307" ht="21.0" customHeight="1">
      <c r="A2307" s="10" t="s">
        <v>22</v>
      </c>
      <c r="B2307" s="10" t="s">
        <v>18</v>
      </c>
      <c r="C2307" s="10" t="s">
        <v>23</v>
      </c>
      <c r="D2307" s="10" t="s">
        <v>24</v>
      </c>
      <c r="E2307" s="14">
        <v>0.4</v>
      </c>
      <c r="F2307" s="15">
        <f>F2311</f>
        <v>43.8</v>
      </c>
      <c r="G2307" s="12">
        <f t="shared" si="414"/>
        <v>17.52</v>
      </c>
    </row>
    <row r="2308" ht="24.0" customHeight="1">
      <c r="A2308" s="10" t="s">
        <v>25</v>
      </c>
      <c r="B2308" s="10" t="s">
        <v>26</v>
      </c>
      <c r="C2308" s="10" t="s">
        <v>23</v>
      </c>
      <c r="D2308" s="10" t="s">
        <v>27</v>
      </c>
      <c r="E2308" s="14">
        <v>1.0</v>
      </c>
      <c r="F2308" s="15">
        <f>ROUND(21,3)</f>
        <v>21</v>
      </c>
      <c r="G2308" s="12">
        <f t="shared" si="414"/>
        <v>21</v>
      </c>
    </row>
    <row r="2309" ht="24.0" customHeight="1">
      <c r="A2309" s="10" t="s">
        <v>28</v>
      </c>
      <c r="B2309" s="10" t="s">
        <v>26</v>
      </c>
      <c r="C2309" s="10" t="s">
        <v>23</v>
      </c>
      <c r="D2309" s="10" t="s">
        <v>29</v>
      </c>
      <c r="E2309" s="14">
        <v>1.0</v>
      </c>
      <c r="F2309" s="15">
        <f t="shared" ref="F2309:F2310" si="415">ROUND(19,3)</f>
        <v>19</v>
      </c>
      <c r="G2309" s="12">
        <f t="shared" si="414"/>
        <v>19</v>
      </c>
    </row>
    <row r="2310" ht="24.0" customHeight="1">
      <c r="A2310" s="10" t="s">
        <v>30</v>
      </c>
      <c r="B2310" s="10" t="s">
        <v>26</v>
      </c>
      <c r="C2310" s="10" t="s">
        <v>23</v>
      </c>
      <c r="D2310" s="10" t="s">
        <v>31</v>
      </c>
      <c r="E2310" s="14">
        <v>0.2</v>
      </c>
      <c r="F2310" s="15">
        <f t="shared" si="415"/>
        <v>19</v>
      </c>
      <c r="G2310" s="12">
        <f t="shared" si="414"/>
        <v>3.8</v>
      </c>
    </row>
    <row r="2311" ht="15.0" customHeight="1">
      <c r="A2311" s="11"/>
      <c r="B2311" s="11"/>
      <c r="C2311" s="11"/>
      <c r="D2311" s="10" t="s">
        <v>22</v>
      </c>
      <c r="E2311" s="14">
        <v>0.4</v>
      </c>
      <c r="F2311" s="15">
        <f>ROUND((G2308+G2309+G2310),3)</f>
        <v>43.8</v>
      </c>
      <c r="G2311" s="12">
        <f t="shared" si="414"/>
        <v>17.52</v>
      </c>
    </row>
    <row r="2312" ht="15.0" customHeight="1">
      <c r="A2312" s="10" t="s">
        <v>32</v>
      </c>
      <c r="B2312" s="10"/>
      <c r="C2312" s="10" t="s">
        <v>33</v>
      </c>
      <c r="D2312" s="10" t="s">
        <v>34</v>
      </c>
      <c r="E2312" s="14">
        <v>5.0</v>
      </c>
      <c r="F2312" s="15">
        <f>ROUND(17.52,3)</f>
        <v>17.52</v>
      </c>
      <c r="G2312" s="12">
        <f>ROUND((E2312*F2312)/100,2)</f>
        <v>0.88</v>
      </c>
    </row>
    <row r="2313" ht="15.0" customHeight="1">
      <c r="A2313" s="16"/>
      <c r="B2313" s="16"/>
      <c r="C2313" s="16"/>
      <c r="D2313" s="17" t="s">
        <v>1071</v>
      </c>
      <c r="E2313" s="16"/>
      <c r="F2313" s="18">
        <f>ROUND((G2306+G2307+G2312)*(1+G2/100),2)</f>
        <v>26.53</v>
      </c>
      <c r="G2313" s="16"/>
    </row>
    <row r="2314" ht="39.75" customHeight="1">
      <c r="A2314" s="19" t="s">
        <v>1074</v>
      </c>
      <c r="B2314" s="20" t="s">
        <v>18</v>
      </c>
      <c r="C2314" s="20" t="s">
        <v>19</v>
      </c>
      <c r="D2314" s="20" t="s">
        <v>1075</v>
      </c>
      <c r="E2314" s="21"/>
      <c r="F2314" s="22">
        <f>F2323</f>
        <v>21.33</v>
      </c>
      <c r="G2314" s="21"/>
    </row>
    <row r="2315" ht="21.0" customHeight="1">
      <c r="A2315" s="11"/>
      <c r="B2315" s="11"/>
      <c r="C2315" s="11"/>
      <c r="D2315" s="10" t="s">
        <v>1076</v>
      </c>
    </row>
    <row r="2316" ht="30.0" customHeight="1">
      <c r="A2316" s="10" t="s">
        <v>1077</v>
      </c>
      <c r="B2316" s="10" t="s">
        <v>42</v>
      </c>
      <c r="C2316" s="10" t="s">
        <v>43</v>
      </c>
      <c r="D2316" s="10" t="s">
        <v>1078</v>
      </c>
      <c r="E2316" s="14">
        <v>0.06667</v>
      </c>
      <c r="F2316" s="15">
        <f>ROUND(43.89,3)</f>
        <v>43.89</v>
      </c>
      <c r="G2316" s="12">
        <f t="shared" ref="G2316:G2321" si="416">ROUND(E2316*F2316,2)</f>
        <v>2.93</v>
      </c>
    </row>
    <row r="2317" ht="21.0" customHeight="1">
      <c r="A2317" s="10" t="s">
        <v>22</v>
      </c>
      <c r="B2317" s="10" t="s">
        <v>18</v>
      </c>
      <c r="C2317" s="10" t="s">
        <v>23</v>
      </c>
      <c r="D2317" s="10" t="s">
        <v>24</v>
      </c>
      <c r="E2317" s="14">
        <v>0.4</v>
      </c>
      <c r="F2317" s="15">
        <f>F2321</f>
        <v>43.8</v>
      </c>
      <c r="G2317" s="12">
        <f t="shared" si="416"/>
        <v>17.52</v>
      </c>
    </row>
    <row r="2318" ht="24.0" customHeight="1">
      <c r="A2318" s="10" t="s">
        <v>25</v>
      </c>
      <c r="B2318" s="10" t="s">
        <v>26</v>
      </c>
      <c r="C2318" s="10" t="s">
        <v>23</v>
      </c>
      <c r="D2318" s="10" t="s">
        <v>27</v>
      </c>
      <c r="E2318" s="14">
        <v>1.0</v>
      </c>
      <c r="F2318" s="15">
        <f>ROUND(21,3)</f>
        <v>21</v>
      </c>
      <c r="G2318" s="12">
        <f t="shared" si="416"/>
        <v>21</v>
      </c>
    </row>
    <row r="2319" ht="24.0" customHeight="1">
      <c r="A2319" s="10" t="s">
        <v>28</v>
      </c>
      <c r="B2319" s="10" t="s">
        <v>26</v>
      </c>
      <c r="C2319" s="10" t="s">
        <v>23</v>
      </c>
      <c r="D2319" s="10" t="s">
        <v>29</v>
      </c>
      <c r="E2319" s="14">
        <v>1.0</v>
      </c>
      <c r="F2319" s="15">
        <f t="shared" ref="F2319:F2320" si="417">ROUND(19,3)</f>
        <v>19</v>
      </c>
      <c r="G2319" s="12">
        <f t="shared" si="416"/>
        <v>19</v>
      </c>
    </row>
    <row r="2320" ht="24.0" customHeight="1">
      <c r="A2320" s="10" t="s">
        <v>30</v>
      </c>
      <c r="B2320" s="10" t="s">
        <v>26</v>
      </c>
      <c r="C2320" s="10" t="s">
        <v>23</v>
      </c>
      <c r="D2320" s="10" t="s">
        <v>31</v>
      </c>
      <c r="E2320" s="14">
        <v>0.2</v>
      </c>
      <c r="F2320" s="15">
        <f t="shared" si="417"/>
        <v>19</v>
      </c>
      <c r="G2320" s="12">
        <f t="shared" si="416"/>
        <v>3.8</v>
      </c>
    </row>
    <row r="2321" ht="15.0" customHeight="1">
      <c r="A2321" s="11"/>
      <c r="B2321" s="11"/>
      <c r="C2321" s="11"/>
      <c r="D2321" s="10" t="s">
        <v>22</v>
      </c>
      <c r="E2321" s="14">
        <v>0.4</v>
      </c>
      <c r="F2321" s="15">
        <f>ROUND((G2318+G2319+G2320),3)</f>
        <v>43.8</v>
      </c>
      <c r="G2321" s="12">
        <f t="shared" si="416"/>
        <v>17.52</v>
      </c>
    </row>
    <row r="2322" ht="15.0" customHeight="1">
      <c r="A2322" s="10" t="s">
        <v>32</v>
      </c>
      <c r="B2322" s="10"/>
      <c r="C2322" s="10" t="s">
        <v>33</v>
      </c>
      <c r="D2322" s="10" t="s">
        <v>34</v>
      </c>
      <c r="E2322" s="14">
        <v>5.0</v>
      </c>
      <c r="F2322" s="15">
        <f>ROUND(17.52,3)</f>
        <v>17.52</v>
      </c>
      <c r="G2322" s="12">
        <f>ROUND((E2322*F2322)/100,2)</f>
        <v>0.88</v>
      </c>
    </row>
    <row r="2323" ht="15.0" customHeight="1">
      <c r="A2323" s="16"/>
      <c r="B2323" s="16"/>
      <c r="C2323" s="16"/>
      <c r="D2323" s="17" t="s">
        <v>1074</v>
      </c>
      <c r="E2323" s="16"/>
      <c r="F2323" s="18">
        <f>ROUND((G2316+G2317+G2322)*(1+G2/100),2)</f>
        <v>21.33</v>
      </c>
      <c r="G2323" s="16"/>
    </row>
    <row r="2324" ht="39.75" customHeight="1">
      <c r="A2324" s="19" t="s">
        <v>1079</v>
      </c>
      <c r="B2324" s="20" t="s">
        <v>18</v>
      </c>
      <c r="C2324" s="20" t="s">
        <v>19</v>
      </c>
      <c r="D2324" s="20" t="s">
        <v>1080</v>
      </c>
      <c r="E2324" s="21"/>
      <c r="F2324" s="22">
        <f>F2334</f>
        <v>24.39</v>
      </c>
      <c r="G2324" s="21"/>
    </row>
    <row r="2325" ht="21.0" customHeight="1">
      <c r="A2325" s="11"/>
      <c r="B2325" s="11"/>
      <c r="C2325" s="11"/>
      <c r="D2325" s="10" t="s">
        <v>1081</v>
      </c>
    </row>
    <row r="2326" ht="30.0" customHeight="1">
      <c r="A2326" s="10" t="s">
        <v>1062</v>
      </c>
      <c r="B2326" s="10" t="s">
        <v>42</v>
      </c>
      <c r="C2326" s="10" t="s">
        <v>43</v>
      </c>
      <c r="D2326" s="10" t="s">
        <v>1063</v>
      </c>
      <c r="E2326" s="14">
        <v>0.08333</v>
      </c>
      <c r="F2326" s="15">
        <f>ROUND(73.89,3)</f>
        <v>73.89</v>
      </c>
      <c r="G2326" s="12">
        <f t="shared" ref="G2326:G2332" si="418">ROUND(E2326*F2326,2)</f>
        <v>6.16</v>
      </c>
    </row>
    <row r="2327" ht="24.0" customHeight="1">
      <c r="A2327" s="10" t="s">
        <v>1044</v>
      </c>
      <c r="B2327" s="10" t="s">
        <v>112</v>
      </c>
      <c r="C2327" s="10" t="s">
        <v>23</v>
      </c>
      <c r="D2327" s="10" t="s">
        <v>1045</v>
      </c>
      <c r="E2327" s="14">
        <v>0.16</v>
      </c>
      <c r="F2327" s="15">
        <f>ROUND(1.1,3)</f>
        <v>1.1</v>
      </c>
      <c r="G2327" s="12">
        <f t="shared" si="418"/>
        <v>0.18</v>
      </c>
    </row>
    <row r="2328" ht="21.0" customHeight="1">
      <c r="A2328" s="10" t="s">
        <v>22</v>
      </c>
      <c r="B2328" s="10" t="s">
        <v>18</v>
      </c>
      <c r="C2328" s="10" t="s">
        <v>23</v>
      </c>
      <c r="D2328" s="10" t="s">
        <v>24</v>
      </c>
      <c r="E2328" s="14">
        <v>0.4</v>
      </c>
      <c r="F2328" s="15">
        <f>F2332</f>
        <v>43.8</v>
      </c>
      <c r="G2328" s="12">
        <f t="shared" si="418"/>
        <v>17.52</v>
      </c>
    </row>
    <row r="2329" ht="24.0" customHeight="1">
      <c r="A2329" s="10" t="s">
        <v>25</v>
      </c>
      <c r="B2329" s="10" t="s">
        <v>26</v>
      </c>
      <c r="C2329" s="10" t="s">
        <v>23</v>
      </c>
      <c r="D2329" s="10" t="s">
        <v>27</v>
      </c>
      <c r="E2329" s="14">
        <v>1.0</v>
      </c>
      <c r="F2329" s="15">
        <f>ROUND(21,3)</f>
        <v>21</v>
      </c>
      <c r="G2329" s="12">
        <f t="shared" si="418"/>
        <v>21</v>
      </c>
    </row>
    <row r="2330" ht="24.0" customHeight="1">
      <c r="A2330" s="10" t="s">
        <v>28</v>
      </c>
      <c r="B2330" s="10" t="s">
        <v>26</v>
      </c>
      <c r="C2330" s="10" t="s">
        <v>23</v>
      </c>
      <c r="D2330" s="10" t="s">
        <v>29</v>
      </c>
      <c r="E2330" s="14">
        <v>1.0</v>
      </c>
      <c r="F2330" s="15">
        <f t="shared" ref="F2330:F2331" si="419">ROUND(19,3)</f>
        <v>19</v>
      </c>
      <c r="G2330" s="12">
        <f t="shared" si="418"/>
        <v>19</v>
      </c>
    </row>
    <row r="2331" ht="24.0" customHeight="1">
      <c r="A2331" s="10" t="s">
        <v>30</v>
      </c>
      <c r="B2331" s="10" t="s">
        <v>26</v>
      </c>
      <c r="C2331" s="10" t="s">
        <v>23</v>
      </c>
      <c r="D2331" s="10" t="s">
        <v>31</v>
      </c>
      <c r="E2331" s="14">
        <v>0.2</v>
      </c>
      <c r="F2331" s="15">
        <f t="shared" si="419"/>
        <v>19</v>
      </c>
      <c r="G2331" s="12">
        <f t="shared" si="418"/>
        <v>3.8</v>
      </c>
    </row>
    <row r="2332" ht="15.0" customHeight="1">
      <c r="A2332" s="11"/>
      <c r="B2332" s="11"/>
      <c r="C2332" s="11"/>
      <c r="D2332" s="10" t="s">
        <v>22</v>
      </c>
      <c r="E2332" s="14">
        <v>0.4</v>
      </c>
      <c r="F2332" s="15">
        <f>ROUND((G2329+G2330+G2331),3)</f>
        <v>43.8</v>
      </c>
      <c r="G2332" s="12">
        <f t="shared" si="418"/>
        <v>17.52</v>
      </c>
    </row>
    <row r="2333" ht="15.0" customHeight="1">
      <c r="A2333" s="10" t="s">
        <v>32</v>
      </c>
      <c r="B2333" s="10"/>
      <c r="C2333" s="10" t="s">
        <v>33</v>
      </c>
      <c r="D2333" s="10" t="s">
        <v>34</v>
      </c>
      <c r="E2333" s="14">
        <v>3.0</v>
      </c>
      <c r="F2333" s="15">
        <f>ROUND(17.52,3)</f>
        <v>17.52</v>
      </c>
      <c r="G2333" s="12">
        <f>ROUND((E2333*F2333)/100,2)</f>
        <v>0.53</v>
      </c>
    </row>
    <row r="2334" ht="15.0" customHeight="1">
      <c r="A2334" s="16"/>
      <c r="B2334" s="16"/>
      <c r="C2334" s="16"/>
      <c r="D2334" s="17" t="s">
        <v>1079</v>
      </c>
      <c r="E2334" s="16"/>
      <c r="F2334" s="18">
        <f>ROUND((G2326+G2327+G2328+G2333)*(1+G2/100),2)</f>
        <v>24.39</v>
      </c>
      <c r="G2334" s="16"/>
    </row>
    <row r="2335" ht="39.75" customHeight="1">
      <c r="A2335" s="19" t="s">
        <v>1082</v>
      </c>
      <c r="B2335" s="20" t="s">
        <v>18</v>
      </c>
      <c r="C2335" s="20" t="s">
        <v>19</v>
      </c>
      <c r="D2335" s="20" t="s">
        <v>1083</v>
      </c>
      <c r="E2335" s="21"/>
      <c r="F2335" s="22">
        <f>F2345</f>
        <v>23.81</v>
      </c>
      <c r="G2335" s="21"/>
    </row>
    <row r="2336" ht="21.0" customHeight="1">
      <c r="A2336" s="11"/>
      <c r="B2336" s="11"/>
      <c r="C2336" s="11"/>
      <c r="D2336" s="10" t="s">
        <v>1084</v>
      </c>
    </row>
    <row r="2337" ht="30.0" customHeight="1">
      <c r="A2337" s="10" t="s">
        <v>1057</v>
      </c>
      <c r="B2337" s="10" t="s">
        <v>42</v>
      </c>
      <c r="C2337" s="10" t="s">
        <v>43</v>
      </c>
      <c r="D2337" s="10" t="s">
        <v>1058</v>
      </c>
      <c r="E2337" s="14">
        <v>0.08333</v>
      </c>
      <c r="F2337" s="15">
        <f>ROUND(62.73,3)</f>
        <v>62.73</v>
      </c>
      <c r="G2337" s="12">
        <f t="shared" ref="G2337:G2343" si="420">ROUND(E2337*F2337,2)</f>
        <v>5.23</v>
      </c>
    </row>
    <row r="2338" ht="24.0" customHeight="1">
      <c r="A2338" s="10" t="s">
        <v>1044</v>
      </c>
      <c r="B2338" s="10" t="s">
        <v>112</v>
      </c>
      <c r="C2338" s="10" t="s">
        <v>23</v>
      </c>
      <c r="D2338" s="10" t="s">
        <v>1045</v>
      </c>
      <c r="E2338" s="14">
        <v>0.16</v>
      </c>
      <c r="F2338" s="15">
        <f>ROUND(1.1,3)</f>
        <v>1.1</v>
      </c>
      <c r="G2338" s="12">
        <f t="shared" si="420"/>
        <v>0.18</v>
      </c>
    </row>
    <row r="2339" ht="21.0" customHeight="1">
      <c r="A2339" s="10" t="s">
        <v>22</v>
      </c>
      <c r="B2339" s="10" t="s">
        <v>18</v>
      </c>
      <c r="C2339" s="10" t="s">
        <v>23</v>
      </c>
      <c r="D2339" s="10" t="s">
        <v>24</v>
      </c>
      <c r="E2339" s="14">
        <v>0.4</v>
      </c>
      <c r="F2339" s="15">
        <f>F2343</f>
        <v>43.8</v>
      </c>
      <c r="G2339" s="12">
        <f t="shared" si="420"/>
        <v>17.52</v>
      </c>
    </row>
    <row r="2340" ht="24.0" customHeight="1">
      <c r="A2340" s="10" t="s">
        <v>25</v>
      </c>
      <c r="B2340" s="10" t="s">
        <v>26</v>
      </c>
      <c r="C2340" s="10" t="s">
        <v>23</v>
      </c>
      <c r="D2340" s="10" t="s">
        <v>27</v>
      </c>
      <c r="E2340" s="14">
        <v>1.0</v>
      </c>
      <c r="F2340" s="15">
        <f>ROUND(21,3)</f>
        <v>21</v>
      </c>
      <c r="G2340" s="12">
        <f t="shared" si="420"/>
        <v>21</v>
      </c>
    </row>
    <row r="2341" ht="24.0" customHeight="1">
      <c r="A2341" s="10" t="s">
        <v>28</v>
      </c>
      <c r="B2341" s="10" t="s">
        <v>26</v>
      </c>
      <c r="C2341" s="10" t="s">
        <v>23</v>
      </c>
      <c r="D2341" s="10" t="s">
        <v>29</v>
      </c>
      <c r="E2341" s="14">
        <v>1.0</v>
      </c>
      <c r="F2341" s="15">
        <f t="shared" ref="F2341:F2342" si="421">ROUND(19,3)</f>
        <v>19</v>
      </c>
      <c r="G2341" s="12">
        <f t="shared" si="420"/>
        <v>19</v>
      </c>
    </row>
    <row r="2342" ht="24.0" customHeight="1">
      <c r="A2342" s="10" t="s">
        <v>30</v>
      </c>
      <c r="B2342" s="10" t="s">
        <v>26</v>
      </c>
      <c r="C2342" s="10" t="s">
        <v>23</v>
      </c>
      <c r="D2342" s="10" t="s">
        <v>31</v>
      </c>
      <c r="E2342" s="14">
        <v>0.2</v>
      </c>
      <c r="F2342" s="15">
        <f t="shared" si="421"/>
        <v>19</v>
      </c>
      <c r="G2342" s="12">
        <f t="shared" si="420"/>
        <v>3.8</v>
      </c>
    </row>
    <row r="2343" ht="15.0" customHeight="1">
      <c r="A2343" s="11"/>
      <c r="B2343" s="11"/>
      <c r="C2343" s="11"/>
      <c r="D2343" s="10" t="s">
        <v>22</v>
      </c>
      <c r="E2343" s="14">
        <v>0.4</v>
      </c>
      <c r="F2343" s="15">
        <f>ROUND((G2340+G2341+G2342),3)</f>
        <v>43.8</v>
      </c>
      <c r="G2343" s="12">
        <f t="shared" si="420"/>
        <v>17.52</v>
      </c>
    </row>
    <row r="2344" ht="15.0" customHeight="1">
      <c r="A2344" s="10" t="s">
        <v>32</v>
      </c>
      <c r="B2344" s="10"/>
      <c r="C2344" s="10" t="s">
        <v>33</v>
      </c>
      <c r="D2344" s="10" t="s">
        <v>34</v>
      </c>
      <c r="E2344" s="14">
        <v>5.0</v>
      </c>
      <c r="F2344" s="15">
        <f>ROUND(17.52,3)</f>
        <v>17.52</v>
      </c>
      <c r="G2344" s="12">
        <f>ROUND((E2344*F2344)/100,2)</f>
        <v>0.88</v>
      </c>
    </row>
    <row r="2345" ht="15.0" customHeight="1">
      <c r="A2345" s="16"/>
      <c r="B2345" s="16"/>
      <c r="C2345" s="16"/>
      <c r="D2345" s="17" t="s">
        <v>1082</v>
      </c>
      <c r="E2345" s="16"/>
      <c r="F2345" s="18">
        <f>ROUND((G2337+G2338+G2339+G2344)*(1+G2/100),2)</f>
        <v>23.81</v>
      </c>
      <c r="G2345" s="16"/>
    </row>
    <row r="2346" ht="39.75" customHeight="1">
      <c r="A2346" s="19" t="s">
        <v>1085</v>
      </c>
      <c r="B2346" s="20" t="s">
        <v>18</v>
      </c>
      <c r="C2346" s="20" t="s">
        <v>19</v>
      </c>
      <c r="D2346" s="20" t="s">
        <v>1086</v>
      </c>
      <c r="E2346" s="21"/>
      <c r="F2346" s="22">
        <f>F2356</f>
        <v>24.59</v>
      </c>
      <c r="G2346" s="21"/>
    </row>
    <row r="2347" ht="21.0" customHeight="1">
      <c r="A2347" s="11"/>
      <c r="B2347" s="11"/>
      <c r="C2347" s="11"/>
      <c r="D2347" s="10" t="s">
        <v>1087</v>
      </c>
    </row>
    <row r="2348" ht="30.0" customHeight="1">
      <c r="A2348" s="10" t="s">
        <v>1088</v>
      </c>
      <c r="B2348" s="10" t="s">
        <v>42</v>
      </c>
      <c r="C2348" s="10" t="s">
        <v>43</v>
      </c>
      <c r="D2348" s="10" t="s">
        <v>1089</v>
      </c>
      <c r="E2348" s="14">
        <v>0.06667</v>
      </c>
      <c r="F2348" s="15">
        <f>ROUND(9.04,3)</f>
        <v>9.04</v>
      </c>
      <c r="G2348" s="12">
        <f t="shared" ref="G2348:G2354" si="422">ROUND(E2348*F2348,2)</f>
        <v>0.6</v>
      </c>
    </row>
    <row r="2349" ht="30.0" customHeight="1">
      <c r="A2349" s="10" t="s">
        <v>1090</v>
      </c>
      <c r="B2349" s="10" t="s">
        <v>42</v>
      </c>
      <c r="C2349" s="10" t="s">
        <v>43</v>
      </c>
      <c r="D2349" s="10" t="s">
        <v>1091</v>
      </c>
      <c r="E2349" s="14">
        <v>0.07</v>
      </c>
      <c r="F2349" s="15">
        <f>ROUND(14.09,3)</f>
        <v>14.09</v>
      </c>
      <c r="G2349" s="12">
        <f t="shared" si="422"/>
        <v>0.99</v>
      </c>
    </row>
    <row r="2350" ht="21.0" customHeight="1">
      <c r="A2350" s="10" t="s">
        <v>22</v>
      </c>
      <c r="B2350" s="10" t="s">
        <v>18</v>
      </c>
      <c r="C2350" s="10" t="s">
        <v>23</v>
      </c>
      <c r="D2350" s="10" t="s">
        <v>24</v>
      </c>
      <c r="E2350" s="14">
        <v>0.5</v>
      </c>
      <c r="F2350" s="15">
        <f>F2354</f>
        <v>43.8</v>
      </c>
      <c r="G2350" s="12">
        <f t="shared" si="422"/>
        <v>21.9</v>
      </c>
    </row>
    <row r="2351" ht="24.0" customHeight="1">
      <c r="A2351" s="10" t="s">
        <v>25</v>
      </c>
      <c r="B2351" s="10" t="s">
        <v>26</v>
      </c>
      <c r="C2351" s="10" t="s">
        <v>23</v>
      </c>
      <c r="D2351" s="10" t="s">
        <v>27</v>
      </c>
      <c r="E2351" s="14">
        <v>1.0</v>
      </c>
      <c r="F2351" s="15">
        <f>ROUND(21,3)</f>
        <v>21</v>
      </c>
      <c r="G2351" s="12">
        <f t="shared" si="422"/>
        <v>21</v>
      </c>
    </row>
    <row r="2352" ht="24.0" customHeight="1">
      <c r="A2352" s="10" t="s">
        <v>28</v>
      </c>
      <c r="B2352" s="10" t="s">
        <v>26</v>
      </c>
      <c r="C2352" s="10" t="s">
        <v>23</v>
      </c>
      <c r="D2352" s="10" t="s">
        <v>29</v>
      </c>
      <c r="E2352" s="14">
        <v>1.0</v>
      </c>
      <c r="F2352" s="15">
        <f t="shared" ref="F2352:F2353" si="423">ROUND(19,3)</f>
        <v>19</v>
      </c>
      <c r="G2352" s="12">
        <f t="shared" si="422"/>
        <v>19</v>
      </c>
    </row>
    <row r="2353" ht="24.0" customHeight="1">
      <c r="A2353" s="10" t="s">
        <v>30</v>
      </c>
      <c r="B2353" s="10" t="s">
        <v>26</v>
      </c>
      <c r="C2353" s="10" t="s">
        <v>23</v>
      </c>
      <c r="D2353" s="10" t="s">
        <v>31</v>
      </c>
      <c r="E2353" s="14">
        <v>0.2</v>
      </c>
      <c r="F2353" s="15">
        <f t="shared" si="423"/>
        <v>19</v>
      </c>
      <c r="G2353" s="12">
        <f t="shared" si="422"/>
        <v>3.8</v>
      </c>
    </row>
    <row r="2354" ht="15.0" customHeight="1">
      <c r="A2354" s="11"/>
      <c r="B2354" s="11"/>
      <c r="C2354" s="11"/>
      <c r="D2354" s="10" t="s">
        <v>22</v>
      </c>
      <c r="E2354" s="14">
        <v>0.5</v>
      </c>
      <c r="F2354" s="15">
        <f>ROUND((G2351+G2352+G2353),3)</f>
        <v>43.8</v>
      </c>
      <c r="G2354" s="12">
        <f t="shared" si="422"/>
        <v>21.9</v>
      </c>
    </row>
    <row r="2355" ht="15.0" customHeight="1">
      <c r="A2355" s="10" t="s">
        <v>32</v>
      </c>
      <c r="B2355" s="10"/>
      <c r="C2355" s="10" t="s">
        <v>33</v>
      </c>
      <c r="D2355" s="10" t="s">
        <v>34</v>
      </c>
      <c r="E2355" s="14">
        <v>5.0</v>
      </c>
      <c r="F2355" s="15">
        <f>ROUND(21.9,3)</f>
        <v>21.9</v>
      </c>
      <c r="G2355" s="12">
        <f>ROUND((E2355*F2355)/100,2)</f>
        <v>1.1</v>
      </c>
    </row>
    <row r="2356" ht="15.0" customHeight="1">
      <c r="A2356" s="16"/>
      <c r="B2356" s="16"/>
      <c r="C2356" s="16"/>
      <c r="D2356" s="17" t="s">
        <v>1085</v>
      </c>
      <c r="E2356" s="16"/>
      <c r="F2356" s="18">
        <f>ROUND((G2348+G2349+G2350+G2355)*(1+G2/100),2)</f>
        <v>24.59</v>
      </c>
      <c r="G2356" s="16"/>
    </row>
    <row r="2357" ht="30.0" customHeight="1">
      <c r="A2357" s="19" t="s">
        <v>1092</v>
      </c>
      <c r="B2357" s="20" t="s">
        <v>18</v>
      </c>
      <c r="C2357" s="20" t="s">
        <v>19</v>
      </c>
      <c r="D2357" s="20" t="s">
        <v>1093</v>
      </c>
      <c r="E2357" s="21"/>
      <c r="F2357" s="22">
        <f>F2367</f>
        <v>19.59</v>
      </c>
      <c r="G2357" s="21"/>
    </row>
    <row r="2358" ht="21.0" customHeight="1">
      <c r="A2358" s="11"/>
      <c r="B2358" s="11"/>
      <c r="C2358" s="11"/>
      <c r="D2358" s="10" t="s">
        <v>1094</v>
      </c>
    </row>
    <row r="2359" ht="30.0" customHeight="1">
      <c r="A2359" s="10" t="s">
        <v>1088</v>
      </c>
      <c r="B2359" s="10" t="s">
        <v>42</v>
      </c>
      <c r="C2359" s="10" t="s">
        <v>43</v>
      </c>
      <c r="D2359" s="10" t="s">
        <v>1089</v>
      </c>
      <c r="E2359" s="14">
        <v>0.05</v>
      </c>
      <c r="F2359" s="15">
        <f>ROUND(9.04,3)</f>
        <v>9.04</v>
      </c>
      <c r="G2359" s="12">
        <f t="shared" ref="G2359:G2365" si="424">ROUND(E2359*F2359,2)</f>
        <v>0.45</v>
      </c>
    </row>
    <row r="2360" ht="30.0" customHeight="1">
      <c r="A2360" s="10" t="s">
        <v>1095</v>
      </c>
      <c r="B2360" s="10" t="s">
        <v>42</v>
      </c>
      <c r="C2360" s="10" t="s">
        <v>43</v>
      </c>
      <c r="D2360" s="10" t="s">
        <v>1096</v>
      </c>
      <c r="E2360" s="14">
        <v>0.0525</v>
      </c>
      <c r="F2360" s="15">
        <f>ROUND(14.09,3)</f>
        <v>14.09</v>
      </c>
      <c r="G2360" s="12">
        <f t="shared" si="424"/>
        <v>0.74</v>
      </c>
    </row>
    <row r="2361" ht="21.0" customHeight="1">
      <c r="A2361" s="10" t="s">
        <v>22</v>
      </c>
      <c r="B2361" s="10" t="s">
        <v>18</v>
      </c>
      <c r="C2361" s="10" t="s">
        <v>23</v>
      </c>
      <c r="D2361" s="10" t="s">
        <v>24</v>
      </c>
      <c r="E2361" s="14">
        <v>0.4</v>
      </c>
      <c r="F2361" s="15">
        <f>F2365</f>
        <v>43.8</v>
      </c>
      <c r="G2361" s="12">
        <f t="shared" si="424"/>
        <v>17.52</v>
      </c>
    </row>
    <row r="2362" ht="24.0" customHeight="1">
      <c r="A2362" s="10" t="s">
        <v>25</v>
      </c>
      <c r="B2362" s="10" t="s">
        <v>26</v>
      </c>
      <c r="C2362" s="10" t="s">
        <v>23</v>
      </c>
      <c r="D2362" s="10" t="s">
        <v>27</v>
      </c>
      <c r="E2362" s="14">
        <v>1.0</v>
      </c>
      <c r="F2362" s="15">
        <f>ROUND(21,3)</f>
        <v>21</v>
      </c>
      <c r="G2362" s="12">
        <f t="shared" si="424"/>
        <v>21</v>
      </c>
    </row>
    <row r="2363" ht="24.0" customHeight="1">
      <c r="A2363" s="10" t="s">
        <v>28</v>
      </c>
      <c r="B2363" s="10" t="s">
        <v>26</v>
      </c>
      <c r="C2363" s="10" t="s">
        <v>23</v>
      </c>
      <c r="D2363" s="10" t="s">
        <v>29</v>
      </c>
      <c r="E2363" s="14">
        <v>1.0</v>
      </c>
      <c r="F2363" s="15">
        <f t="shared" ref="F2363:F2364" si="425">ROUND(19,3)</f>
        <v>19</v>
      </c>
      <c r="G2363" s="12">
        <f t="shared" si="424"/>
        <v>19</v>
      </c>
    </row>
    <row r="2364" ht="24.0" customHeight="1">
      <c r="A2364" s="10" t="s">
        <v>30</v>
      </c>
      <c r="B2364" s="10" t="s">
        <v>26</v>
      </c>
      <c r="C2364" s="10" t="s">
        <v>23</v>
      </c>
      <c r="D2364" s="10" t="s">
        <v>31</v>
      </c>
      <c r="E2364" s="14">
        <v>0.2</v>
      </c>
      <c r="F2364" s="15">
        <f t="shared" si="425"/>
        <v>19</v>
      </c>
      <c r="G2364" s="12">
        <f t="shared" si="424"/>
        <v>3.8</v>
      </c>
    </row>
    <row r="2365" ht="15.0" customHeight="1">
      <c r="A2365" s="11"/>
      <c r="B2365" s="11"/>
      <c r="C2365" s="11"/>
      <c r="D2365" s="10" t="s">
        <v>22</v>
      </c>
      <c r="E2365" s="14">
        <v>0.4</v>
      </c>
      <c r="F2365" s="15">
        <f>ROUND((G2362+G2363+G2364),3)</f>
        <v>43.8</v>
      </c>
      <c r="G2365" s="12">
        <f t="shared" si="424"/>
        <v>17.52</v>
      </c>
    </row>
    <row r="2366" ht="15.0" customHeight="1">
      <c r="A2366" s="10" t="s">
        <v>32</v>
      </c>
      <c r="B2366" s="10"/>
      <c r="C2366" s="10" t="s">
        <v>33</v>
      </c>
      <c r="D2366" s="10" t="s">
        <v>34</v>
      </c>
      <c r="E2366" s="14">
        <v>5.0</v>
      </c>
      <c r="F2366" s="15">
        <f>ROUND(17.52,3)</f>
        <v>17.52</v>
      </c>
      <c r="G2366" s="12">
        <f>ROUND((E2366*F2366)/100,2)</f>
        <v>0.88</v>
      </c>
    </row>
    <row r="2367" ht="15.0" customHeight="1">
      <c r="A2367" s="16"/>
      <c r="B2367" s="16"/>
      <c r="C2367" s="16"/>
      <c r="D2367" s="17" t="s">
        <v>1092</v>
      </c>
      <c r="E2367" s="16"/>
      <c r="F2367" s="18">
        <f>ROUND((G2359+G2360+G2361+G2366)*(1+G2/100),2)</f>
        <v>19.59</v>
      </c>
      <c r="G2367" s="16"/>
    </row>
    <row r="2368" ht="48.75" customHeight="1">
      <c r="A2368" s="19" t="s">
        <v>1097</v>
      </c>
      <c r="B2368" s="20" t="s">
        <v>18</v>
      </c>
      <c r="C2368" s="20" t="s">
        <v>351</v>
      </c>
      <c r="D2368" s="20" t="s">
        <v>1098</v>
      </c>
      <c r="E2368" s="21"/>
      <c r="F2368" s="22">
        <f>F2378</f>
        <v>9.54</v>
      </c>
      <c r="G2368" s="21"/>
    </row>
    <row r="2369" ht="21.0" customHeight="1">
      <c r="A2369" s="11"/>
      <c r="B2369" s="11"/>
      <c r="C2369" s="11"/>
      <c r="D2369" s="10" t="s">
        <v>1099</v>
      </c>
    </row>
    <row r="2370" ht="39.75" customHeight="1">
      <c r="A2370" s="10" t="s">
        <v>953</v>
      </c>
      <c r="B2370" s="10" t="s">
        <v>112</v>
      </c>
      <c r="C2370" s="10" t="s">
        <v>23</v>
      </c>
      <c r="D2370" s="10" t="s">
        <v>954</v>
      </c>
      <c r="E2370" s="14">
        <v>0.18</v>
      </c>
      <c r="F2370" s="15">
        <f>ROUND(1.75,3)</f>
        <v>1.75</v>
      </c>
      <c r="G2370" s="12">
        <f t="shared" ref="G2370:G2376" si="426">ROUND(E2370*F2370,2)</f>
        <v>0.32</v>
      </c>
    </row>
    <row r="2371" ht="30.0" customHeight="1">
      <c r="A2371" s="10" t="s">
        <v>1100</v>
      </c>
      <c r="B2371" s="10" t="s">
        <v>42</v>
      </c>
      <c r="C2371" s="10" t="s">
        <v>344</v>
      </c>
      <c r="D2371" s="10" t="s">
        <v>1101</v>
      </c>
      <c r="E2371" s="14">
        <v>0.045</v>
      </c>
      <c r="F2371" s="15">
        <f>ROUND(24.45,3)</f>
        <v>24.45</v>
      </c>
      <c r="G2371" s="12">
        <f t="shared" si="426"/>
        <v>1.1</v>
      </c>
    </row>
    <row r="2372" ht="21.0" customHeight="1">
      <c r="A2372" s="10" t="s">
        <v>22</v>
      </c>
      <c r="B2372" s="10" t="s">
        <v>18</v>
      </c>
      <c r="C2372" s="10" t="s">
        <v>23</v>
      </c>
      <c r="D2372" s="10" t="s">
        <v>24</v>
      </c>
      <c r="E2372" s="14">
        <v>0.18</v>
      </c>
      <c r="F2372" s="15">
        <f>F2376</f>
        <v>43.8</v>
      </c>
      <c r="G2372" s="12">
        <f t="shared" si="426"/>
        <v>7.88</v>
      </c>
    </row>
    <row r="2373" ht="24.0" customHeight="1">
      <c r="A2373" s="10" t="s">
        <v>25</v>
      </c>
      <c r="B2373" s="10" t="s">
        <v>26</v>
      </c>
      <c r="C2373" s="10" t="s">
        <v>23</v>
      </c>
      <c r="D2373" s="10" t="s">
        <v>27</v>
      </c>
      <c r="E2373" s="14">
        <v>1.0</v>
      </c>
      <c r="F2373" s="15">
        <f>ROUND(21,3)</f>
        <v>21</v>
      </c>
      <c r="G2373" s="12">
        <f t="shared" si="426"/>
        <v>21</v>
      </c>
    </row>
    <row r="2374" ht="24.0" customHeight="1">
      <c r="A2374" s="10" t="s">
        <v>28</v>
      </c>
      <c r="B2374" s="10" t="s">
        <v>26</v>
      </c>
      <c r="C2374" s="10" t="s">
        <v>23</v>
      </c>
      <c r="D2374" s="10" t="s">
        <v>29</v>
      </c>
      <c r="E2374" s="14">
        <v>1.0</v>
      </c>
      <c r="F2374" s="15">
        <f t="shared" ref="F2374:F2375" si="427">ROUND(19,3)</f>
        <v>19</v>
      </c>
      <c r="G2374" s="12">
        <f t="shared" si="426"/>
        <v>19</v>
      </c>
    </row>
    <row r="2375" ht="24.0" customHeight="1">
      <c r="A2375" s="10" t="s">
        <v>30</v>
      </c>
      <c r="B2375" s="10" t="s">
        <v>26</v>
      </c>
      <c r="C2375" s="10" t="s">
        <v>23</v>
      </c>
      <c r="D2375" s="10" t="s">
        <v>31</v>
      </c>
      <c r="E2375" s="14">
        <v>0.2</v>
      </c>
      <c r="F2375" s="15">
        <f t="shared" si="427"/>
        <v>19</v>
      </c>
      <c r="G2375" s="12">
        <f t="shared" si="426"/>
        <v>3.8</v>
      </c>
    </row>
    <row r="2376" ht="15.0" customHeight="1">
      <c r="A2376" s="11"/>
      <c r="B2376" s="11"/>
      <c r="C2376" s="11"/>
      <c r="D2376" s="10" t="s">
        <v>22</v>
      </c>
      <c r="E2376" s="14">
        <v>0.18</v>
      </c>
      <c r="F2376" s="15">
        <f>ROUND((G2373+G2374+G2375),3)</f>
        <v>43.8</v>
      </c>
      <c r="G2376" s="12">
        <f t="shared" si="426"/>
        <v>7.88</v>
      </c>
    </row>
    <row r="2377" ht="15.0" customHeight="1">
      <c r="A2377" s="10" t="s">
        <v>32</v>
      </c>
      <c r="B2377" s="10"/>
      <c r="C2377" s="10" t="s">
        <v>33</v>
      </c>
      <c r="D2377" s="10" t="s">
        <v>34</v>
      </c>
      <c r="E2377" s="14">
        <v>3.0</v>
      </c>
      <c r="F2377" s="15">
        <f>ROUND(7.88,3)</f>
        <v>7.88</v>
      </c>
      <c r="G2377" s="12">
        <f>ROUND((E2377*F2377)/100,2)</f>
        <v>0.24</v>
      </c>
    </row>
    <row r="2378" ht="24.75" customHeight="1">
      <c r="A2378" s="16"/>
      <c r="B2378" s="16"/>
      <c r="C2378" s="16"/>
      <c r="D2378" s="17" t="s">
        <v>1097</v>
      </c>
      <c r="E2378" s="16"/>
      <c r="F2378" s="18">
        <f>ROUND((G2370+G2371+G2372+G2377)*(1+G2/100),2)</f>
        <v>9.54</v>
      </c>
      <c r="G2378" s="16"/>
    </row>
    <row r="2379" ht="48.75" customHeight="1">
      <c r="A2379" s="19" t="s">
        <v>1102</v>
      </c>
      <c r="B2379" s="20" t="s">
        <v>18</v>
      </c>
      <c r="C2379" s="20" t="s">
        <v>351</v>
      </c>
      <c r="D2379" s="20" t="s">
        <v>1103</v>
      </c>
      <c r="E2379" s="21"/>
      <c r="F2379" s="22">
        <f>F2389</f>
        <v>6.44</v>
      </c>
      <c r="G2379" s="21"/>
    </row>
    <row r="2380" ht="21.0" customHeight="1">
      <c r="A2380" s="11"/>
      <c r="B2380" s="11"/>
      <c r="C2380" s="11"/>
      <c r="D2380" s="10" t="s">
        <v>1104</v>
      </c>
    </row>
    <row r="2381" ht="39.75" customHeight="1">
      <c r="A2381" s="10" t="s">
        <v>953</v>
      </c>
      <c r="B2381" s="10" t="s">
        <v>112</v>
      </c>
      <c r="C2381" s="10" t="s">
        <v>23</v>
      </c>
      <c r="D2381" s="10" t="s">
        <v>954</v>
      </c>
      <c r="E2381" s="14">
        <v>0.12</v>
      </c>
      <c r="F2381" s="15">
        <f>ROUND(1.75,3)</f>
        <v>1.75</v>
      </c>
      <c r="G2381" s="12">
        <f t="shared" ref="G2381:G2387" si="428">ROUND(E2381*F2381,2)</f>
        <v>0.21</v>
      </c>
    </row>
    <row r="2382" ht="30.0" customHeight="1">
      <c r="A2382" s="10" t="s">
        <v>1100</v>
      </c>
      <c r="B2382" s="10" t="s">
        <v>42</v>
      </c>
      <c r="C2382" s="10" t="s">
        <v>344</v>
      </c>
      <c r="D2382" s="10" t="s">
        <v>1101</v>
      </c>
      <c r="E2382" s="14">
        <v>0.03333</v>
      </c>
      <c r="F2382" s="15">
        <f>ROUND(24.45,3)</f>
        <v>24.45</v>
      </c>
      <c r="G2382" s="12">
        <f t="shared" si="428"/>
        <v>0.81</v>
      </c>
    </row>
    <row r="2383" ht="21.0" customHeight="1">
      <c r="A2383" s="10" t="s">
        <v>22</v>
      </c>
      <c r="B2383" s="10" t="s">
        <v>18</v>
      </c>
      <c r="C2383" s="10" t="s">
        <v>23</v>
      </c>
      <c r="D2383" s="10" t="s">
        <v>24</v>
      </c>
      <c r="E2383" s="14">
        <v>0.12</v>
      </c>
      <c r="F2383" s="15">
        <f>F2387</f>
        <v>43.8</v>
      </c>
      <c r="G2383" s="12">
        <f t="shared" si="428"/>
        <v>5.26</v>
      </c>
    </row>
    <row r="2384" ht="24.0" customHeight="1">
      <c r="A2384" s="10" t="s">
        <v>25</v>
      </c>
      <c r="B2384" s="10" t="s">
        <v>26</v>
      </c>
      <c r="C2384" s="10" t="s">
        <v>23</v>
      </c>
      <c r="D2384" s="10" t="s">
        <v>27</v>
      </c>
      <c r="E2384" s="14">
        <v>1.0</v>
      </c>
      <c r="F2384" s="15">
        <f>ROUND(21,3)</f>
        <v>21</v>
      </c>
      <c r="G2384" s="12">
        <f t="shared" si="428"/>
        <v>21</v>
      </c>
    </row>
    <row r="2385" ht="24.0" customHeight="1">
      <c r="A2385" s="10" t="s">
        <v>28</v>
      </c>
      <c r="B2385" s="10" t="s">
        <v>26</v>
      </c>
      <c r="C2385" s="10" t="s">
        <v>23</v>
      </c>
      <c r="D2385" s="10" t="s">
        <v>29</v>
      </c>
      <c r="E2385" s="14">
        <v>1.0</v>
      </c>
      <c r="F2385" s="15">
        <f t="shared" ref="F2385:F2386" si="429">ROUND(19,3)</f>
        <v>19</v>
      </c>
      <c r="G2385" s="12">
        <f t="shared" si="428"/>
        <v>19</v>
      </c>
    </row>
    <row r="2386" ht="24.0" customHeight="1">
      <c r="A2386" s="10" t="s">
        <v>30</v>
      </c>
      <c r="B2386" s="10" t="s">
        <v>26</v>
      </c>
      <c r="C2386" s="10" t="s">
        <v>23</v>
      </c>
      <c r="D2386" s="10" t="s">
        <v>31</v>
      </c>
      <c r="E2386" s="14">
        <v>0.2</v>
      </c>
      <c r="F2386" s="15">
        <f t="shared" si="429"/>
        <v>19</v>
      </c>
      <c r="G2386" s="12">
        <f t="shared" si="428"/>
        <v>3.8</v>
      </c>
    </row>
    <row r="2387" ht="15.0" customHeight="1">
      <c r="A2387" s="11"/>
      <c r="B2387" s="11"/>
      <c r="C2387" s="11"/>
      <c r="D2387" s="10" t="s">
        <v>22</v>
      </c>
      <c r="E2387" s="14">
        <v>0.12</v>
      </c>
      <c r="F2387" s="15">
        <f>ROUND((G2384+G2385+G2386),3)</f>
        <v>43.8</v>
      </c>
      <c r="G2387" s="12">
        <f t="shared" si="428"/>
        <v>5.26</v>
      </c>
    </row>
    <row r="2388" ht="15.0" customHeight="1">
      <c r="A2388" s="10" t="s">
        <v>32</v>
      </c>
      <c r="B2388" s="10"/>
      <c r="C2388" s="10" t="s">
        <v>33</v>
      </c>
      <c r="D2388" s="10" t="s">
        <v>34</v>
      </c>
      <c r="E2388" s="14">
        <v>3.0</v>
      </c>
      <c r="F2388" s="15">
        <f>ROUND(5.26,3)</f>
        <v>5.26</v>
      </c>
      <c r="G2388" s="12">
        <f>ROUND((E2388*F2388)/100,2)</f>
        <v>0.16</v>
      </c>
    </row>
    <row r="2389" ht="24.75" customHeight="1">
      <c r="A2389" s="16"/>
      <c r="B2389" s="16"/>
      <c r="C2389" s="16"/>
      <c r="D2389" s="17" t="s">
        <v>1102</v>
      </c>
      <c r="E2389" s="16"/>
      <c r="F2389" s="18">
        <f>ROUND((G2381+G2382+G2383+G2388)*(1+G2/100),2)</f>
        <v>6.44</v>
      </c>
      <c r="G2389" s="16"/>
    </row>
    <row r="2390" ht="48.75" customHeight="1">
      <c r="A2390" s="19" t="s">
        <v>1105</v>
      </c>
      <c r="B2390" s="20" t="s">
        <v>18</v>
      </c>
      <c r="C2390" s="20" t="s">
        <v>19</v>
      </c>
      <c r="D2390" s="20" t="s">
        <v>1106</v>
      </c>
      <c r="E2390" s="21"/>
      <c r="F2390" s="22">
        <f>F2400</f>
        <v>16.81</v>
      </c>
      <c r="G2390" s="21"/>
    </row>
    <row r="2391" ht="21.0" customHeight="1">
      <c r="A2391" s="11"/>
      <c r="B2391" s="11"/>
      <c r="C2391" s="11"/>
      <c r="D2391" s="10" t="s">
        <v>1107</v>
      </c>
    </row>
    <row r="2392" ht="39.75" customHeight="1">
      <c r="A2392" s="10" t="s">
        <v>953</v>
      </c>
      <c r="B2392" s="10" t="s">
        <v>112</v>
      </c>
      <c r="C2392" s="10" t="s">
        <v>23</v>
      </c>
      <c r="D2392" s="10" t="s">
        <v>954</v>
      </c>
      <c r="E2392" s="14">
        <v>0.3</v>
      </c>
      <c r="F2392" s="15">
        <f>ROUND(1.75,3)</f>
        <v>1.75</v>
      </c>
      <c r="G2392" s="12">
        <f t="shared" ref="G2392:G2398" si="430">ROUND(E2392*F2392,2)</f>
        <v>0.53</v>
      </c>
    </row>
    <row r="2393" ht="30.0" customHeight="1">
      <c r="A2393" s="10" t="s">
        <v>1100</v>
      </c>
      <c r="B2393" s="10" t="s">
        <v>42</v>
      </c>
      <c r="C2393" s="10" t="s">
        <v>344</v>
      </c>
      <c r="D2393" s="10" t="s">
        <v>1101</v>
      </c>
      <c r="E2393" s="14">
        <v>0.1125</v>
      </c>
      <c r="F2393" s="15">
        <f>ROUND(24.45,3)</f>
        <v>24.45</v>
      </c>
      <c r="G2393" s="12">
        <f t="shared" si="430"/>
        <v>2.75</v>
      </c>
    </row>
    <row r="2394" ht="21.0" customHeight="1">
      <c r="A2394" s="10" t="s">
        <v>22</v>
      </c>
      <c r="B2394" s="10" t="s">
        <v>18</v>
      </c>
      <c r="C2394" s="10" t="s">
        <v>23</v>
      </c>
      <c r="D2394" s="10" t="s">
        <v>24</v>
      </c>
      <c r="E2394" s="14">
        <v>0.3</v>
      </c>
      <c r="F2394" s="15">
        <f>F2398</f>
        <v>43.8</v>
      </c>
      <c r="G2394" s="12">
        <f t="shared" si="430"/>
        <v>13.14</v>
      </c>
    </row>
    <row r="2395" ht="24.0" customHeight="1">
      <c r="A2395" s="10" t="s">
        <v>25</v>
      </c>
      <c r="B2395" s="10" t="s">
        <v>26</v>
      </c>
      <c r="C2395" s="10" t="s">
        <v>23</v>
      </c>
      <c r="D2395" s="10" t="s">
        <v>27</v>
      </c>
      <c r="E2395" s="14">
        <v>1.0</v>
      </c>
      <c r="F2395" s="15">
        <f>ROUND(21,3)</f>
        <v>21</v>
      </c>
      <c r="G2395" s="12">
        <f t="shared" si="430"/>
        <v>21</v>
      </c>
    </row>
    <row r="2396" ht="24.0" customHeight="1">
      <c r="A2396" s="10" t="s">
        <v>28</v>
      </c>
      <c r="B2396" s="10" t="s">
        <v>26</v>
      </c>
      <c r="C2396" s="10" t="s">
        <v>23</v>
      </c>
      <c r="D2396" s="10" t="s">
        <v>29</v>
      </c>
      <c r="E2396" s="14">
        <v>1.0</v>
      </c>
      <c r="F2396" s="15">
        <f t="shared" ref="F2396:F2397" si="431">ROUND(19,3)</f>
        <v>19</v>
      </c>
      <c r="G2396" s="12">
        <f t="shared" si="430"/>
        <v>19</v>
      </c>
    </row>
    <row r="2397" ht="24.0" customHeight="1">
      <c r="A2397" s="10" t="s">
        <v>30</v>
      </c>
      <c r="B2397" s="10" t="s">
        <v>26</v>
      </c>
      <c r="C2397" s="10" t="s">
        <v>23</v>
      </c>
      <c r="D2397" s="10" t="s">
        <v>31</v>
      </c>
      <c r="E2397" s="14">
        <v>0.2</v>
      </c>
      <c r="F2397" s="15">
        <f t="shared" si="431"/>
        <v>19</v>
      </c>
      <c r="G2397" s="12">
        <f t="shared" si="430"/>
        <v>3.8</v>
      </c>
    </row>
    <row r="2398" ht="15.0" customHeight="1">
      <c r="A2398" s="11"/>
      <c r="B2398" s="11"/>
      <c r="C2398" s="11"/>
      <c r="D2398" s="10" t="s">
        <v>22</v>
      </c>
      <c r="E2398" s="14">
        <v>0.3</v>
      </c>
      <c r="F2398" s="15">
        <f>ROUND((G2395+G2396+G2397),3)</f>
        <v>43.8</v>
      </c>
      <c r="G2398" s="12">
        <f t="shared" si="430"/>
        <v>13.14</v>
      </c>
    </row>
    <row r="2399" ht="15.0" customHeight="1">
      <c r="A2399" s="10" t="s">
        <v>32</v>
      </c>
      <c r="B2399" s="10"/>
      <c r="C2399" s="10" t="s">
        <v>33</v>
      </c>
      <c r="D2399" s="10" t="s">
        <v>34</v>
      </c>
      <c r="E2399" s="14">
        <v>3.0</v>
      </c>
      <c r="F2399" s="15">
        <f>ROUND(13.14,3)</f>
        <v>13.14</v>
      </c>
      <c r="G2399" s="12">
        <f>ROUND((E2399*F2399)/100,2)</f>
        <v>0.39</v>
      </c>
    </row>
    <row r="2400" ht="24.75" customHeight="1">
      <c r="A2400" s="16"/>
      <c r="B2400" s="16"/>
      <c r="C2400" s="16"/>
      <c r="D2400" s="17" t="s">
        <v>1105</v>
      </c>
      <c r="E2400" s="16"/>
      <c r="F2400" s="18">
        <f>ROUND((G2392+G2393+G2394+G2399)*(1+G2/100),2)</f>
        <v>16.81</v>
      </c>
      <c r="G2400" s="16"/>
    </row>
    <row r="2401" ht="48.75" customHeight="1">
      <c r="A2401" s="19" t="s">
        <v>1108</v>
      </c>
      <c r="B2401" s="20" t="s">
        <v>18</v>
      </c>
      <c r="C2401" s="20" t="s">
        <v>19</v>
      </c>
      <c r="D2401" s="20" t="s">
        <v>1109</v>
      </c>
      <c r="E2401" s="21"/>
      <c r="F2401" s="22">
        <f>F2411</f>
        <v>11.52</v>
      </c>
      <c r="G2401" s="21"/>
    </row>
    <row r="2402" ht="21.0" customHeight="1">
      <c r="A2402" s="11"/>
      <c r="B2402" s="11"/>
      <c r="C2402" s="11"/>
      <c r="D2402" s="10" t="s">
        <v>1110</v>
      </c>
    </row>
    <row r="2403" ht="39.75" customHeight="1">
      <c r="A2403" s="10" t="s">
        <v>953</v>
      </c>
      <c r="B2403" s="10" t="s">
        <v>112</v>
      </c>
      <c r="C2403" s="10" t="s">
        <v>23</v>
      </c>
      <c r="D2403" s="10" t="s">
        <v>954</v>
      </c>
      <c r="E2403" s="14">
        <v>0.2</v>
      </c>
      <c r="F2403" s="15">
        <f>ROUND(1.75,3)</f>
        <v>1.75</v>
      </c>
      <c r="G2403" s="12">
        <f t="shared" ref="G2403:G2409" si="432">ROUND(E2403*F2403,2)</f>
        <v>0.35</v>
      </c>
    </row>
    <row r="2404" ht="30.0" customHeight="1">
      <c r="A2404" s="10" t="s">
        <v>1100</v>
      </c>
      <c r="B2404" s="10" t="s">
        <v>42</v>
      </c>
      <c r="C2404" s="10" t="s">
        <v>344</v>
      </c>
      <c r="D2404" s="10" t="s">
        <v>1101</v>
      </c>
      <c r="E2404" s="14">
        <v>0.088</v>
      </c>
      <c r="F2404" s="15">
        <f>ROUND(24.45,3)</f>
        <v>24.45</v>
      </c>
      <c r="G2404" s="12">
        <f t="shared" si="432"/>
        <v>2.15</v>
      </c>
    </row>
    <row r="2405" ht="21.0" customHeight="1">
      <c r="A2405" s="10" t="s">
        <v>22</v>
      </c>
      <c r="B2405" s="10" t="s">
        <v>18</v>
      </c>
      <c r="C2405" s="10" t="s">
        <v>23</v>
      </c>
      <c r="D2405" s="10" t="s">
        <v>24</v>
      </c>
      <c r="E2405" s="14">
        <v>0.2</v>
      </c>
      <c r="F2405" s="15">
        <f>F2409</f>
        <v>43.8</v>
      </c>
      <c r="G2405" s="12">
        <f t="shared" si="432"/>
        <v>8.76</v>
      </c>
    </row>
    <row r="2406" ht="24.0" customHeight="1">
      <c r="A2406" s="10" t="s">
        <v>25</v>
      </c>
      <c r="B2406" s="10" t="s">
        <v>26</v>
      </c>
      <c r="C2406" s="10" t="s">
        <v>23</v>
      </c>
      <c r="D2406" s="10" t="s">
        <v>27</v>
      </c>
      <c r="E2406" s="14">
        <v>1.0</v>
      </c>
      <c r="F2406" s="15">
        <f>ROUND(21,3)</f>
        <v>21</v>
      </c>
      <c r="G2406" s="12">
        <f t="shared" si="432"/>
        <v>21</v>
      </c>
    </row>
    <row r="2407" ht="24.0" customHeight="1">
      <c r="A2407" s="10" t="s">
        <v>28</v>
      </c>
      <c r="B2407" s="10" t="s">
        <v>26</v>
      </c>
      <c r="C2407" s="10" t="s">
        <v>23</v>
      </c>
      <c r="D2407" s="10" t="s">
        <v>29</v>
      </c>
      <c r="E2407" s="14">
        <v>1.0</v>
      </c>
      <c r="F2407" s="15">
        <f t="shared" ref="F2407:F2408" si="433">ROUND(19,3)</f>
        <v>19</v>
      </c>
      <c r="G2407" s="12">
        <f t="shared" si="432"/>
        <v>19</v>
      </c>
    </row>
    <row r="2408" ht="24.0" customHeight="1">
      <c r="A2408" s="10" t="s">
        <v>30</v>
      </c>
      <c r="B2408" s="10" t="s">
        <v>26</v>
      </c>
      <c r="C2408" s="10" t="s">
        <v>23</v>
      </c>
      <c r="D2408" s="10" t="s">
        <v>31</v>
      </c>
      <c r="E2408" s="14">
        <v>0.2</v>
      </c>
      <c r="F2408" s="15">
        <f t="shared" si="433"/>
        <v>19</v>
      </c>
      <c r="G2408" s="12">
        <f t="shared" si="432"/>
        <v>3.8</v>
      </c>
    </row>
    <row r="2409" ht="15.0" customHeight="1">
      <c r="A2409" s="11"/>
      <c r="B2409" s="11"/>
      <c r="C2409" s="11"/>
      <c r="D2409" s="10" t="s">
        <v>22</v>
      </c>
      <c r="E2409" s="14">
        <v>0.2</v>
      </c>
      <c r="F2409" s="15">
        <f>ROUND((G2406+G2407+G2408),3)</f>
        <v>43.8</v>
      </c>
      <c r="G2409" s="12">
        <f t="shared" si="432"/>
        <v>8.76</v>
      </c>
    </row>
    <row r="2410" ht="15.0" customHeight="1">
      <c r="A2410" s="10" t="s">
        <v>32</v>
      </c>
      <c r="B2410" s="10"/>
      <c r="C2410" s="10" t="s">
        <v>33</v>
      </c>
      <c r="D2410" s="10" t="s">
        <v>34</v>
      </c>
      <c r="E2410" s="14">
        <v>3.0</v>
      </c>
      <c r="F2410" s="15">
        <f>ROUND(8.76,3)</f>
        <v>8.76</v>
      </c>
      <c r="G2410" s="12">
        <f>ROUND((E2410*F2410)/100,2)</f>
        <v>0.26</v>
      </c>
    </row>
    <row r="2411" ht="24.75" customHeight="1">
      <c r="A2411" s="16"/>
      <c r="B2411" s="16"/>
      <c r="C2411" s="16"/>
      <c r="D2411" s="17" t="s">
        <v>1108</v>
      </c>
      <c r="E2411" s="16"/>
      <c r="F2411" s="18">
        <f>ROUND((G2403+G2404+G2405+G2410)*(1+G2/100),2)</f>
        <v>11.52</v>
      </c>
      <c r="G2411" s="16"/>
    </row>
    <row r="2412" ht="21.0" customHeight="1">
      <c r="A2412" s="19" t="s">
        <v>1111</v>
      </c>
      <c r="B2412" s="20" t="s">
        <v>18</v>
      </c>
      <c r="C2412" s="20" t="s">
        <v>251</v>
      </c>
      <c r="D2412" s="20" t="s">
        <v>1112</v>
      </c>
      <c r="E2412" s="21"/>
      <c r="F2412" s="22">
        <f>F2422</f>
        <v>30.44</v>
      </c>
      <c r="G2412" s="21"/>
    </row>
    <row r="2413" ht="39.75" customHeight="1">
      <c r="A2413" s="11"/>
      <c r="B2413" s="11"/>
      <c r="C2413" s="11"/>
      <c r="D2413" s="10" t="s">
        <v>1113</v>
      </c>
    </row>
    <row r="2414" ht="30.0" customHeight="1">
      <c r="A2414" s="10" t="s">
        <v>1051</v>
      </c>
      <c r="B2414" s="10" t="s">
        <v>42</v>
      </c>
      <c r="C2414" s="10" t="s">
        <v>43</v>
      </c>
      <c r="D2414" s="10" t="s">
        <v>1052</v>
      </c>
      <c r="E2414" s="14">
        <v>0.0666</v>
      </c>
      <c r="F2414" s="15">
        <f>ROUND(110.66,3)</f>
        <v>110.66</v>
      </c>
      <c r="G2414" s="12">
        <f t="shared" ref="G2414:G2420" si="434">ROUND(E2414*F2414,2)</f>
        <v>7.37</v>
      </c>
    </row>
    <row r="2415" ht="24.0" customHeight="1">
      <c r="A2415" s="10" t="s">
        <v>1053</v>
      </c>
      <c r="B2415" s="10" t="s">
        <v>42</v>
      </c>
      <c r="C2415" s="10" t="s">
        <v>43</v>
      </c>
      <c r="D2415" s="10" t="s">
        <v>1054</v>
      </c>
      <c r="E2415" s="14">
        <v>0.11</v>
      </c>
      <c r="F2415" s="15">
        <f>ROUND(4.63,3)</f>
        <v>4.63</v>
      </c>
      <c r="G2415" s="12">
        <f t="shared" si="434"/>
        <v>0.51</v>
      </c>
    </row>
    <row r="2416" ht="21.0" customHeight="1">
      <c r="A2416" s="10" t="s">
        <v>22</v>
      </c>
      <c r="B2416" s="10" t="s">
        <v>18</v>
      </c>
      <c r="C2416" s="10" t="s">
        <v>23</v>
      </c>
      <c r="D2416" s="10" t="s">
        <v>24</v>
      </c>
      <c r="E2416" s="14">
        <v>0.5</v>
      </c>
      <c r="F2416" s="15">
        <f>F2420</f>
        <v>43.8</v>
      </c>
      <c r="G2416" s="12">
        <f t="shared" si="434"/>
        <v>21.9</v>
      </c>
    </row>
    <row r="2417" ht="24.0" customHeight="1">
      <c r="A2417" s="10" t="s">
        <v>25</v>
      </c>
      <c r="B2417" s="10" t="s">
        <v>26</v>
      </c>
      <c r="C2417" s="10" t="s">
        <v>23</v>
      </c>
      <c r="D2417" s="10" t="s">
        <v>27</v>
      </c>
      <c r="E2417" s="14">
        <v>1.0</v>
      </c>
      <c r="F2417" s="15">
        <f>ROUND(21,3)</f>
        <v>21</v>
      </c>
      <c r="G2417" s="12">
        <f t="shared" si="434"/>
        <v>21</v>
      </c>
    </row>
    <row r="2418" ht="24.0" customHeight="1">
      <c r="A2418" s="10" t="s">
        <v>28</v>
      </c>
      <c r="B2418" s="10" t="s">
        <v>26</v>
      </c>
      <c r="C2418" s="10" t="s">
        <v>23</v>
      </c>
      <c r="D2418" s="10" t="s">
        <v>29</v>
      </c>
      <c r="E2418" s="14">
        <v>1.0</v>
      </c>
      <c r="F2418" s="15">
        <f t="shared" ref="F2418:F2419" si="435">ROUND(19,3)</f>
        <v>19</v>
      </c>
      <c r="G2418" s="12">
        <f t="shared" si="434"/>
        <v>19</v>
      </c>
    </row>
    <row r="2419" ht="24.0" customHeight="1">
      <c r="A2419" s="10" t="s">
        <v>30</v>
      </c>
      <c r="B2419" s="10" t="s">
        <v>26</v>
      </c>
      <c r="C2419" s="10" t="s">
        <v>23</v>
      </c>
      <c r="D2419" s="10" t="s">
        <v>31</v>
      </c>
      <c r="E2419" s="14">
        <v>0.2</v>
      </c>
      <c r="F2419" s="15">
        <f t="shared" si="435"/>
        <v>19</v>
      </c>
      <c r="G2419" s="12">
        <f t="shared" si="434"/>
        <v>3.8</v>
      </c>
    </row>
    <row r="2420" ht="15.0" customHeight="1">
      <c r="A2420" s="11"/>
      <c r="B2420" s="11"/>
      <c r="C2420" s="11"/>
      <c r="D2420" s="10" t="s">
        <v>22</v>
      </c>
      <c r="E2420" s="14">
        <v>0.5</v>
      </c>
      <c r="F2420" s="15">
        <f>ROUND((G2417+G2418+G2419),3)</f>
        <v>43.8</v>
      </c>
      <c r="G2420" s="12">
        <f t="shared" si="434"/>
        <v>21.9</v>
      </c>
    </row>
    <row r="2421" ht="15.0" customHeight="1">
      <c r="A2421" s="10" t="s">
        <v>32</v>
      </c>
      <c r="B2421" s="10"/>
      <c r="C2421" s="10" t="s">
        <v>33</v>
      </c>
      <c r="D2421" s="10" t="s">
        <v>34</v>
      </c>
      <c r="E2421" s="14">
        <v>3.0</v>
      </c>
      <c r="F2421" s="15">
        <f>ROUND(21.9,3)</f>
        <v>21.9</v>
      </c>
      <c r="G2421" s="12">
        <f>ROUND((E2421*F2421)/100,2)</f>
        <v>0.66</v>
      </c>
    </row>
    <row r="2422" ht="15.0" customHeight="1">
      <c r="A2422" s="16"/>
      <c r="B2422" s="16"/>
      <c r="C2422" s="16"/>
      <c r="D2422" s="17" t="s">
        <v>1111</v>
      </c>
      <c r="E2422" s="16"/>
      <c r="F2422" s="18">
        <f>ROUND((G2414+G2415+G2416+G2421)*(1+G2/100),2)</f>
        <v>30.44</v>
      </c>
      <c r="G2422" s="16"/>
    </row>
    <row r="2423" ht="30.0" customHeight="1">
      <c r="A2423" s="19" t="s">
        <v>1114</v>
      </c>
      <c r="B2423" s="20" t="s">
        <v>18</v>
      </c>
      <c r="C2423" s="20" t="s">
        <v>251</v>
      </c>
      <c r="D2423" s="20" t="s">
        <v>1115</v>
      </c>
      <c r="E2423" s="21"/>
      <c r="F2423" s="22">
        <f>F2433</f>
        <v>37.67</v>
      </c>
      <c r="G2423" s="21"/>
    </row>
    <row r="2424" ht="30.0" customHeight="1">
      <c r="A2424" s="11"/>
      <c r="B2424" s="11"/>
      <c r="C2424" s="11"/>
      <c r="D2424" s="10" t="s">
        <v>1116</v>
      </c>
    </row>
    <row r="2425" ht="30.0" customHeight="1">
      <c r="A2425" s="10" t="s">
        <v>1051</v>
      </c>
      <c r="B2425" s="10" t="s">
        <v>42</v>
      </c>
      <c r="C2425" s="10" t="s">
        <v>43</v>
      </c>
      <c r="D2425" s="10" t="s">
        <v>1052</v>
      </c>
      <c r="E2425" s="14">
        <v>0.132</v>
      </c>
      <c r="F2425" s="15">
        <f>ROUND(110.66,3)</f>
        <v>110.66</v>
      </c>
      <c r="G2425" s="12">
        <f t="shared" ref="G2425:G2431" si="436">ROUND(E2425*F2425,2)</f>
        <v>14.61</v>
      </c>
    </row>
    <row r="2426" ht="15.0" customHeight="1">
      <c r="A2426" s="10" t="s">
        <v>1117</v>
      </c>
      <c r="B2426" s="10" t="s">
        <v>42</v>
      </c>
      <c r="C2426" s="10" t="s">
        <v>521</v>
      </c>
      <c r="D2426" s="10" t="s">
        <v>1118</v>
      </c>
      <c r="E2426" s="14">
        <v>0.1</v>
      </c>
      <c r="F2426" s="15">
        <f>ROUND(5,3)</f>
        <v>5</v>
      </c>
      <c r="G2426" s="12">
        <f t="shared" si="436"/>
        <v>0.5</v>
      </c>
    </row>
    <row r="2427" ht="21.0" customHeight="1">
      <c r="A2427" s="10" t="s">
        <v>22</v>
      </c>
      <c r="B2427" s="10" t="s">
        <v>18</v>
      </c>
      <c r="C2427" s="10" t="s">
        <v>23</v>
      </c>
      <c r="D2427" s="10" t="s">
        <v>24</v>
      </c>
      <c r="E2427" s="14">
        <v>0.5</v>
      </c>
      <c r="F2427" s="15">
        <f>F2431</f>
        <v>43.8</v>
      </c>
      <c r="G2427" s="12">
        <f t="shared" si="436"/>
        <v>21.9</v>
      </c>
    </row>
    <row r="2428" ht="24.0" customHeight="1">
      <c r="A2428" s="10" t="s">
        <v>25</v>
      </c>
      <c r="B2428" s="10" t="s">
        <v>26</v>
      </c>
      <c r="C2428" s="10" t="s">
        <v>23</v>
      </c>
      <c r="D2428" s="10" t="s">
        <v>27</v>
      </c>
      <c r="E2428" s="14">
        <v>1.0</v>
      </c>
      <c r="F2428" s="15">
        <f>ROUND(21,3)</f>
        <v>21</v>
      </c>
      <c r="G2428" s="12">
        <f t="shared" si="436"/>
        <v>21</v>
      </c>
    </row>
    <row r="2429" ht="24.0" customHeight="1">
      <c r="A2429" s="10" t="s">
        <v>28</v>
      </c>
      <c r="B2429" s="10" t="s">
        <v>26</v>
      </c>
      <c r="C2429" s="10" t="s">
        <v>23</v>
      </c>
      <c r="D2429" s="10" t="s">
        <v>29</v>
      </c>
      <c r="E2429" s="14">
        <v>1.0</v>
      </c>
      <c r="F2429" s="15">
        <f t="shared" ref="F2429:F2430" si="437">ROUND(19,3)</f>
        <v>19</v>
      </c>
      <c r="G2429" s="12">
        <f t="shared" si="436"/>
        <v>19</v>
      </c>
    </row>
    <row r="2430" ht="24.0" customHeight="1">
      <c r="A2430" s="10" t="s">
        <v>30</v>
      </c>
      <c r="B2430" s="10" t="s">
        <v>26</v>
      </c>
      <c r="C2430" s="10" t="s">
        <v>23</v>
      </c>
      <c r="D2430" s="10" t="s">
        <v>31</v>
      </c>
      <c r="E2430" s="14">
        <v>0.2</v>
      </c>
      <c r="F2430" s="15">
        <f t="shared" si="437"/>
        <v>19</v>
      </c>
      <c r="G2430" s="12">
        <f t="shared" si="436"/>
        <v>3.8</v>
      </c>
    </row>
    <row r="2431" ht="15.0" customHeight="1">
      <c r="A2431" s="11"/>
      <c r="B2431" s="11"/>
      <c r="C2431" s="11"/>
      <c r="D2431" s="10" t="s">
        <v>22</v>
      </c>
      <c r="E2431" s="14">
        <v>0.5</v>
      </c>
      <c r="F2431" s="15">
        <f>ROUND((G2428+G2429+G2430),3)</f>
        <v>43.8</v>
      </c>
      <c r="G2431" s="12">
        <f t="shared" si="436"/>
        <v>21.9</v>
      </c>
    </row>
    <row r="2432" ht="15.0" customHeight="1">
      <c r="A2432" s="10" t="s">
        <v>32</v>
      </c>
      <c r="B2432" s="10"/>
      <c r="C2432" s="10" t="s">
        <v>33</v>
      </c>
      <c r="D2432" s="10" t="s">
        <v>34</v>
      </c>
      <c r="E2432" s="14">
        <v>3.0</v>
      </c>
      <c r="F2432" s="15">
        <f>ROUND(21.9,3)</f>
        <v>21.9</v>
      </c>
      <c r="G2432" s="12">
        <f>ROUND((E2432*F2432)/100,2)</f>
        <v>0.66</v>
      </c>
    </row>
    <row r="2433" ht="15.0" customHeight="1">
      <c r="A2433" s="16"/>
      <c r="B2433" s="16"/>
      <c r="C2433" s="16"/>
      <c r="D2433" s="17" t="s">
        <v>1114</v>
      </c>
      <c r="E2433" s="16"/>
      <c r="F2433" s="18">
        <f>ROUND((G2425+G2426+G2427+G2432)*(1+G2/100),2)</f>
        <v>37.67</v>
      </c>
      <c r="G2433" s="16"/>
    </row>
    <row r="2434" ht="48.75" customHeight="1">
      <c r="A2434" s="19" t="s">
        <v>1119</v>
      </c>
      <c r="B2434" s="20" t="s">
        <v>18</v>
      </c>
      <c r="C2434" s="20" t="s">
        <v>351</v>
      </c>
      <c r="D2434" s="20" t="s">
        <v>1120</v>
      </c>
      <c r="E2434" s="21"/>
      <c r="F2434" s="22">
        <f>F2442</f>
        <v>9.2</v>
      </c>
      <c r="G2434" s="21"/>
    </row>
    <row r="2435" ht="21.0" customHeight="1">
      <c r="A2435" s="11"/>
      <c r="B2435" s="11"/>
      <c r="C2435" s="11"/>
      <c r="D2435" s="10" t="s">
        <v>1121</v>
      </c>
    </row>
    <row r="2436" ht="21.0" customHeight="1">
      <c r="A2436" s="10" t="s">
        <v>22</v>
      </c>
      <c r="B2436" s="10" t="s">
        <v>18</v>
      </c>
      <c r="C2436" s="10" t="s">
        <v>23</v>
      </c>
      <c r="D2436" s="10" t="s">
        <v>24</v>
      </c>
      <c r="E2436" s="14">
        <v>0.2</v>
      </c>
      <c r="F2436" s="15">
        <f>F2440</f>
        <v>43.8</v>
      </c>
      <c r="G2436" s="12">
        <f t="shared" ref="G2436:G2440" si="438">ROUND(E2436*F2436,2)</f>
        <v>8.76</v>
      </c>
    </row>
    <row r="2437" ht="24.0" customHeight="1">
      <c r="A2437" s="10" t="s">
        <v>25</v>
      </c>
      <c r="B2437" s="10" t="s">
        <v>26</v>
      </c>
      <c r="C2437" s="10" t="s">
        <v>23</v>
      </c>
      <c r="D2437" s="10" t="s">
        <v>27</v>
      </c>
      <c r="E2437" s="14">
        <v>1.0</v>
      </c>
      <c r="F2437" s="15">
        <f>ROUND(21,3)</f>
        <v>21</v>
      </c>
      <c r="G2437" s="12">
        <f t="shared" si="438"/>
        <v>21</v>
      </c>
    </row>
    <row r="2438" ht="24.0" customHeight="1">
      <c r="A2438" s="10" t="s">
        <v>28</v>
      </c>
      <c r="B2438" s="10" t="s">
        <v>26</v>
      </c>
      <c r="C2438" s="10" t="s">
        <v>23</v>
      </c>
      <c r="D2438" s="10" t="s">
        <v>29</v>
      </c>
      <c r="E2438" s="14">
        <v>1.0</v>
      </c>
      <c r="F2438" s="15">
        <f t="shared" ref="F2438:F2439" si="439">ROUND(19,3)</f>
        <v>19</v>
      </c>
      <c r="G2438" s="12">
        <f t="shared" si="438"/>
        <v>19</v>
      </c>
    </row>
    <row r="2439" ht="24.0" customHeight="1">
      <c r="A2439" s="10" t="s">
        <v>30</v>
      </c>
      <c r="B2439" s="10" t="s">
        <v>26</v>
      </c>
      <c r="C2439" s="10" t="s">
        <v>23</v>
      </c>
      <c r="D2439" s="10" t="s">
        <v>31</v>
      </c>
      <c r="E2439" s="14">
        <v>0.2</v>
      </c>
      <c r="F2439" s="15">
        <f t="shared" si="439"/>
        <v>19</v>
      </c>
      <c r="G2439" s="12">
        <f t="shared" si="438"/>
        <v>3.8</v>
      </c>
    </row>
    <row r="2440" ht="15.0" customHeight="1">
      <c r="A2440" s="11"/>
      <c r="B2440" s="11"/>
      <c r="C2440" s="11"/>
      <c r="D2440" s="10" t="s">
        <v>22</v>
      </c>
      <c r="E2440" s="14">
        <v>0.2</v>
      </c>
      <c r="F2440" s="15">
        <f>ROUND((G2437+G2438+G2439),3)</f>
        <v>43.8</v>
      </c>
      <c r="G2440" s="12">
        <f t="shared" si="438"/>
        <v>8.76</v>
      </c>
    </row>
    <row r="2441" ht="15.0" customHeight="1">
      <c r="A2441" s="10" t="s">
        <v>32</v>
      </c>
      <c r="B2441" s="10"/>
      <c r="C2441" s="10" t="s">
        <v>33</v>
      </c>
      <c r="D2441" s="10" t="s">
        <v>34</v>
      </c>
      <c r="E2441" s="14">
        <v>5.0</v>
      </c>
      <c r="F2441" s="15">
        <f>ROUND(8.76,3)</f>
        <v>8.76</v>
      </c>
      <c r="G2441" s="12">
        <f>ROUND((E2441*F2441)/100,2)</f>
        <v>0.44</v>
      </c>
    </row>
    <row r="2442" ht="24.75" customHeight="1">
      <c r="A2442" s="16"/>
      <c r="B2442" s="16"/>
      <c r="C2442" s="16"/>
      <c r="D2442" s="17" t="s">
        <v>1119</v>
      </c>
      <c r="E2442" s="16"/>
      <c r="F2442" s="18">
        <f>ROUND((G2436+G2441)*(1+G2/100),2)</f>
        <v>9.2</v>
      </c>
      <c r="G2442" s="16"/>
    </row>
    <row r="2443" ht="15.0" customHeight="1">
      <c r="A2443" s="23"/>
      <c r="B2443" s="23"/>
      <c r="C2443" s="23"/>
      <c r="D2443" s="30" t="s">
        <v>1037</v>
      </c>
      <c r="E2443" s="31"/>
      <c r="F2443" s="31"/>
      <c r="G2443" s="31"/>
    </row>
    <row r="2444" ht="15.0" customHeight="1">
      <c r="A2444" s="50" t="s">
        <v>1122</v>
      </c>
      <c r="B2444" s="50" t="s">
        <v>10</v>
      </c>
      <c r="C2444" s="51"/>
      <c r="D2444" s="50" t="s">
        <v>1123</v>
      </c>
      <c r="E2444" s="51"/>
      <c r="F2444" s="51"/>
      <c r="G2444" s="51"/>
    </row>
    <row r="2445" ht="21.75" customHeight="1">
      <c r="A2445" s="53" t="s">
        <v>1124</v>
      </c>
      <c r="B2445" s="53" t="s">
        <v>10</v>
      </c>
      <c r="C2445" s="54"/>
      <c r="D2445" s="53" t="s">
        <v>1125</v>
      </c>
      <c r="E2445" s="54"/>
      <c r="F2445" s="54"/>
      <c r="G2445" s="54"/>
    </row>
    <row r="2446" ht="85.5" customHeight="1">
      <c r="A2446" s="13" t="s">
        <v>1126</v>
      </c>
      <c r="B2446" s="10" t="s">
        <v>18</v>
      </c>
      <c r="C2446" s="10" t="s">
        <v>231</v>
      </c>
      <c r="D2446" s="10" t="s">
        <v>1127</v>
      </c>
      <c r="E2446" s="11"/>
      <c r="F2446" s="12">
        <f>F2457</f>
        <v>98.74</v>
      </c>
      <c r="G2446" s="11"/>
    </row>
    <row r="2447" ht="30.0" customHeight="1">
      <c r="A2447" s="11"/>
      <c r="B2447" s="11"/>
      <c r="C2447" s="11"/>
      <c r="D2447" s="10" t="s">
        <v>1128</v>
      </c>
    </row>
    <row r="2448" ht="24.0" customHeight="1">
      <c r="A2448" s="10" t="s">
        <v>318</v>
      </c>
      <c r="B2448" s="10" t="s">
        <v>42</v>
      </c>
      <c r="C2448" s="10" t="s">
        <v>43</v>
      </c>
      <c r="D2448" s="10" t="s">
        <v>319</v>
      </c>
      <c r="E2448" s="14">
        <v>0.025</v>
      </c>
      <c r="F2448" s="15">
        <f>ROUND(5.8,3)</f>
        <v>5.8</v>
      </c>
      <c r="G2448" s="12">
        <f t="shared" ref="G2448:G2455" si="440">ROUND(E2448*F2448,2)</f>
        <v>0.15</v>
      </c>
    </row>
    <row r="2449" ht="21.0" customHeight="1">
      <c r="A2449" s="10" t="s">
        <v>237</v>
      </c>
      <c r="B2449" s="10" t="s">
        <v>42</v>
      </c>
      <c r="C2449" s="10" t="s">
        <v>231</v>
      </c>
      <c r="D2449" s="10" t="s">
        <v>238</v>
      </c>
      <c r="E2449" s="14">
        <v>1.0</v>
      </c>
      <c r="F2449" s="15">
        <f>ROUND(6.32,3)</f>
        <v>6.32</v>
      </c>
      <c r="G2449" s="12">
        <f t="shared" si="440"/>
        <v>6.32</v>
      </c>
    </row>
    <row r="2450" ht="21.0" customHeight="1">
      <c r="A2450" s="10" t="s">
        <v>242</v>
      </c>
      <c r="B2450" s="10" t="s">
        <v>42</v>
      </c>
      <c r="C2450" s="10" t="s">
        <v>226</v>
      </c>
      <c r="D2450" s="10" t="s">
        <v>243</v>
      </c>
      <c r="E2450" s="14">
        <v>0.22222</v>
      </c>
      <c r="F2450" s="15">
        <f>ROUND(1.32,3)</f>
        <v>1.32</v>
      </c>
      <c r="G2450" s="12">
        <f t="shared" si="440"/>
        <v>0.29</v>
      </c>
    </row>
    <row r="2451" ht="21.0" customHeight="1">
      <c r="A2451" s="10" t="s">
        <v>22</v>
      </c>
      <c r="B2451" s="10" t="s">
        <v>18</v>
      </c>
      <c r="C2451" s="10" t="s">
        <v>23</v>
      </c>
      <c r="D2451" s="10" t="s">
        <v>24</v>
      </c>
      <c r="E2451" s="14">
        <v>2.0</v>
      </c>
      <c r="F2451" s="15">
        <f>F2455</f>
        <v>43.8</v>
      </c>
      <c r="G2451" s="12">
        <f t="shared" si="440"/>
        <v>87.6</v>
      </c>
    </row>
    <row r="2452" ht="24.0" customHeight="1">
      <c r="A2452" s="10" t="s">
        <v>25</v>
      </c>
      <c r="B2452" s="10" t="s">
        <v>26</v>
      </c>
      <c r="C2452" s="10" t="s">
        <v>23</v>
      </c>
      <c r="D2452" s="10" t="s">
        <v>27</v>
      </c>
      <c r="E2452" s="14">
        <v>1.0</v>
      </c>
      <c r="F2452" s="15">
        <f>ROUND(21,3)</f>
        <v>21</v>
      </c>
      <c r="G2452" s="12">
        <f t="shared" si="440"/>
        <v>21</v>
      </c>
    </row>
    <row r="2453" ht="24.0" customHeight="1">
      <c r="A2453" s="10" t="s">
        <v>28</v>
      </c>
      <c r="B2453" s="10" t="s">
        <v>26</v>
      </c>
      <c r="C2453" s="10" t="s">
        <v>23</v>
      </c>
      <c r="D2453" s="10" t="s">
        <v>29</v>
      </c>
      <c r="E2453" s="14">
        <v>1.0</v>
      </c>
      <c r="F2453" s="15">
        <f t="shared" ref="F2453:F2454" si="441">ROUND(19,3)</f>
        <v>19</v>
      </c>
      <c r="G2453" s="12">
        <f t="shared" si="440"/>
        <v>19</v>
      </c>
    </row>
    <row r="2454" ht="24.0" customHeight="1">
      <c r="A2454" s="10" t="s">
        <v>30</v>
      </c>
      <c r="B2454" s="10" t="s">
        <v>26</v>
      </c>
      <c r="C2454" s="10" t="s">
        <v>23</v>
      </c>
      <c r="D2454" s="10" t="s">
        <v>31</v>
      </c>
      <c r="E2454" s="14">
        <v>0.2</v>
      </c>
      <c r="F2454" s="15">
        <f t="shared" si="441"/>
        <v>19</v>
      </c>
      <c r="G2454" s="12">
        <f t="shared" si="440"/>
        <v>3.8</v>
      </c>
    </row>
    <row r="2455" ht="15.0" customHeight="1">
      <c r="A2455" s="11"/>
      <c r="B2455" s="11"/>
      <c r="C2455" s="11"/>
      <c r="D2455" s="10" t="s">
        <v>22</v>
      </c>
      <c r="E2455" s="14">
        <v>2.0</v>
      </c>
      <c r="F2455" s="15">
        <f>ROUND((G2452+G2453+G2454),3)</f>
        <v>43.8</v>
      </c>
      <c r="G2455" s="12">
        <f t="shared" si="440"/>
        <v>87.6</v>
      </c>
    </row>
    <row r="2456" ht="15.0" customHeight="1">
      <c r="A2456" s="10" t="s">
        <v>32</v>
      </c>
      <c r="B2456" s="10"/>
      <c r="C2456" s="10" t="s">
        <v>33</v>
      </c>
      <c r="D2456" s="10" t="s">
        <v>34</v>
      </c>
      <c r="E2456" s="14">
        <v>5.0</v>
      </c>
      <c r="F2456" s="15">
        <f>ROUND(87.6,3)</f>
        <v>87.6</v>
      </c>
      <c r="G2456" s="12">
        <f>ROUND((E2456*F2456)/100,2)</f>
        <v>4.38</v>
      </c>
    </row>
    <row r="2457" ht="15.0" customHeight="1">
      <c r="A2457" s="16"/>
      <c r="B2457" s="16"/>
      <c r="C2457" s="16"/>
      <c r="D2457" s="17" t="s">
        <v>1126</v>
      </c>
      <c r="E2457" s="16"/>
      <c r="F2457" s="18">
        <f>ROUND((G2448+G2449+G2450+G2451+G2456)*(1+G2/100),2)</f>
        <v>98.74</v>
      </c>
      <c r="G2457" s="16"/>
    </row>
    <row r="2458" ht="85.5" customHeight="1">
      <c r="A2458" s="19" t="s">
        <v>1129</v>
      </c>
      <c r="B2458" s="20" t="s">
        <v>18</v>
      </c>
      <c r="C2458" s="20" t="s">
        <v>231</v>
      </c>
      <c r="D2458" s="20" t="s">
        <v>1130</v>
      </c>
      <c r="E2458" s="21"/>
      <c r="F2458" s="22">
        <f>F2469</f>
        <v>144.73</v>
      </c>
      <c r="G2458" s="21"/>
    </row>
    <row r="2459" ht="30.0" customHeight="1">
      <c r="A2459" s="11"/>
      <c r="B2459" s="11"/>
      <c r="C2459" s="11"/>
      <c r="D2459" s="10" t="s">
        <v>1131</v>
      </c>
    </row>
    <row r="2460" ht="24.0" customHeight="1">
      <c r="A2460" s="10" t="s">
        <v>318</v>
      </c>
      <c r="B2460" s="10" t="s">
        <v>42</v>
      </c>
      <c r="C2460" s="10" t="s">
        <v>43</v>
      </c>
      <c r="D2460" s="10" t="s">
        <v>319</v>
      </c>
      <c r="E2460" s="14">
        <v>0.025</v>
      </c>
      <c r="F2460" s="15">
        <f>ROUND(5.8,3)</f>
        <v>5.8</v>
      </c>
      <c r="G2460" s="12">
        <f t="shared" ref="G2460:G2467" si="442">ROUND(E2460*F2460,2)</f>
        <v>0.15</v>
      </c>
    </row>
    <row r="2461" ht="21.0" customHeight="1">
      <c r="A2461" s="10" t="s">
        <v>237</v>
      </c>
      <c r="B2461" s="10" t="s">
        <v>42</v>
      </c>
      <c r="C2461" s="10" t="s">
        <v>231</v>
      </c>
      <c r="D2461" s="10" t="s">
        <v>238</v>
      </c>
      <c r="E2461" s="14">
        <v>1.0</v>
      </c>
      <c r="F2461" s="15">
        <f>ROUND(6.32,3)</f>
        <v>6.32</v>
      </c>
      <c r="G2461" s="12">
        <f t="shared" si="442"/>
        <v>6.32</v>
      </c>
    </row>
    <row r="2462" ht="21.0" customHeight="1">
      <c r="A2462" s="10" t="s">
        <v>242</v>
      </c>
      <c r="B2462" s="10" t="s">
        <v>42</v>
      </c>
      <c r="C2462" s="10" t="s">
        <v>226</v>
      </c>
      <c r="D2462" s="10" t="s">
        <v>243</v>
      </c>
      <c r="E2462" s="14">
        <v>0.22222</v>
      </c>
      <c r="F2462" s="15">
        <f>ROUND(1.32,3)</f>
        <v>1.32</v>
      </c>
      <c r="G2462" s="12">
        <f t="shared" si="442"/>
        <v>0.29</v>
      </c>
    </row>
    <row r="2463" ht="21.0" customHeight="1">
      <c r="A2463" s="10" t="s">
        <v>22</v>
      </c>
      <c r="B2463" s="10" t="s">
        <v>18</v>
      </c>
      <c r="C2463" s="10" t="s">
        <v>23</v>
      </c>
      <c r="D2463" s="10" t="s">
        <v>24</v>
      </c>
      <c r="E2463" s="14">
        <v>3.0</v>
      </c>
      <c r="F2463" s="15">
        <f>F2467</f>
        <v>43.8</v>
      </c>
      <c r="G2463" s="12">
        <f t="shared" si="442"/>
        <v>131.4</v>
      </c>
    </row>
    <row r="2464" ht="24.0" customHeight="1">
      <c r="A2464" s="10" t="s">
        <v>25</v>
      </c>
      <c r="B2464" s="10" t="s">
        <v>26</v>
      </c>
      <c r="C2464" s="10" t="s">
        <v>23</v>
      </c>
      <c r="D2464" s="10" t="s">
        <v>27</v>
      </c>
      <c r="E2464" s="14">
        <v>1.0</v>
      </c>
      <c r="F2464" s="15">
        <f>ROUND(21,3)</f>
        <v>21</v>
      </c>
      <c r="G2464" s="12">
        <f t="shared" si="442"/>
        <v>21</v>
      </c>
    </row>
    <row r="2465" ht="24.0" customHeight="1">
      <c r="A2465" s="10" t="s">
        <v>28</v>
      </c>
      <c r="B2465" s="10" t="s">
        <v>26</v>
      </c>
      <c r="C2465" s="10" t="s">
        <v>23</v>
      </c>
      <c r="D2465" s="10" t="s">
        <v>29</v>
      </c>
      <c r="E2465" s="14">
        <v>1.0</v>
      </c>
      <c r="F2465" s="15">
        <f t="shared" ref="F2465:F2466" si="443">ROUND(19,3)</f>
        <v>19</v>
      </c>
      <c r="G2465" s="12">
        <f t="shared" si="442"/>
        <v>19</v>
      </c>
    </row>
    <row r="2466" ht="24.0" customHeight="1">
      <c r="A2466" s="10" t="s">
        <v>30</v>
      </c>
      <c r="B2466" s="10" t="s">
        <v>26</v>
      </c>
      <c r="C2466" s="10" t="s">
        <v>23</v>
      </c>
      <c r="D2466" s="10" t="s">
        <v>31</v>
      </c>
      <c r="E2466" s="14">
        <v>0.2</v>
      </c>
      <c r="F2466" s="15">
        <f t="shared" si="443"/>
        <v>19</v>
      </c>
      <c r="G2466" s="12">
        <f t="shared" si="442"/>
        <v>3.8</v>
      </c>
    </row>
    <row r="2467" ht="15.0" customHeight="1">
      <c r="A2467" s="11"/>
      <c r="B2467" s="11"/>
      <c r="C2467" s="11"/>
      <c r="D2467" s="10" t="s">
        <v>22</v>
      </c>
      <c r="E2467" s="14">
        <v>3.0</v>
      </c>
      <c r="F2467" s="15">
        <f>ROUND((G2464+G2465+G2466),3)</f>
        <v>43.8</v>
      </c>
      <c r="G2467" s="12">
        <f t="shared" si="442"/>
        <v>131.4</v>
      </c>
    </row>
    <row r="2468" ht="15.0" customHeight="1">
      <c r="A2468" s="10" t="s">
        <v>32</v>
      </c>
      <c r="B2468" s="10"/>
      <c r="C2468" s="10" t="s">
        <v>33</v>
      </c>
      <c r="D2468" s="10" t="s">
        <v>34</v>
      </c>
      <c r="E2468" s="14">
        <v>5.0</v>
      </c>
      <c r="F2468" s="15">
        <f>ROUND(131.4,3)</f>
        <v>131.4</v>
      </c>
      <c r="G2468" s="12">
        <f>ROUND((E2468*F2468)/100,2)</f>
        <v>6.57</v>
      </c>
    </row>
    <row r="2469" ht="15.0" customHeight="1">
      <c r="A2469" s="16"/>
      <c r="B2469" s="16"/>
      <c r="C2469" s="16"/>
      <c r="D2469" s="17" t="s">
        <v>1129</v>
      </c>
      <c r="E2469" s="16"/>
      <c r="F2469" s="18">
        <f>ROUND((G2460+G2461+G2462+G2463+G2468)*(1+G2/100),2)</f>
        <v>144.73</v>
      </c>
      <c r="G2469" s="16"/>
    </row>
    <row r="2470" ht="15.0" customHeight="1">
      <c r="A2470" s="23"/>
      <c r="B2470" s="23"/>
      <c r="C2470" s="23"/>
      <c r="D2470" s="55" t="s">
        <v>1124</v>
      </c>
      <c r="E2470" s="56"/>
      <c r="F2470" s="56"/>
      <c r="G2470" s="56"/>
    </row>
    <row r="2471" ht="15.0" customHeight="1">
      <c r="A2471" s="23"/>
      <c r="B2471" s="23"/>
      <c r="C2471" s="23"/>
      <c r="D2471" s="30" t="s">
        <v>1122</v>
      </c>
      <c r="E2471" s="31"/>
      <c r="F2471" s="31"/>
      <c r="G2471" s="31"/>
    </row>
    <row r="2472" ht="21.75" customHeight="1">
      <c r="A2472" s="50" t="s">
        <v>1132</v>
      </c>
      <c r="B2472" s="50" t="s">
        <v>10</v>
      </c>
      <c r="C2472" s="51"/>
      <c r="D2472" s="50" t="s">
        <v>1133</v>
      </c>
      <c r="E2472" s="51"/>
      <c r="F2472" s="51"/>
      <c r="G2472" s="51"/>
    </row>
    <row r="2473" ht="30.0" customHeight="1">
      <c r="A2473" s="13" t="s">
        <v>1134</v>
      </c>
      <c r="B2473" s="10" t="s">
        <v>18</v>
      </c>
      <c r="C2473" s="10" t="s">
        <v>231</v>
      </c>
      <c r="D2473" s="10" t="s">
        <v>1135</v>
      </c>
      <c r="E2473" s="11"/>
      <c r="F2473" s="12">
        <f>F2483</f>
        <v>12.31</v>
      </c>
      <c r="G2473" s="11"/>
    </row>
    <row r="2474" ht="12.0" customHeight="1">
      <c r="A2474" s="11"/>
      <c r="B2474" s="11"/>
      <c r="C2474" s="11"/>
      <c r="D2474" s="10" t="s">
        <v>1136</v>
      </c>
    </row>
    <row r="2475" ht="21.0" customHeight="1">
      <c r="A2475" s="10" t="s">
        <v>237</v>
      </c>
      <c r="B2475" s="10" t="s">
        <v>42</v>
      </c>
      <c r="C2475" s="10" t="s">
        <v>231</v>
      </c>
      <c r="D2475" s="10" t="s">
        <v>238</v>
      </c>
      <c r="E2475" s="14">
        <v>0.5</v>
      </c>
      <c r="F2475" s="15">
        <f>ROUND(6.32,3)</f>
        <v>6.32</v>
      </c>
      <c r="G2475" s="12">
        <f t="shared" ref="G2475:G2481" si="444">ROUND(E2475*F2475,2)</f>
        <v>3.16</v>
      </c>
    </row>
    <row r="2476" ht="21.0" customHeight="1">
      <c r="A2476" s="10" t="s">
        <v>242</v>
      </c>
      <c r="B2476" s="10" t="s">
        <v>42</v>
      </c>
      <c r="C2476" s="10" t="s">
        <v>226</v>
      </c>
      <c r="D2476" s="10" t="s">
        <v>243</v>
      </c>
      <c r="E2476" s="14">
        <v>0.1</v>
      </c>
      <c r="F2476" s="15">
        <f>ROUND(1.32,3)</f>
        <v>1.32</v>
      </c>
      <c r="G2476" s="12">
        <f t="shared" si="444"/>
        <v>0.13</v>
      </c>
    </row>
    <row r="2477" ht="21.0" customHeight="1">
      <c r="A2477" s="10" t="s">
        <v>22</v>
      </c>
      <c r="B2477" s="10" t="s">
        <v>18</v>
      </c>
      <c r="C2477" s="10" t="s">
        <v>23</v>
      </c>
      <c r="D2477" s="10" t="s">
        <v>24</v>
      </c>
      <c r="E2477" s="14">
        <v>0.2</v>
      </c>
      <c r="F2477" s="15">
        <f>F2481</f>
        <v>43.8</v>
      </c>
      <c r="G2477" s="12">
        <f t="shared" si="444"/>
        <v>8.76</v>
      </c>
    </row>
    <row r="2478" ht="24.0" customHeight="1">
      <c r="A2478" s="10" t="s">
        <v>25</v>
      </c>
      <c r="B2478" s="10" t="s">
        <v>26</v>
      </c>
      <c r="C2478" s="10" t="s">
        <v>23</v>
      </c>
      <c r="D2478" s="10" t="s">
        <v>27</v>
      </c>
      <c r="E2478" s="14">
        <v>1.0</v>
      </c>
      <c r="F2478" s="15">
        <f>ROUND(21,3)</f>
        <v>21</v>
      </c>
      <c r="G2478" s="12">
        <f t="shared" si="444"/>
        <v>21</v>
      </c>
    </row>
    <row r="2479" ht="24.0" customHeight="1">
      <c r="A2479" s="10" t="s">
        <v>28</v>
      </c>
      <c r="B2479" s="10" t="s">
        <v>26</v>
      </c>
      <c r="C2479" s="10" t="s">
        <v>23</v>
      </c>
      <c r="D2479" s="10" t="s">
        <v>29</v>
      </c>
      <c r="E2479" s="14">
        <v>1.0</v>
      </c>
      <c r="F2479" s="15">
        <f t="shared" ref="F2479:F2480" si="445">ROUND(19,3)</f>
        <v>19</v>
      </c>
      <c r="G2479" s="12">
        <f t="shared" si="444"/>
        <v>19</v>
      </c>
    </row>
    <row r="2480" ht="24.0" customHeight="1">
      <c r="A2480" s="10" t="s">
        <v>30</v>
      </c>
      <c r="B2480" s="10" t="s">
        <v>26</v>
      </c>
      <c r="C2480" s="10" t="s">
        <v>23</v>
      </c>
      <c r="D2480" s="10" t="s">
        <v>31</v>
      </c>
      <c r="E2480" s="14">
        <v>0.2</v>
      </c>
      <c r="F2480" s="15">
        <f t="shared" si="445"/>
        <v>19</v>
      </c>
      <c r="G2480" s="12">
        <f t="shared" si="444"/>
        <v>3.8</v>
      </c>
    </row>
    <row r="2481" ht="15.0" customHeight="1">
      <c r="A2481" s="11"/>
      <c r="B2481" s="11"/>
      <c r="C2481" s="11"/>
      <c r="D2481" s="10" t="s">
        <v>22</v>
      </c>
      <c r="E2481" s="14">
        <v>0.2</v>
      </c>
      <c r="F2481" s="15">
        <f>ROUND((G2478+G2479+G2480),3)</f>
        <v>43.8</v>
      </c>
      <c r="G2481" s="12">
        <f t="shared" si="444"/>
        <v>8.76</v>
      </c>
    </row>
    <row r="2482" ht="15.0" customHeight="1">
      <c r="A2482" s="10" t="s">
        <v>32</v>
      </c>
      <c r="B2482" s="10"/>
      <c r="C2482" s="10" t="s">
        <v>33</v>
      </c>
      <c r="D2482" s="10" t="s">
        <v>34</v>
      </c>
      <c r="E2482" s="14">
        <v>3.0</v>
      </c>
      <c r="F2482" s="15">
        <f>ROUND(8.76,3)</f>
        <v>8.76</v>
      </c>
      <c r="G2482" s="12">
        <f>ROUND((E2482*F2482)/100,2)</f>
        <v>0.26</v>
      </c>
    </row>
    <row r="2483" ht="15.0" customHeight="1">
      <c r="A2483" s="16"/>
      <c r="B2483" s="16"/>
      <c r="C2483" s="16"/>
      <c r="D2483" s="17" t="s">
        <v>1134</v>
      </c>
      <c r="E2483" s="16"/>
      <c r="F2483" s="18">
        <f>ROUND((G2475+G2476+G2477+G2482)*(1+G2/100),2)</f>
        <v>12.31</v>
      </c>
      <c r="G2483" s="16"/>
    </row>
    <row r="2484" ht="15.0" customHeight="1">
      <c r="A2484" s="23"/>
      <c r="B2484" s="23"/>
      <c r="C2484" s="23"/>
      <c r="D2484" s="30" t="s">
        <v>1132</v>
      </c>
      <c r="E2484" s="31"/>
      <c r="F2484" s="31"/>
      <c r="G2484" s="31"/>
    </row>
    <row r="2485" ht="31.5" customHeight="1">
      <c r="A2485" s="50" t="s">
        <v>1137</v>
      </c>
      <c r="B2485" s="50" t="s">
        <v>10</v>
      </c>
      <c r="C2485" s="51"/>
      <c r="D2485" s="50" t="s">
        <v>1138</v>
      </c>
      <c r="E2485" s="51"/>
      <c r="F2485" s="51"/>
      <c r="G2485" s="51"/>
    </row>
    <row r="2486" ht="30.0" customHeight="1">
      <c r="A2486" s="13" t="s">
        <v>1139</v>
      </c>
      <c r="B2486" s="10" t="s">
        <v>18</v>
      </c>
      <c r="C2486" s="10" t="s">
        <v>231</v>
      </c>
      <c r="D2486" s="10" t="s">
        <v>1140</v>
      </c>
      <c r="E2486" s="11"/>
      <c r="F2486" s="12">
        <f>F2495</f>
        <v>189.06</v>
      </c>
      <c r="G2486" s="11"/>
    </row>
    <row r="2487" ht="12.0" customHeight="1">
      <c r="A2487" s="11"/>
      <c r="B2487" s="11"/>
      <c r="C2487" s="11"/>
      <c r="D2487" s="10" t="s">
        <v>1141</v>
      </c>
    </row>
    <row r="2488" ht="30.0" customHeight="1">
      <c r="A2488" s="10" t="s">
        <v>363</v>
      </c>
      <c r="B2488" s="10" t="s">
        <v>42</v>
      </c>
      <c r="C2488" s="10" t="s">
        <v>231</v>
      </c>
      <c r="D2488" s="10" t="s">
        <v>364</v>
      </c>
      <c r="E2488" s="14">
        <v>30.0</v>
      </c>
      <c r="F2488" s="15">
        <f>ROUND(0.17,3)</f>
        <v>0.17</v>
      </c>
      <c r="G2488" s="12">
        <f t="shared" ref="G2488:G2493" si="446">ROUND(E2488*F2488,2)</f>
        <v>5.1</v>
      </c>
    </row>
    <row r="2489" ht="21.0" customHeight="1">
      <c r="A2489" s="10" t="s">
        <v>22</v>
      </c>
      <c r="B2489" s="10" t="s">
        <v>18</v>
      </c>
      <c r="C2489" s="10" t="s">
        <v>23</v>
      </c>
      <c r="D2489" s="10" t="s">
        <v>24</v>
      </c>
      <c r="E2489" s="14">
        <v>4.0</v>
      </c>
      <c r="F2489" s="15">
        <f>F2493</f>
        <v>43.8</v>
      </c>
      <c r="G2489" s="12">
        <f t="shared" si="446"/>
        <v>175.2</v>
      </c>
    </row>
    <row r="2490" ht="24.0" customHeight="1">
      <c r="A2490" s="10" t="s">
        <v>25</v>
      </c>
      <c r="B2490" s="10" t="s">
        <v>26</v>
      </c>
      <c r="C2490" s="10" t="s">
        <v>23</v>
      </c>
      <c r="D2490" s="10" t="s">
        <v>27</v>
      </c>
      <c r="E2490" s="14">
        <v>1.0</v>
      </c>
      <c r="F2490" s="15">
        <f>ROUND(21,3)</f>
        <v>21</v>
      </c>
      <c r="G2490" s="12">
        <f t="shared" si="446"/>
        <v>21</v>
      </c>
    </row>
    <row r="2491" ht="24.0" customHeight="1">
      <c r="A2491" s="10" t="s">
        <v>28</v>
      </c>
      <c r="B2491" s="10" t="s">
        <v>26</v>
      </c>
      <c r="C2491" s="10" t="s">
        <v>23</v>
      </c>
      <c r="D2491" s="10" t="s">
        <v>29</v>
      </c>
      <c r="E2491" s="14">
        <v>1.0</v>
      </c>
      <c r="F2491" s="15">
        <f t="shared" ref="F2491:F2492" si="447">ROUND(19,3)</f>
        <v>19</v>
      </c>
      <c r="G2491" s="12">
        <f t="shared" si="446"/>
        <v>19</v>
      </c>
    </row>
    <row r="2492" ht="24.0" customHeight="1">
      <c r="A2492" s="10" t="s">
        <v>30</v>
      </c>
      <c r="B2492" s="10" t="s">
        <v>26</v>
      </c>
      <c r="C2492" s="10" t="s">
        <v>23</v>
      </c>
      <c r="D2492" s="10" t="s">
        <v>31</v>
      </c>
      <c r="E2492" s="14">
        <v>0.2</v>
      </c>
      <c r="F2492" s="15">
        <f t="shared" si="447"/>
        <v>19</v>
      </c>
      <c r="G2492" s="12">
        <f t="shared" si="446"/>
        <v>3.8</v>
      </c>
    </row>
    <row r="2493" ht="15.0" customHeight="1">
      <c r="A2493" s="11"/>
      <c r="B2493" s="11"/>
      <c r="C2493" s="11"/>
      <c r="D2493" s="10" t="s">
        <v>22</v>
      </c>
      <c r="E2493" s="14">
        <v>4.0</v>
      </c>
      <c r="F2493" s="15">
        <f>ROUND((G2490+G2491+G2492),3)</f>
        <v>43.8</v>
      </c>
      <c r="G2493" s="12">
        <f t="shared" si="446"/>
        <v>175.2</v>
      </c>
    </row>
    <row r="2494" ht="15.0" customHeight="1">
      <c r="A2494" s="10" t="s">
        <v>32</v>
      </c>
      <c r="B2494" s="10"/>
      <c r="C2494" s="10" t="s">
        <v>33</v>
      </c>
      <c r="D2494" s="10" t="s">
        <v>34</v>
      </c>
      <c r="E2494" s="14">
        <v>5.0</v>
      </c>
      <c r="F2494" s="15">
        <f>ROUND(175.2,3)</f>
        <v>175.2</v>
      </c>
      <c r="G2494" s="12">
        <f>ROUND((E2494*F2494)/100,2)</f>
        <v>8.76</v>
      </c>
    </row>
    <row r="2495" ht="15.0" customHeight="1">
      <c r="A2495" s="16"/>
      <c r="B2495" s="16"/>
      <c r="C2495" s="16"/>
      <c r="D2495" s="17" t="s">
        <v>1139</v>
      </c>
      <c r="E2495" s="16"/>
      <c r="F2495" s="18">
        <f>ROUND((G2488+G2489+G2494)*(1+G2/100),2)</f>
        <v>189.06</v>
      </c>
      <c r="G2495" s="16"/>
    </row>
    <row r="2496" ht="30.0" customHeight="1">
      <c r="A2496" s="19" t="s">
        <v>1142</v>
      </c>
      <c r="B2496" s="20" t="s">
        <v>18</v>
      </c>
      <c r="C2496" s="20" t="s">
        <v>231</v>
      </c>
      <c r="D2496" s="20" t="s">
        <v>1143</v>
      </c>
      <c r="E2496" s="21"/>
      <c r="F2496" s="22">
        <f>F2506</f>
        <v>111.56</v>
      </c>
      <c r="G2496" s="21"/>
    </row>
    <row r="2497" ht="12.0" customHeight="1">
      <c r="A2497" s="11"/>
      <c r="B2497" s="11"/>
      <c r="C2497" s="11"/>
      <c r="D2497" s="10" t="s">
        <v>1144</v>
      </c>
    </row>
    <row r="2498" ht="21.0" customHeight="1">
      <c r="A2498" s="10" t="s">
        <v>230</v>
      </c>
      <c r="B2498" s="10" t="s">
        <v>42</v>
      </c>
      <c r="C2498" s="10" t="s">
        <v>231</v>
      </c>
      <c r="D2498" s="10" t="s">
        <v>232</v>
      </c>
      <c r="E2498" s="14">
        <v>2.0</v>
      </c>
      <c r="F2498" s="15">
        <f>ROUND(3.47,3)</f>
        <v>3.47</v>
      </c>
      <c r="G2498" s="12">
        <f t="shared" ref="G2498:G2504" si="448">ROUND(E2498*F2498,2)</f>
        <v>6.94</v>
      </c>
    </row>
    <row r="2499" ht="21.0" customHeight="1">
      <c r="A2499" s="10" t="s">
        <v>237</v>
      </c>
      <c r="B2499" s="10" t="s">
        <v>42</v>
      </c>
      <c r="C2499" s="10" t="s">
        <v>231</v>
      </c>
      <c r="D2499" s="10" t="s">
        <v>238</v>
      </c>
      <c r="E2499" s="14">
        <v>2.0</v>
      </c>
      <c r="F2499" s="15">
        <f>ROUND(6.32,3)</f>
        <v>6.32</v>
      </c>
      <c r="G2499" s="12">
        <f t="shared" si="448"/>
        <v>12.64</v>
      </c>
    </row>
    <row r="2500" ht="21.0" customHeight="1">
      <c r="A2500" s="10" t="s">
        <v>22</v>
      </c>
      <c r="B2500" s="10" t="s">
        <v>18</v>
      </c>
      <c r="C2500" s="10" t="s">
        <v>23</v>
      </c>
      <c r="D2500" s="10" t="s">
        <v>24</v>
      </c>
      <c r="E2500" s="14">
        <v>2.0</v>
      </c>
      <c r="F2500" s="15">
        <f>F2504</f>
        <v>43.8</v>
      </c>
      <c r="G2500" s="12">
        <f t="shared" si="448"/>
        <v>87.6</v>
      </c>
    </row>
    <row r="2501" ht="24.0" customHeight="1">
      <c r="A2501" s="10" t="s">
        <v>25</v>
      </c>
      <c r="B2501" s="10" t="s">
        <v>26</v>
      </c>
      <c r="C2501" s="10" t="s">
        <v>23</v>
      </c>
      <c r="D2501" s="10" t="s">
        <v>27</v>
      </c>
      <c r="E2501" s="14">
        <v>1.0</v>
      </c>
      <c r="F2501" s="15">
        <f>ROUND(21,3)</f>
        <v>21</v>
      </c>
      <c r="G2501" s="12">
        <f t="shared" si="448"/>
        <v>21</v>
      </c>
    </row>
    <row r="2502" ht="24.0" customHeight="1">
      <c r="A2502" s="10" t="s">
        <v>28</v>
      </c>
      <c r="B2502" s="10" t="s">
        <v>26</v>
      </c>
      <c r="C2502" s="10" t="s">
        <v>23</v>
      </c>
      <c r="D2502" s="10" t="s">
        <v>29</v>
      </c>
      <c r="E2502" s="14">
        <v>1.0</v>
      </c>
      <c r="F2502" s="15">
        <f t="shared" ref="F2502:F2503" si="449">ROUND(19,3)</f>
        <v>19</v>
      </c>
      <c r="G2502" s="12">
        <f t="shared" si="448"/>
        <v>19</v>
      </c>
    </row>
    <row r="2503" ht="24.0" customHeight="1">
      <c r="A2503" s="10" t="s">
        <v>30</v>
      </c>
      <c r="B2503" s="10" t="s">
        <v>26</v>
      </c>
      <c r="C2503" s="10" t="s">
        <v>23</v>
      </c>
      <c r="D2503" s="10" t="s">
        <v>31</v>
      </c>
      <c r="E2503" s="14">
        <v>0.2</v>
      </c>
      <c r="F2503" s="15">
        <f t="shared" si="449"/>
        <v>19</v>
      </c>
      <c r="G2503" s="12">
        <f t="shared" si="448"/>
        <v>3.8</v>
      </c>
    </row>
    <row r="2504" ht="15.0" customHeight="1">
      <c r="A2504" s="11"/>
      <c r="B2504" s="11"/>
      <c r="C2504" s="11"/>
      <c r="D2504" s="10" t="s">
        <v>22</v>
      </c>
      <c r="E2504" s="14">
        <v>2.0</v>
      </c>
      <c r="F2504" s="15">
        <f>ROUND((G2501+G2502+G2503),3)</f>
        <v>43.8</v>
      </c>
      <c r="G2504" s="12">
        <f t="shared" si="448"/>
        <v>87.6</v>
      </c>
    </row>
    <row r="2505" ht="15.0" customHeight="1">
      <c r="A2505" s="10" t="s">
        <v>32</v>
      </c>
      <c r="B2505" s="10"/>
      <c r="C2505" s="10" t="s">
        <v>33</v>
      </c>
      <c r="D2505" s="10" t="s">
        <v>34</v>
      </c>
      <c r="E2505" s="14">
        <v>5.0</v>
      </c>
      <c r="F2505" s="15">
        <f>ROUND(87.6,3)</f>
        <v>87.6</v>
      </c>
      <c r="G2505" s="12">
        <f>ROUND((E2505*F2505)/100,2)</f>
        <v>4.38</v>
      </c>
    </row>
    <row r="2506" ht="15.0" customHeight="1">
      <c r="A2506" s="16"/>
      <c r="B2506" s="16"/>
      <c r="C2506" s="16"/>
      <c r="D2506" s="17" t="s">
        <v>1142</v>
      </c>
      <c r="E2506" s="16"/>
      <c r="F2506" s="18">
        <f>ROUND((G2498+G2499+G2500+G2505)*(1+G2/100),2)</f>
        <v>111.56</v>
      </c>
      <c r="G2506" s="16"/>
    </row>
    <row r="2507" ht="15.0" customHeight="1">
      <c r="A2507" s="23"/>
      <c r="B2507" s="23"/>
      <c r="C2507" s="23"/>
      <c r="D2507" s="30" t="s">
        <v>1137</v>
      </c>
      <c r="E2507" s="31"/>
      <c r="F2507" s="31"/>
      <c r="G2507" s="31"/>
    </row>
    <row r="2508" ht="15.0" customHeight="1">
      <c r="A2508" s="50" t="s">
        <v>1145</v>
      </c>
      <c r="B2508" s="50" t="s">
        <v>10</v>
      </c>
      <c r="C2508" s="51"/>
      <c r="D2508" s="50" t="s">
        <v>1146</v>
      </c>
      <c r="E2508" s="51"/>
      <c r="F2508" s="51"/>
      <c r="G2508" s="51"/>
    </row>
    <row r="2509" ht="39.75" customHeight="1">
      <c r="A2509" s="13" t="s">
        <v>1147</v>
      </c>
      <c r="B2509" s="10" t="s">
        <v>18</v>
      </c>
      <c r="C2509" s="10" t="s">
        <v>351</v>
      </c>
      <c r="D2509" s="10" t="s">
        <v>1148</v>
      </c>
      <c r="E2509" s="11"/>
      <c r="F2509" s="12">
        <f>F2519</f>
        <v>1.96</v>
      </c>
      <c r="G2509" s="11"/>
    </row>
    <row r="2510" ht="12.0" customHeight="1">
      <c r="A2510" s="11"/>
      <c r="B2510" s="11"/>
      <c r="C2510" s="11"/>
      <c r="D2510" s="10" t="s">
        <v>1149</v>
      </c>
    </row>
    <row r="2511" ht="30.0" customHeight="1">
      <c r="A2511" s="10" t="s">
        <v>982</v>
      </c>
      <c r="B2511" s="10" t="s">
        <v>42</v>
      </c>
      <c r="C2511" s="10" t="s">
        <v>344</v>
      </c>
      <c r="D2511" s="10" t="s">
        <v>983</v>
      </c>
      <c r="E2511" s="14">
        <v>0.42857</v>
      </c>
      <c r="F2511" s="15">
        <f>ROUND(0.85,3)</f>
        <v>0.85</v>
      </c>
      <c r="G2511" s="12">
        <f t="shared" ref="G2511:G2517" si="450">ROUND(E2511*F2511,2)</f>
        <v>0.36</v>
      </c>
    </row>
    <row r="2512" ht="24.0" customHeight="1">
      <c r="A2512" s="10" t="s">
        <v>984</v>
      </c>
      <c r="B2512" s="10" t="s">
        <v>42</v>
      </c>
      <c r="C2512" s="10" t="s">
        <v>43</v>
      </c>
      <c r="D2512" s="10" t="s">
        <v>985</v>
      </c>
      <c r="E2512" s="14">
        <v>0.01714</v>
      </c>
      <c r="F2512" s="15">
        <f>ROUND(9.48,3)</f>
        <v>9.48</v>
      </c>
      <c r="G2512" s="12">
        <f t="shared" si="450"/>
        <v>0.16</v>
      </c>
    </row>
    <row r="2513" ht="21.0" customHeight="1">
      <c r="A2513" s="10" t="s">
        <v>22</v>
      </c>
      <c r="B2513" s="10" t="s">
        <v>18</v>
      </c>
      <c r="C2513" s="10" t="s">
        <v>23</v>
      </c>
      <c r="D2513" s="10" t="s">
        <v>24</v>
      </c>
      <c r="E2513" s="14">
        <v>0.032</v>
      </c>
      <c r="F2513" s="15">
        <f>F2517</f>
        <v>43.8</v>
      </c>
      <c r="G2513" s="12">
        <f t="shared" si="450"/>
        <v>1.4</v>
      </c>
    </row>
    <row r="2514" ht="24.0" customHeight="1">
      <c r="A2514" s="10" t="s">
        <v>25</v>
      </c>
      <c r="B2514" s="10" t="s">
        <v>26</v>
      </c>
      <c r="C2514" s="10" t="s">
        <v>23</v>
      </c>
      <c r="D2514" s="10" t="s">
        <v>27</v>
      </c>
      <c r="E2514" s="14">
        <v>1.0</v>
      </c>
      <c r="F2514" s="15">
        <f>ROUND(21,3)</f>
        <v>21</v>
      </c>
      <c r="G2514" s="12">
        <f t="shared" si="450"/>
        <v>21</v>
      </c>
    </row>
    <row r="2515" ht="24.0" customHeight="1">
      <c r="A2515" s="10" t="s">
        <v>28</v>
      </c>
      <c r="B2515" s="10" t="s">
        <v>26</v>
      </c>
      <c r="C2515" s="10" t="s">
        <v>23</v>
      </c>
      <c r="D2515" s="10" t="s">
        <v>29</v>
      </c>
      <c r="E2515" s="14">
        <v>1.0</v>
      </c>
      <c r="F2515" s="15">
        <f t="shared" ref="F2515:F2516" si="451">ROUND(19,3)</f>
        <v>19</v>
      </c>
      <c r="G2515" s="12">
        <f t="shared" si="450"/>
        <v>19</v>
      </c>
    </row>
    <row r="2516" ht="24.0" customHeight="1">
      <c r="A2516" s="10" t="s">
        <v>30</v>
      </c>
      <c r="B2516" s="10" t="s">
        <v>26</v>
      </c>
      <c r="C2516" s="10" t="s">
        <v>23</v>
      </c>
      <c r="D2516" s="10" t="s">
        <v>31</v>
      </c>
      <c r="E2516" s="14">
        <v>0.2</v>
      </c>
      <c r="F2516" s="15">
        <f t="shared" si="451"/>
        <v>19</v>
      </c>
      <c r="G2516" s="12">
        <f t="shared" si="450"/>
        <v>3.8</v>
      </c>
    </row>
    <row r="2517" ht="15.0" customHeight="1">
      <c r="A2517" s="11"/>
      <c r="B2517" s="11"/>
      <c r="C2517" s="11"/>
      <c r="D2517" s="10" t="s">
        <v>22</v>
      </c>
      <c r="E2517" s="14">
        <v>0.032</v>
      </c>
      <c r="F2517" s="15">
        <f>ROUND((G2514+G2515+G2516),3)</f>
        <v>43.8</v>
      </c>
      <c r="G2517" s="12">
        <f t="shared" si="450"/>
        <v>1.4</v>
      </c>
    </row>
    <row r="2518" ht="15.0" customHeight="1">
      <c r="A2518" s="10" t="s">
        <v>32</v>
      </c>
      <c r="B2518" s="10"/>
      <c r="C2518" s="10" t="s">
        <v>33</v>
      </c>
      <c r="D2518" s="10" t="s">
        <v>34</v>
      </c>
      <c r="E2518" s="14">
        <v>3.0</v>
      </c>
      <c r="F2518" s="15">
        <f>ROUND(1.4,3)</f>
        <v>1.4</v>
      </c>
      <c r="G2518" s="12">
        <f>ROUND((E2518*F2518)/100,2)</f>
        <v>0.04</v>
      </c>
    </row>
    <row r="2519" ht="15.0" customHeight="1">
      <c r="A2519" s="16"/>
      <c r="B2519" s="16"/>
      <c r="C2519" s="16"/>
      <c r="D2519" s="17" t="s">
        <v>1147</v>
      </c>
      <c r="E2519" s="16"/>
      <c r="F2519" s="18">
        <f>ROUND((G2511+G2512+G2513+G2518)*(1+G2/100),2)</f>
        <v>1.96</v>
      </c>
      <c r="G2519" s="16"/>
    </row>
    <row r="2520" ht="15.0" customHeight="1">
      <c r="A2520" s="23"/>
      <c r="B2520" s="23"/>
      <c r="C2520" s="23"/>
      <c r="D2520" s="30" t="s">
        <v>1145</v>
      </c>
      <c r="E2520" s="31"/>
      <c r="F2520" s="31"/>
      <c r="G2520" s="31"/>
    </row>
    <row r="2521" ht="15.0" customHeight="1">
      <c r="A2521" s="23"/>
      <c r="B2521" s="23"/>
      <c r="C2521" s="23"/>
      <c r="D2521" s="24" t="s">
        <v>1035</v>
      </c>
      <c r="E2521" s="25"/>
      <c r="F2521" s="25"/>
      <c r="G2521" s="25"/>
    </row>
    <row r="2522" ht="15.0" customHeight="1">
      <c r="A2522" s="26" t="s">
        <v>1150</v>
      </c>
      <c r="B2522" s="26" t="s">
        <v>10</v>
      </c>
      <c r="C2522" s="27"/>
      <c r="D2522" s="26" t="s">
        <v>1151</v>
      </c>
      <c r="E2522" s="27"/>
      <c r="F2522" s="27"/>
      <c r="G2522" s="27"/>
    </row>
    <row r="2523" ht="24.75" customHeight="1">
      <c r="A2523" s="13" t="s">
        <v>1152</v>
      </c>
      <c r="B2523" s="10" t="s">
        <v>18</v>
      </c>
      <c r="C2523" s="10" t="s">
        <v>351</v>
      </c>
      <c r="D2523" s="10" t="s">
        <v>1153</v>
      </c>
      <c r="E2523" s="11"/>
      <c r="F2523" s="12">
        <f>F2533</f>
        <v>14.1</v>
      </c>
      <c r="G2523" s="11"/>
    </row>
    <row r="2524" ht="12.0" customHeight="1">
      <c r="A2524" s="11"/>
      <c r="B2524" s="11"/>
      <c r="C2524" s="11"/>
      <c r="D2524" s="10" t="s">
        <v>1154</v>
      </c>
    </row>
    <row r="2525" ht="39.75" customHeight="1">
      <c r="A2525" s="10" t="s">
        <v>953</v>
      </c>
      <c r="B2525" s="10" t="s">
        <v>112</v>
      </c>
      <c r="C2525" s="10" t="s">
        <v>23</v>
      </c>
      <c r="D2525" s="10" t="s">
        <v>954</v>
      </c>
      <c r="E2525" s="14">
        <v>0.3</v>
      </c>
      <c r="F2525" s="15">
        <f>ROUND(1.75,3)</f>
        <v>1.75</v>
      </c>
      <c r="G2525" s="12">
        <f t="shared" ref="G2525:G2531" si="452">ROUND(E2525*F2525,2)</f>
        <v>0.53</v>
      </c>
    </row>
    <row r="2526" ht="21.0" customHeight="1">
      <c r="A2526" s="10" t="s">
        <v>955</v>
      </c>
      <c r="B2526" s="10" t="s">
        <v>42</v>
      </c>
      <c r="C2526" s="10" t="s">
        <v>956</v>
      </c>
      <c r="D2526" s="10" t="s">
        <v>957</v>
      </c>
      <c r="E2526" s="14">
        <v>0.04</v>
      </c>
      <c r="F2526" s="15">
        <f>ROUND(0.97,3)</f>
        <v>0.97</v>
      </c>
      <c r="G2526" s="12">
        <f t="shared" si="452"/>
        <v>0.04</v>
      </c>
    </row>
    <row r="2527" ht="21.0" customHeight="1">
      <c r="A2527" s="10" t="s">
        <v>22</v>
      </c>
      <c r="B2527" s="10" t="s">
        <v>18</v>
      </c>
      <c r="C2527" s="10" t="s">
        <v>23</v>
      </c>
      <c r="D2527" s="10" t="s">
        <v>24</v>
      </c>
      <c r="E2527" s="14">
        <v>0.3</v>
      </c>
      <c r="F2527" s="15">
        <f>F2531</f>
        <v>43.8</v>
      </c>
      <c r="G2527" s="12">
        <f t="shared" si="452"/>
        <v>13.14</v>
      </c>
    </row>
    <row r="2528" ht="24.0" customHeight="1">
      <c r="A2528" s="10" t="s">
        <v>25</v>
      </c>
      <c r="B2528" s="10" t="s">
        <v>26</v>
      </c>
      <c r="C2528" s="10" t="s">
        <v>23</v>
      </c>
      <c r="D2528" s="10" t="s">
        <v>27</v>
      </c>
      <c r="E2528" s="14">
        <v>1.0</v>
      </c>
      <c r="F2528" s="15">
        <f>ROUND(21,3)</f>
        <v>21</v>
      </c>
      <c r="G2528" s="12">
        <f t="shared" si="452"/>
        <v>21</v>
      </c>
    </row>
    <row r="2529" ht="24.0" customHeight="1">
      <c r="A2529" s="10" t="s">
        <v>28</v>
      </c>
      <c r="B2529" s="10" t="s">
        <v>26</v>
      </c>
      <c r="C2529" s="10" t="s">
        <v>23</v>
      </c>
      <c r="D2529" s="10" t="s">
        <v>29</v>
      </c>
      <c r="E2529" s="14">
        <v>1.0</v>
      </c>
      <c r="F2529" s="15">
        <f t="shared" ref="F2529:F2530" si="453">ROUND(19,3)</f>
        <v>19</v>
      </c>
      <c r="G2529" s="12">
        <f t="shared" si="452"/>
        <v>19</v>
      </c>
    </row>
    <row r="2530" ht="24.0" customHeight="1">
      <c r="A2530" s="10" t="s">
        <v>30</v>
      </c>
      <c r="B2530" s="10" t="s">
        <v>26</v>
      </c>
      <c r="C2530" s="10" t="s">
        <v>23</v>
      </c>
      <c r="D2530" s="10" t="s">
        <v>31</v>
      </c>
      <c r="E2530" s="14">
        <v>0.2</v>
      </c>
      <c r="F2530" s="15">
        <f t="shared" si="453"/>
        <v>19</v>
      </c>
      <c r="G2530" s="12">
        <f t="shared" si="452"/>
        <v>3.8</v>
      </c>
    </row>
    <row r="2531" ht="15.0" customHeight="1">
      <c r="A2531" s="11"/>
      <c r="B2531" s="11"/>
      <c r="C2531" s="11"/>
      <c r="D2531" s="10" t="s">
        <v>22</v>
      </c>
      <c r="E2531" s="14">
        <v>0.3</v>
      </c>
      <c r="F2531" s="15">
        <f>ROUND((G2528+G2529+G2530),3)</f>
        <v>43.8</v>
      </c>
      <c r="G2531" s="12">
        <f t="shared" si="452"/>
        <v>13.14</v>
      </c>
    </row>
    <row r="2532" ht="15.0" customHeight="1">
      <c r="A2532" s="10" t="s">
        <v>32</v>
      </c>
      <c r="B2532" s="10"/>
      <c r="C2532" s="10" t="s">
        <v>33</v>
      </c>
      <c r="D2532" s="10" t="s">
        <v>34</v>
      </c>
      <c r="E2532" s="14">
        <v>3.0</v>
      </c>
      <c r="F2532" s="15">
        <f>ROUND(13.14,3)</f>
        <v>13.14</v>
      </c>
      <c r="G2532" s="12">
        <f>ROUND((E2532*F2532)/100,2)</f>
        <v>0.39</v>
      </c>
    </row>
    <row r="2533" ht="15.0" customHeight="1">
      <c r="A2533" s="16"/>
      <c r="B2533" s="16"/>
      <c r="C2533" s="16"/>
      <c r="D2533" s="17" t="s">
        <v>1152</v>
      </c>
      <c r="E2533" s="16"/>
      <c r="F2533" s="18">
        <f>ROUND((G2525+G2526+G2527+G2532)*(1+G2/100),2)</f>
        <v>14.1</v>
      </c>
      <c r="G2533" s="16"/>
    </row>
    <row r="2534" ht="30.0" customHeight="1">
      <c r="A2534" s="19" t="s">
        <v>1155</v>
      </c>
      <c r="B2534" s="20" t="s">
        <v>18</v>
      </c>
      <c r="C2534" s="20" t="s">
        <v>231</v>
      </c>
      <c r="D2534" s="20" t="s">
        <v>1156</v>
      </c>
      <c r="E2534" s="21"/>
      <c r="F2534" s="22">
        <f>F2539</f>
        <v>5.28</v>
      </c>
      <c r="G2534" s="21"/>
    </row>
    <row r="2535" ht="12.0" customHeight="1">
      <c r="A2535" s="11"/>
      <c r="B2535" s="11"/>
      <c r="C2535" s="11"/>
      <c r="D2535" s="10" t="s">
        <v>1157</v>
      </c>
    </row>
    <row r="2536" ht="24.0" customHeight="1">
      <c r="A2536" s="10" t="s">
        <v>318</v>
      </c>
      <c r="B2536" s="10" t="s">
        <v>42</v>
      </c>
      <c r="C2536" s="10" t="s">
        <v>43</v>
      </c>
      <c r="D2536" s="10" t="s">
        <v>319</v>
      </c>
      <c r="E2536" s="14">
        <v>0.01</v>
      </c>
      <c r="F2536" s="15">
        <f>ROUND(5.8,3)</f>
        <v>5.8</v>
      </c>
      <c r="G2536" s="12">
        <f t="shared" ref="G2536:G2537" si="454">ROUND(E2536*F2536,2)</f>
        <v>0.06</v>
      </c>
    </row>
    <row r="2537" ht="24.0" customHeight="1">
      <c r="A2537" s="10" t="s">
        <v>28</v>
      </c>
      <c r="B2537" s="10" t="s">
        <v>26</v>
      </c>
      <c r="C2537" s="10" t="s">
        <v>23</v>
      </c>
      <c r="D2537" s="10" t="s">
        <v>29</v>
      </c>
      <c r="E2537" s="14">
        <v>0.26667</v>
      </c>
      <c r="F2537" s="15">
        <f>ROUND(19,3)</f>
        <v>19</v>
      </c>
      <c r="G2537" s="12">
        <f t="shared" si="454"/>
        <v>5.07</v>
      </c>
    </row>
    <row r="2538" ht="15.0" customHeight="1">
      <c r="A2538" s="10" t="s">
        <v>32</v>
      </c>
      <c r="B2538" s="10"/>
      <c r="C2538" s="10" t="s">
        <v>33</v>
      </c>
      <c r="D2538" s="10" t="s">
        <v>34</v>
      </c>
      <c r="E2538" s="14">
        <v>3.0</v>
      </c>
      <c r="F2538" s="15">
        <f>ROUND(5.07,3)</f>
        <v>5.07</v>
      </c>
      <c r="G2538" s="12">
        <f>ROUND((E2538*F2538)/100,2)</f>
        <v>0.15</v>
      </c>
    </row>
    <row r="2539" ht="15.0" customHeight="1">
      <c r="A2539" s="16"/>
      <c r="B2539" s="16"/>
      <c r="C2539" s="16"/>
      <c r="D2539" s="17" t="s">
        <v>1155</v>
      </c>
      <c r="E2539" s="16"/>
      <c r="F2539" s="18">
        <f>ROUND((G2536+G2537+G2538)*(1+G2/100),2)</f>
        <v>5.28</v>
      </c>
      <c r="G2539" s="16"/>
    </row>
    <row r="2540" ht="30.0" customHeight="1">
      <c r="A2540" s="19" t="s">
        <v>1158</v>
      </c>
      <c r="B2540" s="20" t="s">
        <v>18</v>
      </c>
      <c r="C2540" s="20" t="s">
        <v>231</v>
      </c>
      <c r="D2540" s="20" t="s">
        <v>1159</v>
      </c>
      <c r="E2540" s="21"/>
      <c r="F2540" s="22">
        <f>F2548</f>
        <v>45.11</v>
      </c>
      <c r="G2540" s="21"/>
    </row>
    <row r="2541" ht="12.0" customHeight="1">
      <c r="A2541" s="11"/>
      <c r="B2541" s="11"/>
      <c r="C2541" s="11"/>
      <c r="D2541" s="10" t="s">
        <v>1160</v>
      </c>
    </row>
    <row r="2542" ht="21.0" customHeight="1">
      <c r="A2542" s="10" t="s">
        <v>22</v>
      </c>
      <c r="B2542" s="10" t="s">
        <v>18</v>
      </c>
      <c r="C2542" s="10" t="s">
        <v>23</v>
      </c>
      <c r="D2542" s="10" t="s">
        <v>24</v>
      </c>
      <c r="E2542" s="14">
        <v>1.0</v>
      </c>
      <c r="F2542" s="15">
        <f>F2546</f>
        <v>43.8</v>
      </c>
      <c r="G2542" s="12">
        <f t="shared" ref="G2542:G2546" si="455">ROUND(E2542*F2542,2)</f>
        <v>43.8</v>
      </c>
    </row>
    <row r="2543" ht="24.0" customHeight="1">
      <c r="A2543" s="10" t="s">
        <v>25</v>
      </c>
      <c r="B2543" s="10" t="s">
        <v>26</v>
      </c>
      <c r="C2543" s="10" t="s">
        <v>23</v>
      </c>
      <c r="D2543" s="10" t="s">
        <v>27</v>
      </c>
      <c r="E2543" s="14">
        <v>1.0</v>
      </c>
      <c r="F2543" s="15">
        <f>ROUND(21,3)</f>
        <v>21</v>
      </c>
      <c r="G2543" s="12">
        <f t="shared" si="455"/>
        <v>21</v>
      </c>
    </row>
    <row r="2544" ht="24.0" customHeight="1">
      <c r="A2544" s="10" t="s">
        <v>28</v>
      </c>
      <c r="B2544" s="10" t="s">
        <v>26</v>
      </c>
      <c r="C2544" s="10" t="s">
        <v>23</v>
      </c>
      <c r="D2544" s="10" t="s">
        <v>29</v>
      </c>
      <c r="E2544" s="14">
        <v>1.0</v>
      </c>
      <c r="F2544" s="15">
        <f t="shared" ref="F2544:F2545" si="456">ROUND(19,3)</f>
        <v>19</v>
      </c>
      <c r="G2544" s="12">
        <f t="shared" si="455"/>
        <v>19</v>
      </c>
    </row>
    <row r="2545" ht="24.0" customHeight="1">
      <c r="A2545" s="10" t="s">
        <v>30</v>
      </c>
      <c r="B2545" s="10" t="s">
        <v>26</v>
      </c>
      <c r="C2545" s="10" t="s">
        <v>23</v>
      </c>
      <c r="D2545" s="10" t="s">
        <v>31</v>
      </c>
      <c r="E2545" s="14">
        <v>0.2</v>
      </c>
      <c r="F2545" s="15">
        <f t="shared" si="456"/>
        <v>19</v>
      </c>
      <c r="G2545" s="12">
        <f t="shared" si="455"/>
        <v>3.8</v>
      </c>
    </row>
    <row r="2546" ht="15.0" customHeight="1">
      <c r="A2546" s="11"/>
      <c r="B2546" s="11"/>
      <c r="C2546" s="11"/>
      <c r="D2546" s="10" t="s">
        <v>22</v>
      </c>
      <c r="E2546" s="14">
        <v>1.0</v>
      </c>
      <c r="F2546" s="15">
        <f>ROUND((G2543+G2544+G2545),3)</f>
        <v>43.8</v>
      </c>
      <c r="G2546" s="12">
        <f t="shared" si="455"/>
        <v>43.8</v>
      </c>
    </row>
    <row r="2547" ht="15.0" customHeight="1">
      <c r="A2547" s="10" t="s">
        <v>32</v>
      </c>
      <c r="B2547" s="10"/>
      <c r="C2547" s="10" t="s">
        <v>33</v>
      </c>
      <c r="D2547" s="10" t="s">
        <v>34</v>
      </c>
      <c r="E2547" s="14">
        <v>3.0</v>
      </c>
      <c r="F2547" s="15">
        <f>ROUND(43.8,3)</f>
        <v>43.8</v>
      </c>
      <c r="G2547" s="12">
        <f>ROUND((E2547*F2547)/100,2)</f>
        <v>1.31</v>
      </c>
    </row>
    <row r="2548" ht="15.0" customHeight="1">
      <c r="A2548" s="16"/>
      <c r="B2548" s="16"/>
      <c r="C2548" s="16"/>
      <c r="D2548" s="17" t="s">
        <v>1158</v>
      </c>
      <c r="E2548" s="16"/>
      <c r="F2548" s="18">
        <f>ROUND((G2542+G2547)*(1+G2/100),2)</f>
        <v>45.11</v>
      </c>
      <c r="G2548" s="16"/>
    </row>
    <row r="2549" ht="67.5" customHeight="1">
      <c r="A2549" s="19" t="s">
        <v>1161</v>
      </c>
      <c r="B2549" s="20" t="s">
        <v>18</v>
      </c>
      <c r="C2549" s="20" t="s">
        <v>351</v>
      </c>
      <c r="D2549" s="20" t="s">
        <v>1162</v>
      </c>
      <c r="E2549" s="21"/>
      <c r="F2549" s="22">
        <f>F2557</f>
        <v>4.51</v>
      </c>
      <c r="G2549" s="21"/>
    </row>
    <row r="2550" ht="21.0" customHeight="1">
      <c r="A2550" s="11"/>
      <c r="B2550" s="11"/>
      <c r="C2550" s="11"/>
      <c r="D2550" s="10" t="s">
        <v>1163</v>
      </c>
    </row>
    <row r="2551" ht="21.0" customHeight="1">
      <c r="A2551" s="10" t="s">
        <v>22</v>
      </c>
      <c r="B2551" s="10" t="s">
        <v>18</v>
      </c>
      <c r="C2551" s="10" t="s">
        <v>23</v>
      </c>
      <c r="D2551" s="10" t="s">
        <v>24</v>
      </c>
      <c r="E2551" s="14">
        <v>0.1</v>
      </c>
      <c r="F2551" s="15">
        <f>F2555</f>
        <v>43.8</v>
      </c>
      <c r="G2551" s="12">
        <f t="shared" ref="G2551:G2555" si="457">ROUND(E2551*F2551,2)</f>
        <v>4.38</v>
      </c>
    </row>
    <row r="2552" ht="24.0" customHeight="1">
      <c r="A2552" s="10" t="s">
        <v>25</v>
      </c>
      <c r="B2552" s="10" t="s">
        <v>26</v>
      </c>
      <c r="C2552" s="10" t="s">
        <v>23</v>
      </c>
      <c r="D2552" s="10" t="s">
        <v>27</v>
      </c>
      <c r="E2552" s="14">
        <v>1.0</v>
      </c>
      <c r="F2552" s="15">
        <f>ROUND(21,3)</f>
        <v>21</v>
      </c>
      <c r="G2552" s="12">
        <f t="shared" si="457"/>
        <v>21</v>
      </c>
    </row>
    <row r="2553" ht="24.0" customHeight="1">
      <c r="A2553" s="10" t="s">
        <v>28</v>
      </c>
      <c r="B2553" s="10" t="s">
        <v>26</v>
      </c>
      <c r="C2553" s="10" t="s">
        <v>23</v>
      </c>
      <c r="D2553" s="10" t="s">
        <v>29</v>
      </c>
      <c r="E2553" s="14">
        <v>1.0</v>
      </c>
      <c r="F2553" s="15">
        <f t="shared" ref="F2553:F2554" si="458">ROUND(19,3)</f>
        <v>19</v>
      </c>
      <c r="G2553" s="12">
        <f t="shared" si="457"/>
        <v>19</v>
      </c>
    </row>
    <row r="2554" ht="24.0" customHeight="1">
      <c r="A2554" s="10" t="s">
        <v>30</v>
      </c>
      <c r="B2554" s="10" t="s">
        <v>26</v>
      </c>
      <c r="C2554" s="10" t="s">
        <v>23</v>
      </c>
      <c r="D2554" s="10" t="s">
        <v>31</v>
      </c>
      <c r="E2554" s="14">
        <v>0.2</v>
      </c>
      <c r="F2554" s="15">
        <f t="shared" si="458"/>
        <v>19</v>
      </c>
      <c r="G2554" s="12">
        <f t="shared" si="457"/>
        <v>3.8</v>
      </c>
    </row>
    <row r="2555" ht="15.0" customHeight="1">
      <c r="A2555" s="11"/>
      <c r="B2555" s="11"/>
      <c r="C2555" s="11"/>
      <c r="D2555" s="10" t="s">
        <v>22</v>
      </c>
      <c r="E2555" s="14">
        <v>0.1</v>
      </c>
      <c r="F2555" s="15">
        <f>ROUND((G2552+G2553+G2554),3)</f>
        <v>43.8</v>
      </c>
      <c r="G2555" s="12">
        <f t="shared" si="457"/>
        <v>4.38</v>
      </c>
    </row>
    <row r="2556" ht="15.0" customHeight="1">
      <c r="A2556" s="10" t="s">
        <v>32</v>
      </c>
      <c r="B2556" s="10"/>
      <c r="C2556" s="10" t="s">
        <v>33</v>
      </c>
      <c r="D2556" s="10" t="s">
        <v>34</v>
      </c>
      <c r="E2556" s="14">
        <v>3.0</v>
      </c>
      <c r="F2556" s="15">
        <f>ROUND(4.38,3)</f>
        <v>4.38</v>
      </c>
      <c r="G2556" s="12">
        <f>ROUND((E2556*F2556)/100,2)</f>
        <v>0.13</v>
      </c>
    </row>
    <row r="2557" ht="15.0" customHeight="1">
      <c r="A2557" s="16"/>
      <c r="B2557" s="16"/>
      <c r="C2557" s="16"/>
      <c r="D2557" s="17" t="s">
        <v>1161</v>
      </c>
      <c r="E2557" s="16"/>
      <c r="F2557" s="18">
        <f>ROUND((G2551+G2556)*(1+G2/100),2)</f>
        <v>4.51</v>
      </c>
      <c r="G2557" s="16"/>
    </row>
    <row r="2558" ht="15.0" customHeight="1">
      <c r="A2558" s="23"/>
      <c r="B2558" s="23"/>
      <c r="C2558" s="23"/>
      <c r="D2558" s="24" t="s">
        <v>1150</v>
      </c>
      <c r="E2558" s="25"/>
      <c r="F2558" s="25"/>
      <c r="G2558" s="25"/>
    </row>
    <row r="2559" ht="24.75" customHeight="1">
      <c r="A2559" s="23"/>
      <c r="B2559" s="23"/>
      <c r="C2559" s="23"/>
      <c r="D2559" s="32" t="s">
        <v>898</v>
      </c>
      <c r="E2559" s="33"/>
      <c r="F2559" s="33"/>
      <c r="G2559" s="33"/>
    </row>
    <row r="2560" ht="21.75" customHeight="1">
      <c r="A2560" s="34" t="s">
        <v>1164</v>
      </c>
      <c r="B2560" s="34" t="s">
        <v>10</v>
      </c>
      <c r="C2560" s="35"/>
      <c r="D2560" s="34" t="s">
        <v>1165</v>
      </c>
      <c r="E2560" s="35"/>
      <c r="F2560" s="35"/>
      <c r="G2560" s="35"/>
    </row>
    <row r="2561" ht="24.75" customHeight="1">
      <c r="A2561" s="13" t="s">
        <v>1166</v>
      </c>
      <c r="B2561" s="10" t="s">
        <v>18</v>
      </c>
      <c r="C2561" s="10" t="s">
        <v>19</v>
      </c>
      <c r="D2561" s="10" t="s">
        <v>1167</v>
      </c>
      <c r="E2561" s="11"/>
      <c r="F2561" s="12">
        <f>F2569</f>
        <v>12.26</v>
      </c>
      <c r="G2561" s="11"/>
    </row>
    <row r="2562" ht="21.0" customHeight="1">
      <c r="A2562" s="11"/>
      <c r="B2562" s="11"/>
      <c r="C2562" s="11"/>
      <c r="D2562" s="10" t="s">
        <v>1168</v>
      </c>
    </row>
    <row r="2563" ht="21.0" customHeight="1">
      <c r="A2563" s="10" t="s">
        <v>22</v>
      </c>
      <c r="B2563" s="10" t="s">
        <v>18</v>
      </c>
      <c r="C2563" s="10" t="s">
        <v>23</v>
      </c>
      <c r="D2563" s="10" t="s">
        <v>24</v>
      </c>
      <c r="E2563" s="14">
        <v>0.26667</v>
      </c>
      <c r="F2563" s="15">
        <f>F2567</f>
        <v>43.8</v>
      </c>
      <c r="G2563" s="12">
        <f t="shared" ref="G2563:G2567" si="459">ROUND(E2563*F2563,2)</f>
        <v>11.68</v>
      </c>
    </row>
    <row r="2564" ht="24.0" customHeight="1">
      <c r="A2564" s="10" t="s">
        <v>25</v>
      </c>
      <c r="B2564" s="10" t="s">
        <v>26</v>
      </c>
      <c r="C2564" s="10" t="s">
        <v>23</v>
      </c>
      <c r="D2564" s="10" t="s">
        <v>27</v>
      </c>
      <c r="E2564" s="14">
        <v>1.0</v>
      </c>
      <c r="F2564" s="15">
        <f>ROUND(21,3)</f>
        <v>21</v>
      </c>
      <c r="G2564" s="12">
        <f t="shared" si="459"/>
        <v>21</v>
      </c>
    </row>
    <row r="2565" ht="24.0" customHeight="1">
      <c r="A2565" s="10" t="s">
        <v>28</v>
      </c>
      <c r="B2565" s="10" t="s">
        <v>26</v>
      </c>
      <c r="C2565" s="10" t="s">
        <v>23</v>
      </c>
      <c r="D2565" s="10" t="s">
        <v>29</v>
      </c>
      <c r="E2565" s="14">
        <v>1.0</v>
      </c>
      <c r="F2565" s="15">
        <f t="shared" ref="F2565:F2566" si="460">ROUND(19,3)</f>
        <v>19</v>
      </c>
      <c r="G2565" s="12">
        <f t="shared" si="459"/>
        <v>19</v>
      </c>
    </row>
    <row r="2566" ht="24.0" customHeight="1">
      <c r="A2566" s="10" t="s">
        <v>30</v>
      </c>
      <c r="B2566" s="10" t="s">
        <v>26</v>
      </c>
      <c r="C2566" s="10" t="s">
        <v>23</v>
      </c>
      <c r="D2566" s="10" t="s">
        <v>31</v>
      </c>
      <c r="E2566" s="14">
        <v>0.2</v>
      </c>
      <c r="F2566" s="15">
        <f t="shared" si="460"/>
        <v>19</v>
      </c>
      <c r="G2566" s="12">
        <f t="shared" si="459"/>
        <v>3.8</v>
      </c>
    </row>
    <row r="2567" ht="15.0" customHeight="1">
      <c r="A2567" s="11"/>
      <c r="B2567" s="11"/>
      <c r="C2567" s="11"/>
      <c r="D2567" s="10" t="s">
        <v>22</v>
      </c>
      <c r="E2567" s="14">
        <v>0.26667</v>
      </c>
      <c r="F2567" s="15">
        <f>ROUND((G2564+G2565+G2566),3)</f>
        <v>43.8</v>
      </c>
      <c r="G2567" s="12">
        <f t="shared" si="459"/>
        <v>11.68</v>
      </c>
    </row>
    <row r="2568" ht="15.0" customHeight="1">
      <c r="A2568" s="10" t="s">
        <v>32</v>
      </c>
      <c r="B2568" s="10"/>
      <c r="C2568" s="10" t="s">
        <v>33</v>
      </c>
      <c r="D2568" s="10" t="s">
        <v>34</v>
      </c>
      <c r="E2568" s="14">
        <v>5.0</v>
      </c>
      <c r="F2568" s="15">
        <f>ROUND(11.68,3)</f>
        <v>11.68</v>
      </c>
      <c r="G2568" s="12">
        <f>ROUND((E2568*F2568)/100,2)</f>
        <v>0.58</v>
      </c>
    </row>
    <row r="2569" ht="15.0" customHeight="1">
      <c r="A2569" s="16"/>
      <c r="B2569" s="16"/>
      <c r="C2569" s="16"/>
      <c r="D2569" s="17" t="s">
        <v>1166</v>
      </c>
      <c r="E2569" s="16"/>
      <c r="F2569" s="18">
        <f>ROUND((G2563+G2568)*(1+G2/100),2)</f>
        <v>12.26</v>
      </c>
      <c r="G2569" s="16"/>
    </row>
    <row r="2570" ht="24.75" customHeight="1">
      <c r="A2570" s="19" t="s">
        <v>1169</v>
      </c>
      <c r="B2570" s="20" t="s">
        <v>18</v>
      </c>
      <c r="C2570" s="20" t="s">
        <v>19</v>
      </c>
      <c r="D2570" s="20" t="s">
        <v>1170</v>
      </c>
      <c r="E2570" s="21"/>
      <c r="F2570" s="22">
        <f>F2578</f>
        <v>18.4</v>
      </c>
      <c r="G2570" s="21"/>
    </row>
    <row r="2571" ht="21.0" customHeight="1">
      <c r="A2571" s="11"/>
      <c r="B2571" s="11"/>
      <c r="C2571" s="11"/>
      <c r="D2571" s="10" t="s">
        <v>1168</v>
      </c>
    </row>
    <row r="2572" ht="21.0" customHeight="1">
      <c r="A2572" s="10" t="s">
        <v>22</v>
      </c>
      <c r="B2572" s="10" t="s">
        <v>18</v>
      </c>
      <c r="C2572" s="10" t="s">
        <v>23</v>
      </c>
      <c r="D2572" s="10" t="s">
        <v>24</v>
      </c>
      <c r="E2572" s="14">
        <v>0.4</v>
      </c>
      <c r="F2572" s="15">
        <f>F2576</f>
        <v>43.8</v>
      </c>
      <c r="G2572" s="12">
        <f t="shared" ref="G2572:G2576" si="461">ROUND(E2572*F2572,2)</f>
        <v>17.52</v>
      </c>
    </row>
    <row r="2573" ht="24.0" customHeight="1">
      <c r="A2573" s="10" t="s">
        <v>25</v>
      </c>
      <c r="B2573" s="10" t="s">
        <v>26</v>
      </c>
      <c r="C2573" s="10" t="s">
        <v>23</v>
      </c>
      <c r="D2573" s="10" t="s">
        <v>27</v>
      </c>
      <c r="E2573" s="14">
        <v>1.0</v>
      </c>
      <c r="F2573" s="15">
        <f>ROUND(21,3)</f>
        <v>21</v>
      </c>
      <c r="G2573" s="12">
        <f t="shared" si="461"/>
        <v>21</v>
      </c>
    </row>
    <row r="2574" ht="24.0" customHeight="1">
      <c r="A2574" s="10" t="s">
        <v>28</v>
      </c>
      <c r="B2574" s="10" t="s">
        <v>26</v>
      </c>
      <c r="C2574" s="10" t="s">
        <v>23</v>
      </c>
      <c r="D2574" s="10" t="s">
        <v>29</v>
      </c>
      <c r="E2574" s="14">
        <v>1.0</v>
      </c>
      <c r="F2574" s="15">
        <f t="shared" ref="F2574:F2575" si="462">ROUND(19,3)</f>
        <v>19</v>
      </c>
      <c r="G2574" s="12">
        <f t="shared" si="461"/>
        <v>19</v>
      </c>
    </row>
    <row r="2575" ht="24.0" customHeight="1">
      <c r="A2575" s="10" t="s">
        <v>30</v>
      </c>
      <c r="B2575" s="10" t="s">
        <v>26</v>
      </c>
      <c r="C2575" s="10" t="s">
        <v>23</v>
      </c>
      <c r="D2575" s="10" t="s">
        <v>31</v>
      </c>
      <c r="E2575" s="14">
        <v>0.2</v>
      </c>
      <c r="F2575" s="15">
        <f t="shared" si="462"/>
        <v>19</v>
      </c>
      <c r="G2575" s="12">
        <f t="shared" si="461"/>
        <v>3.8</v>
      </c>
    </row>
    <row r="2576" ht="15.0" customHeight="1">
      <c r="A2576" s="11"/>
      <c r="B2576" s="11"/>
      <c r="C2576" s="11"/>
      <c r="D2576" s="10" t="s">
        <v>22</v>
      </c>
      <c r="E2576" s="14">
        <v>0.4</v>
      </c>
      <c r="F2576" s="15">
        <f>ROUND((G2573+G2574+G2575),3)</f>
        <v>43.8</v>
      </c>
      <c r="G2576" s="12">
        <f t="shared" si="461"/>
        <v>17.52</v>
      </c>
    </row>
    <row r="2577" ht="15.0" customHeight="1">
      <c r="A2577" s="10" t="s">
        <v>32</v>
      </c>
      <c r="B2577" s="10"/>
      <c r="C2577" s="10" t="s">
        <v>33</v>
      </c>
      <c r="D2577" s="10" t="s">
        <v>34</v>
      </c>
      <c r="E2577" s="14">
        <v>5.0</v>
      </c>
      <c r="F2577" s="15">
        <f>ROUND(17.52,3)</f>
        <v>17.52</v>
      </c>
      <c r="G2577" s="12">
        <f>ROUND((E2577*F2577)/100,2)</f>
        <v>0.88</v>
      </c>
    </row>
    <row r="2578" ht="15.0" customHeight="1">
      <c r="A2578" s="16"/>
      <c r="B2578" s="16"/>
      <c r="C2578" s="16"/>
      <c r="D2578" s="17" t="s">
        <v>1169</v>
      </c>
      <c r="E2578" s="16"/>
      <c r="F2578" s="18">
        <f>ROUND((G2572+G2577)*(1+G2/100),2)</f>
        <v>18.4</v>
      </c>
      <c r="G2578" s="16"/>
    </row>
    <row r="2579" ht="15.0" customHeight="1">
      <c r="A2579" s="23"/>
      <c r="B2579" s="23"/>
      <c r="C2579" s="23"/>
      <c r="D2579" s="32" t="s">
        <v>1164</v>
      </c>
      <c r="E2579" s="33"/>
      <c r="F2579" s="33"/>
      <c r="G2579" s="33"/>
    </row>
    <row r="2580" ht="15.0" customHeight="1">
      <c r="A2580" s="23"/>
      <c r="B2580" s="23"/>
      <c r="C2580" s="23"/>
      <c r="D2580" s="36" t="s">
        <v>669</v>
      </c>
      <c r="E2580" s="37"/>
      <c r="F2580" s="37"/>
      <c r="G2580" s="37"/>
    </row>
    <row r="2581" ht="15.0" customHeight="1">
      <c r="A2581" s="38" t="s">
        <v>1171</v>
      </c>
      <c r="B2581" s="38" t="s">
        <v>10</v>
      </c>
      <c r="C2581" s="39"/>
      <c r="D2581" s="38" t="s">
        <v>1172</v>
      </c>
      <c r="E2581" s="39"/>
      <c r="F2581" s="39"/>
      <c r="G2581" s="39"/>
    </row>
    <row r="2582" ht="15.0" customHeight="1">
      <c r="A2582" s="13" t="s">
        <v>1173</v>
      </c>
      <c r="B2582" s="10" t="s">
        <v>18</v>
      </c>
      <c r="C2582" s="10" t="s">
        <v>537</v>
      </c>
      <c r="D2582" s="10" t="s">
        <v>1174</v>
      </c>
      <c r="E2582" s="11"/>
      <c r="F2582" s="12">
        <f>F2593</f>
        <v>63.71</v>
      </c>
      <c r="G2582" s="11"/>
    </row>
    <row r="2583" ht="39.75" customHeight="1">
      <c r="A2583" s="11"/>
      <c r="B2583" s="11"/>
      <c r="C2583" s="11"/>
      <c r="D2583" s="10" t="s">
        <v>1175</v>
      </c>
    </row>
    <row r="2584" ht="30.0" customHeight="1">
      <c r="A2584" s="10" t="s">
        <v>1176</v>
      </c>
      <c r="B2584" s="10" t="s">
        <v>42</v>
      </c>
      <c r="C2584" s="10" t="s">
        <v>304</v>
      </c>
      <c r="D2584" s="10" t="s">
        <v>1177</v>
      </c>
      <c r="E2584" s="14">
        <v>1.0</v>
      </c>
      <c r="F2584" s="15">
        <f>ROUND(11.07,3)</f>
        <v>11.07</v>
      </c>
      <c r="G2584" s="12">
        <f t="shared" ref="G2584:G2591" si="463">ROUND(E2584*F2584,2)</f>
        <v>11.07</v>
      </c>
    </row>
    <row r="2585" ht="15.0" customHeight="1">
      <c r="A2585" s="10" t="s">
        <v>1178</v>
      </c>
      <c r="B2585" s="10" t="s">
        <v>42</v>
      </c>
      <c r="C2585" s="10" t="s">
        <v>304</v>
      </c>
      <c r="D2585" s="10" t="s">
        <v>1179</v>
      </c>
      <c r="E2585" s="14">
        <v>1.0</v>
      </c>
      <c r="F2585" s="15">
        <f>ROUND(3,3)</f>
        <v>3</v>
      </c>
      <c r="G2585" s="12">
        <f t="shared" si="463"/>
        <v>3</v>
      </c>
    </row>
    <row r="2586" ht="30.0" customHeight="1">
      <c r="A2586" s="10" t="s">
        <v>1180</v>
      </c>
      <c r="B2586" s="10" t="s">
        <v>42</v>
      </c>
      <c r="C2586" s="10" t="s">
        <v>1181</v>
      </c>
      <c r="D2586" s="10" t="s">
        <v>1182</v>
      </c>
      <c r="E2586" s="14">
        <v>0.025</v>
      </c>
      <c r="F2586" s="15">
        <f>ROUND(181.02,3)</f>
        <v>181.02</v>
      </c>
      <c r="G2586" s="12">
        <f t="shared" si="463"/>
        <v>4.53</v>
      </c>
    </row>
    <row r="2587" ht="21.0" customHeight="1">
      <c r="A2587" s="10" t="s">
        <v>22</v>
      </c>
      <c r="B2587" s="10" t="s">
        <v>18</v>
      </c>
      <c r="C2587" s="10" t="s">
        <v>23</v>
      </c>
      <c r="D2587" s="10" t="s">
        <v>24</v>
      </c>
      <c r="E2587" s="14">
        <v>1.0</v>
      </c>
      <c r="F2587" s="15">
        <f>F2591</f>
        <v>43.8</v>
      </c>
      <c r="G2587" s="12">
        <f t="shared" si="463"/>
        <v>43.8</v>
      </c>
    </row>
    <row r="2588" ht="24.0" customHeight="1">
      <c r="A2588" s="10" t="s">
        <v>25</v>
      </c>
      <c r="B2588" s="10" t="s">
        <v>26</v>
      </c>
      <c r="C2588" s="10" t="s">
        <v>23</v>
      </c>
      <c r="D2588" s="10" t="s">
        <v>27</v>
      </c>
      <c r="E2588" s="14">
        <v>1.0</v>
      </c>
      <c r="F2588" s="15">
        <f>ROUND(21,3)</f>
        <v>21</v>
      </c>
      <c r="G2588" s="12">
        <f t="shared" si="463"/>
        <v>21</v>
      </c>
    </row>
    <row r="2589" ht="24.0" customHeight="1">
      <c r="A2589" s="10" t="s">
        <v>28</v>
      </c>
      <c r="B2589" s="10" t="s">
        <v>26</v>
      </c>
      <c r="C2589" s="10" t="s">
        <v>23</v>
      </c>
      <c r="D2589" s="10" t="s">
        <v>29</v>
      </c>
      <c r="E2589" s="14">
        <v>1.0</v>
      </c>
      <c r="F2589" s="15">
        <f t="shared" ref="F2589:F2590" si="464">ROUND(19,3)</f>
        <v>19</v>
      </c>
      <c r="G2589" s="12">
        <f t="shared" si="463"/>
        <v>19</v>
      </c>
    </row>
    <row r="2590" ht="24.0" customHeight="1">
      <c r="A2590" s="10" t="s">
        <v>30</v>
      </c>
      <c r="B2590" s="10" t="s">
        <v>26</v>
      </c>
      <c r="C2590" s="10" t="s">
        <v>23</v>
      </c>
      <c r="D2590" s="10" t="s">
        <v>31</v>
      </c>
      <c r="E2590" s="14">
        <v>0.2</v>
      </c>
      <c r="F2590" s="15">
        <f t="shared" si="464"/>
        <v>19</v>
      </c>
      <c r="G2590" s="12">
        <f t="shared" si="463"/>
        <v>3.8</v>
      </c>
    </row>
    <row r="2591" ht="15.0" customHeight="1">
      <c r="A2591" s="11"/>
      <c r="B2591" s="11"/>
      <c r="C2591" s="11"/>
      <c r="D2591" s="10" t="s">
        <v>22</v>
      </c>
      <c r="E2591" s="14">
        <v>1.0</v>
      </c>
      <c r="F2591" s="15">
        <f>ROUND((G2588+G2589+G2590),3)</f>
        <v>43.8</v>
      </c>
      <c r="G2591" s="12">
        <f t="shared" si="463"/>
        <v>43.8</v>
      </c>
    </row>
    <row r="2592" ht="15.0" customHeight="1">
      <c r="A2592" s="10" t="s">
        <v>32</v>
      </c>
      <c r="B2592" s="10"/>
      <c r="C2592" s="10" t="s">
        <v>33</v>
      </c>
      <c r="D2592" s="10" t="s">
        <v>34</v>
      </c>
      <c r="E2592" s="14">
        <v>3.0</v>
      </c>
      <c r="F2592" s="15">
        <f>ROUND(43.8,3)</f>
        <v>43.8</v>
      </c>
      <c r="G2592" s="12">
        <f>ROUND((E2592*F2592)/100,2)</f>
        <v>1.31</v>
      </c>
    </row>
    <row r="2593" ht="15.0" customHeight="1">
      <c r="A2593" s="16"/>
      <c r="B2593" s="16"/>
      <c r="C2593" s="16"/>
      <c r="D2593" s="17" t="s">
        <v>1173</v>
      </c>
      <c r="E2593" s="16"/>
      <c r="F2593" s="18">
        <f>ROUND((G2584+G2585+G2586+G2587+G2592)*(1+G2/100),2)</f>
        <v>63.71</v>
      </c>
      <c r="G2593" s="16"/>
    </row>
    <row r="2594" ht="15.0" customHeight="1">
      <c r="A2594" s="19" t="s">
        <v>1183</v>
      </c>
      <c r="B2594" s="20" t="s">
        <v>18</v>
      </c>
      <c r="C2594" s="20" t="s">
        <v>537</v>
      </c>
      <c r="D2594" s="20" t="s">
        <v>1184</v>
      </c>
      <c r="E2594" s="21"/>
      <c r="F2594" s="22">
        <f>F2597</f>
        <v>0.05</v>
      </c>
      <c r="G2594" s="21"/>
    </row>
    <row r="2595" ht="39.75" customHeight="1">
      <c r="A2595" s="11"/>
      <c r="B2595" s="11"/>
      <c r="C2595" s="11"/>
      <c r="D2595" s="10" t="s">
        <v>1185</v>
      </c>
    </row>
    <row r="2596" ht="24.0" customHeight="1">
      <c r="A2596" s="10" t="s">
        <v>1186</v>
      </c>
      <c r="B2596" s="10" t="s">
        <v>26</v>
      </c>
      <c r="C2596" s="10" t="s">
        <v>23</v>
      </c>
      <c r="D2596" s="10" t="s">
        <v>1187</v>
      </c>
      <c r="E2596" s="14">
        <v>0.001</v>
      </c>
      <c r="F2596" s="15">
        <f>ROUND(49.5,3)</f>
        <v>49.5</v>
      </c>
      <c r="G2596" s="12">
        <f>ROUND(E2596*F2596,2)</f>
        <v>0.05</v>
      </c>
    </row>
    <row r="2597" ht="15.0" customHeight="1">
      <c r="A2597" s="16"/>
      <c r="B2597" s="16"/>
      <c r="C2597" s="16"/>
      <c r="D2597" s="17" t="s">
        <v>1183</v>
      </c>
      <c r="E2597" s="16"/>
      <c r="F2597" s="18">
        <f>ROUND((G2596)*(1+G2/100),2)</f>
        <v>0.05</v>
      </c>
      <c r="G2597" s="16"/>
    </row>
    <row r="2598" ht="15.0" customHeight="1">
      <c r="A2598" s="23"/>
      <c r="B2598" s="23"/>
      <c r="C2598" s="23"/>
      <c r="D2598" s="36" t="s">
        <v>1171</v>
      </c>
      <c r="E2598" s="37"/>
      <c r="F2598" s="37"/>
      <c r="G2598" s="37"/>
    </row>
    <row r="2599" ht="15.0" customHeight="1">
      <c r="A2599" s="38" t="s">
        <v>1188</v>
      </c>
      <c r="B2599" s="38" t="s">
        <v>10</v>
      </c>
      <c r="C2599" s="39"/>
      <c r="D2599" s="38" t="s">
        <v>1189</v>
      </c>
      <c r="E2599" s="39"/>
      <c r="F2599" s="39"/>
      <c r="G2599" s="39"/>
    </row>
    <row r="2600" ht="21.0" customHeight="1">
      <c r="A2600" s="13" t="s">
        <v>1190</v>
      </c>
      <c r="B2600" s="10" t="s">
        <v>18</v>
      </c>
      <c r="C2600" s="10" t="s">
        <v>858</v>
      </c>
      <c r="D2600" s="10" t="s">
        <v>1191</v>
      </c>
      <c r="E2600" s="11"/>
      <c r="F2600" s="12">
        <f>F2607</f>
        <v>232.98</v>
      </c>
      <c r="G2600" s="11"/>
    </row>
    <row r="2601" ht="12.0" customHeight="1">
      <c r="A2601" s="11"/>
      <c r="B2601" s="11"/>
      <c r="C2601" s="11"/>
      <c r="D2601" s="10" t="s">
        <v>1191</v>
      </c>
    </row>
    <row r="2602" ht="15.0" customHeight="1">
      <c r="A2602" s="10" t="s">
        <v>1192</v>
      </c>
      <c r="B2602" s="10" t="s">
        <v>42</v>
      </c>
      <c r="C2602" s="10" t="s">
        <v>1181</v>
      </c>
      <c r="D2602" s="10" t="s">
        <v>1193</v>
      </c>
      <c r="E2602" s="14">
        <v>1.05</v>
      </c>
      <c r="F2602" s="15">
        <f>ROUND(108,3)</f>
        <v>108</v>
      </c>
      <c r="G2602" s="12">
        <f t="shared" ref="G2602:G2606" si="465">ROUND(E2602*F2602,2)</f>
        <v>113.4</v>
      </c>
    </row>
    <row r="2603" ht="21.0" customHeight="1">
      <c r="A2603" s="10" t="s">
        <v>1194</v>
      </c>
      <c r="B2603" s="10" t="s">
        <v>112</v>
      </c>
      <c r="C2603" s="10" t="s">
        <v>304</v>
      </c>
      <c r="D2603" s="10" t="s">
        <v>1195</v>
      </c>
      <c r="E2603" s="14">
        <v>0.143</v>
      </c>
      <c r="F2603" s="15">
        <f>ROUND(480,3)</f>
        <v>480</v>
      </c>
      <c r="G2603" s="12">
        <f t="shared" si="465"/>
        <v>68.64</v>
      </c>
    </row>
    <row r="2604" ht="21.0" customHeight="1">
      <c r="A2604" s="10" t="s">
        <v>1196</v>
      </c>
      <c r="B2604" s="10" t="s">
        <v>112</v>
      </c>
      <c r="C2604" s="10" t="s">
        <v>304</v>
      </c>
      <c r="D2604" s="10" t="s">
        <v>1197</v>
      </c>
      <c r="E2604" s="14">
        <v>0.143</v>
      </c>
      <c r="F2604" s="15">
        <f>ROUND(150,3)</f>
        <v>150</v>
      </c>
      <c r="G2604" s="12">
        <f t="shared" si="465"/>
        <v>21.45</v>
      </c>
    </row>
    <row r="2605" ht="21.0" customHeight="1">
      <c r="A2605" s="10" t="s">
        <v>1198</v>
      </c>
      <c r="B2605" s="10" t="s">
        <v>42</v>
      </c>
      <c r="C2605" s="10" t="s">
        <v>304</v>
      </c>
      <c r="D2605" s="10" t="s">
        <v>1199</v>
      </c>
      <c r="E2605" s="14">
        <v>0.143</v>
      </c>
      <c r="F2605" s="15">
        <f>ROUND(85,3)</f>
        <v>85</v>
      </c>
      <c r="G2605" s="12">
        <f t="shared" si="465"/>
        <v>12.16</v>
      </c>
    </row>
    <row r="2606" ht="24.0" customHeight="1">
      <c r="A2606" s="10" t="s">
        <v>1186</v>
      </c>
      <c r="B2606" s="10" t="s">
        <v>26</v>
      </c>
      <c r="C2606" s="10" t="s">
        <v>23</v>
      </c>
      <c r="D2606" s="10" t="s">
        <v>1187</v>
      </c>
      <c r="E2606" s="14">
        <v>0.35</v>
      </c>
      <c r="F2606" s="15">
        <f>ROUND(49.5,3)</f>
        <v>49.5</v>
      </c>
      <c r="G2606" s="12">
        <f t="shared" si="465"/>
        <v>17.33</v>
      </c>
    </row>
    <row r="2607" ht="15.0" customHeight="1">
      <c r="A2607" s="16"/>
      <c r="B2607" s="16"/>
      <c r="C2607" s="16"/>
      <c r="D2607" s="17" t="s">
        <v>1190</v>
      </c>
      <c r="E2607" s="16"/>
      <c r="F2607" s="18">
        <f>ROUND((G2602+G2603+G2604+G2605+G2606)*(1+G2/100),2)</f>
        <v>232.98</v>
      </c>
      <c r="G2607" s="16"/>
    </row>
    <row r="2608" ht="30.0" customHeight="1">
      <c r="A2608" s="19" t="s">
        <v>1200</v>
      </c>
      <c r="B2608" s="20" t="s">
        <v>18</v>
      </c>
      <c r="C2608" s="20" t="s">
        <v>1201</v>
      </c>
      <c r="D2608" s="20" t="s">
        <v>1202</v>
      </c>
      <c r="E2608" s="21"/>
      <c r="F2608" s="22">
        <f>F2614</f>
        <v>3.32</v>
      </c>
      <c r="G2608" s="21"/>
    </row>
    <row r="2609" ht="21.0" customHeight="1">
      <c r="A2609" s="11"/>
      <c r="B2609" s="11"/>
      <c r="C2609" s="11"/>
      <c r="D2609" s="10" t="s">
        <v>1203</v>
      </c>
    </row>
    <row r="2610" ht="21.0" customHeight="1">
      <c r="A2610" s="10" t="s">
        <v>1204</v>
      </c>
      <c r="B2610" s="10" t="s">
        <v>42</v>
      </c>
      <c r="C2610" s="10" t="s">
        <v>344</v>
      </c>
      <c r="D2610" s="10" t="s">
        <v>1205</v>
      </c>
      <c r="E2610" s="14">
        <v>1.0</v>
      </c>
      <c r="F2610" s="15">
        <f>ROUND(2.29,3)</f>
        <v>2.29</v>
      </c>
      <c r="G2610" s="12">
        <f t="shared" ref="G2610:G2613" si="466">ROUND(E2610*F2610,2)</f>
        <v>2.29</v>
      </c>
    </row>
    <row r="2611" ht="21.0" customHeight="1">
      <c r="A2611" s="10" t="s">
        <v>1206</v>
      </c>
      <c r="B2611" s="10" t="s">
        <v>42</v>
      </c>
      <c r="C2611" s="10" t="s">
        <v>1207</v>
      </c>
      <c r="D2611" s="10" t="s">
        <v>1208</v>
      </c>
      <c r="E2611" s="14">
        <v>0.01</v>
      </c>
      <c r="F2611" s="15">
        <f>ROUND(2.44,3)</f>
        <v>2.44</v>
      </c>
      <c r="G2611" s="12">
        <f t="shared" si="466"/>
        <v>0.02</v>
      </c>
    </row>
    <row r="2612" ht="30.0" customHeight="1">
      <c r="A2612" s="10" t="s">
        <v>1209</v>
      </c>
      <c r="B2612" s="10" t="s">
        <v>42</v>
      </c>
      <c r="C2612" s="10" t="s">
        <v>304</v>
      </c>
      <c r="D2612" s="10" t="s">
        <v>1210</v>
      </c>
      <c r="E2612" s="14">
        <v>0.1</v>
      </c>
      <c r="F2612" s="15">
        <f>ROUND(0.16,3)</f>
        <v>0.16</v>
      </c>
      <c r="G2612" s="12">
        <f t="shared" si="466"/>
        <v>0.02</v>
      </c>
    </row>
    <row r="2613" ht="24.0" customHeight="1">
      <c r="A2613" s="10" t="s">
        <v>1186</v>
      </c>
      <c r="B2613" s="10" t="s">
        <v>26</v>
      </c>
      <c r="C2613" s="10" t="s">
        <v>23</v>
      </c>
      <c r="D2613" s="10" t="s">
        <v>1187</v>
      </c>
      <c r="E2613" s="14">
        <v>0.02</v>
      </c>
      <c r="F2613" s="15">
        <f>ROUND(49.5,3)</f>
        <v>49.5</v>
      </c>
      <c r="G2613" s="12">
        <f t="shared" si="466"/>
        <v>0.99</v>
      </c>
    </row>
    <row r="2614" ht="15.0" customHeight="1">
      <c r="A2614" s="16"/>
      <c r="B2614" s="16"/>
      <c r="C2614" s="16"/>
      <c r="D2614" s="17" t="s">
        <v>1200</v>
      </c>
      <c r="E2614" s="16"/>
      <c r="F2614" s="18">
        <f>ROUND((G2610+G2611+G2612+G2613)*(1+G2/100),2)</f>
        <v>3.32</v>
      </c>
      <c r="G2614" s="16"/>
    </row>
    <row r="2615" ht="21.0" customHeight="1">
      <c r="A2615" s="19" t="s">
        <v>1211</v>
      </c>
      <c r="B2615" s="20" t="s">
        <v>18</v>
      </c>
      <c r="C2615" s="20" t="s">
        <v>251</v>
      </c>
      <c r="D2615" s="20" t="s">
        <v>1212</v>
      </c>
      <c r="E2615" s="21"/>
      <c r="F2615" s="22">
        <f>F2619</f>
        <v>0</v>
      </c>
      <c r="G2615" s="21"/>
    </row>
    <row r="2616" ht="21.0" customHeight="1">
      <c r="A2616" s="11"/>
      <c r="B2616" s="11"/>
      <c r="C2616" s="11"/>
      <c r="D2616" s="10" t="s">
        <v>1213</v>
      </c>
    </row>
    <row r="2617" ht="24.0" customHeight="1">
      <c r="A2617" s="10" t="s">
        <v>1214</v>
      </c>
      <c r="B2617" s="10" t="s">
        <v>26</v>
      </c>
      <c r="C2617" s="10" t="s">
        <v>23</v>
      </c>
      <c r="D2617" s="10" t="s">
        <v>1215</v>
      </c>
      <c r="E2617" s="14">
        <v>0.0</v>
      </c>
      <c r="F2617" s="15">
        <f>ROUND(15,3)</f>
        <v>15</v>
      </c>
      <c r="G2617" s="12">
        <f t="shared" ref="G2617:G2618" si="467">ROUND(E2617*F2617,2)</f>
        <v>0</v>
      </c>
    </row>
    <row r="2618" ht="30.0" customHeight="1">
      <c r="A2618" s="10" t="s">
        <v>1216</v>
      </c>
      <c r="B2618" s="10" t="s">
        <v>42</v>
      </c>
      <c r="C2618" s="10" t="s">
        <v>304</v>
      </c>
      <c r="D2618" s="10" t="s">
        <v>1217</v>
      </c>
      <c r="E2618" s="14">
        <v>0.0</v>
      </c>
      <c r="F2618" s="15">
        <f>ROUND(1.43,3)</f>
        <v>1.43</v>
      </c>
      <c r="G2618" s="12">
        <f t="shared" si="467"/>
        <v>0</v>
      </c>
    </row>
    <row r="2619" ht="15.0" customHeight="1">
      <c r="A2619" s="16"/>
      <c r="B2619" s="16"/>
      <c r="C2619" s="16"/>
      <c r="D2619" s="17" t="s">
        <v>1211</v>
      </c>
      <c r="E2619" s="16"/>
      <c r="F2619" s="18">
        <f>ROUND((G2617+G2618)*(1+G2/100),2)</f>
        <v>0</v>
      </c>
      <c r="G2619" s="16"/>
    </row>
    <row r="2620" ht="15.0" customHeight="1">
      <c r="A2620" s="23"/>
      <c r="B2620" s="23"/>
      <c r="C2620" s="23"/>
      <c r="D2620" s="36" t="s">
        <v>1188</v>
      </c>
      <c r="E2620" s="37"/>
      <c r="F2620" s="37"/>
      <c r="G2620" s="37"/>
    </row>
    <row r="2621" ht="15.0" customHeight="1">
      <c r="A2621" s="38" t="s">
        <v>1218</v>
      </c>
      <c r="B2621" s="38" t="s">
        <v>10</v>
      </c>
      <c r="C2621" s="39"/>
      <c r="D2621" s="38" t="s">
        <v>1219</v>
      </c>
      <c r="E2621" s="39"/>
      <c r="F2621" s="39"/>
      <c r="G2621" s="39"/>
    </row>
    <row r="2622" ht="15.0" customHeight="1">
      <c r="A2622" s="40" t="s">
        <v>1220</v>
      </c>
      <c r="B2622" s="40" t="s">
        <v>10</v>
      </c>
      <c r="C2622" s="41"/>
      <c r="D2622" s="40" t="s">
        <v>1221</v>
      </c>
      <c r="E2622" s="41"/>
      <c r="F2622" s="41"/>
      <c r="G2622" s="41"/>
    </row>
    <row r="2623" ht="30.0" customHeight="1">
      <c r="A2623" s="13" t="s">
        <v>1222</v>
      </c>
      <c r="B2623" s="10" t="s">
        <v>18</v>
      </c>
      <c r="C2623" s="10" t="s">
        <v>537</v>
      </c>
      <c r="D2623" s="10" t="s">
        <v>1223</v>
      </c>
      <c r="E2623" s="11"/>
      <c r="F2623" s="12">
        <f>F2637</f>
        <v>62.8</v>
      </c>
      <c r="G2623" s="11"/>
    </row>
    <row r="2624" ht="95.25" customHeight="1">
      <c r="A2624" s="11"/>
      <c r="B2624" s="11"/>
      <c r="C2624" s="11"/>
      <c r="D2624" s="10" t="s">
        <v>1224</v>
      </c>
    </row>
    <row r="2625" ht="24.0" customHeight="1">
      <c r="A2625" s="10" t="s">
        <v>1053</v>
      </c>
      <c r="B2625" s="10" t="s">
        <v>42</v>
      </c>
      <c r="C2625" s="10" t="s">
        <v>43</v>
      </c>
      <c r="D2625" s="10" t="s">
        <v>1054</v>
      </c>
      <c r="E2625" s="14">
        <v>0.035</v>
      </c>
      <c r="F2625" s="15">
        <f>ROUND(4.63,3)</f>
        <v>4.63</v>
      </c>
      <c r="G2625" s="12">
        <f t="shared" ref="G2625:G2635" si="468">ROUND(E2625*F2625,2)</f>
        <v>0.16</v>
      </c>
    </row>
    <row r="2626" ht="30.0" customHeight="1">
      <c r="A2626" s="10" t="s">
        <v>1225</v>
      </c>
      <c r="B2626" s="10" t="s">
        <v>42</v>
      </c>
      <c r="C2626" s="10" t="s">
        <v>184</v>
      </c>
      <c r="D2626" s="10" t="s">
        <v>1226</v>
      </c>
      <c r="E2626" s="14">
        <v>1.0</v>
      </c>
      <c r="F2626" s="15">
        <f>ROUND(17.45,3)</f>
        <v>17.45</v>
      </c>
      <c r="G2626" s="12">
        <f t="shared" si="468"/>
        <v>17.45</v>
      </c>
    </row>
    <row r="2627" ht="30.0" customHeight="1">
      <c r="A2627" s="10" t="s">
        <v>1227</v>
      </c>
      <c r="B2627" s="10" t="s">
        <v>42</v>
      </c>
      <c r="C2627" s="10" t="s">
        <v>226</v>
      </c>
      <c r="D2627" s="10" t="s">
        <v>1228</v>
      </c>
      <c r="E2627" s="14">
        <v>0.022</v>
      </c>
      <c r="F2627" s="15">
        <f>ROUND(27.5,3)</f>
        <v>27.5</v>
      </c>
      <c r="G2627" s="12">
        <f t="shared" si="468"/>
        <v>0.61</v>
      </c>
    </row>
    <row r="2628" ht="30.0" customHeight="1">
      <c r="A2628" s="10" t="s">
        <v>233</v>
      </c>
      <c r="B2628" s="10" t="s">
        <v>42</v>
      </c>
      <c r="C2628" s="10" t="s">
        <v>231</v>
      </c>
      <c r="D2628" s="10" t="s">
        <v>234</v>
      </c>
      <c r="E2628" s="14">
        <v>0.1</v>
      </c>
      <c r="F2628" s="15">
        <f>ROUND(23.46,3)</f>
        <v>23.46</v>
      </c>
      <c r="G2628" s="12">
        <f t="shared" si="468"/>
        <v>2.35</v>
      </c>
    </row>
    <row r="2629" ht="30.0" customHeight="1">
      <c r="A2629" s="10" t="s">
        <v>1229</v>
      </c>
      <c r="B2629" s="10" t="s">
        <v>42</v>
      </c>
      <c r="C2629" s="10" t="s">
        <v>231</v>
      </c>
      <c r="D2629" s="10" t="s">
        <v>1230</v>
      </c>
      <c r="E2629" s="14">
        <v>0.08</v>
      </c>
      <c r="F2629" s="15">
        <f>ROUND(21.5,3)</f>
        <v>21.5</v>
      </c>
      <c r="G2629" s="12">
        <f t="shared" si="468"/>
        <v>1.72</v>
      </c>
    </row>
    <row r="2630" ht="30.0" customHeight="1">
      <c r="A2630" s="10" t="s">
        <v>1006</v>
      </c>
      <c r="B2630" s="10" t="s">
        <v>42</v>
      </c>
      <c r="C2630" s="10" t="s">
        <v>184</v>
      </c>
      <c r="D2630" s="10" t="s">
        <v>1007</v>
      </c>
      <c r="E2630" s="14">
        <v>0.05</v>
      </c>
      <c r="F2630" s="15">
        <f>ROUND(16.81,3)</f>
        <v>16.81</v>
      </c>
      <c r="G2630" s="12">
        <f t="shared" si="468"/>
        <v>0.84</v>
      </c>
    </row>
    <row r="2631" ht="21.0" customHeight="1">
      <c r="A2631" s="10" t="s">
        <v>22</v>
      </c>
      <c r="B2631" s="10" t="s">
        <v>18</v>
      </c>
      <c r="C2631" s="10" t="s">
        <v>23</v>
      </c>
      <c r="D2631" s="10" t="s">
        <v>24</v>
      </c>
      <c r="E2631" s="14">
        <v>0.888</v>
      </c>
      <c r="F2631" s="15">
        <f>F2635</f>
        <v>43.8</v>
      </c>
      <c r="G2631" s="12">
        <f t="shared" si="468"/>
        <v>38.89</v>
      </c>
    </row>
    <row r="2632" ht="24.0" customHeight="1">
      <c r="A2632" s="10" t="s">
        <v>25</v>
      </c>
      <c r="B2632" s="10" t="s">
        <v>26</v>
      </c>
      <c r="C2632" s="10" t="s">
        <v>23</v>
      </c>
      <c r="D2632" s="10" t="s">
        <v>27</v>
      </c>
      <c r="E2632" s="14">
        <v>1.0</v>
      </c>
      <c r="F2632" s="15">
        <f>ROUND(21,3)</f>
        <v>21</v>
      </c>
      <c r="G2632" s="12">
        <f t="shared" si="468"/>
        <v>21</v>
      </c>
    </row>
    <row r="2633" ht="24.0" customHeight="1">
      <c r="A2633" s="10" t="s">
        <v>28</v>
      </c>
      <c r="B2633" s="10" t="s">
        <v>26</v>
      </c>
      <c r="C2633" s="10" t="s">
        <v>23</v>
      </c>
      <c r="D2633" s="10" t="s">
        <v>29</v>
      </c>
      <c r="E2633" s="14">
        <v>1.0</v>
      </c>
      <c r="F2633" s="15">
        <f t="shared" ref="F2633:F2634" si="469">ROUND(19,3)</f>
        <v>19</v>
      </c>
      <c r="G2633" s="12">
        <f t="shared" si="468"/>
        <v>19</v>
      </c>
    </row>
    <row r="2634" ht="24.0" customHeight="1">
      <c r="A2634" s="10" t="s">
        <v>30</v>
      </c>
      <c r="B2634" s="10" t="s">
        <v>26</v>
      </c>
      <c r="C2634" s="10" t="s">
        <v>23</v>
      </c>
      <c r="D2634" s="10" t="s">
        <v>31</v>
      </c>
      <c r="E2634" s="14">
        <v>0.2</v>
      </c>
      <c r="F2634" s="15">
        <f t="shared" si="469"/>
        <v>19</v>
      </c>
      <c r="G2634" s="12">
        <f t="shared" si="468"/>
        <v>3.8</v>
      </c>
    </row>
    <row r="2635" ht="15.0" customHeight="1">
      <c r="A2635" s="11"/>
      <c r="B2635" s="11"/>
      <c r="C2635" s="11"/>
      <c r="D2635" s="10" t="s">
        <v>22</v>
      </c>
      <c r="E2635" s="14">
        <v>0.888</v>
      </c>
      <c r="F2635" s="15">
        <f>ROUND((G2632+G2633+G2634),3)</f>
        <v>43.8</v>
      </c>
      <c r="G2635" s="12">
        <f t="shared" si="468"/>
        <v>38.89</v>
      </c>
    </row>
    <row r="2636" ht="15.0" customHeight="1">
      <c r="A2636" s="10" t="s">
        <v>32</v>
      </c>
      <c r="B2636" s="10"/>
      <c r="C2636" s="10" t="s">
        <v>33</v>
      </c>
      <c r="D2636" s="10" t="s">
        <v>34</v>
      </c>
      <c r="E2636" s="14">
        <v>2.0</v>
      </c>
      <c r="F2636" s="15">
        <f>ROUND(38.89,3)</f>
        <v>38.89</v>
      </c>
      <c r="G2636" s="12">
        <f>ROUND((E2636*F2636)/100,2)</f>
        <v>0.78</v>
      </c>
    </row>
    <row r="2637" ht="15.0" customHeight="1">
      <c r="A2637" s="16"/>
      <c r="B2637" s="16"/>
      <c r="C2637" s="16"/>
      <c r="D2637" s="17" t="s">
        <v>1222</v>
      </c>
      <c r="E2637" s="16"/>
      <c r="F2637" s="18">
        <f>ROUND((G2625+G2626+G2627+G2628+G2629+G2630+G2631+G2636)*(1+G2/100),2)</f>
        <v>62.8</v>
      </c>
      <c r="G2637" s="16"/>
    </row>
    <row r="2638" ht="39.75" customHeight="1">
      <c r="A2638" s="19" t="s">
        <v>1231</v>
      </c>
      <c r="B2638" s="20" t="s">
        <v>18</v>
      </c>
      <c r="C2638" s="20" t="s">
        <v>537</v>
      </c>
      <c r="D2638" s="20" t="s">
        <v>1232</v>
      </c>
      <c r="E2638" s="21"/>
      <c r="F2638" s="22">
        <f>F2652</f>
        <v>93.82</v>
      </c>
      <c r="G2638" s="21"/>
    </row>
    <row r="2639" ht="95.25" customHeight="1">
      <c r="A2639" s="11"/>
      <c r="B2639" s="11"/>
      <c r="C2639" s="11"/>
      <c r="D2639" s="10" t="s">
        <v>1233</v>
      </c>
    </row>
    <row r="2640" ht="24.0" customHeight="1">
      <c r="A2640" s="10" t="s">
        <v>1053</v>
      </c>
      <c r="B2640" s="10" t="s">
        <v>42</v>
      </c>
      <c r="C2640" s="10" t="s">
        <v>43</v>
      </c>
      <c r="D2640" s="10" t="s">
        <v>1054</v>
      </c>
      <c r="E2640" s="14">
        <v>0.035</v>
      </c>
      <c r="F2640" s="15">
        <f>ROUND(4.63,3)</f>
        <v>4.63</v>
      </c>
      <c r="G2640" s="12">
        <f t="shared" ref="G2640:G2650" si="470">ROUND(E2640*F2640,2)</f>
        <v>0.16</v>
      </c>
    </row>
    <row r="2641" ht="30.0" customHeight="1">
      <c r="A2641" s="10" t="s">
        <v>1225</v>
      </c>
      <c r="B2641" s="10" t="s">
        <v>42</v>
      </c>
      <c r="C2641" s="10" t="s">
        <v>184</v>
      </c>
      <c r="D2641" s="10" t="s">
        <v>1226</v>
      </c>
      <c r="E2641" s="14">
        <v>1.0</v>
      </c>
      <c r="F2641" s="15">
        <f>ROUND(17.45,3)</f>
        <v>17.45</v>
      </c>
      <c r="G2641" s="12">
        <f t="shared" si="470"/>
        <v>17.45</v>
      </c>
    </row>
    <row r="2642" ht="30.0" customHeight="1">
      <c r="A2642" s="10" t="s">
        <v>1227</v>
      </c>
      <c r="B2642" s="10" t="s">
        <v>42</v>
      </c>
      <c r="C2642" s="10" t="s">
        <v>226</v>
      </c>
      <c r="D2642" s="10" t="s">
        <v>1228</v>
      </c>
      <c r="E2642" s="14">
        <v>0.022</v>
      </c>
      <c r="F2642" s="15">
        <f>ROUND(27.5,3)</f>
        <v>27.5</v>
      </c>
      <c r="G2642" s="12">
        <f t="shared" si="470"/>
        <v>0.61</v>
      </c>
    </row>
    <row r="2643" ht="30.0" customHeight="1">
      <c r="A2643" s="10" t="s">
        <v>233</v>
      </c>
      <c r="B2643" s="10" t="s">
        <v>42</v>
      </c>
      <c r="C2643" s="10" t="s">
        <v>231</v>
      </c>
      <c r="D2643" s="10" t="s">
        <v>234</v>
      </c>
      <c r="E2643" s="14">
        <v>0.1</v>
      </c>
      <c r="F2643" s="15">
        <f>ROUND(23.46,3)</f>
        <v>23.46</v>
      </c>
      <c r="G2643" s="12">
        <f t="shared" si="470"/>
        <v>2.35</v>
      </c>
    </row>
    <row r="2644" ht="30.0" customHeight="1">
      <c r="A2644" s="10" t="s">
        <v>1229</v>
      </c>
      <c r="B2644" s="10" t="s">
        <v>42</v>
      </c>
      <c r="C2644" s="10" t="s">
        <v>231</v>
      </c>
      <c r="D2644" s="10" t="s">
        <v>1230</v>
      </c>
      <c r="E2644" s="14">
        <v>0.08</v>
      </c>
      <c r="F2644" s="15">
        <f>ROUND(21.5,3)</f>
        <v>21.5</v>
      </c>
      <c r="G2644" s="12">
        <f t="shared" si="470"/>
        <v>1.72</v>
      </c>
    </row>
    <row r="2645" ht="30.0" customHeight="1">
      <c r="A2645" s="10" t="s">
        <v>1006</v>
      </c>
      <c r="B2645" s="10" t="s">
        <v>42</v>
      </c>
      <c r="C2645" s="10" t="s">
        <v>184</v>
      </c>
      <c r="D2645" s="10" t="s">
        <v>1007</v>
      </c>
      <c r="E2645" s="14">
        <v>0.05</v>
      </c>
      <c r="F2645" s="15">
        <f>ROUND(16.81,3)</f>
        <v>16.81</v>
      </c>
      <c r="G2645" s="12">
        <f t="shared" si="470"/>
        <v>0.84</v>
      </c>
    </row>
    <row r="2646" ht="24.0" customHeight="1">
      <c r="A2646" s="10" t="s">
        <v>286</v>
      </c>
      <c r="B2646" s="10" t="s">
        <v>18</v>
      </c>
      <c r="C2646" s="10" t="s">
        <v>23</v>
      </c>
      <c r="D2646" s="10" t="s">
        <v>287</v>
      </c>
      <c r="E2646" s="14">
        <v>1.4</v>
      </c>
      <c r="F2646" s="15">
        <f>F2650</f>
        <v>49.5</v>
      </c>
      <c r="G2646" s="12">
        <f t="shared" si="470"/>
        <v>69.3</v>
      </c>
    </row>
    <row r="2647" ht="24.0" customHeight="1">
      <c r="A2647" s="10" t="s">
        <v>288</v>
      </c>
      <c r="B2647" s="10" t="s">
        <v>26</v>
      </c>
      <c r="C2647" s="10" t="s">
        <v>23</v>
      </c>
      <c r="D2647" s="10" t="s">
        <v>289</v>
      </c>
      <c r="E2647" s="14">
        <v>1.0</v>
      </c>
      <c r="F2647" s="15">
        <f>ROUND(21,3)</f>
        <v>21</v>
      </c>
      <c r="G2647" s="12">
        <f t="shared" si="470"/>
        <v>21</v>
      </c>
    </row>
    <row r="2648" ht="24.0" customHeight="1">
      <c r="A2648" s="10" t="s">
        <v>290</v>
      </c>
      <c r="B2648" s="10" t="s">
        <v>26</v>
      </c>
      <c r="C2648" s="10" t="s">
        <v>23</v>
      </c>
      <c r="D2648" s="10" t="s">
        <v>291</v>
      </c>
      <c r="E2648" s="14">
        <v>1.0</v>
      </c>
      <c r="F2648" s="15">
        <f t="shared" ref="F2648:F2649" si="471">ROUND(19,3)</f>
        <v>19</v>
      </c>
      <c r="G2648" s="12">
        <f t="shared" si="470"/>
        <v>19</v>
      </c>
    </row>
    <row r="2649" ht="24.0" customHeight="1">
      <c r="A2649" s="10" t="s">
        <v>292</v>
      </c>
      <c r="B2649" s="10" t="s">
        <v>26</v>
      </c>
      <c r="C2649" s="10" t="s">
        <v>23</v>
      </c>
      <c r="D2649" s="10" t="s">
        <v>293</v>
      </c>
      <c r="E2649" s="14">
        <v>0.5</v>
      </c>
      <c r="F2649" s="15">
        <f t="shared" si="471"/>
        <v>19</v>
      </c>
      <c r="G2649" s="12">
        <f t="shared" si="470"/>
        <v>9.5</v>
      </c>
    </row>
    <row r="2650" ht="15.0" customHeight="1">
      <c r="A2650" s="11"/>
      <c r="B2650" s="11"/>
      <c r="C2650" s="11"/>
      <c r="D2650" s="10" t="s">
        <v>286</v>
      </c>
      <c r="E2650" s="14">
        <v>1.4</v>
      </c>
      <c r="F2650" s="15">
        <f>ROUND((G2647+G2648+G2649),3)</f>
        <v>49.5</v>
      </c>
      <c r="G2650" s="12">
        <f t="shared" si="470"/>
        <v>69.3</v>
      </c>
    </row>
    <row r="2651" ht="15.0" customHeight="1">
      <c r="A2651" s="10" t="s">
        <v>32</v>
      </c>
      <c r="B2651" s="10"/>
      <c r="C2651" s="10" t="s">
        <v>33</v>
      </c>
      <c r="D2651" s="10" t="s">
        <v>34</v>
      </c>
      <c r="E2651" s="14">
        <v>2.0</v>
      </c>
      <c r="F2651" s="15">
        <f>ROUND(69.3,3)</f>
        <v>69.3</v>
      </c>
      <c r="G2651" s="12">
        <f>ROUND((E2651*F2651)/100,2)</f>
        <v>1.39</v>
      </c>
    </row>
    <row r="2652" ht="15.0" customHeight="1">
      <c r="A2652" s="16"/>
      <c r="B2652" s="16"/>
      <c r="C2652" s="16"/>
      <c r="D2652" s="17" t="s">
        <v>1231</v>
      </c>
      <c r="E2652" s="16"/>
      <c r="F2652" s="18">
        <f>ROUND((G2640+G2641+G2642+G2643+G2644+G2645+G2646+G2651)*(1+G2/100),2)</f>
        <v>93.82</v>
      </c>
      <c r="G2652" s="16"/>
    </row>
    <row r="2653" ht="39.75" customHeight="1">
      <c r="A2653" s="19" t="s">
        <v>1234</v>
      </c>
      <c r="B2653" s="20" t="s">
        <v>18</v>
      </c>
      <c r="C2653" s="20" t="s">
        <v>537</v>
      </c>
      <c r="D2653" s="20" t="s">
        <v>1235</v>
      </c>
      <c r="E2653" s="21"/>
      <c r="F2653" s="22">
        <f>F2667</f>
        <v>72.27</v>
      </c>
      <c r="G2653" s="21"/>
    </row>
    <row r="2654" ht="57.75" customHeight="1">
      <c r="A2654" s="11"/>
      <c r="B2654" s="11"/>
      <c r="C2654" s="11"/>
      <c r="D2654" s="10" t="s">
        <v>1236</v>
      </c>
    </row>
    <row r="2655" ht="30.0" customHeight="1">
      <c r="A2655" s="10" t="s">
        <v>1237</v>
      </c>
      <c r="B2655" s="10" t="s">
        <v>42</v>
      </c>
      <c r="C2655" s="10" t="s">
        <v>184</v>
      </c>
      <c r="D2655" s="10" t="s">
        <v>1238</v>
      </c>
      <c r="E2655" s="14">
        <v>0.8</v>
      </c>
      <c r="F2655" s="15">
        <f>ROUND(28.55,3)</f>
        <v>28.55</v>
      </c>
      <c r="G2655" s="12">
        <f t="shared" ref="G2655:G2665" si="472">ROUND(E2655*F2655,2)</f>
        <v>22.84</v>
      </c>
    </row>
    <row r="2656" ht="30.0" customHeight="1">
      <c r="A2656" s="10" t="s">
        <v>1227</v>
      </c>
      <c r="B2656" s="10" t="s">
        <v>42</v>
      </c>
      <c r="C2656" s="10" t="s">
        <v>226</v>
      </c>
      <c r="D2656" s="10" t="s">
        <v>1228</v>
      </c>
      <c r="E2656" s="14">
        <v>0.022</v>
      </c>
      <c r="F2656" s="15">
        <f>ROUND(27.5,3)</f>
        <v>27.5</v>
      </c>
      <c r="G2656" s="12">
        <f t="shared" si="472"/>
        <v>0.61</v>
      </c>
    </row>
    <row r="2657" ht="21.0" customHeight="1">
      <c r="A2657" s="10" t="s">
        <v>1239</v>
      </c>
      <c r="B2657" s="10" t="s">
        <v>42</v>
      </c>
      <c r="C2657" s="10" t="s">
        <v>344</v>
      </c>
      <c r="D2657" s="10" t="s">
        <v>1240</v>
      </c>
      <c r="E2657" s="14">
        <v>1.0</v>
      </c>
      <c r="F2657" s="15">
        <f>ROUND(3.54,3)</f>
        <v>3.54</v>
      </c>
      <c r="G2657" s="12">
        <f t="shared" si="472"/>
        <v>3.54</v>
      </c>
    </row>
    <row r="2658" ht="30.0" customHeight="1">
      <c r="A2658" s="10" t="s">
        <v>233</v>
      </c>
      <c r="B2658" s="10" t="s">
        <v>42</v>
      </c>
      <c r="C2658" s="10" t="s">
        <v>231</v>
      </c>
      <c r="D2658" s="10" t="s">
        <v>234</v>
      </c>
      <c r="E2658" s="14">
        <v>0.13</v>
      </c>
      <c r="F2658" s="15">
        <f>ROUND(23.46,3)</f>
        <v>23.46</v>
      </c>
      <c r="G2658" s="12">
        <f t="shared" si="472"/>
        <v>3.05</v>
      </c>
    </row>
    <row r="2659" ht="30.0" customHeight="1">
      <c r="A2659" s="10" t="s">
        <v>1229</v>
      </c>
      <c r="B2659" s="10" t="s">
        <v>42</v>
      </c>
      <c r="C2659" s="10" t="s">
        <v>231</v>
      </c>
      <c r="D2659" s="10" t="s">
        <v>1230</v>
      </c>
      <c r="E2659" s="14">
        <v>0.08</v>
      </c>
      <c r="F2659" s="15">
        <f>ROUND(21.5,3)</f>
        <v>21.5</v>
      </c>
      <c r="G2659" s="12">
        <f t="shared" si="472"/>
        <v>1.72</v>
      </c>
    </row>
    <row r="2660" ht="30.0" customHeight="1">
      <c r="A2660" s="10" t="s">
        <v>1006</v>
      </c>
      <c r="B2660" s="10" t="s">
        <v>42</v>
      </c>
      <c r="C2660" s="10" t="s">
        <v>184</v>
      </c>
      <c r="D2660" s="10" t="s">
        <v>1007</v>
      </c>
      <c r="E2660" s="14">
        <v>0.05</v>
      </c>
      <c r="F2660" s="15">
        <f>ROUND(16.81,3)</f>
        <v>16.81</v>
      </c>
      <c r="G2660" s="12">
        <f t="shared" si="472"/>
        <v>0.84</v>
      </c>
    </row>
    <row r="2661" ht="21.0" customHeight="1">
      <c r="A2661" s="10" t="s">
        <v>22</v>
      </c>
      <c r="B2661" s="10" t="s">
        <v>18</v>
      </c>
      <c r="C2661" s="10" t="s">
        <v>23</v>
      </c>
      <c r="D2661" s="10" t="s">
        <v>24</v>
      </c>
      <c r="E2661" s="14">
        <v>0.888</v>
      </c>
      <c r="F2661" s="15">
        <f>F2665</f>
        <v>43.8</v>
      </c>
      <c r="G2661" s="12">
        <f t="shared" si="472"/>
        <v>38.89</v>
      </c>
    </row>
    <row r="2662" ht="24.0" customHeight="1">
      <c r="A2662" s="10" t="s">
        <v>25</v>
      </c>
      <c r="B2662" s="10" t="s">
        <v>26</v>
      </c>
      <c r="C2662" s="10" t="s">
        <v>23</v>
      </c>
      <c r="D2662" s="10" t="s">
        <v>27</v>
      </c>
      <c r="E2662" s="14">
        <v>1.0</v>
      </c>
      <c r="F2662" s="15">
        <f>ROUND(21,3)</f>
        <v>21</v>
      </c>
      <c r="G2662" s="12">
        <f t="shared" si="472"/>
        <v>21</v>
      </c>
    </row>
    <row r="2663" ht="24.0" customHeight="1">
      <c r="A2663" s="10" t="s">
        <v>28</v>
      </c>
      <c r="B2663" s="10" t="s">
        <v>26</v>
      </c>
      <c r="C2663" s="10" t="s">
        <v>23</v>
      </c>
      <c r="D2663" s="10" t="s">
        <v>29</v>
      </c>
      <c r="E2663" s="14">
        <v>1.0</v>
      </c>
      <c r="F2663" s="15">
        <f t="shared" ref="F2663:F2664" si="473">ROUND(19,3)</f>
        <v>19</v>
      </c>
      <c r="G2663" s="12">
        <f t="shared" si="472"/>
        <v>19</v>
      </c>
    </row>
    <row r="2664" ht="24.0" customHeight="1">
      <c r="A2664" s="10" t="s">
        <v>30</v>
      </c>
      <c r="B2664" s="10" t="s">
        <v>26</v>
      </c>
      <c r="C2664" s="10" t="s">
        <v>23</v>
      </c>
      <c r="D2664" s="10" t="s">
        <v>31</v>
      </c>
      <c r="E2664" s="14">
        <v>0.2</v>
      </c>
      <c r="F2664" s="15">
        <f t="shared" si="473"/>
        <v>19</v>
      </c>
      <c r="G2664" s="12">
        <f t="shared" si="472"/>
        <v>3.8</v>
      </c>
    </row>
    <row r="2665" ht="15.0" customHeight="1">
      <c r="A2665" s="11"/>
      <c r="B2665" s="11"/>
      <c r="C2665" s="11"/>
      <c r="D2665" s="10" t="s">
        <v>22</v>
      </c>
      <c r="E2665" s="14">
        <v>0.888</v>
      </c>
      <c r="F2665" s="15">
        <f>ROUND((G2662+G2663+G2664),3)</f>
        <v>43.8</v>
      </c>
      <c r="G2665" s="12">
        <f t="shared" si="472"/>
        <v>38.89</v>
      </c>
    </row>
    <row r="2666" ht="15.0" customHeight="1">
      <c r="A2666" s="10" t="s">
        <v>32</v>
      </c>
      <c r="B2666" s="10"/>
      <c r="C2666" s="10" t="s">
        <v>33</v>
      </c>
      <c r="D2666" s="10" t="s">
        <v>34</v>
      </c>
      <c r="E2666" s="14">
        <v>2.0</v>
      </c>
      <c r="F2666" s="15">
        <f>ROUND(38.89,3)</f>
        <v>38.89</v>
      </c>
      <c r="G2666" s="12">
        <f>ROUND((E2666*F2666)/100,2)</f>
        <v>0.78</v>
      </c>
    </row>
    <row r="2667" ht="15.0" customHeight="1">
      <c r="A2667" s="16"/>
      <c r="B2667" s="16"/>
      <c r="C2667" s="16"/>
      <c r="D2667" s="17" t="s">
        <v>1234</v>
      </c>
      <c r="E2667" s="16"/>
      <c r="F2667" s="18">
        <f>ROUND((G2655+G2656+G2657+G2658+G2659+G2660+G2661+G2666)*(1+G2/100),2)</f>
        <v>72.27</v>
      </c>
      <c r="G2667" s="16"/>
    </row>
    <row r="2668" ht="30.0" customHeight="1">
      <c r="A2668" s="19" t="s">
        <v>1241</v>
      </c>
      <c r="B2668" s="20" t="s">
        <v>18</v>
      </c>
      <c r="C2668" s="20" t="s">
        <v>537</v>
      </c>
      <c r="D2668" s="20" t="s">
        <v>1242</v>
      </c>
      <c r="E2668" s="21"/>
      <c r="F2668" s="22">
        <f>F2684</f>
        <v>112.18</v>
      </c>
      <c r="G2668" s="21"/>
    </row>
    <row r="2669" ht="95.25" customHeight="1">
      <c r="A2669" s="11"/>
      <c r="B2669" s="11"/>
      <c r="C2669" s="11"/>
      <c r="D2669" s="10" t="s">
        <v>1243</v>
      </c>
    </row>
    <row r="2670" ht="24.0" customHeight="1">
      <c r="A2670" s="10" t="s">
        <v>1053</v>
      </c>
      <c r="B2670" s="10" t="s">
        <v>42</v>
      </c>
      <c r="C2670" s="10" t="s">
        <v>43</v>
      </c>
      <c r="D2670" s="10" t="s">
        <v>1054</v>
      </c>
      <c r="E2670" s="14">
        <v>0.035</v>
      </c>
      <c r="F2670" s="15">
        <f>ROUND(4.63,3)</f>
        <v>4.63</v>
      </c>
      <c r="G2670" s="12">
        <f t="shared" ref="G2670:G2682" si="474">ROUND(E2670*F2670,2)</f>
        <v>0.16</v>
      </c>
    </row>
    <row r="2671" ht="30.0" customHeight="1">
      <c r="A2671" s="10" t="s">
        <v>1225</v>
      </c>
      <c r="B2671" s="10" t="s">
        <v>42</v>
      </c>
      <c r="C2671" s="10" t="s">
        <v>184</v>
      </c>
      <c r="D2671" s="10" t="s">
        <v>1226</v>
      </c>
      <c r="E2671" s="14">
        <v>1.95</v>
      </c>
      <c r="F2671" s="15">
        <f>ROUND(17.45,3)</f>
        <v>17.45</v>
      </c>
      <c r="G2671" s="12">
        <f t="shared" si="474"/>
        <v>34.03</v>
      </c>
    </row>
    <row r="2672" ht="30.0" customHeight="1">
      <c r="A2672" s="10" t="s">
        <v>1227</v>
      </c>
      <c r="B2672" s="10" t="s">
        <v>42</v>
      </c>
      <c r="C2672" s="10" t="s">
        <v>226</v>
      </c>
      <c r="D2672" s="10" t="s">
        <v>1228</v>
      </c>
      <c r="E2672" s="14">
        <v>0.022</v>
      </c>
      <c r="F2672" s="15">
        <f>ROUND(27.5,3)</f>
        <v>27.5</v>
      </c>
      <c r="G2672" s="12">
        <f t="shared" si="474"/>
        <v>0.61</v>
      </c>
    </row>
    <row r="2673" ht="21.0" customHeight="1">
      <c r="A2673" s="10" t="s">
        <v>1239</v>
      </c>
      <c r="B2673" s="10" t="s">
        <v>42</v>
      </c>
      <c r="C2673" s="10" t="s">
        <v>344</v>
      </c>
      <c r="D2673" s="10" t="s">
        <v>1240</v>
      </c>
      <c r="E2673" s="14">
        <v>1.0</v>
      </c>
      <c r="F2673" s="15">
        <f>ROUND(3.54,3)</f>
        <v>3.54</v>
      </c>
      <c r="G2673" s="12">
        <f t="shared" si="474"/>
        <v>3.54</v>
      </c>
    </row>
    <row r="2674" ht="30.0" customHeight="1">
      <c r="A2674" s="10" t="s">
        <v>1244</v>
      </c>
      <c r="B2674" s="10" t="s">
        <v>42</v>
      </c>
      <c r="C2674" s="10" t="s">
        <v>1245</v>
      </c>
      <c r="D2674" s="10" t="s">
        <v>1246</v>
      </c>
      <c r="E2674" s="14">
        <v>0.8</v>
      </c>
      <c r="F2674" s="15">
        <f>ROUND(12.31,3)</f>
        <v>12.31</v>
      </c>
      <c r="G2674" s="12">
        <f t="shared" si="474"/>
        <v>9.85</v>
      </c>
    </row>
    <row r="2675" ht="30.0" customHeight="1">
      <c r="A2675" s="10" t="s">
        <v>233</v>
      </c>
      <c r="B2675" s="10" t="s">
        <v>42</v>
      </c>
      <c r="C2675" s="10" t="s">
        <v>231</v>
      </c>
      <c r="D2675" s="10" t="s">
        <v>234</v>
      </c>
      <c r="E2675" s="14">
        <v>0.14286</v>
      </c>
      <c r="F2675" s="15">
        <f>ROUND(23.46,3)</f>
        <v>23.46</v>
      </c>
      <c r="G2675" s="12">
        <f t="shared" si="474"/>
        <v>3.35</v>
      </c>
    </row>
    <row r="2676" ht="30.0" customHeight="1">
      <c r="A2676" s="10" t="s">
        <v>1229</v>
      </c>
      <c r="B2676" s="10" t="s">
        <v>42</v>
      </c>
      <c r="C2676" s="10" t="s">
        <v>231</v>
      </c>
      <c r="D2676" s="10" t="s">
        <v>1230</v>
      </c>
      <c r="E2676" s="14">
        <v>0.08</v>
      </c>
      <c r="F2676" s="15">
        <f>ROUND(21.5,3)</f>
        <v>21.5</v>
      </c>
      <c r="G2676" s="12">
        <f t="shared" si="474"/>
        <v>1.72</v>
      </c>
    </row>
    <row r="2677" ht="30.0" customHeight="1">
      <c r="A2677" s="10" t="s">
        <v>1006</v>
      </c>
      <c r="B2677" s="10" t="s">
        <v>42</v>
      </c>
      <c r="C2677" s="10" t="s">
        <v>184</v>
      </c>
      <c r="D2677" s="10" t="s">
        <v>1007</v>
      </c>
      <c r="E2677" s="14">
        <v>0.05</v>
      </c>
      <c r="F2677" s="15">
        <f>ROUND(16.81,3)</f>
        <v>16.81</v>
      </c>
      <c r="G2677" s="12">
        <f t="shared" si="474"/>
        <v>0.84</v>
      </c>
    </row>
    <row r="2678" ht="21.0" customHeight="1">
      <c r="A2678" s="10" t="s">
        <v>22</v>
      </c>
      <c r="B2678" s="10" t="s">
        <v>18</v>
      </c>
      <c r="C2678" s="10" t="s">
        <v>23</v>
      </c>
      <c r="D2678" s="10" t="s">
        <v>24</v>
      </c>
      <c r="E2678" s="14">
        <v>1.3</v>
      </c>
      <c r="F2678" s="15">
        <f>F2682</f>
        <v>43.8</v>
      </c>
      <c r="G2678" s="12">
        <f t="shared" si="474"/>
        <v>56.94</v>
      </c>
    </row>
    <row r="2679" ht="24.0" customHeight="1">
      <c r="A2679" s="10" t="s">
        <v>25</v>
      </c>
      <c r="B2679" s="10" t="s">
        <v>26</v>
      </c>
      <c r="C2679" s="10" t="s">
        <v>23</v>
      </c>
      <c r="D2679" s="10" t="s">
        <v>27</v>
      </c>
      <c r="E2679" s="14">
        <v>1.0</v>
      </c>
      <c r="F2679" s="15">
        <f>ROUND(21,3)</f>
        <v>21</v>
      </c>
      <c r="G2679" s="12">
        <f t="shared" si="474"/>
        <v>21</v>
      </c>
    </row>
    <row r="2680" ht="24.0" customHeight="1">
      <c r="A2680" s="10" t="s">
        <v>28</v>
      </c>
      <c r="B2680" s="10" t="s">
        <v>26</v>
      </c>
      <c r="C2680" s="10" t="s">
        <v>23</v>
      </c>
      <c r="D2680" s="10" t="s">
        <v>29</v>
      </c>
      <c r="E2680" s="14">
        <v>1.0</v>
      </c>
      <c r="F2680" s="15">
        <f t="shared" ref="F2680:F2681" si="475">ROUND(19,3)</f>
        <v>19</v>
      </c>
      <c r="G2680" s="12">
        <f t="shared" si="474"/>
        <v>19</v>
      </c>
    </row>
    <row r="2681" ht="24.0" customHeight="1">
      <c r="A2681" s="10" t="s">
        <v>30</v>
      </c>
      <c r="B2681" s="10" t="s">
        <v>26</v>
      </c>
      <c r="C2681" s="10" t="s">
        <v>23</v>
      </c>
      <c r="D2681" s="10" t="s">
        <v>31</v>
      </c>
      <c r="E2681" s="14">
        <v>0.2</v>
      </c>
      <c r="F2681" s="15">
        <f t="shared" si="475"/>
        <v>19</v>
      </c>
      <c r="G2681" s="12">
        <f t="shared" si="474"/>
        <v>3.8</v>
      </c>
    </row>
    <row r="2682" ht="15.0" customHeight="1">
      <c r="A2682" s="11"/>
      <c r="B2682" s="11"/>
      <c r="C2682" s="11"/>
      <c r="D2682" s="10" t="s">
        <v>22</v>
      </c>
      <c r="E2682" s="14">
        <v>1.3</v>
      </c>
      <c r="F2682" s="15">
        <f>ROUND((G2679+G2680+G2681),3)</f>
        <v>43.8</v>
      </c>
      <c r="G2682" s="12">
        <f t="shared" si="474"/>
        <v>56.94</v>
      </c>
    </row>
    <row r="2683" ht="15.0" customHeight="1">
      <c r="A2683" s="10" t="s">
        <v>32</v>
      </c>
      <c r="B2683" s="10"/>
      <c r="C2683" s="10" t="s">
        <v>33</v>
      </c>
      <c r="D2683" s="10" t="s">
        <v>34</v>
      </c>
      <c r="E2683" s="14">
        <v>2.0</v>
      </c>
      <c r="F2683" s="15">
        <f>ROUND(56.94,3)</f>
        <v>56.94</v>
      </c>
      <c r="G2683" s="12">
        <f>ROUND((E2683*F2683)/100,2)</f>
        <v>1.14</v>
      </c>
    </row>
    <row r="2684" ht="15.0" customHeight="1">
      <c r="A2684" s="16"/>
      <c r="B2684" s="16"/>
      <c r="C2684" s="16"/>
      <c r="D2684" s="17" t="s">
        <v>1241</v>
      </c>
      <c r="E2684" s="16"/>
      <c r="F2684" s="18">
        <f>ROUND((G2670+G2671+G2672+G2673+G2674+G2675+G2676+G2677+G2678+G2683)*(1+G2/100),2)</f>
        <v>112.18</v>
      </c>
      <c r="G2684" s="16"/>
    </row>
    <row r="2685" ht="39.75" customHeight="1">
      <c r="A2685" s="19" t="s">
        <v>1247</v>
      </c>
      <c r="B2685" s="20" t="s">
        <v>18</v>
      </c>
      <c r="C2685" s="20" t="s">
        <v>537</v>
      </c>
      <c r="D2685" s="20" t="s">
        <v>1248</v>
      </c>
      <c r="E2685" s="21"/>
      <c r="F2685" s="22">
        <f>F2701</f>
        <v>153.53</v>
      </c>
      <c r="G2685" s="21"/>
    </row>
    <row r="2686" ht="95.25" customHeight="1">
      <c r="A2686" s="11"/>
      <c r="B2686" s="11"/>
      <c r="C2686" s="11"/>
      <c r="D2686" s="10" t="s">
        <v>1249</v>
      </c>
    </row>
    <row r="2687" ht="24.0" customHeight="1">
      <c r="A2687" s="10" t="s">
        <v>1053</v>
      </c>
      <c r="B2687" s="10" t="s">
        <v>42</v>
      </c>
      <c r="C2687" s="10" t="s">
        <v>43</v>
      </c>
      <c r="D2687" s="10" t="s">
        <v>1054</v>
      </c>
      <c r="E2687" s="14">
        <v>0.035</v>
      </c>
      <c r="F2687" s="15">
        <f>ROUND(4.63,3)</f>
        <v>4.63</v>
      </c>
      <c r="G2687" s="12">
        <f t="shared" ref="G2687:G2699" si="476">ROUND(E2687*F2687,2)</f>
        <v>0.16</v>
      </c>
    </row>
    <row r="2688" ht="30.0" customHeight="1">
      <c r="A2688" s="10" t="s">
        <v>1225</v>
      </c>
      <c r="B2688" s="10" t="s">
        <v>42</v>
      </c>
      <c r="C2688" s="10" t="s">
        <v>184</v>
      </c>
      <c r="D2688" s="10" t="s">
        <v>1226</v>
      </c>
      <c r="E2688" s="14">
        <v>1.95</v>
      </c>
      <c r="F2688" s="15">
        <f>ROUND(17.45,3)</f>
        <v>17.45</v>
      </c>
      <c r="G2688" s="12">
        <f t="shared" si="476"/>
        <v>34.03</v>
      </c>
    </row>
    <row r="2689" ht="30.0" customHeight="1">
      <c r="A2689" s="10" t="s">
        <v>1227</v>
      </c>
      <c r="B2689" s="10" t="s">
        <v>42</v>
      </c>
      <c r="C2689" s="10" t="s">
        <v>226</v>
      </c>
      <c r="D2689" s="10" t="s">
        <v>1228</v>
      </c>
      <c r="E2689" s="14">
        <v>0.022</v>
      </c>
      <c r="F2689" s="15">
        <f>ROUND(27.5,3)</f>
        <v>27.5</v>
      </c>
      <c r="G2689" s="12">
        <f t="shared" si="476"/>
        <v>0.61</v>
      </c>
    </row>
    <row r="2690" ht="21.0" customHeight="1">
      <c r="A2690" s="10" t="s">
        <v>1239</v>
      </c>
      <c r="B2690" s="10" t="s">
        <v>42</v>
      </c>
      <c r="C2690" s="10" t="s">
        <v>344</v>
      </c>
      <c r="D2690" s="10" t="s">
        <v>1240</v>
      </c>
      <c r="E2690" s="14">
        <v>1.0</v>
      </c>
      <c r="F2690" s="15">
        <f>ROUND(3.54,3)</f>
        <v>3.54</v>
      </c>
      <c r="G2690" s="12">
        <f t="shared" si="476"/>
        <v>3.54</v>
      </c>
    </row>
    <row r="2691" ht="30.0" customHeight="1">
      <c r="A2691" s="10" t="s">
        <v>1244</v>
      </c>
      <c r="B2691" s="10" t="s">
        <v>42</v>
      </c>
      <c r="C2691" s="10" t="s">
        <v>1245</v>
      </c>
      <c r="D2691" s="10" t="s">
        <v>1246</v>
      </c>
      <c r="E2691" s="14">
        <v>0.8</v>
      </c>
      <c r="F2691" s="15">
        <f>ROUND(12.31,3)</f>
        <v>12.31</v>
      </c>
      <c r="G2691" s="12">
        <f t="shared" si="476"/>
        <v>9.85</v>
      </c>
    </row>
    <row r="2692" ht="30.0" customHeight="1">
      <c r="A2692" s="10" t="s">
        <v>233</v>
      </c>
      <c r="B2692" s="10" t="s">
        <v>42</v>
      </c>
      <c r="C2692" s="10" t="s">
        <v>231</v>
      </c>
      <c r="D2692" s="10" t="s">
        <v>234</v>
      </c>
      <c r="E2692" s="14">
        <v>0.14286</v>
      </c>
      <c r="F2692" s="15">
        <f>ROUND(23.46,3)</f>
        <v>23.46</v>
      </c>
      <c r="G2692" s="12">
        <f t="shared" si="476"/>
        <v>3.35</v>
      </c>
    </row>
    <row r="2693" ht="30.0" customHeight="1">
      <c r="A2693" s="10" t="s">
        <v>1229</v>
      </c>
      <c r="B2693" s="10" t="s">
        <v>42</v>
      </c>
      <c r="C2693" s="10" t="s">
        <v>231</v>
      </c>
      <c r="D2693" s="10" t="s">
        <v>1230</v>
      </c>
      <c r="E2693" s="14">
        <v>0.08</v>
      </c>
      <c r="F2693" s="15">
        <f>ROUND(21.5,3)</f>
        <v>21.5</v>
      </c>
      <c r="G2693" s="12">
        <f t="shared" si="476"/>
        <v>1.72</v>
      </c>
    </row>
    <row r="2694" ht="30.0" customHeight="1">
      <c r="A2694" s="10" t="s">
        <v>1006</v>
      </c>
      <c r="B2694" s="10" t="s">
        <v>42</v>
      </c>
      <c r="C2694" s="10" t="s">
        <v>184</v>
      </c>
      <c r="D2694" s="10" t="s">
        <v>1007</v>
      </c>
      <c r="E2694" s="14">
        <v>0.05</v>
      </c>
      <c r="F2694" s="15">
        <f>ROUND(16.81,3)</f>
        <v>16.81</v>
      </c>
      <c r="G2694" s="12">
        <f t="shared" si="476"/>
        <v>0.84</v>
      </c>
    </row>
    <row r="2695" ht="24.0" customHeight="1">
      <c r="A2695" s="10" t="s">
        <v>286</v>
      </c>
      <c r="B2695" s="10" t="s">
        <v>18</v>
      </c>
      <c r="C2695" s="10" t="s">
        <v>23</v>
      </c>
      <c r="D2695" s="10" t="s">
        <v>287</v>
      </c>
      <c r="E2695" s="14">
        <v>1.95</v>
      </c>
      <c r="F2695" s="15">
        <f>F2699</f>
        <v>49.5</v>
      </c>
      <c r="G2695" s="12">
        <f t="shared" si="476"/>
        <v>96.53</v>
      </c>
    </row>
    <row r="2696" ht="24.0" customHeight="1">
      <c r="A2696" s="10" t="s">
        <v>288</v>
      </c>
      <c r="B2696" s="10" t="s">
        <v>26</v>
      </c>
      <c r="C2696" s="10" t="s">
        <v>23</v>
      </c>
      <c r="D2696" s="10" t="s">
        <v>289</v>
      </c>
      <c r="E2696" s="14">
        <v>1.0</v>
      </c>
      <c r="F2696" s="15">
        <f>ROUND(21,3)</f>
        <v>21</v>
      </c>
      <c r="G2696" s="12">
        <f t="shared" si="476"/>
        <v>21</v>
      </c>
    </row>
    <row r="2697" ht="24.0" customHeight="1">
      <c r="A2697" s="10" t="s">
        <v>290</v>
      </c>
      <c r="B2697" s="10" t="s">
        <v>26</v>
      </c>
      <c r="C2697" s="10" t="s">
        <v>23</v>
      </c>
      <c r="D2697" s="10" t="s">
        <v>291</v>
      </c>
      <c r="E2697" s="14">
        <v>1.0</v>
      </c>
      <c r="F2697" s="15">
        <f t="shared" ref="F2697:F2698" si="477">ROUND(19,3)</f>
        <v>19</v>
      </c>
      <c r="G2697" s="12">
        <f t="shared" si="476"/>
        <v>19</v>
      </c>
    </row>
    <row r="2698" ht="24.0" customHeight="1">
      <c r="A2698" s="10" t="s">
        <v>292</v>
      </c>
      <c r="B2698" s="10" t="s">
        <v>26</v>
      </c>
      <c r="C2698" s="10" t="s">
        <v>23</v>
      </c>
      <c r="D2698" s="10" t="s">
        <v>293</v>
      </c>
      <c r="E2698" s="14">
        <v>0.5</v>
      </c>
      <c r="F2698" s="15">
        <f t="shared" si="477"/>
        <v>19</v>
      </c>
      <c r="G2698" s="12">
        <f t="shared" si="476"/>
        <v>9.5</v>
      </c>
    </row>
    <row r="2699" ht="15.0" customHeight="1">
      <c r="A2699" s="11"/>
      <c r="B2699" s="11"/>
      <c r="C2699" s="11"/>
      <c r="D2699" s="10" t="s">
        <v>286</v>
      </c>
      <c r="E2699" s="14">
        <v>1.95</v>
      </c>
      <c r="F2699" s="15">
        <f>ROUND((G2696+G2697+G2698),3)</f>
        <v>49.5</v>
      </c>
      <c r="G2699" s="12">
        <f t="shared" si="476"/>
        <v>96.53</v>
      </c>
    </row>
    <row r="2700" ht="15.0" customHeight="1">
      <c r="A2700" s="10" t="s">
        <v>32</v>
      </c>
      <c r="B2700" s="10"/>
      <c r="C2700" s="10" t="s">
        <v>33</v>
      </c>
      <c r="D2700" s="10" t="s">
        <v>34</v>
      </c>
      <c r="E2700" s="14">
        <v>3.0</v>
      </c>
      <c r="F2700" s="15">
        <f>ROUND(96.53,3)</f>
        <v>96.53</v>
      </c>
      <c r="G2700" s="12">
        <f>ROUND((E2700*F2700)/100,2)</f>
        <v>2.9</v>
      </c>
    </row>
    <row r="2701" ht="15.0" customHeight="1">
      <c r="A2701" s="16"/>
      <c r="B2701" s="16"/>
      <c r="C2701" s="16"/>
      <c r="D2701" s="17" t="s">
        <v>1247</v>
      </c>
      <c r="E2701" s="16"/>
      <c r="F2701" s="18">
        <f>ROUND((G2687+G2688+G2689+G2690+G2691+G2692+G2693+G2694+G2695+G2700)*(1+G2/100),2)</f>
        <v>153.53</v>
      </c>
      <c r="G2701" s="16"/>
    </row>
    <row r="2702" ht="21.0" customHeight="1">
      <c r="A2702" s="19" t="s">
        <v>1250</v>
      </c>
      <c r="B2702" s="20" t="s">
        <v>18</v>
      </c>
      <c r="C2702" s="20" t="s">
        <v>537</v>
      </c>
      <c r="D2702" s="20" t="s">
        <v>1251</v>
      </c>
      <c r="E2702" s="21"/>
      <c r="F2702" s="22">
        <f>F2711</f>
        <v>15.11</v>
      </c>
      <c r="G2702" s="21"/>
    </row>
    <row r="2703" ht="30.0" customHeight="1">
      <c r="A2703" s="11"/>
      <c r="B2703" s="11"/>
      <c r="C2703" s="11"/>
      <c r="D2703" s="10" t="s">
        <v>1252</v>
      </c>
    </row>
    <row r="2704" ht="30.0" customHeight="1">
      <c r="A2704" s="10" t="s">
        <v>748</v>
      </c>
      <c r="B2704" s="10" t="s">
        <v>112</v>
      </c>
      <c r="C2704" s="10" t="s">
        <v>23</v>
      </c>
      <c r="D2704" s="10" t="s">
        <v>749</v>
      </c>
      <c r="E2704" s="14">
        <v>0.1</v>
      </c>
      <c r="F2704" s="15">
        <f>ROUND(3.74,3)</f>
        <v>3.74</v>
      </c>
      <c r="G2704" s="12">
        <f t="shared" ref="G2704:G2709" si="478">ROUND(E2704*F2704,2)</f>
        <v>0.37</v>
      </c>
    </row>
    <row r="2705" ht="21.0" customHeight="1">
      <c r="A2705" s="10" t="s">
        <v>22</v>
      </c>
      <c r="B2705" s="10" t="s">
        <v>18</v>
      </c>
      <c r="C2705" s="10" t="s">
        <v>23</v>
      </c>
      <c r="D2705" s="10" t="s">
        <v>24</v>
      </c>
      <c r="E2705" s="14">
        <v>0.33</v>
      </c>
      <c r="F2705" s="15">
        <f>F2709</f>
        <v>43.8</v>
      </c>
      <c r="G2705" s="12">
        <f t="shared" si="478"/>
        <v>14.45</v>
      </c>
    </row>
    <row r="2706" ht="24.0" customHeight="1">
      <c r="A2706" s="10" t="s">
        <v>25</v>
      </c>
      <c r="B2706" s="10" t="s">
        <v>26</v>
      </c>
      <c r="C2706" s="10" t="s">
        <v>23</v>
      </c>
      <c r="D2706" s="10" t="s">
        <v>27</v>
      </c>
      <c r="E2706" s="14">
        <v>1.0</v>
      </c>
      <c r="F2706" s="15">
        <f>ROUND(21,3)</f>
        <v>21</v>
      </c>
      <c r="G2706" s="12">
        <f t="shared" si="478"/>
        <v>21</v>
      </c>
    </row>
    <row r="2707" ht="24.0" customHeight="1">
      <c r="A2707" s="10" t="s">
        <v>28</v>
      </c>
      <c r="B2707" s="10" t="s">
        <v>26</v>
      </c>
      <c r="C2707" s="10" t="s">
        <v>23</v>
      </c>
      <c r="D2707" s="10" t="s">
        <v>29</v>
      </c>
      <c r="E2707" s="14">
        <v>1.0</v>
      </c>
      <c r="F2707" s="15">
        <f t="shared" ref="F2707:F2708" si="479">ROUND(19,3)</f>
        <v>19</v>
      </c>
      <c r="G2707" s="12">
        <f t="shared" si="478"/>
        <v>19</v>
      </c>
    </row>
    <row r="2708" ht="24.0" customHeight="1">
      <c r="A2708" s="10" t="s">
        <v>30</v>
      </c>
      <c r="B2708" s="10" t="s">
        <v>26</v>
      </c>
      <c r="C2708" s="10" t="s">
        <v>23</v>
      </c>
      <c r="D2708" s="10" t="s">
        <v>31</v>
      </c>
      <c r="E2708" s="14">
        <v>0.2</v>
      </c>
      <c r="F2708" s="15">
        <f t="shared" si="479"/>
        <v>19</v>
      </c>
      <c r="G2708" s="12">
        <f t="shared" si="478"/>
        <v>3.8</v>
      </c>
    </row>
    <row r="2709" ht="15.0" customHeight="1">
      <c r="A2709" s="11"/>
      <c r="B2709" s="11"/>
      <c r="C2709" s="11"/>
      <c r="D2709" s="10" t="s">
        <v>22</v>
      </c>
      <c r="E2709" s="14">
        <v>0.33</v>
      </c>
      <c r="F2709" s="15">
        <f>ROUND((G2706+G2707+G2708),3)</f>
        <v>43.8</v>
      </c>
      <c r="G2709" s="12">
        <f t="shared" si="478"/>
        <v>14.45</v>
      </c>
    </row>
    <row r="2710" ht="15.0" customHeight="1">
      <c r="A2710" s="10" t="s">
        <v>32</v>
      </c>
      <c r="B2710" s="10"/>
      <c r="C2710" s="10" t="s">
        <v>33</v>
      </c>
      <c r="D2710" s="10" t="s">
        <v>34</v>
      </c>
      <c r="E2710" s="14">
        <v>2.0</v>
      </c>
      <c r="F2710" s="15">
        <f>ROUND(14.45,3)</f>
        <v>14.45</v>
      </c>
      <c r="G2710" s="12">
        <f>ROUND((E2710*F2710)/100,2)</f>
        <v>0.29</v>
      </c>
    </row>
    <row r="2711" ht="15.0" customHeight="1">
      <c r="A2711" s="16"/>
      <c r="B2711" s="16"/>
      <c r="C2711" s="16"/>
      <c r="D2711" s="17" t="s">
        <v>1250</v>
      </c>
      <c r="E2711" s="16"/>
      <c r="F2711" s="18">
        <f>ROUND((G2704+G2705+G2710)*(1+G2/100),2)</f>
        <v>15.11</v>
      </c>
      <c r="G2711" s="16"/>
    </row>
    <row r="2712" ht="30.0" customHeight="1">
      <c r="A2712" s="19" t="s">
        <v>1253</v>
      </c>
      <c r="B2712" s="20" t="s">
        <v>18</v>
      </c>
      <c r="C2712" s="20" t="s">
        <v>537</v>
      </c>
      <c r="D2712" s="20" t="s">
        <v>1254</v>
      </c>
      <c r="E2712" s="21"/>
      <c r="F2712" s="22">
        <f>F2721</f>
        <v>25.62</v>
      </c>
      <c r="G2712" s="21"/>
    </row>
    <row r="2713" ht="30.0" customHeight="1">
      <c r="A2713" s="11"/>
      <c r="B2713" s="11"/>
      <c r="C2713" s="11"/>
      <c r="D2713" s="10" t="s">
        <v>1255</v>
      </c>
    </row>
    <row r="2714" ht="30.0" customHeight="1">
      <c r="A2714" s="10" t="s">
        <v>748</v>
      </c>
      <c r="B2714" s="10" t="s">
        <v>112</v>
      </c>
      <c r="C2714" s="10" t="s">
        <v>23</v>
      </c>
      <c r="D2714" s="10" t="s">
        <v>749</v>
      </c>
      <c r="E2714" s="14">
        <v>0.1</v>
      </c>
      <c r="F2714" s="15">
        <f>ROUND(3.74,3)</f>
        <v>3.74</v>
      </c>
      <c r="G2714" s="12">
        <f t="shared" ref="G2714:G2719" si="480">ROUND(E2714*F2714,2)</f>
        <v>0.37</v>
      </c>
    </row>
    <row r="2715" ht="24.0" customHeight="1">
      <c r="A2715" s="10" t="s">
        <v>286</v>
      </c>
      <c r="B2715" s="10" t="s">
        <v>18</v>
      </c>
      <c r="C2715" s="10" t="s">
        <v>23</v>
      </c>
      <c r="D2715" s="10" t="s">
        <v>287</v>
      </c>
      <c r="E2715" s="14">
        <v>0.5</v>
      </c>
      <c r="F2715" s="15">
        <f>F2719</f>
        <v>49.5</v>
      </c>
      <c r="G2715" s="12">
        <f t="shared" si="480"/>
        <v>24.75</v>
      </c>
    </row>
    <row r="2716" ht="24.0" customHeight="1">
      <c r="A2716" s="10" t="s">
        <v>288</v>
      </c>
      <c r="B2716" s="10" t="s">
        <v>26</v>
      </c>
      <c r="C2716" s="10" t="s">
        <v>23</v>
      </c>
      <c r="D2716" s="10" t="s">
        <v>289</v>
      </c>
      <c r="E2716" s="14">
        <v>1.0</v>
      </c>
      <c r="F2716" s="15">
        <f>ROUND(21,3)</f>
        <v>21</v>
      </c>
      <c r="G2716" s="12">
        <f t="shared" si="480"/>
        <v>21</v>
      </c>
    </row>
    <row r="2717" ht="24.0" customHeight="1">
      <c r="A2717" s="10" t="s">
        <v>290</v>
      </c>
      <c r="B2717" s="10" t="s">
        <v>26</v>
      </c>
      <c r="C2717" s="10" t="s">
        <v>23</v>
      </c>
      <c r="D2717" s="10" t="s">
        <v>291</v>
      </c>
      <c r="E2717" s="14">
        <v>1.0</v>
      </c>
      <c r="F2717" s="15">
        <f t="shared" ref="F2717:F2718" si="481">ROUND(19,3)</f>
        <v>19</v>
      </c>
      <c r="G2717" s="12">
        <f t="shared" si="480"/>
        <v>19</v>
      </c>
    </row>
    <row r="2718" ht="24.0" customHeight="1">
      <c r="A2718" s="10" t="s">
        <v>292</v>
      </c>
      <c r="B2718" s="10" t="s">
        <v>26</v>
      </c>
      <c r="C2718" s="10" t="s">
        <v>23</v>
      </c>
      <c r="D2718" s="10" t="s">
        <v>293</v>
      </c>
      <c r="E2718" s="14">
        <v>0.5</v>
      </c>
      <c r="F2718" s="15">
        <f t="shared" si="481"/>
        <v>19</v>
      </c>
      <c r="G2718" s="12">
        <f t="shared" si="480"/>
        <v>9.5</v>
      </c>
    </row>
    <row r="2719" ht="15.0" customHeight="1">
      <c r="A2719" s="11"/>
      <c r="B2719" s="11"/>
      <c r="C2719" s="11"/>
      <c r="D2719" s="10" t="s">
        <v>286</v>
      </c>
      <c r="E2719" s="14">
        <v>0.5</v>
      </c>
      <c r="F2719" s="15">
        <f>ROUND((G2716+G2717+G2718),3)</f>
        <v>49.5</v>
      </c>
      <c r="G2719" s="12">
        <f t="shared" si="480"/>
        <v>24.75</v>
      </c>
    </row>
    <row r="2720" ht="15.0" customHeight="1">
      <c r="A2720" s="10" t="s">
        <v>32</v>
      </c>
      <c r="B2720" s="10"/>
      <c r="C2720" s="10" t="s">
        <v>33</v>
      </c>
      <c r="D2720" s="10" t="s">
        <v>34</v>
      </c>
      <c r="E2720" s="14">
        <v>2.0</v>
      </c>
      <c r="F2720" s="15">
        <f>ROUND(24.75,3)</f>
        <v>24.75</v>
      </c>
      <c r="G2720" s="12">
        <f>ROUND((E2720*F2720)/100,2)</f>
        <v>0.5</v>
      </c>
    </row>
    <row r="2721" ht="15.0" customHeight="1">
      <c r="A2721" s="16"/>
      <c r="B2721" s="16"/>
      <c r="C2721" s="16"/>
      <c r="D2721" s="17" t="s">
        <v>1253</v>
      </c>
      <c r="E2721" s="16"/>
      <c r="F2721" s="18">
        <f>ROUND((G2714+G2715+G2720)*(1+G2/100),2)</f>
        <v>25.62</v>
      </c>
      <c r="G2721" s="16"/>
    </row>
    <row r="2722" ht="21.0" customHeight="1">
      <c r="A2722" s="19" t="s">
        <v>1256</v>
      </c>
      <c r="B2722" s="20" t="s">
        <v>18</v>
      </c>
      <c r="C2722" s="20" t="s">
        <v>251</v>
      </c>
      <c r="D2722" s="20" t="s">
        <v>1257</v>
      </c>
      <c r="E2722" s="21"/>
      <c r="F2722" s="22">
        <f>F2732</f>
        <v>12.12</v>
      </c>
      <c r="G2722" s="21"/>
    </row>
    <row r="2723" ht="39.75" customHeight="1">
      <c r="A2723" s="11"/>
      <c r="B2723" s="11"/>
      <c r="C2723" s="11"/>
      <c r="D2723" s="10" t="s">
        <v>1258</v>
      </c>
    </row>
    <row r="2724" ht="30.0" customHeight="1">
      <c r="A2724" s="10" t="s">
        <v>1259</v>
      </c>
      <c r="B2724" s="10" t="s">
        <v>42</v>
      </c>
      <c r="C2724" s="10" t="s">
        <v>43</v>
      </c>
      <c r="D2724" s="10" t="s">
        <v>1260</v>
      </c>
      <c r="E2724" s="14">
        <v>0.01676</v>
      </c>
      <c r="F2724" s="15">
        <f>ROUND(18.44,3)</f>
        <v>18.44</v>
      </c>
      <c r="G2724" s="12">
        <f t="shared" ref="G2724:G2730" si="482">ROUND(E2724*F2724,2)</f>
        <v>0.31</v>
      </c>
    </row>
    <row r="2725" ht="30.0" customHeight="1">
      <c r="A2725" s="10" t="s">
        <v>1006</v>
      </c>
      <c r="B2725" s="10" t="s">
        <v>42</v>
      </c>
      <c r="C2725" s="10" t="s">
        <v>184</v>
      </c>
      <c r="D2725" s="10" t="s">
        <v>1007</v>
      </c>
      <c r="E2725" s="14">
        <v>0.3</v>
      </c>
      <c r="F2725" s="15">
        <f>ROUND(16.81,3)</f>
        <v>16.81</v>
      </c>
      <c r="G2725" s="12">
        <f t="shared" si="482"/>
        <v>5.04</v>
      </c>
    </row>
    <row r="2726" ht="21.0" customHeight="1">
      <c r="A2726" s="10" t="s">
        <v>22</v>
      </c>
      <c r="B2726" s="10" t="s">
        <v>18</v>
      </c>
      <c r="C2726" s="10" t="s">
        <v>23</v>
      </c>
      <c r="D2726" s="10" t="s">
        <v>24</v>
      </c>
      <c r="E2726" s="14">
        <v>0.15</v>
      </c>
      <c r="F2726" s="15">
        <f>F2730</f>
        <v>43.8</v>
      </c>
      <c r="G2726" s="12">
        <f t="shared" si="482"/>
        <v>6.57</v>
      </c>
    </row>
    <row r="2727" ht="24.0" customHeight="1">
      <c r="A2727" s="10" t="s">
        <v>25</v>
      </c>
      <c r="B2727" s="10" t="s">
        <v>26</v>
      </c>
      <c r="C2727" s="10" t="s">
        <v>23</v>
      </c>
      <c r="D2727" s="10" t="s">
        <v>27</v>
      </c>
      <c r="E2727" s="14">
        <v>1.0</v>
      </c>
      <c r="F2727" s="15">
        <f>ROUND(21,3)</f>
        <v>21</v>
      </c>
      <c r="G2727" s="12">
        <f t="shared" si="482"/>
        <v>21</v>
      </c>
    </row>
    <row r="2728" ht="24.0" customHeight="1">
      <c r="A2728" s="10" t="s">
        <v>28</v>
      </c>
      <c r="B2728" s="10" t="s">
        <v>26</v>
      </c>
      <c r="C2728" s="10" t="s">
        <v>23</v>
      </c>
      <c r="D2728" s="10" t="s">
        <v>29</v>
      </c>
      <c r="E2728" s="14">
        <v>1.0</v>
      </c>
      <c r="F2728" s="15">
        <f t="shared" ref="F2728:F2729" si="483">ROUND(19,3)</f>
        <v>19</v>
      </c>
      <c r="G2728" s="12">
        <f t="shared" si="482"/>
        <v>19</v>
      </c>
    </row>
    <row r="2729" ht="24.0" customHeight="1">
      <c r="A2729" s="10" t="s">
        <v>30</v>
      </c>
      <c r="B2729" s="10" t="s">
        <v>26</v>
      </c>
      <c r="C2729" s="10" t="s">
        <v>23</v>
      </c>
      <c r="D2729" s="10" t="s">
        <v>31</v>
      </c>
      <c r="E2729" s="14">
        <v>0.2</v>
      </c>
      <c r="F2729" s="15">
        <f t="shared" si="483"/>
        <v>19</v>
      </c>
      <c r="G2729" s="12">
        <f t="shared" si="482"/>
        <v>3.8</v>
      </c>
    </row>
    <row r="2730" ht="15.0" customHeight="1">
      <c r="A2730" s="11"/>
      <c r="B2730" s="11"/>
      <c r="C2730" s="11"/>
      <c r="D2730" s="10" t="s">
        <v>22</v>
      </c>
      <c r="E2730" s="14">
        <v>0.15</v>
      </c>
      <c r="F2730" s="15">
        <f>ROUND((G2727+G2728+G2729),3)</f>
        <v>43.8</v>
      </c>
      <c r="G2730" s="12">
        <f t="shared" si="482"/>
        <v>6.57</v>
      </c>
    </row>
    <row r="2731" ht="15.0" customHeight="1">
      <c r="A2731" s="10" t="s">
        <v>32</v>
      </c>
      <c r="B2731" s="10"/>
      <c r="C2731" s="10" t="s">
        <v>33</v>
      </c>
      <c r="D2731" s="10" t="s">
        <v>34</v>
      </c>
      <c r="E2731" s="14">
        <v>3.0</v>
      </c>
      <c r="F2731" s="15">
        <f>ROUND(6.57,3)</f>
        <v>6.57</v>
      </c>
      <c r="G2731" s="12">
        <f>ROUND((E2731*F2731)/100,2)</f>
        <v>0.2</v>
      </c>
    </row>
    <row r="2732" ht="15.0" customHeight="1">
      <c r="A2732" s="16"/>
      <c r="B2732" s="16"/>
      <c r="C2732" s="16"/>
      <c r="D2732" s="17" t="s">
        <v>1256</v>
      </c>
      <c r="E2732" s="16"/>
      <c r="F2732" s="18">
        <f>ROUND((G2724+G2725+G2726+G2731)*(1+G2/100),2)</f>
        <v>12.12</v>
      </c>
      <c r="G2732" s="16"/>
    </row>
    <row r="2733" ht="30.0" customHeight="1">
      <c r="A2733" s="19" t="s">
        <v>1261</v>
      </c>
      <c r="B2733" s="20" t="s">
        <v>18</v>
      </c>
      <c r="C2733" s="20" t="s">
        <v>251</v>
      </c>
      <c r="D2733" s="20" t="s">
        <v>1262</v>
      </c>
      <c r="E2733" s="21"/>
      <c r="F2733" s="22">
        <f>F2743</f>
        <v>16.82</v>
      </c>
      <c r="G2733" s="21"/>
    </row>
    <row r="2734" ht="48.75" customHeight="1">
      <c r="A2734" s="11"/>
      <c r="B2734" s="11"/>
      <c r="C2734" s="11"/>
      <c r="D2734" s="10" t="s">
        <v>1263</v>
      </c>
    </row>
    <row r="2735" ht="30.0" customHeight="1">
      <c r="A2735" s="10" t="s">
        <v>1259</v>
      </c>
      <c r="B2735" s="10" t="s">
        <v>42</v>
      </c>
      <c r="C2735" s="10" t="s">
        <v>43</v>
      </c>
      <c r="D2735" s="10" t="s">
        <v>1260</v>
      </c>
      <c r="E2735" s="14">
        <v>0.01676</v>
      </c>
      <c r="F2735" s="15">
        <f>ROUND(18.44,3)</f>
        <v>18.44</v>
      </c>
      <c r="G2735" s="12">
        <f t="shared" ref="G2735:G2741" si="484">ROUND(E2735*F2735,2)</f>
        <v>0.31</v>
      </c>
    </row>
    <row r="2736" ht="30.0" customHeight="1">
      <c r="A2736" s="10" t="s">
        <v>1006</v>
      </c>
      <c r="B2736" s="10" t="s">
        <v>42</v>
      </c>
      <c r="C2736" s="10" t="s">
        <v>184</v>
      </c>
      <c r="D2736" s="10" t="s">
        <v>1007</v>
      </c>
      <c r="E2736" s="14">
        <v>0.3</v>
      </c>
      <c r="F2736" s="15">
        <f>ROUND(16.81,3)</f>
        <v>16.81</v>
      </c>
      <c r="G2736" s="12">
        <f t="shared" si="484"/>
        <v>5.04</v>
      </c>
    </row>
    <row r="2737" ht="24.0" customHeight="1">
      <c r="A2737" s="10" t="s">
        <v>286</v>
      </c>
      <c r="B2737" s="10" t="s">
        <v>18</v>
      </c>
      <c r="C2737" s="10" t="s">
        <v>23</v>
      </c>
      <c r="D2737" s="10" t="s">
        <v>287</v>
      </c>
      <c r="E2737" s="14">
        <v>0.225</v>
      </c>
      <c r="F2737" s="15">
        <f>F2741</f>
        <v>49.5</v>
      </c>
      <c r="G2737" s="12">
        <f t="shared" si="484"/>
        <v>11.14</v>
      </c>
    </row>
    <row r="2738" ht="24.0" customHeight="1">
      <c r="A2738" s="10" t="s">
        <v>288</v>
      </c>
      <c r="B2738" s="10" t="s">
        <v>26</v>
      </c>
      <c r="C2738" s="10" t="s">
        <v>23</v>
      </c>
      <c r="D2738" s="10" t="s">
        <v>289</v>
      </c>
      <c r="E2738" s="14">
        <v>1.0</v>
      </c>
      <c r="F2738" s="15">
        <f>ROUND(21,3)</f>
        <v>21</v>
      </c>
      <c r="G2738" s="12">
        <f t="shared" si="484"/>
        <v>21</v>
      </c>
    </row>
    <row r="2739" ht="24.0" customHeight="1">
      <c r="A2739" s="10" t="s">
        <v>290</v>
      </c>
      <c r="B2739" s="10" t="s">
        <v>26</v>
      </c>
      <c r="C2739" s="10" t="s">
        <v>23</v>
      </c>
      <c r="D2739" s="10" t="s">
        <v>291</v>
      </c>
      <c r="E2739" s="14">
        <v>1.0</v>
      </c>
      <c r="F2739" s="15">
        <f t="shared" ref="F2739:F2740" si="485">ROUND(19,3)</f>
        <v>19</v>
      </c>
      <c r="G2739" s="12">
        <f t="shared" si="484"/>
        <v>19</v>
      </c>
    </row>
    <row r="2740" ht="24.0" customHeight="1">
      <c r="A2740" s="10" t="s">
        <v>292</v>
      </c>
      <c r="B2740" s="10" t="s">
        <v>26</v>
      </c>
      <c r="C2740" s="10" t="s">
        <v>23</v>
      </c>
      <c r="D2740" s="10" t="s">
        <v>293</v>
      </c>
      <c r="E2740" s="14">
        <v>0.5</v>
      </c>
      <c r="F2740" s="15">
        <f t="shared" si="485"/>
        <v>19</v>
      </c>
      <c r="G2740" s="12">
        <f t="shared" si="484"/>
        <v>9.5</v>
      </c>
    </row>
    <row r="2741" ht="15.0" customHeight="1">
      <c r="A2741" s="11"/>
      <c r="B2741" s="11"/>
      <c r="C2741" s="11"/>
      <c r="D2741" s="10" t="s">
        <v>286</v>
      </c>
      <c r="E2741" s="14">
        <v>0.225</v>
      </c>
      <c r="F2741" s="15">
        <f>ROUND((G2738+G2739+G2740),3)</f>
        <v>49.5</v>
      </c>
      <c r="G2741" s="12">
        <f t="shared" si="484"/>
        <v>11.14</v>
      </c>
    </row>
    <row r="2742" ht="15.0" customHeight="1">
      <c r="A2742" s="10" t="s">
        <v>32</v>
      </c>
      <c r="B2742" s="10"/>
      <c r="C2742" s="10" t="s">
        <v>33</v>
      </c>
      <c r="D2742" s="10" t="s">
        <v>34</v>
      </c>
      <c r="E2742" s="14">
        <v>3.0</v>
      </c>
      <c r="F2742" s="15">
        <f>ROUND(11.14,3)</f>
        <v>11.14</v>
      </c>
      <c r="G2742" s="12">
        <f>ROUND((E2742*F2742)/100,2)</f>
        <v>0.33</v>
      </c>
    </row>
    <row r="2743" ht="15.0" customHeight="1">
      <c r="A2743" s="16"/>
      <c r="B2743" s="16"/>
      <c r="C2743" s="16"/>
      <c r="D2743" s="17" t="s">
        <v>1261</v>
      </c>
      <c r="E2743" s="16"/>
      <c r="F2743" s="18">
        <f>ROUND((G2735+G2736+G2737+G2742)*(1+G2/100),2)</f>
        <v>16.82</v>
      </c>
      <c r="G2743" s="16"/>
    </row>
    <row r="2744" ht="21.0" customHeight="1">
      <c r="A2744" s="19" t="s">
        <v>1264</v>
      </c>
      <c r="B2744" s="20" t="s">
        <v>18</v>
      </c>
      <c r="C2744" s="20" t="s">
        <v>251</v>
      </c>
      <c r="D2744" s="20" t="s">
        <v>1265</v>
      </c>
      <c r="E2744" s="21"/>
      <c r="F2744" s="22">
        <f>F2754</f>
        <v>14.11</v>
      </c>
      <c r="G2744" s="21"/>
    </row>
    <row r="2745" ht="39.75" customHeight="1">
      <c r="A2745" s="11"/>
      <c r="B2745" s="11"/>
      <c r="C2745" s="11"/>
      <c r="D2745" s="10" t="s">
        <v>1266</v>
      </c>
    </row>
    <row r="2746" ht="48.75" customHeight="1">
      <c r="A2746" s="10" t="s">
        <v>1267</v>
      </c>
      <c r="B2746" s="10" t="s">
        <v>42</v>
      </c>
      <c r="C2746" s="10" t="s">
        <v>43</v>
      </c>
      <c r="D2746" s="10" t="s">
        <v>1268</v>
      </c>
      <c r="E2746" s="14">
        <v>0.3</v>
      </c>
      <c r="F2746" s="15">
        <f>ROUND(19.25,3)</f>
        <v>19.25</v>
      </c>
      <c r="G2746" s="12">
        <f t="shared" ref="G2746:G2752" si="486">ROUND(E2746*F2746,2)</f>
        <v>5.78</v>
      </c>
    </row>
    <row r="2747" ht="39.75" customHeight="1">
      <c r="A2747" s="10" t="s">
        <v>1269</v>
      </c>
      <c r="B2747" s="10" t="s">
        <v>42</v>
      </c>
      <c r="C2747" s="10" t="s">
        <v>226</v>
      </c>
      <c r="D2747" s="10" t="s">
        <v>1270</v>
      </c>
      <c r="E2747" s="14">
        <v>0.022</v>
      </c>
      <c r="F2747" s="15">
        <f>ROUND(71.07,3)</f>
        <v>71.07</v>
      </c>
      <c r="G2747" s="12">
        <f t="shared" si="486"/>
        <v>1.56</v>
      </c>
    </row>
    <row r="2748" ht="21.0" customHeight="1">
      <c r="A2748" s="10" t="s">
        <v>22</v>
      </c>
      <c r="B2748" s="10" t="s">
        <v>18</v>
      </c>
      <c r="C2748" s="10" t="s">
        <v>23</v>
      </c>
      <c r="D2748" s="10" t="s">
        <v>24</v>
      </c>
      <c r="E2748" s="14">
        <v>0.15</v>
      </c>
      <c r="F2748" s="15">
        <f>F2752</f>
        <v>43.8</v>
      </c>
      <c r="G2748" s="12">
        <f t="shared" si="486"/>
        <v>6.57</v>
      </c>
    </row>
    <row r="2749" ht="24.0" customHeight="1">
      <c r="A2749" s="10" t="s">
        <v>25</v>
      </c>
      <c r="B2749" s="10" t="s">
        <v>26</v>
      </c>
      <c r="C2749" s="10" t="s">
        <v>23</v>
      </c>
      <c r="D2749" s="10" t="s">
        <v>27</v>
      </c>
      <c r="E2749" s="14">
        <v>1.0</v>
      </c>
      <c r="F2749" s="15">
        <f>ROUND(21,3)</f>
        <v>21</v>
      </c>
      <c r="G2749" s="12">
        <f t="shared" si="486"/>
        <v>21</v>
      </c>
    </row>
    <row r="2750" ht="24.0" customHeight="1">
      <c r="A2750" s="10" t="s">
        <v>28</v>
      </c>
      <c r="B2750" s="10" t="s">
        <v>26</v>
      </c>
      <c r="C2750" s="10" t="s">
        <v>23</v>
      </c>
      <c r="D2750" s="10" t="s">
        <v>29</v>
      </c>
      <c r="E2750" s="14">
        <v>1.0</v>
      </c>
      <c r="F2750" s="15">
        <f t="shared" ref="F2750:F2751" si="487">ROUND(19,3)</f>
        <v>19</v>
      </c>
      <c r="G2750" s="12">
        <f t="shared" si="486"/>
        <v>19</v>
      </c>
    </row>
    <row r="2751" ht="24.0" customHeight="1">
      <c r="A2751" s="10" t="s">
        <v>30</v>
      </c>
      <c r="B2751" s="10" t="s">
        <v>26</v>
      </c>
      <c r="C2751" s="10" t="s">
        <v>23</v>
      </c>
      <c r="D2751" s="10" t="s">
        <v>31</v>
      </c>
      <c r="E2751" s="14">
        <v>0.2</v>
      </c>
      <c r="F2751" s="15">
        <f t="shared" si="487"/>
        <v>19</v>
      </c>
      <c r="G2751" s="12">
        <f t="shared" si="486"/>
        <v>3.8</v>
      </c>
    </row>
    <row r="2752" ht="15.0" customHeight="1">
      <c r="A2752" s="11"/>
      <c r="B2752" s="11"/>
      <c r="C2752" s="11"/>
      <c r="D2752" s="10" t="s">
        <v>22</v>
      </c>
      <c r="E2752" s="14">
        <v>0.15</v>
      </c>
      <c r="F2752" s="15">
        <f>ROUND((G2749+G2750+G2751),3)</f>
        <v>43.8</v>
      </c>
      <c r="G2752" s="12">
        <f t="shared" si="486"/>
        <v>6.57</v>
      </c>
    </row>
    <row r="2753" ht="15.0" customHeight="1">
      <c r="A2753" s="10" t="s">
        <v>32</v>
      </c>
      <c r="B2753" s="10"/>
      <c r="C2753" s="10" t="s">
        <v>33</v>
      </c>
      <c r="D2753" s="10" t="s">
        <v>34</v>
      </c>
      <c r="E2753" s="14">
        <v>3.0</v>
      </c>
      <c r="F2753" s="15">
        <f>ROUND(6.57,3)</f>
        <v>6.57</v>
      </c>
      <c r="G2753" s="12">
        <f>ROUND((E2753*F2753)/100,2)</f>
        <v>0.2</v>
      </c>
    </row>
    <row r="2754" ht="15.0" customHeight="1">
      <c r="A2754" s="16"/>
      <c r="B2754" s="16"/>
      <c r="C2754" s="16"/>
      <c r="D2754" s="17" t="s">
        <v>1264</v>
      </c>
      <c r="E2754" s="16"/>
      <c r="F2754" s="18">
        <f>ROUND((G2746+G2747+G2748+G2753)*(1+G2/100),2)</f>
        <v>14.11</v>
      </c>
      <c r="G2754" s="16"/>
    </row>
    <row r="2755" ht="30.0" customHeight="1">
      <c r="A2755" s="19" t="s">
        <v>1271</v>
      </c>
      <c r="B2755" s="20" t="s">
        <v>18</v>
      </c>
      <c r="C2755" s="20" t="s">
        <v>251</v>
      </c>
      <c r="D2755" s="20" t="s">
        <v>1272</v>
      </c>
      <c r="E2755" s="21"/>
      <c r="F2755" s="22">
        <f>F2766</f>
        <v>11.96</v>
      </c>
      <c r="G2755" s="21"/>
    </row>
    <row r="2756" ht="21.0" customHeight="1">
      <c r="A2756" s="11"/>
      <c r="B2756" s="11"/>
      <c r="C2756" s="11"/>
      <c r="D2756" s="10" t="s">
        <v>1273</v>
      </c>
    </row>
    <row r="2757" ht="39.75" customHeight="1">
      <c r="A2757" s="10" t="s">
        <v>1274</v>
      </c>
      <c r="B2757" s="10" t="s">
        <v>42</v>
      </c>
      <c r="C2757" s="10" t="s">
        <v>43</v>
      </c>
      <c r="D2757" s="10" t="s">
        <v>1275</v>
      </c>
      <c r="E2757" s="14">
        <v>0.01</v>
      </c>
      <c r="F2757" s="15">
        <f>ROUND(11.83,3)</f>
        <v>11.83</v>
      </c>
      <c r="G2757" s="12">
        <f t="shared" ref="G2757:G2764" si="488">ROUND(E2757*F2757,2)</f>
        <v>0.12</v>
      </c>
    </row>
    <row r="2758" ht="30.0" customHeight="1">
      <c r="A2758" s="10" t="s">
        <v>1259</v>
      </c>
      <c r="B2758" s="10" t="s">
        <v>42</v>
      </c>
      <c r="C2758" s="10" t="s">
        <v>43</v>
      </c>
      <c r="D2758" s="10" t="s">
        <v>1260</v>
      </c>
      <c r="E2758" s="14">
        <v>0.02792</v>
      </c>
      <c r="F2758" s="15">
        <f>ROUND(18.44,3)</f>
        <v>18.44</v>
      </c>
      <c r="G2758" s="12">
        <f t="shared" si="488"/>
        <v>0.51</v>
      </c>
    </row>
    <row r="2759" ht="48.75" customHeight="1">
      <c r="A2759" s="10" t="s">
        <v>1276</v>
      </c>
      <c r="B2759" s="10" t="s">
        <v>42</v>
      </c>
      <c r="C2759" s="10" t="s">
        <v>43</v>
      </c>
      <c r="D2759" s="10" t="s">
        <v>1277</v>
      </c>
      <c r="E2759" s="14">
        <v>0.1</v>
      </c>
      <c r="F2759" s="15">
        <f>ROUND(45.57,3)</f>
        <v>45.57</v>
      </c>
      <c r="G2759" s="12">
        <f t="shared" si="488"/>
        <v>4.56</v>
      </c>
    </row>
    <row r="2760" ht="21.0" customHeight="1">
      <c r="A2760" s="10" t="s">
        <v>22</v>
      </c>
      <c r="B2760" s="10" t="s">
        <v>18</v>
      </c>
      <c r="C2760" s="10" t="s">
        <v>23</v>
      </c>
      <c r="D2760" s="10" t="s">
        <v>24</v>
      </c>
      <c r="E2760" s="14">
        <v>0.15</v>
      </c>
      <c r="F2760" s="15">
        <f>F2764</f>
        <v>43.8</v>
      </c>
      <c r="G2760" s="12">
        <f t="shared" si="488"/>
        <v>6.57</v>
      </c>
    </row>
    <row r="2761" ht="24.0" customHeight="1">
      <c r="A2761" s="10" t="s">
        <v>25</v>
      </c>
      <c r="B2761" s="10" t="s">
        <v>26</v>
      </c>
      <c r="C2761" s="10" t="s">
        <v>23</v>
      </c>
      <c r="D2761" s="10" t="s">
        <v>27</v>
      </c>
      <c r="E2761" s="14">
        <v>1.0</v>
      </c>
      <c r="F2761" s="15">
        <f>ROUND(21,3)</f>
        <v>21</v>
      </c>
      <c r="G2761" s="12">
        <f t="shared" si="488"/>
        <v>21</v>
      </c>
    </row>
    <row r="2762" ht="24.0" customHeight="1">
      <c r="A2762" s="10" t="s">
        <v>28</v>
      </c>
      <c r="B2762" s="10" t="s">
        <v>26</v>
      </c>
      <c r="C2762" s="10" t="s">
        <v>23</v>
      </c>
      <c r="D2762" s="10" t="s">
        <v>29</v>
      </c>
      <c r="E2762" s="14">
        <v>1.0</v>
      </c>
      <c r="F2762" s="15">
        <f t="shared" ref="F2762:F2763" si="489">ROUND(19,3)</f>
        <v>19</v>
      </c>
      <c r="G2762" s="12">
        <f t="shared" si="488"/>
        <v>19</v>
      </c>
    </row>
    <row r="2763" ht="24.0" customHeight="1">
      <c r="A2763" s="10" t="s">
        <v>30</v>
      </c>
      <c r="B2763" s="10" t="s">
        <v>26</v>
      </c>
      <c r="C2763" s="10" t="s">
        <v>23</v>
      </c>
      <c r="D2763" s="10" t="s">
        <v>31</v>
      </c>
      <c r="E2763" s="14">
        <v>0.2</v>
      </c>
      <c r="F2763" s="15">
        <f t="shared" si="489"/>
        <v>19</v>
      </c>
      <c r="G2763" s="12">
        <f t="shared" si="488"/>
        <v>3.8</v>
      </c>
    </row>
    <row r="2764" ht="15.0" customHeight="1">
      <c r="A2764" s="11"/>
      <c r="B2764" s="11"/>
      <c r="C2764" s="11"/>
      <c r="D2764" s="10" t="s">
        <v>22</v>
      </c>
      <c r="E2764" s="14">
        <v>0.15</v>
      </c>
      <c r="F2764" s="15">
        <f>ROUND((G2761+G2762+G2763),3)</f>
        <v>43.8</v>
      </c>
      <c r="G2764" s="12">
        <f t="shared" si="488"/>
        <v>6.57</v>
      </c>
    </row>
    <row r="2765" ht="15.0" customHeight="1">
      <c r="A2765" s="10" t="s">
        <v>32</v>
      </c>
      <c r="B2765" s="10"/>
      <c r="C2765" s="10" t="s">
        <v>33</v>
      </c>
      <c r="D2765" s="10" t="s">
        <v>34</v>
      </c>
      <c r="E2765" s="14">
        <v>3.0</v>
      </c>
      <c r="F2765" s="15">
        <f>ROUND(6.57,3)</f>
        <v>6.57</v>
      </c>
      <c r="G2765" s="12">
        <f>ROUND((E2765*F2765)/100,2)</f>
        <v>0.2</v>
      </c>
    </row>
    <row r="2766" ht="15.0" customHeight="1">
      <c r="A2766" s="16"/>
      <c r="B2766" s="16"/>
      <c r="C2766" s="16"/>
      <c r="D2766" s="17" t="s">
        <v>1271</v>
      </c>
      <c r="E2766" s="16"/>
      <c r="F2766" s="18">
        <f>ROUND((G2757+G2758+G2759+G2760+G2765)*(1+G2/100),2)</f>
        <v>11.96</v>
      </c>
      <c r="G2766" s="16"/>
    </row>
    <row r="2767" ht="30.0" customHeight="1">
      <c r="A2767" s="19" t="s">
        <v>1278</v>
      </c>
      <c r="B2767" s="20" t="s">
        <v>18</v>
      </c>
      <c r="C2767" s="20" t="s">
        <v>251</v>
      </c>
      <c r="D2767" s="20" t="s">
        <v>1279</v>
      </c>
      <c r="E2767" s="21"/>
      <c r="F2767" s="22">
        <f>F2776</f>
        <v>15.49</v>
      </c>
      <c r="G2767" s="21"/>
    </row>
    <row r="2768" ht="39.75" customHeight="1">
      <c r="A2768" s="11"/>
      <c r="B2768" s="11"/>
      <c r="C2768" s="11"/>
      <c r="D2768" s="10" t="s">
        <v>1280</v>
      </c>
    </row>
    <row r="2769" ht="24.0" customHeight="1">
      <c r="A2769" s="10" t="s">
        <v>1281</v>
      </c>
      <c r="B2769" s="10" t="s">
        <v>42</v>
      </c>
      <c r="C2769" s="10" t="s">
        <v>43</v>
      </c>
      <c r="D2769" s="10" t="s">
        <v>1282</v>
      </c>
      <c r="E2769" s="14">
        <v>0.3</v>
      </c>
      <c r="F2769" s="15">
        <f>ROUND(29.06,3)</f>
        <v>29.06</v>
      </c>
      <c r="G2769" s="12">
        <f t="shared" ref="G2769:G2774" si="490">ROUND(E2769*F2769,2)</f>
        <v>8.72</v>
      </c>
    </row>
    <row r="2770" ht="21.0" customHeight="1">
      <c r="A2770" s="10" t="s">
        <v>22</v>
      </c>
      <c r="B2770" s="10" t="s">
        <v>18</v>
      </c>
      <c r="C2770" s="10" t="s">
        <v>23</v>
      </c>
      <c r="D2770" s="10" t="s">
        <v>24</v>
      </c>
      <c r="E2770" s="14">
        <v>0.15</v>
      </c>
      <c r="F2770" s="15">
        <f>F2774</f>
        <v>43.8</v>
      </c>
      <c r="G2770" s="12">
        <f t="shared" si="490"/>
        <v>6.57</v>
      </c>
    </row>
    <row r="2771" ht="24.0" customHeight="1">
      <c r="A2771" s="10" t="s">
        <v>25</v>
      </c>
      <c r="B2771" s="10" t="s">
        <v>26</v>
      </c>
      <c r="C2771" s="10" t="s">
        <v>23</v>
      </c>
      <c r="D2771" s="10" t="s">
        <v>27</v>
      </c>
      <c r="E2771" s="14">
        <v>1.0</v>
      </c>
      <c r="F2771" s="15">
        <f>ROUND(21,3)</f>
        <v>21</v>
      </c>
      <c r="G2771" s="12">
        <f t="shared" si="490"/>
        <v>21</v>
      </c>
    </row>
    <row r="2772" ht="24.0" customHeight="1">
      <c r="A2772" s="10" t="s">
        <v>28</v>
      </c>
      <c r="B2772" s="10" t="s">
        <v>26</v>
      </c>
      <c r="C2772" s="10" t="s">
        <v>23</v>
      </c>
      <c r="D2772" s="10" t="s">
        <v>29</v>
      </c>
      <c r="E2772" s="14">
        <v>1.0</v>
      </c>
      <c r="F2772" s="15">
        <f t="shared" ref="F2772:F2773" si="491">ROUND(19,3)</f>
        <v>19</v>
      </c>
      <c r="G2772" s="12">
        <f t="shared" si="490"/>
        <v>19</v>
      </c>
    </row>
    <row r="2773" ht="24.0" customHeight="1">
      <c r="A2773" s="10" t="s">
        <v>30</v>
      </c>
      <c r="B2773" s="10" t="s">
        <v>26</v>
      </c>
      <c r="C2773" s="10" t="s">
        <v>23</v>
      </c>
      <c r="D2773" s="10" t="s">
        <v>31</v>
      </c>
      <c r="E2773" s="14">
        <v>0.2</v>
      </c>
      <c r="F2773" s="15">
        <f t="shared" si="491"/>
        <v>19</v>
      </c>
      <c r="G2773" s="12">
        <f t="shared" si="490"/>
        <v>3.8</v>
      </c>
    </row>
    <row r="2774" ht="15.0" customHeight="1">
      <c r="A2774" s="11"/>
      <c r="B2774" s="11"/>
      <c r="C2774" s="11"/>
      <c r="D2774" s="10" t="s">
        <v>22</v>
      </c>
      <c r="E2774" s="14">
        <v>0.15</v>
      </c>
      <c r="F2774" s="15">
        <f>ROUND((G2771+G2772+G2773),3)</f>
        <v>43.8</v>
      </c>
      <c r="G2774" s="12">
        <f t="shared" si="490"/>
        <v>6.57</v>
      </c>
    </row>
    <row r="2775" ht="15.0" customHeight="1">
      <c r="A2775" s="10" t="s">
        <v>32</v>
      </c>
      <c r="B2775" s="10"/>
      <c r="C2775" s="10" t="s">
        <v>33</v>
      </c>
      <c r="D2775" s="10" t="s">
        <v>34</v>
      </c>
      <c r="E2775" s="14">
        <v>3.0</v>
      </c>
      <c r="F2775" s="15">
        <f>ROUND(6.57,3)</f>
        <v>6.57</v>
      </c>
      <c r="G2775" s="12">
        <f>ROUND((E2775*F2775)/100,2)</f>
        <v>0.2</v>
      </c>
    </row>
    <row r="2776" ht="15.0" customHeight="1">
      <c r="A2776" s="16"/>
      <c r="B2776" s="16"/>
      <c r="C2776" s="16"/>
      <c r="D2776" s="17" t="s">
        <v>1278</v>
      </c>
      <c r="E2776" s="16"/>
      <c r="F2776" s="18">
        <f>ROUND((G2769+G2770+G2775)*(1+G2/100),2)</f>
        <v>15.49</v>
      </c>
      <c r="G2776" s="16"/>
    </row>
    <row r="2777" ht="30.0" customHeight="1">
      <c r="A2777" s="19" t="s">
        <v>1283</v>
      </c>
      <c r="B2777" s="20" t="s">
        <v>18</v>
      </c>
      <c r="C2777" s="20" t="s">
        <v>251</v>
      </c>
      <c r="D2777" s="20" t="s">
        <v>1284</v>
      </c>
      <c r="E2777" s="21"/>
      <c r="F2777" s="22">
        <f>F2786</f>
        <v>41.76</v>
      </c>
      <c r="G2777" s="21"/>
    </row>
    <row r="2778" ht="48.75" customHeight="1">
      <c r="A2778" s="11"/>
      <c r="B2778" s="11"/>
      <c r="C2778" s="11"/>
      <c r="D2778" s="10" t="s">
        <v>1285</v>
      </c>
    </row>
    <row r="2779" ht="30.0" customHeight="1">
      <c r="A2779" s="10" t="s">
        <v>1225</v>
      </c>
      <c r="B2779" s="10" t="s">
        <v>42</v>
      </c>
      <c r="C2779" s="10" t="s">
        <v>184</v>
      </c>
      <c r="D2779" s="10" t="s">
        <v>1226</v>
      </c>
      <c r="E2779" s="14">
        <v>1.1</v>
      </c>
      <c r="F2779" s="15">
        <f>ROUND(17.45,3)</f>
        <v>17.45</v>
      </c>
      <c r="G2779" s="12">
        <f t="shared" ref="G2779:G2784" si="492">ROUND(E2779*F2779,2)</f>
        <v>19.2</v>
      </c>
    </row>
    <row r="2780" ht="21.0" customHeight="1">
      <c r="A2780" s="10" t="s">
        <v>22</v>
      </c>
      <c r="B2780" s="10" t="s">
        <v>18</v>
      </c>
      <c r="C2780" s="10" t="s">
        <v>23</v>
      </c>
      <c r="D2780" s="10" t="s">
        <v>24</v>
      </c>
      <c r="E2780" s="14">
        <v>0.5</v>
      </c>
      <c r="F2780" s="15">
        <f>F2784</f>
        <v>43.8</v>
      </c>
      <c r="G2780" s="12">
        <f t="shared" si="492"/>
        <v>21.9</v>
      </c>
    </row>
    <row r="2781" ht="24.0" customHeight="1">
      <c r="A2781" s="10" t="s">
        <v>25</v>
      </c>
      <c r="B2781" s="10" t="s">
        <v>26</v>
      </c>
      <c r="C2781" s="10" t="s">
        <v>23</v>
      </c>
      <c r="D2781" s="10" t="s">
        <v>27</v>
      </c>
      <c r="E2781" s="14">
        <v>1.0</v>
      </c>
      <c r="F2781" s="15">
        <f>ROUND(21,3)</f>
        <v>21</v>
      </c>
      <c r="G2781" s="12">
        <f t="shared" si="492"/>
        <v>21</v>
      </c>
    </row>
    <row r="2782" ht="24.0" customHeight="1">
      <c r="A2782" s="10" t="s">
        <v>28</v>
      </c>
      <c r="B2782" s="10" t="s">
        <v>26</v>
      </c>
      <c r="C2782" s="10" t="s">
        <v>23</v>
      </c>
      <c r="D2782" s="10" t="s">
        <v>29</v>
      </c>
      <c r="E2782" s="14">
        <v>1.0</v>
      </c>
      <c r="F2782" s="15">
        <f t="shared" ref="F2782:F2783" si="493">ROUND(19,3)</f>
        <v>19</v>
      </c>
      <c r="G2782" s="12">
        <f t="shared" si="492"/>
        <v>19</v>
      </c>
    </row>
    <row r="2783" ht="24.0" customHeight="1">
      <c r="A2783" s="10" t="s">
        <v>30</v>
      </c>
      <c r="B2783" s="10" t="s">
        <v>26</v>
      </c>
      <c r="C2783" s="10" t="s">
        <v>23</v>
      </c>
      <c r="D2783" s="10" t="s">
        <v>31</v>
      </c>
      <c r="E2783" s="14">
        <v>0.2</v>
      </c>
      <c r="F2783" s="15">
        <f t="shared" si="493"/>
        <v>19</v>
      </c>
      <c r="G2783" s="12">
        <f t="shared" si="492"/>
        <v>3.8</v>
      </c>
    </row>
    <row r="2784" ht="15.0" customHeight="1">
      <c r="A2784" s="11"/>
      <c r="B2784" s="11"/>
      <c r="C2784" s="11"/>
      <c r="D2784" s="10" t="s">
        <v>22</v>
      </c>
      <c r="E2784" s="14">
        <v>0.5</v>
      </c>
      <c r="F2784" s="15">
        <f>ROUND((G2781+G2782+G2783),3)</f>
        <v>43.8</v>
      </c>
      <c r="G2784" s="12">
        <f t="shared" si="492"/>
        <v>21.9</v>
      </c>
    </row>
    <row r="2785" ht="15.0" customHeight="1">
      <c r="A2785" s="10" t="s">
        <v>32</v>
      </c>
      <c r="B2785" s="10"/>
      <c r="C2785" s="10" t="s">
        <v>33</v>
      </c>
      <c r="D2785" s="10" t="s">
        <v>34</v>
      </c>
      <c r="E2785" s="14">
        <v>3.0</v>
      </c>
      <c r="F2785" s="15">
        <f>ROUND(21.9,3)</f>
        <v>21.9</v>
      </c>
      <c r="G2785" s="12">
        <f>ROUND((E2785*F2785)/100,2)</f>
        <v>0.66</v>
      </c>
    </row>
    <row r="2786" ht="15.0" customHeight="1">
      <c r="A2786" s="16"/>
      <c r="B2786" s="16"/>
      <c r="C2786" s="16"/>
      <c r="D2786" s="17" t="s">
        <v>1283</v>
      </c>
      <c r="E2786" s="16"/>
      <c r="F2786" s="18">
        <f>ROUND((G2779+G2780+G2785)*(1+G2/100),2)</f>
        <v>41.76</v>
      </c>
      <c r="G2786" s="16"/>
    </row>
    <row r="2787" ht="30.0" customHeight="1">
      <c r="A2787" s="19" t="s">
        <v>1286</v>
      </c>
      <c r="B2787" s="20" t="s">
        <v>18</v>
      </c>
      <c r="C2787" s="20" t="s">
        <v>251</v>
      </c>
      <c r="D2787" s="20" t="s">
        <v>1287</v>
      </c>
      <c r="E2787" s="21"/>
      <c r="F2787" s="22">
        <f>F2796</f>
        <v>53.97</v>
      </c>
      <c r="G2787" s="21"/>
    </row>
    <row r="2788" ht="39.75" customHeight="1">
      <c r="A2788" s="11"/>
      <c r="B2788" s="11"/>
      <c r="C2788" s="11"/>
      <c r="D2788" s="10" t="s">
        <v>1288</v>
      </c>
    </row>
    <row r="2789" ht="30.0" customHeight="1">
      <c r="A2789" s="10" t="s">
        <v>1237</v>
      </c>
      <c r="B2789" s="10" t="s">
        <v>42</v>
      </c>
      <c r="C2789" s="10" t="s">
        <v>184</v>
      </c>
      <c r="D2789" s="10" t="s">
        <v>1238</v>
      </c>
      <c r="E2789" s="14">
        <v>1.1</v>
      </c>
      <c r="F2789" s="15">
        <f>ROUND(28.55,3)</f>
        <v>28.55</v>
      </c>
      <c r="G2789" s="12">
        <f t="shared" ref="G2789:G2794" si="494">ROUND(E2789*F2789,2)</f>
        <v>31.41</v>
      </c>
    </row>
    <row r="2790" ht="21.0" customHeight="1">
      <c r="A2790" s="10" t="s">
        <v>22</v>
      </c>
      <c r="B2790" s="10" t="s">
        <v>18</v>
      </c>
      <c r="C2790" s="10" t="s">
        <v>23</v>
      </c>
      <c r="D2790" s="10" t="s">
        <v>24</v>
      </c>
      <c r="E2790" s="14">
        <v>0.5</v>
      </c>
      <c r="F2790" s="15">
        <f>F2794</f>
        <v>43.8</v>
      </c>
      <c r="G2790" s="12">
        <f t="shared" si="494"/>
        <v>21.9</v>
      </c>
    </row>
    <row r="2791" ht="24.0" customHeight="1">
      <c r="A2791" s="10" t="s">
        <v>25</v>
      </c>
      <c r="B2791" s="10" t="s">
        <v>26</v>
      </c>
      <c r="C2791" s="10" t="s">
        <v>23</v>
      </c>
      <c r="D2791" s="10" t="s">
        <v>27</v>
      </c>
      <c r="E2791" s="14">
        <v>1.0</v>
      </c>
      <c r="F2791" s="15">
        <f>ROUND(21,3)</f>
        <v>21</v>
      </c>
      <c r="G2791" s="12">
        <f t="shared" si="494"/>
        <v>21</v>
      </c>
    </row>
    <row r="2792" ht="24.0" customHeight="1">
      <c r="A2792" s="10" t="s">
        <v>28</v>
      </c>
      <c r="B2792" s="10" t="s">
        <v>26</v>
      </c>
      <c r="C2792" s="10" t="s">
        <v>23</v>
      </c>
      <c r="D2792" s="10" t="s">
        <v>29</v>
      </c>
      <c r="E2792" s="14">
        <v>1.0</v>
      </c>
      <c r="F2792" s="15">
        <f t="shared" ref="F2792:F2793" si="495">ROUND(19,3)</f>
        <v>19</v>
      </c>
      <c r="G2792" s="12">
        <f t="shared" si="494"/>
        <v>19</v>
      </c>
    </row>
    <row r="2793" ht="24.0" customHeight="1">
      <c r="A2793" s="10" t="s">
        <v>30</v>
      </c>
      <c r="B2793" s="10" t="s">
        <v>26</v>
      </c>
      <c r="C2793" s="10" t="s">
        <v>23</v>
      </c>
      <c r="D2793" s="10" t="s">
        <v>31</v>
      </c>
      <c r="E2793" s="14">
        <v>0.2</v>
      </c>
      <c r="F2793" s="15">
        <f t="shared" si="495"/>
        <v>19</v>
      </c>
      <c r="G2793" s="12">
        <f t="shared" si="494"/>
        <v>3.8</v>
      </c>
    </row>
    <row r="2794" ht="15.0" customHeight="1">
      <c r="A2794" s="11"/>
      <c r="B2794" s="11"/>
      <c r="C2794" s="11"/>
      <c r="D2794" s="10" t="s">
        <v>22</v>
      </c>
      <c r="E2794" s="14">
        <v>0.5</v>
      </c>
      <c r="F2794" s="15">
        <f>ROUND((G2791+G2792+G2793),3)</f>
        <v>43.8</v>
      </c>
      <c r="G2794" s="12">
        <f t="shared" si="494"/>
        <v>21.9</v>
      </c>
    </row>
    <row r="2795" ht="15.0" customHeight="1">
      <c r="A2795" s="10" t="s">
        <v>32</v>
      </c>
      <c r="B2795" s="10"/>
      <c r="C2795" s="10" t="s">
        <v>33</v>
      </c>
      <c r="D2795" s="10" t="s">
        <v>34</v>
      </c>
      <c r="E2795" s="14">
        <v>3.0</v>
      </c>
      <c r="F2795" s="15">
        <f>ROUND(21.9,3)</f>
        <v>21.9</v>
      </c>
      <c r="G2795" s="12">
        <f>ROUND((E2795*F2795)/100,2)</f>
        <v>0.66</v>
      </c>
    </row>
    <row r="2796" ht="15.0" customHeight="1">
      <c r="A2796" s="16"/>
      <c r="B2796" s="16"/>
      <c r="C2796" s="16"/>
      <c r="D2796" s="17" t="s">
        <v>1286</v>
      </c>
      <c r="E2796" s="16"/>
      <c r="F2796" s="18">
        <f>ROUND((G2789+G2790+G2795)*(1+G2/100),2)</f>
        <v>53.97</v>
      </c>
      <c r="G2796" s="16"/>
    </row>
    <row r="2797" ht="30.0" customHeight="1">
      <c r="A2797" s="19" t="s">
        <v>1289</v>
      </c>
      <c r="B2797" s="20" t="s">
        <v>18</v>
      </c>
      <c r="C2797" s="20" t="s">
        <v>251</v>
      </c>
      <c r="D2797" s="20" t="s">
        <v>1290</v>
      </c>
      <c r="E2797" s="21"/>
      <c r="F2797" s="22">
        <f>F2806</f>
        <v>57.05</v>
      </c>
      <c r="G2797" s="21"/>
    </row>
    <row r="2798" ht="48.75" customHeight="1">
      <c r="A2798" s="11"/>
      <c r="B2798" s="11"/>
      <c r="C2798" s="11"/>
      <c r="D2798" s="10" t="s">
        <v>1291</v>
      </c>
    </row>
    <row r="2799" ht="30.0" customHeight="1">
      <c r="A2799" s="10" t="s">
        <v>1292</v>
      </c>
      <c r="B2799" s="10" t="s">
        <v>42</v>
      </c>
      <c r="C2799" s="10" t="s">
        <v>184</v>
      </c>
      <c r="D2799" s="10" t="s">
        <v>1293</v>
      </c>
      <c r="E2799" s="14">
        <v>1.1</v>
      </c>
      <c r="F2799" s="15">
        <f>ROUND(31.35,3)</f>
        <v>31.35</v>
      </c>
      <c r="G2799" s="12">
        <f t="shared" ref="G2799:G2804" si="496">ROUND(E2799*F2799,2)</f>
        <v>34.49</v>
      </c>
    </row>
    <row r="2800" ht="21.0" customHeight="1">
      <c r="A2800" s="10" t="s">
        <v>22</v>
      </c>
      <c r="B2800" s="10" t="s">
        <v>18</v>
      </c>
      <c r="C2800" s="10" t="s">
        <v>23</v>
      </c>
      <c r="D2800" s="10" t="s">
        <v>24</v>
      </c>
      <c r="E2800" s="14">
        <v>0.5</v>
      </c>
      <c r="F2800" s="15">
        <f>F2804</f>
        <v>43.8</v>
      </c>
      <c r="G2800" s="12">
        <f t="shared" si="496"/>
        <v>21.9</v>
      </c>
    </row>
    <row r="2801" ht="24.0" customHeight="1">
      <c r="A2801" s="10" t="s">
        <v>25</v>
      </c>
      <c r="B2801" s="10" t="s">
        <v>26</v>
      </c>
      <c r="C2801" s="10" t="s">
        <v>23</v>
      </c>
      <c r="D2801" s="10" t="s">
        <v>27</v>
      </c>
      <c r="E2801" s="14">
        <v>1.0</v>
      </c>
      <c r="F2801" s="15">
        <f>ROUND(21,3)</f>
        <v>21</v>
      </c>
      <c r="G2801" s="12">
        <f t="shared" si="496"/>
        <v>21</v>
      </c>
    </row>
    <row r="2802" ht="24.0" customHeight="1">
      <c r="A2802" s="10" t="s">
        <v>28</v>
      </c>
      <c r="B2802" s="10" t="s">
        <v>26</v>
      </c>
      <c r="C2802" s="10" t="s">
        <v>23</v>
      </c>
      <c r="D2802" s="10" t="s">
        <v>29</v>
      </c>
      <c r="E2802" s="14">
        <v>1.0</v>
      </c>
      <c r="F2802" s="15">
        <f t="shared" ref="F2802:F2803" si="497">ROUND(19,3)</f>
        <v>19</v>
      </c>
      <c r="G2802" s="12">
        <f t="shared" si="496"/>
        <v>19</v>
      </c>
    </row>
    <row r="2803" ht="24.0" customHeight="1">
      <c r="A2803" s="10" t="s">
        <v>30</v>
      </c>
      <c r="B2803" s="10" t="s">
        <v>26</v>
      </c>
      <c r="C2803" s="10" t="s">
        <v>23</v>
      </c>
      <c r="D2803" s="10" t="s">
        <v>31</v>
      </c>
      <c r="E2803" s="14">
        <v>0.2</v>
      </c>
      <c r="F2803" s="15">
        <f t="shared" si="497"/>
        <v>19</v>
      </c>
      <c r="G2803" s="12">
        <f t="shared" si="496"/>
        <v>3.8</v>
      </c>
    </row>
    <row r="2804" ht="15.0" customHeight="1">
      <c r="A2804" s="11"/>
      <c r="B2804" s="11"/>
      <c r="C2804" s="11"/>
      <c r="D2804" s="10" t="s">
        <v>22</v>
      </c>
      <c r="E2804" s="14">
        <v>0.5</v>
      </c>
      <c r="F2804" s="15">
        <f>ROUND((G2801+G2802+G2803),3)</f>
        <v>43.8</v>
      </c>
      <c r="G2804" s="12">
        <f t="shared" si="496"/>
        <v>21.9</v>
      </c>
    </row>
    <row r="2805" ht="15.0" customHeight="1">
      <c r="A2805" s="10" t="s">
        <v>32</v>
      </c>
      <c r="B2805" s="10"/>
      <c r="C2805" s="10" t="s">
        <v>33</v>
      </c>
      <c r="D2805" s="10" t="s">
        <v>34</v>
      </c>
      <c r="E2805" s="14">
        <v>3.0</v>
      </c>
      <c r="F2805" s="15">
        <f>ROUND(21.9,3)</f>
        <v>21.9</v>
      </c>
      <c r="G2805" s="12">
        <f>ROUND((E2805*F2805)/100,2)</f>
        <v>0.66</v>
      </c>
    </row>
    <row r="2806" ht="15.0" customHeight="1">
      <c r="A2806" s="16"/>
      <c r="B2806" s="16"/>
      <c r="C2806" s="16"/>
      <c r="D2806" s="17" t="s">
        <v>1289</v>
      </c>
      <c r="E2806" s="16"/>
      <c r="F2806" s="18">
        <f>ROUND((G2799+G2800+G2805)*(1+G2/100),2)</f>
        <v>57.05</v>
      </c>
      <c r="G2806" s="16"/>
    </row>
    <row r="2807" ht="30.0" customHeight="1">
      <c r="A2807" s="19" t="s">
        <v>1294</v>
      </c>
      <c r="B2807" s="20" t="s">
        <v>18</v>
      </c>
      <c r="C2807" s="20" t="s">
        <v>251</v>
      </c>
      <c r="D2807" s="20" t="s">
        <v>1295</v>
      </c>
      <c r="E2807" s="21"/>
      <c r="F2807" s="22">
        <f>F2817</f>
        <v>84.92</v>
      </c>
      <c r="G2807" s="21"/>
    </row>
    <row r="2808" ht="48.75" customHeight="1">
      <c r="A2808" s="11"/>
      <c r="B2808" s="11"/>
      <c r="C2808" s="11"/>
      <c r="D2808" s="10" t="s">
        <v>1296</v>
      </c>
    </row>
    <row r="2809" ht="48.75" customHeight="1">
      <c r="A2809" s="10" t="s">
        <v>1297</v>
      </c>
      <c r="B2809" s="10" t="s">
        <v>42</v>
      </c>
      <c r="C2809" s="10" t="s">
        <v>1298</v>
      </c>
      <c r="D2809" s="10" t="s">
        <v>1299</v>
      </c>
      <c r="E2809" s="14">
        <v>1.32</v>
      </c>
      <c r="F2809" s="15">
        <f>ROUND(46.78,3)</f>
        <v>46.78</v>
      </c>
      <c r="G2809" s="12">
        <f t="shared" ref="G2809:G2815" si="498">ROUND(E2809*F2809,2)</f>
        <v>61.75</v>
      </c>
    </row>
    <row r="2810" ht="30.0" customHeight="1">
      <c r="A2810" s="10" t="s">
        <v>1227</v>
      </c>
      <c r="B2810" s="10" t="s">
        <v>42</v>
      </c>
      <c r="C2810" s="10" t="s">
        <v>226</v>
      </c>
      <c r="D2810" s="10" t="s">
        <v>1228</v>
      </c>
      <c r="E2810" s="14">
        <v>0.022</v>
      </c>
      <c r="F2810" s="15">
        <f>ROUND(27.5,3)</f>
        <v>27.5</v>
      </c>
      <c r="G2810" s="12">
        <f t="shared" si="498"/>
        <v>0.61</v>
      </c>
    </row>
    <row r="2811" ht="21.0" customHeight="1">
      <c r="A2811" s="10" t="s">
        <v>22</v>
      </c>
      <c r="B2811" s="10" t="s">
        <v>18</v>
      </c>
      <c r="C2811" s="10" t="s">
        <v>23</v>
      </c>
      <c r="D2811" s="10" t="s">
        <v>24</v>
      </c>
      <c r="E2811" s="14">
        <v>0.5</v>
      </c>
      <c r="F2811" s="15">
        <f>F2815</f>
        <v>43.8</v>
      </c>
      <c r="G2811" s="12">
        <f t="shared" si="498"/>
        <v>21.9</v>
      </c>
    </row>
    <row r="2812" ht="24.0" customHeight="1">
      <c r="A2812" s="10" t="s">
        <v>25</v>
      </c>
      <c r="B2812" s="10" t="s">
        <v>26</v>
      </c>
      <c r="C2812" s="10" t="s">
        <v>23</v>
      </c>
      <c r="D2812" s="10" t="s">
        <v>27</v>
      </c>
      <c r="E2812" s="14">
        <v>1.0</v>
      </c>
      <c r="F2812" s="15">
        <f>ROUND(21,3)</f>
        <v>21</v>
      </c>
      <c r="G2812" s="12">
        <f t="shared" si="498"/>
        <v>21</v>
      </c>
    </row>
    <row r="2813" ht="24.0" customHeight="1">
      <c r="A2813" s="10" t="s">
        <v>28</v>
      </c>
      <c r="B2813" s="10" t="s">
        <v>26</v>
      </c>
      <c r="C2813" s="10" t="s">
        <v>23</v>
      </c>
      <c r="D2813" s="10" t="s">
        <v>29</v>
      </c>
      <c r="E2813" s="14">
        <v>1.0</v>
      </c>
      <c r="F2813" s="15">
        <f t="shared" ref="F2813:F2814" si="499">ROUND(19,3)</f>
        <v>19</v>
      </c>
      <c r="G2813" s="12">
        <f t="shared" si="498"/>
        <v>19</v>
      </c>
    </row>
    <row r="2814" ht="24.0" customHeight="1">
      <c r="A2814" s="10" t="s">
        <v>30</v>
      </c>
      <c r="B2814" s="10" t="s">
        <v>26</v>
      </c>
      <c r="C2814" s="10" t="s">
        <v>23</v>
      </c>
      <c r="D2814" s="10" t="s">
        <v>31</v>
      </c>
      <c r="E2814" s="14">
        <v>0.2</v>
      </c>
      <c r="F2814" s="15">
        <f t="shared" si="499"/>
        <v>19</v>
      </c>
      <c r="G2814" s="12">
        <f t="shared" si="498"/>
        <v>3.8</v>
      </c>
    </row>
    <row r="2815" ht="15.0" customHeight="1">
      <c r="A2815" s="11"/>
      <c r="B2815" s="11"/>
      <c r="C2815" s="11"/>
      <c r="D2815" s="10" t="s">
        <v>22</v>
      </c>
      <c r="E2815" s="14">
        <v>0.5</v>
      </c>
      <c r="F2815" s="15">
        <f>ROUND((G2812+G2813+G2814),3)</f>
        <v>43.8</v>
      </c>
      <c r="G2815" s="12">
        <f t="shared" si="498"/>
        <v>21.9</v>
      </c>
    </row>
    <row r="2816" ht="15.0" customHeight="1">
      <c r="A2816" s="10" t="s">
        <v>32</v>
      </c>
      <c r="B2816" s="10"/>
      <c r="C2816" s="10" t="s">
        <v>33</v>
      </c>
      <c r="D2816" s="10" t="s">
        <v>34</v>
      </c>
      <c r="E2816" s="14">
        <v>3.0</v>
      </c>
      <c r="F2816" s="15">
        <f>ROUND(21.9,3)</f>
        <v>21.9</v>
      </c>
      <c r="G2816" s="12">
        <f>ROUND((E2816*F2816)/100,2)</f>
        <v>0.66</v>
      </c>
    </row>
    <row r="2817" ht="15.0" customHeight="1">
      <c r="A2817" s="16"/>
      <c r="B2817" s="16"/>
      <c r="C2817" s="16"/>
      <c r="D2817" s="17" t="s">
        <v>1294</v>
      </c>
      <c r="E2817" s="16"/>
      <c r="F2817" s="18">
        <f>ROUND((G2809+G2810+G2811+G2816)*(1+G2/100),2)</f>
        <v>84.92</v>
      </c>
      <c r="G2817" s="16"/>
    </row>
    <row r="2818" ht="30.0" customHeight="1">
      <c r="A2818" s="19" t="s">
        <v>1300</v>
      </c>
      <c r="B2818" s="20" t="s">
        <v>18</v>
      </c>
      <c r="C2818" s="20" t="s">
        <v>251</v>
      </c>
      <c r="D2818" s="20" t="s">
        <v>1301</v>
      </c>
      <c r="E2818" s="21"/>
      <c r="F2818" s="22">
        <f>F2828</f>
        <v>52.29</v>
      </c>
      <c r="G2818" s="21"/>
    </row>
    <row r="2819" ht="85.5" customHeight="1">
      <c r="A2819" s="11"/>
      <c r="B2819" s="11"/>
      <c r="C2819" s="11"/>
      <c r="D2819" s="10" t="s">
        <v>1302</v>
      </c>
    </row>
    <row r="2820" ht="39.75" customHeight="1">
      <c r="A2820" s="10" t="s">
        <v>1303</v>
      </c>
      <c r="B2820" s="10" t="s">
        <v>42</v>
      </c>
      <c r="C2820" s="10" t="s">
        <v>184</v>
      </c>
      <c r="D2820" s="10" t="s">
        <v>1304</v>
      </c>
      <c r="E2820" s="14">
        <v>1.1</v>
      </c>
      <c r="F2820" s="15">
        <f>ROUND(24.84,3)</f>
        <v>24.84</v>
      </c>
      <c r="G2820" s="12">
        <f t="shared" ref="G2820:G2826" si="500">ROUND(E2820*F2820,2)</f>
        <v>27.32</v>
      </c>
    </row>
    <row r="2821" ht="30.0" customHeight="1">
      <c r="A2821" s="10" t="s">
        <v>1227</v>
      </c>
      <c r="B2821" s="10" t="s">
        <v>42</v>
      </c>
      <c r="C2821" s="10" t="s">
        <v>226</v>
      </c>
      <c r="D2821" s="10" t="s">
        <v>1228</v>
      </c>
      <c r="E2821" s="14">
        <v>0.022</v>
      </c>
      <c r="F2821" s="15">
        <f>ROUND(27.5,3)</f>
        <v>27.5</v>
      </c>
      <c r="G2821" s="12">
        <f t="shared" si="500"/>
        <v>0.61</v>
      </c>
    </row>
    <row r="2822" ht="21.0" customHeight="1">
      <c r="A2822" s="10" t="s">
        <v>22</v>
      </c>
      <c r="B2822" s="10" t="s">
        <v>18</v>
      </c>
      <c r="C2822" s="10" t="s">
        <v>23</v>
      </c>
      <c r="D2822" s="10" t="s">
        <v>24</v>
      </c>
      <c r="E2822" s="14">
        <v>0.54</v>
      </c>
      <c r="F2822" s="15">
        <f>F2826</f>
        <v>43.8</v>
      </c>
      <c r="G2822" s="12">
        <f t="shared" si="500"/>
        <v>23.65</v>
      </c>
    </row>
    <row r="2823" ht="24.0" customHeight="1">
      <c r="A2823" s="10" t="s">
        <v>25</v>
      </c>
      <c r="B2823" s="10" t="s">
        <v>26</v>
      </c>
      <c r="C2823" s="10" t="s">
        <v>23</v>
      </c>
      <c r="D2823" s="10" t="s">
        <v>27</v>
      </c>
      <c r="E2823" s="14">
        <v>1.0</v>
      </c>
      <c r="F2823" s="15">
        <f>ROUND(21,3)</f>
        <v>21</v>
      </c>
      <c r="G2823" s="12">
        <f t="shared" si="500"/>
        <v>21</v>
      </c>
    </row>
    <row r="2824" ht="24.0" customHeight="1">
      <c r="A2824" s="10" t="s">
        <v>28</v>
      </c>
      <c r="B2824" s="10" t="s">
        <v>26</v>
      </c>
      <c r="C2824" s="10" t="s">
        <v>23</v>
      </c>
      <c r="D2824" s="10" t="s">
        <v>29</v>
      </c>
      <c r="E2824" s="14">
        <v>1.0</v>
      </c>
      <c r="F2824" s="15">
        <f t="shared" ref="F2824:F2825" si="501">ROUND(19,3)</f>
        <v>19</v>
      </c>
      <c r="G2824" s="12">
        <f t="shared" si="500"/>
        <v>19</v>
      </c>
    </row>
    <row r="2825" ht="24.0" customHeight="1">
      <c r="A2825" s="10" t="s">
        <v>30</v>
      </c>
      <c r="B2825" s="10" t="s">
        <v>26</v>
      </c>
      <c r="C2825" s="10" t="s">
        <v>23</v>
      </c>
      <c r="D2825" s="10" t="s">
        <v>31</v>
      </c>
      <c r="E2825" s="14">
        <v>0.2</v>
      </c>
      <c r="F2825" s="15">
        <f t="shared" si="501"/>
        <v>19</v>
      </c>
      <c r="G2825" s="12">
        <f t="shared" si="500"/>
        <v>3.8</v>
      </c>
    </row>
    <row r="2826" ht="15.0" customHeight="1">
      <c r="A2826" s="11"/>
      <c r="B2826" s="11"/>
      <c r="C2826" s="11"/>
      <c r="D2826" s="10" t="s">
        <v>22</v>
      </c>
      <c r="E2826" s="14">
        <v>0.54</v>
      </c>
      <c r="F2826" s="15">
        <f>ROUND((G2823+G2824+G2825),3)</f>
        <v>43.8</v>
      </c>
      <c r="G2826" s="12">
        <f t="shared" si="500"/>
        <v>23.65</v>
      </c>
    </row>
    <row r="2827" ht="15.0" customHeight="1">
      <c r="A2827" s="10" t="s">
        <v>32</v>
      </c>
      <c r="B2827" s="10"/>
      <c r="C2827" s="10" t="s">
        <v>33</v>
      </c>
      <c r="D2827" s="10" t="s">
        <v>34</v>
      </c>
      <c r="E2827" s="14">
        <v>3.0</v>
      </c>
      <c r="F2827" s="15">
        <f>ROUND(23.65,3)</f>
        <v>23.65</v>
      </c>
      <c r="G2827" s="12">
        <f>ROUND((E2827*F2827)/100,2)</f>
        <v>0.71</v>
      </c>
    </row>
    <row r="2828" ht="15.0" customHeight="1">
      <c r="A2828" s="16"/>
      <c r="B2828" s="16"/>
      <c r="C2828" s="16"/>
      <c r="D2828" s="17" t="s">
        <v>1300</v>
      </c>
      <c r="E2828" s="16"/>
      <c r="F2828" s="18">
        <f>ROUND((G2820+G2821+G2822+G2827)*(1+G2/100),2)</f>
        <v>52.29</v>
      </c>
      <c r="G2828" s="16"/>
    </row>
    <row r="2829" ht="30.0" customHeight="1">
      <c r="A2829" s="19" t="s">
        <v>1305</v>
      </c>
      <c r="B2829" s="20" t="s">
        <v>18</v>
      </c>
      <c r="C2829" s="20" t="s">
        <v>251</v>
      </c>
      <c r="D2829" s="20" t="s">
        <v>1306</v>
      </c>
      <c r="E2829" s="21"/>
      <c r="F2829" s="22">
        <f>F2839</f>
        <v>38.75</v>
      </c>
      <c r="G2829" s="21"/>
    </row>
    <row r="2830" ht="76.5" customHeight="1">
      <c r="A2830" s="11"/>
      <c r="B2830" s="11"/>
      <c r="C2830" s="11"/>
      <c r="D2830" s="10" t="s">
        <v>1307</v>
      </c>
    </row>
    <row r="2831" ht="30.0" customHeight="1">
      <c r="A2831" s="10" t="s">
        <v>1308</v>
      </c>
      <c r="B2831" s="10" t="s">
        <v>42</v>
      </c>
      <c r="C2831" s="10" t="s">
        <v>184</v>
      </c>
      <c r="D2831" s="10" t="s">
        <v>1309</v>
      </c>
      <c r="E2831" s="14">
        <v>0.734</v>
      </c>
      <c r="F2831" s="15">
        <f>ROUND(29.84,3)</f>
        <v>29.84</v>
      </c>
      <c r="G2831" s="12">
        <f t="shared" ref="G2831:G2837" si="502">ROUND(E2831*F2831,2)</f>
        <v>21.9</v>
      </c>
    </row>
    <row r="2832" ht="30.0" customHeight="1">
      <c r="A2832" s="10" t="s">
        <v>1227</v>
      </c>
      <c r="B2832" s="10" t="s">
        <v>42</v>
      </c>
      <c r="C2832" s="10" t="s">
        <v>226</v>
      </c>
      <c r="D2832" s="10" t="s">
        <v>1228</v>
      </c>
      <c r="E2832" s="14">
        <v>0.022</v>
      </c>
      <c r="F2832" s="15">
        <f>ROUND(27.5,3)</f>
        <v>27.5</v>
      </c>
      <c r="G2832" s="12">
        <f t="shared" si="502"/>
        <v>0.61</v>
      </c>
    </row>
    <row r="2833" ht="21.0" customHeight="1">
      <c r="A2833" s="10" t="s">
        <v>22</v>
      </c>
      <c r="B2833" s="10" t="s">
        <v>18</v>
      </c>
      <c r="C2833" s="10" t="s">
        <v>23</v>
      </c>
      <c r="D2833" s="10" t="s">
        <v>24</v>
      </c>
      <c r="E2833" s="14">
        <v>0.36</v>
      </c>
      <c r="F2833" s="15">
        <f>F2837</f>
        <v>43.8</v>
      </c>
      <c r="G2833" s="12">
        <f t="shared" si="502"/>
        <v>15.77</v>
      </c>
    </row>
    <row r="2834" ht="24.0" customHeight="1">
      <c r="A2834" s="10" t="s">
        <v>25</v>
      </c>
      <c r="B2834" s="10" t="s">
        <v>26</v>
      </c>
      <c r="C2834" s="10" t="s">
        <v>23</v>
      </c>
      <c r="D2834" s="10" t="s">
        <v>27</v>
      </c>
      <c r="E2834" s="14">
        <v>1.0</v>
      </c>
      <c r="F2834" s="15">
        <f>ROUND(21,3)</f>
        <v>21</v>
      </c>
      <c r="G2834" s="12">
        <f t="shared" si="502"/>
        <v>21</v>
      </c>
    </row>
    <row r="2835" ht="24.0" customHeight="1">
      <c r="A2835" s="10" t="s">
        <v>28</v>
      </c>
      <c r="B2835" s="10" t="s">
        <v>26</v>
      </c>
      <c r="C2835" s="10" t="s">
        <v>23</v>
      </c>
      <c r="D2835" s="10" t="s">
        <v>29</v>
      </c>
      <c r="E2835" s="14">
        <v>1.0</v>
      </c>
      <c r="F2835" s="15">
        <f t="shared" ref="F2835:F2836" si="503">ROUND(19,3)</f>
        <v>19</v>
      </c>
      <c r="G2835" s="12">
        <f t="shared" si="502"/>
        <v>19</v>
      </c>
    </row>
    <row r="2836" ht="24.0" customHeight="1">
      <c r="A2836" s="10" t="s">
        <v>30</v>
      </c>
      <c r="B2836" s="10" t="s">
        <v>26</v>
      </c>
      <c r="C2836" s="10" t="s">
        <v>23</v>
      </c>
      <c r="D2836" s="10" t="s">
        <v>31</v>
      </c>
      <c r="E2836" s="14">
        <v>0.2</v>
      </c>
      <c r="F2836" s="15">
        <f t="shared" si="503"/>
        <v>19</v>
      </c>
      <c r="G2836" s="12">
        <f t="shared" si="502"/>
        <v>3.8</v>
      </c>
    </row>
    <row r="2837" ht="15.0" customHeight="1">
      <c r="A2837" s="11"/>
      <c r="B2837" s="11"/>
      <c r="C2837" s="11"/>
      <c r="D2837" s="10" t="s">
        <v>22</v>
      </c>
      <c r="E2837" s="14">
        <v>0.36</v>
      </c>
      <c r="F2837" s="15">
        <f>ROUND((G2834+G2835+G2836),3)</f>
        <v>43.8</v>
      </c>
      <c r="G2837" s="12">
        <f t="shared" si="502"/>
        <v>15.77</v>
      </c>
    </row>
    <row r="2838" ht="15.0" customHeight="1">
      <c r="A2838" s="10" t="s">
        <v>32</v>
      </c>
      <c r="B2838" s="10"/>
      <c r="C2838" s="10" t="s">
        <v>33</v>
      </c>
      <c r="D2838" s="10" t="s">
        <v>34</v>
      </c>
      <c r="E2838" s="14">
        <v>3.0</v>
      </c>
      <c r="F2838" s="15">
        <f>ROUND(15.77,3)</f>
        <v>15.77</v>
      </c>
      <c r="G2838" s="12">
        <f>ROUND((E2838*F2838)/100,2)</f>
        <v>0.47</v>
      </c>
    </row>
    <row r="2839" ht="15.0" customHeight="1">
      <c r="A2839" s="16"/>
      <c r="B2839" s="16"/>
      <c r="C2839" s="16"/>
      <c r="D2839" s="17" t="s">
        <v>1305</v>
      </c>
      <c r="E2839" s="16"/>
      <c r="F2839" s="18">
        <f>ROUND((G2831+G2832+G2833+G2838)*(1+G2/100),2)</f>
        <v>38.75</v>
      </c>
      <c r="G2839" s="16"/>
    </row>
    <row r="2840" ht="30.0" customHeight="1">
      <c r="A2840" s="19" t="s">
        <v>1310</v>
      </c>
      <c r="B2840" s="20" t="s">
        <v>18</v>
      </c>
      <c r="C2840" s="20" t="s">
        <v>251</v>
      </c>
      <c r="D2840" s="20" t="s">
        <v>1311</v>
      </c>
      <c r="E2840" s="21"/>
      <c r="F2840" s="22">
        <f>F2851</f>
        <v>21.33</v>
      </c>
      <c r="G2840" s="21"/>
    </row>
    <row r="2841" ht="76.5" customHeight="1">
      <c r="A2841" s="11"/>
      <c r="B2841" s="11"/>
      <c r="C2841" s="11"/>
      <c r="D2841" s="10" t="s">
        <v>1312</v>
      </c>
    </row>
    <row r="2842" ht="57.75" customHeight="1">
      <c r="A2842" s="10" t="s">
        <v>1313</v>
      </c>
      <c r="B2842" s="10" t="s">
        <v>42</v>
      </c>
      <c r="C2842" s="10" t="s">
        <v>184</v>
      </c>
      <c r="D2842" s="10" t="s">
        <v>1314</v>
      </c>
      <c r="E2842" s="14">
        <v>0.348</v>
      </c>
      <c r="F2842" s="15">
        <f>ROUND(36.2,3)</f>
        <v>36.2</v>
      </c>
      <c r="G2842" s="12">
        <f t="shared" ref="G2842:G2849" si="504">ROUND(E2842*F2842,2)</f>
        <v>12.6</v>
      </c>
    </row>
    <row r="2843" ht="30.0" customHeight="1">
      <c r="A2843" s="10" t="s">
        <v>1227</v>
      </c>
      <c r="B2843" s="10" t="s">
        <v>42</v>
      </c>
      <c r="C2843" s="10" t="s">
        <v>226</v>
      </c>
      <c r="D2843" s="10" t="s">
        <v>1228</v>
      </c>
      <c r="E2843" s="14">
        <v>0.022</v>
      </c>
      <c r="F2843" s="15">
        <f>ROUND(27.5,3)</f>
        <v>27.5</v>
      </c>
      <c r="G2843" s="12">
        <f t="shared" si="504"/>
        <v>0.61</v>
      </c>
    </row>
    <row r="2844" ht="39.75" customHeight="1">
      <c r="A2844" s="10" t="s">
        <v>1315</v>
      </c>
      <c r="B2844" s="10" t="s">
        <v>42</v>
      </c>
      <c r="C2844" s="10" t="s">
        <v>231</v>
      </c>
      <c r="D2844" s="10" t="s">
        <v>1316</v>
      </c>
      <c r="E2844" s="14">
        <v>0.001</v>
      </c>
      <c r="F2844" s="15">
        <f>ROUND(2.63,3)</f>
        <v>2.63</v>
      </c>
      <c r="G2844" s="12">
        <f t="shared" si="504"/>
        <v>0</v>
      </c>
    </row>
    <row r="2845" ht="21.0" customHeight="1">
      <c r="A2845" s="10" t="s">
        <v>22</v>
      </c>
      <c r="B2845" s="10" t="s">
        <v>18</v>
      </c>
      <c r="C2845" s="10" t="s">
        <v>23</v>
      </c>
      <c r="D2845" s="10" t="s">
        <v>24</v>
      </c>
      <c r="E2845" s="14">
        <v>0.18</v>
      </c>
      <c r="F2845" s="15">
        <f>F2849</f>
        <v>43.8</v>
      </c>
      <c r="G2845" s="12">
        <f t="shared" si="504"/>
        <v>7.88</v>
      </c>
    </row>
    <row r="2846" ht="24.0" customHeight="1">
      <c r="A2846" s="10" t="s">
        <v>25</v>
      </c>
      <c r="B2846" s="10" t="s">
        <v>26</v>
      </c>
      <c r="C2846" s="10" t="s">
        <v>23</v>
      </c>
      <c r="D2846" s="10" t="s">
        <v>27</v>
      </c>
      <c r="E2846" s="14">
        <v>1.0</v>
      </c>
      <c r="F2846" s="15">
        <f>ROUND(21,3)</f>
        <v>21</v>
      </c>
      <c r="G2846" s="12">
        <f t="shared" si="504"/>
        <v>21</v>
      </c>
    </row>
    <row r="2847" ht="24.0" customHeight="1">
      <c r="A2847" s="10" t="s">
        <v>28</v>
      </c>
      <c r="B2847" s="10" t="s">
        <v>26</v>
      </c>
      <c r="C2847" s="10" t="s">
        <v>23</v>
      </c>
      <c r="D2847" s="10" t="s">
        <v>29</v>
      </c>
      <c r="E2847" s="14">
        <v>1.0</v>
      </c>
      <c r="F2847" s="15">
        <f t="shared" ref="F2847:F2848" si="505">ROUND(19,3)</f>
        <v>19</v>
      </c>
      <c r="G2847" s="12">
        <f t="shared" si="504"/>
        <v>19</v>
      </c>
    </row>
    <row r="2848" ht="24.0" customHeight="1">
      <c r="A2848" s="10" t="s">
        <v>30</v>
      </c>
      <c r="B2848" s="10" t="s">
        <v>26</v>
      </c>
      <c r="C2848" s="10" t="s">
        <v>23</v>
      </c>
      <c r="D2848" s="10" t="s">
        <v>31</v>
      </c>
      <c r="E2848" s="14">
        <v>0.2</v>
      </c>
      <c r="F2848" s="15">
        <f t="shared" si="505"/>
        <v>19</v>
      </c>
      <c r="G2848" s="12">
        <f t="shared" si="504"/>
        <v>3.8</v>
      </c>
    </row>
    <row r="2849" ht="15.0" customHeight="1">
      <c r="A2849" s="11"/>
      <c r="B2849" s="11"/>
      <c r="C2849" s="11"/>
      <c r="D2849" s="10" t="s">
        <v>22</v>
      </c>
      <c r="E2849" s="14">
        <v>0.18</v>
      </c>
      <c r="F2849" s="15">
        <f>ROUND((G2846+G2847+G2848),3)</f>
        <v>43.8</v>
      </c>
      <c r="G2849" s="12">
        <f t="shared" si="504"/>
        <v>7.88</v>
      </c>
    </row>
    <row r="2850" ht="15.0" customHeight="1">
      <c r="A2850" s="10" t="s">
        <v>32</v>
      </c>
      <c r="B2850" s="10"/>
      <c r="C2850" s="10" t="s">
        <v>33</v>
      </c>
      <c r="D2850" s="10" t="s">
        <v>34</v>
      </c>
      <c r="E2850" s="14">
        <v>3.0</v>
      </c>
      <c r="F2850" s="15">
        <f>ROUND(7.88,3)</f>
        <v>7.88</v>
      </c>
      <c r="G2850" s="12">
        <f>ROUND((E2850*F2850)/100,2)</f>
        <v>0.24</v>
      </c>
    </row>
    <row r="2851" ht="15.0" customHeight="1">
      <c r="A2851" s="16"/>
      <c r="B2851" s="16"/>
      <c r="C2851" s="16"/>
      <c r="D2851" s="17" t="s">
        <v>1310</v>
      </c>
      <c r="E2851" s="16"/>
      <c r="F2851" s="18">
        <f>ROUND((G2842+G2843+G2844+G2845+G2850)*(1+G2/100),2)</f>
        <v>21.33</v>
      </c>
      <c r="G2851" s="16"/>
    </row>
    <row r="2852" ht="30.0" customHeight="1">
      <c r="A2852" s="19" t="s">
        <v>1317</v>
      </c>
      <c r="B2852" s="20" t="s">
        <v>18</v>
      </c>
      <c r="C2852" s="20" t="s">
        <v>321</v>
      </c>
      <c r="D2852" s="20" t="s">
        <v>1318</v>
      </c>
      <c r="E2852" s="21"/>
      <c r="F2852" s="22">
        <f>F2863</f>
        <v>16.61</v>
      </c>
      <c r="G2852" s="21"/>
    </row>
    <row r="2853" ht="30.0" customHeight="1">
      <c r="A2853" s="11"/>
      <c r="B2853" s="11"/>
      <c r="C2853" s="11"/>
      <c r="D2853" s="10" t="s">
        <v>1319</v>
      </c>
    </row>
    <row r="2854" ht="48.75" customHeight="1">
      <c r="A2854" s="10" t="s">
        <v>1276</v>
      </c>
      <c r="B2854" s="10" t="s">
        <v>42</v>
      </c>
      <c r="C2854" s="10" t="s">
        <v>43</v>
      </c>
      <c r="D2854" s="10" t="s">
        <v>1277</v>
      </c>
      <c r="E2854" s="14">
        <v>0.01575</v>
      </c>
      <c r="F2854" s="15">
        <f>ROUND(45.57,3)</f>
        <v>45.57</v>
      </c>
      <c r="G2854" s="12">
        <f t="shared" ref="G2854:G2861" si="506">ROUND(E2854*F2854,2)</f>
        <v>0.72</v>
      </c>
    </row>
    <row r="2855" ht="30.0" customHeight="1">
      <c r="A2855" s="10" t="s">
        <v>1225</v>
      </c>
      <c r="B2855" s="10" t="s">
        <v>42</v>
      </c>
      <c r="C2855" s="10" t="s">
        <v>184</v>
      </c>
      <c r="D2855" s="10" t="s">
        <v>1226</v>
      </c>
      <c r="E2855" s="14">
        <v>0.132</v>
      </c>
      <c r="F2855" s="15">
        <f>ROUND(17.45,3)</f>
        <v>17.45</v>
      </c>
      <c r="G2855" s="12">
        <f t="shared" si="506"/>
        <v>2.3</v>
      </c>
    </row>
    <row r="2856" ht="30.0" customHeight="1">
      <c r="A2856" s="10" t="s">
        <v>1227</v>
      </c>
      <c r="B2856" s="10" t="s">
        <v>42</v>
      </c>
      <c r="C2856" s="10" t="s">
        <v>226</v>
      </c>
      <c r="D2856" s="10" t="s">
        <v>1228</v>
      </c>
      <c r="E2856" s="14">
        <v>0.002</v>
      </c>
      <c r="F2856" s="15">
        <f>ROUND(27.5,3)</f>
        <v>27.5</v>
      </c>
      <c r="G2856" s="12">
        <f t="shared" si="506"/>
        <v>0.06</v>
      </c>
    </row>
    <row r="2857" ht="21.0" customHeight="1">
      <c r="A2857" s="10" t="s">
        <v>22</v>
      </c>
      <c r="B2857" s="10" t="s">
        <v>18</v>
      </c>
      <c r="C2857" s="10" t="s">
        <v>23</v>
      </c>
      <c r="D2857" s="10" t="s">
        <v>24</v>
      </c>
      <c r="E2857" s="14">
        <v>0.3</v>
      </c>
      <c r="F2857" s="15">
        <f>F2861</f>
        <v>43.8</v>
      </c>
      <c r="G2857" s="12">
        <f t="shared" si="506"/>
        <v>13.14</v>
      </c>
    </row>
    <row r="2858" ht="24.0" customHeight="1">
      <c r="A2858" s="10" t="s">
        <v>25</v>
      </c>
      <c r="B2858" s="10" t="s">
        <v>26</v>
      </c>
      <c r="C2858" s="10" t="s">
        <v>23</v>
      </c>
      <c r="D2858" s="10" t="s">
        <v>27</v>
      </c>
      <c r="E2858" s="14">
        <v>1.0</v>
      </c>
      <c r="F2858" s="15">
        <f>ROUND(21,3)</f>
        <v>21</v>
      </c>
      <c r="G2858" s="12">
        <f t="shared" si="506"/>
        <v>21</v>
      </c>
    </row>
    <row r="2859" ht="24.0" customHeight="1">
      <c r="A2859" s="10" t="s">
        <v>28</v>
      </c>
      <c r="B2859" s="10" t="s">
        <v>26</v>
      </c>
      <c r="C2859" s="10" t="s">
        <v>23</v>
      </c>
      <c r="D2859" s="10" t="s">
        <v>29</v>
      </c>
      <c r="E2859" s="14">
        <v>1.0</v>
      </c>
      <c r="F2859" s="15">
        <f t="shared" ref="F2859:F2860" si="507">ROUND(19,3)</f>
        <v>19</v>
      </c>
      <c r="G2859" s="12">
        <f t="shared" si="506"/>
        <v>19</v>
      </c>
    </row>
    <row r="2860" ht="24.0" customHeight="1">
      <c r="A2860" s="10" t="s">
        <v>30</v>
      </c>
      <c r="B2860" s="10" t="s">
        <v>26</v>
      </c>
      <c r="C2860" s="10" t="s">
        <v>23</v>
      </c>
      <c r="D2860" s="10" t="s">
        <v>31</v>
      </c>
      <c r="E2860" s="14">
        <v>0.2</v>
      </c>
      <c r="F2860" s="15">
        <f t="shared" si="507"/>
        <v>19</v>
      </c>
      <c r="G2860" s="12">
        <f t="shared" si="506"/>
        <v>3.8</v>
      </c>
    </row>
    <row r="2861" ht="15.0" customHeight="1">
      <c r="A2861" s="11"/>
      <c r="B2861" s="11"/>
      <c r="C2861" s="11"/>
      <c r="D2861" s="10" t="s">
        <v>22</v>
      </c>
      <c r="E2861" s="14">
        <v>0.3</v>
      </c>
      <c r="F2861" s="15">
        <f>ROUND((G2858+G2859+G2860),3)</f>
        <v>43.8</v>
      </c>
      <c r="G2861" s="12">
        <f t="shared" si="506"/>
        <v>13.14</v>
      </c>
    </row>
    <row r="2862" ht="15.0" customHeight="1">
      <c r="A2862" s="10" t="s">
        <v>32</v>
      </c>
      <c r="B2862" s="10"/>
      <c r="C2862" s="10" t="s">
        <v>33</v>
      </c>
      <c r="D2862" s="10" t="s">
        <v>34</v>
      </c>
      <c r="E2862" s="14">
        <v>3.0</v>
      </c>
      <c r="F2862" s="15">
        <f>ROUND(13.14,3)</f>
        <v>13.14</v>
      </c>
      <c r="G2862" s="12">
        <f>ROUND((E2862*F2862)/100,2)</f>
        <v>0.39</v>
      </c>
    </row>
    <row r="2863" ht="15.0" customHeight="1">
      <c r="A2863" s="16"/>
      <c r="B2863" s="16"/>
      <c r="C2863" s="16"/>
      <c r="D2863" s="17" t="s">
        <v>1317</v>
      </c>
      <c r="E2863" s="16"/>
      <c r="F2863" s="18">
        <f>ROUND((G2854+G2855+G2856+G2857+G2862)*(1+G2/100),2)</f>
        <v>16.61</v>
      </c>
      <c r="G2863" s="16"/>
    </row>
    <row r="2864" ht="21.0" customHeight="1">
      <c r="A2864" s="19" t="s">
        <v>1320</v>
      </c>
      <c r="B2864" s="20" t="s">
        <v>18</v>
      </c>
      <c r="C2864" s="20" t="s">
        <v>321</v>
      </c>
      <c r="D2864" s="20" t="s">
        <v>1321</v>
      </c>
      <c r="E2864" s="21"/>
      <c r="F2864" s="22">
        <f>F2873</f>
        <v>8.78</v>
      </c>
      <c r="G2864" s="21"/>
    </row>
    <row r="2865" ht="12.0" customHeight="1">
      <c r="A2865" s="11"/>
      <c r="B2865" s="11"/>
      <c r="C2865" s="11"/>
      <c r="D2865" s="10" t="s">
        <v>1322</v>
      </c>
    </row>
    <row r="2866" ht="30.0" customHeight="1">
      <c r="A2866" s="10" t="s">
        <v>1006</v>
      </c>
      <c r="B2866" s="10" t="s">
        <v>42</v>
      </c>
      <c r="C2866" s="10" t="s">
        <v>184</v>
      </c>
      <c r="D2866" s="10" t="s">
        <v>1007</v>
      </c>
      <c r="E2866" s="14">
        <v>0.2</v>
      </c>
      <c r="F2866" s="15">
        <f>ROUND(16.81,3)</f>
        <v>16.81</v>
      </c>
      <c r="G2866" s="12">
        <f t="shared" ref="G2866:G2871" si="508">ROUND(E2866*F2866,2)</f>
        <v>3.36</v>
      </c>
    </row>
    <row r="2867" ht="21.0" customHeight="1">
      <c r="A2867" s="10" t="s">
        <v>22</v>
      </c>
      <c r="B2867" s="10" t="s">
        <v>18</v>
      </c>
      <c r="C2867" s="10" t="s">
        <v>23</v>
      </c>
      <c r="D2867" s="10" t="s">
        <v>24</v>
      </c>
      <c r="E2867" s="14">
        <v>0.12</v>
      </c>
      <c r="F2867" s="15">
        <f>F2871</f>
        <v>43.8</v>
      </c>
      <c r="G2867" s="12">
        <f t="shared" si="508"/>
        <v>5.26</v>
      </c>
    </row>
    <row r="2868" ht="24.0" customHeight="1">
      <c r="A2868" s="10" t="s">
        <v>25</v>
      </c>
      <c r="B2868" s="10" t="s">
        <v>26</v>
      </c>
      <c r="C2868" s="10" t="s">
        <v>23</v>
      </c>
      <c r="D2868" s="10" t="s">
        <v>27</v>
      </c>
      <c r="E2868" s="14">
        <v>1.0</v>
      </c>
      <c r="F2868" s="15">
        <f>ROUND(21,3)</f>
        <v>21</v>
      </c>
      <c r="G2868" s="12">
        <f t="shared" si="508"/>
        <v>21</v>
      </c>
    </row>
    <row r="2869" ht="24.0" customHeight="1">
      <c r="A2869" s="10" t="s">
        <v>28</v>
      </c>
      <c r="B2869" s="10" t="s">
        <v>26</v>
      </c>
      <c r="C2869" s="10" t="s">
        <v>23</v>
      </c>
      <c r="D2869" s="10" t="s">
        <v>29</v>
      </c>
      <c r="E2869" s="14">
        <v>1.0</v>
      </c>
      <c r="F2869" s="15">
        <f t="shared" ref="F2869:F2870" si="509">ROUND(19,3)</f>
        <v>19</v>
      </c>
      <c r="G2869" s="12">
        <f t="shared" si="508"/>
        <v>19</v>
      </c>
    </row>
    <row r="2870" ht="24.0" customHeight="1">
      <c r="A2870" s="10" t="s">
        <v>30</v>
      </c>
      <c r="B2870" s="10" t="s">
        <v>26</v>
      </c>
      <c r="C2870" s="10" t="s">
        <v>23</v>
      </c>
      <c r="D2870" s="10" t="s">
        <v>31</v>
      </c>
      <c r="E2870" s="14">
        <v>0.2</v>
      </c>
      <c r="F2870" s="15">
        <f t="shared" si="509"/>
        <v>19</v>
      </c>
      <c r="G2870" s="12">
        <f t="shared" si="508"/>
        <v>3.8</v>
      </c>
    </row>
    <row r="2871" ht="15.0" customHeight="1">
      <c r="A2871" s="11"/>
      <c r="B2871" s="11"/>
      <c r="C2871" s="11"/>
      <c r="D2871" s="10" t="s">
        <v>22</v>
      </c>
      <c r="E2871" s="14">
        <v>0.12</v>
      </c>
      <c r="F2871" s="15">
        <f>ROUND((G2868+G2869+G2870),3)</f>
        <v>43.8</v>
      </c>
      <c r="G2871" s="12">
        <f t="shared" si="508"/>
        <v>5.26</v>
      </c>
    </row>
    <row r="2872" ht="15.0" customHeight="1">
      <c r="A2872" s="10" t="s">
        <v>32</v>
      </c>
      <c r="B2872" s="10"/>
      <c r="C2872" s="10" t="s">
        <v>33</v>
      </c>
      <c r="D2872" s="10" t="s">
        <v>34</v>
      </c>
      <c r="E2872" s="14">
        <v>3.0</v>
      </c>
      <c r="F2872" s="15">
        <f>ROUND(5.26,3)</f>
        <v>5.26</v>
      </c>
      <c r="G2872" s="12">
        <f>ROUND((E2872*F2872)/100,2)</f>
        <v>0.16</v>
      </c>
    </row>
    <row r="2873" ht="15.0" customHeight="1">
      <c r="A2873" s="16"/>
      <c r="B2873" s="16"/>
      <c r="C2873" s="16"/>
      <c r="D2873" s="17" t="s">
        <v>1320</v>
      </c>
      <c r="E2873" s="16"/>
      <c r="F2873" s="18">
        <f>ROUND((G2866+G2867+G2872)*(1+G2/100),2)</f>
        <v>8.78</v>
      </c>
      <c r="G2873" s="16"/>
    </row>
    <row r="2874" ht="21.0" customHeight="1">
      <c r="A2874" s="19" t="s">
        <v>1323</v>
      </c>
      <c r="B2874" s="20" t="s">
        <v>18</v>
      </c>
      <c r="C2874" s="20" t="s">
        <v>858</v>
      </c>
      <c r="D2874" s="20" t="s">
        <v>1324</v>
      </c>
      <c r="E2874" s="21"/>
      <c r="F2874" s="22">
        <f>F2878</f>
        <v>645</v>
      </c>
      <c r="G2874" s="21"/>
    </row>
    <row r="2875" ht="39.75" customHeight="1">
      <c r="A2875" s="11"/>
      <c r="B2875" s="11"/>
      <c r="C2875" s="11"/>
      <c r="D2875" s="10" t="s">
        <v>1325</v>
      </c>
    </row>
    <row r="2876" ht="15.0" customHeight="1">
      <c r="A2876" s="10" t="s">
        <v>1326</v>
      </c>
      <c r="B2876" s="10" t="s">
        <v>42</v>
      </c>
      <c r="C2876" s="10" t="s">
        <v>1181</v>
      </c>
      <c r="D2876" s="10" t="s">
        <v>1327</v>
      </c>
      <c r="E2876" s="14">
        <v>1.0</v>
      </c>
      <c r="F2876" s="15">
        <f>ROUND(380,3)</f>
        <v>380</v>
      </c>
      <c r="G2876" s="12">
        <f t="shared" ref="G2876:G2877" si="510">ROUND(E2876*F2876,2)</f>
        <v>380</v>
      </c>
    </row>
    <row r="2877" ht="30.0" customHeight="1">
      <c r="A2877" s="10" t="s">
        <v>1328</v>
      </c>
      <c r="B2877" s="10" t="s">
        <v>112</v>
      </c>
      <c r="C2877" s="10" t="s">
        <v>255</v>
      </c>
      <c r="D2877" s="10" t="s">
        <v>1329</v>
      </c>
      <c r="E2877" s="14">
        <v>1.0</v>
      </c>
      <c r="F2877" s="15">
        <f>ROUND(265,3)</f>
        <v>265</v>
      </c>
      <c r="G2877" s="12">
        <f t="shared" si="510"/>
        <v>265</v>
      </c>
    </row>
    <row r="2878" ht="15.0" customHeight="1">
      <c r="A2878" s="16"/>
      <c r="B2878" s="16"/>
      <c r="C2878" s="16"/>
      <c r="D2878" s="17" t="s">
        <v>1323</v>
      </c>
      <c r="E2878" s="16"/>
      <c r="F2878" s="18">
        <f>ROUND((G2876+G2877)*(1+G2/100),2)</f>
        <v>645</v>
      </c>
      <c r="G2878" s="16"/>
    </row>
    <row r="2879" ht="15.0" customHeight="1">
      <c r="A2879" s="19" t="s">
        <v>1330</v>
      </c>
      <c r="B2879" s="20" t="s">
        <v>18</v>
      </c>
      <c r="C2879" s="20" t="s">
        <v>251</v>
      </c>
      <c r="D2879" s="20" t="s">
        <v>1331</v>
      </c>
      <c r="E2879" s="21"/>
      <c r="F2879" s="22">
        <f>F2893</f>
        <v>167.6</v>
      </c>
      <c r="G2879" s="21"/>
    </row>
    <row r="2880" ht="113.25" customHeight="1">
      <c r="A2880" s="11"/>
      <c r="B2880" s="11"/>
      <c r="C2880" s="11"/>
      <c r="D2880" s="10" t="s">
        <v>1332</v>
      </c>
    </row>
    <row r="2881" ht="30.0" customHeight="1">
      <c r="A2881" s="10" t="s">
        <v>233</v>
      </c>
      <c r="B2881" s="10" t="s">
        <v>42</v>
      </c>
      <c r="C2881" s="10" t="s">
        <v>231</v>
      </c>
      <c r="D2881" s="10" t="s">
        <v>234</v>
      </c>
      <c r="E2881" s="14">
        <v>0.11</v>
      </c>
      <c r="F2881" s="15">
        <f>ROUND(23.46,3)</f>
        <v>23.46</v>
      </c>
      <c r="G2881" s="12">
        <f t="shared" ref="G2881:G2891" si="511">ROUND(E2881*F2881,2)</f>
        <v>2.58</v>
      </c>
    </row>
    <row r="2882" ht="21.0" customHeight="1">
      <c r="A2882" s="10" t="s">
        <v>235</v>
      </c>
      <c r="B2882" s="10" t="s">
        <v>42</v>
      </c>
      <c r="C2882" s="10" t="s">
        <v>231</v>
      </c>
      <c r="D2882" s="10" t="s">
        <v>236</v>
      </c>
      <c r="E2882" s="14">
        <v>0.05</v>
      </c>
      <c r="F2882" s="15">
        <f>ROUND(30.17,3)</f>
        <v>30.17</v>
      </c>
      <c r="G2882" s="12">
        <f t="shared" si="511"/>
        <v>1.51</v>
      </c>
    </row>
    <row r="2883" ht="30.0" customHeight="1">
      <c r="A2883" s="10" t="s">
        <v>1229</v>
      </c>
      <c r="B2883" s="10" t="s">
        <v>42</v>
      </c>
      <c r="C2883" s="10" t="s">
        <v>231</v>
      </c>
      <c r="D2883" s="10" t="s">
        <v>1230</v>
      </c>
      <c r="E2883" s="14">
        <v>0.03</v>
      </c>
      <c r="F2883" s="15">
        <f>ROUND(21.5,3)</f>
        <v>21.5</v>
      </c>
      <c r="G2883" s="12">
        <f t="shared" si="511"/>
        <v>0.65</v>
      </c>
    </row>
    <row r="2884" ht="21.0" customHeight="1">
      <c r="A2884" s="10" t="s">
        <v>1239</v>
      </c>
      <c r="B2884" s="10" t="s">
        <v>42</v>
      </c>
      <c r="C2884" s="10" t="s">
        <v>344</v>
      </c>
      <c r="D2884" s="10" t="s">
        <v>1240</v>
      </c>
      <c r="E2884" s="14">
        <v>10.0</v>
      </c>
      <c r="F2884" s="15">
        <f>ROUND(3.54,3)</f>
        <v>3.54</v>
      </c>
      <c r="G2884" s="12">
        <f t="shared" si="511"/>
        <v>35.4</v>
      </c>
    </row>
    <row r="2885" ht="21.0" customHeight="1">
      <c r="A2885" s="10" t="s">
        <v>1333</v>
      </c>
      <c r="B2885" s="10" t="s">
        <v>42</v>
      </c>
      <c r="C2885" s="10" t="s">
        <v>226</v>
      </c>
      <c r="D2885" s="10" t="s">
        <v>1334</v>
      </c>
      <c r="E2885" s="14">
        <v>0.01</v>
      </c>
      <c r="F2885" s="15">
        <f>ROUND(60.94,3)</f>
        <v>60.94</v>
      </c>
      <c r="G2885" s="12">
        <f t="shared" si="511"/>
        <v>0.61</v>
      </c>
    </row>
    <row r="2886" ht="21.0" customHeight="1">
      <c r="A2886" s="10" t="s">
        <v>1335</v>
      </c>
      <c r="B2886" s="10" t="s">
        <v>42</v>
      </c>
      <c r="C2886" s="10" t="s">
        <v>184</v>
      </c>
      <c r="D2886" s="10" t="s">
        <v>1336</v>
      </c>
      <c r="E2886" s="14">
        <v>22.0</v>
      </c>
      <c r="F2886" s="15">
        <f>ROUND(2.28,3)</f>
        <v>2.28</v>
      </c>
      <c r="G2886" s="12">
        <f t="shared" si="511"/>
        <v>50.16</v>
      </c>
    </row>
    <row r="2887" ht="21.0" customHeight="1">
      <c r="A2887" s="10" t="s">
        <v>22</v>
      </c>
      <c r="B2887" s="10" t="s">
        <v>18</v>
      </c>
      <c r="C2887" s="10" t="s">
        <v>23</v>
      </c>
      <c r="D2887" s="10" t="s">
        <v>24</v>
      </c>
      <c r="E2887" s="14">
        <v>1.7</v>
      </c>
      <c r="F2887" s="15">
        <f>F2891</f>
        <v>43.8</v>
      </c>
      <c r="G2887" s="12">
        <f t="shared" si="511"/>
        <v>74.46</v>
      </c>
    </row>
    <row r="2888" ht="24.0" customHeight="1">
      <c r="A2888" s="10" t="s">
        <v>25</v>
      </c>
      <c r="B2888" s="10" t="s">
        <v>26</v>
      </c>
      <c r="C2888" s="10" t="s">
        <v>23</v>
      </c>
      <c r="D2888" s="10" t="s">
        <v>27</v>
      </c>
      <c r="E2888" s="14">
        <v>1.0</v>
      </c>
      <c r="F2888" s="15">
        <f>ROUND(21,3)</f>
        <v>21</v>
      </c>
      <c r="G2888" s="12">
        <f t="shared" si="511"/>
        <v>21</v>
      </c>
    </row>
    <row r="2889" ht="24.0" customHeight="1">
      <c r="A2889" s="10" t="s">
        <v>28</v>
      </c>
      <c r="B2889" s="10" t="s">
        <v>26</v>
      </c>
      <c r="C2889" s="10" t="s">
        <v>23</v>
      </c>
      <c r="D2889" s="10" t="s">
        <v>29</v>
      </c>
      <c r="E2889" s="14">
        <v>1.0</v>
      </c>
      <c r="F2889" s="15">
        <f t="shared" ref="F2889:F2890" si="512">ROUND(19,3)</f>
        <v>19</v>
      </c>
      <c r="G2889" s="12">
        <f t="shared" si="511"/>
        <v>19</v>
      </c>
    </row>
    <row r="2890" ht="24.0" customHeight="1">
      <c r="A2890" s="10" t="s">
        <v>30</v>
      </c>
      <c r="B2890" s="10" t="s">
        <v>26</v>
      </c>
      <c r="C2890" s="10" t="s">
        <v>23</v>
      </c>
      <c r="D2890" s="10" t="s">
        <v>31</v>
      </c>
      <c r="E2890" s="14">
        <v>0.2</v>
      </c>
      <c r="F2890" s="15">
        <f t="shared" si="512"/>
        <v>19</v>
      </c>
      <c r="G2890" s="12">
        <f t="shared" si="511"/>
        <v>3.8</v>
      </c>
    </row>
    <row r="2891" ht="15.0" customHeight="1">
      <c r="A2891" s="11"/>
      <c r="B2891" s="11"/>
      <c r="C2891" s="11"/>
      <c r="D2891" s="10" t="s">
        <v>22</v>
      </c>
      <c r="E2891" s="14">
        <v>1.7</v>
      </c>
      <c r="F2891" s="15">
        <f>ROUND((G2888+G2889+G2890),3)</f>
        <v>43.8</v>
      </c>
      <c r="G2891" s="12">
        <f t="shared" si="511"/>
        <v>74.46</v>
      </c>
    </row>
    <row r="2892" ht="15.0" customHeight="1">
      <c r="A2892" s="10" t="s">
        <v>32</v>
      </c>
      <c r="B2892" s="10"/>
      <c r="C2892" s="10" t="s">
        <v>33</v>
      </c>
      <c r="D2892" s="10" t="s">
        <v>34</v>
      </c>
      <c r="E2892" s="14">
        <v>3.0</v>
      </c>
      <c r="F2892" s="15">
        <f>ROUND(74.46,3)</f>
        <v>74.46</v>
      </c>
      <c r="G2892" s="12">
        <f>ROUND((E2892*F2892)/100,2)</f>
        <v>2.23</v>
      </c>
    </row>
    <row r="2893" ht="15.0" customHeight="1">
      <c r="A2893" s="16"/>
      <c r="B2893" s="16"/>
      <c r="C2893" s="16"/>
      <c r="D2893" s="17" t="s">
        <v>1330</v>
      </c>
      <c r="E2893" s="16"/>
      <c r="F2893" s="18">
        <f>ROUND((G2881+G2882+G2883+G2884+G2885+G2886+G2887+G2892)*(1+G2/100),2)</f>
        <v>167.6</v>
      </c>
      <c r="G2893" s="16"/>
    </row>
    <row r="2894" ht="15.0" customHeight="1">
      <c r="A2894" s="19" t="s">
        <v>1337</v>
      </c>
      <c r="B2894" s="20" t="s">
        <v>18</v>
      </c>
      <c r="C2894" s="20" t="s">
        <v>295</v>
      </c>
      <c r="D2894" s="20" t="s">
        <v>1338</v>
      </c>
      <c r="E2894" s="21"/>
      <c r="F2894" s="22">
        <f>F2906</f>
        <v>12.75</v>
      </c>
      <c r="G2894" s="21"/>
    </row>
    <row r="2895" ht="30.0" customHeight="1">
      <c r="A2895" s="11"/>
      <c r="B2895" s="11"/>
      <c r="C2895" s="11"/>
      <c r="D2895" s="10" t="s">
        <v>1339</v>
      </c>
    </row>
    <row r="2896" ht="39.75" customHeight="1">
      <c r="A2896" s="10" t="s">
        <v>1340</v>
      </c>
      <c r="B2896" s="10" t="s">
        <v>42</v>
      </c>
      <c r="C2896" s="10" t="s">
        <v>1245</v>
      </c>
      <c r="D2896" s="10" t="s">
        <v>1341</v>
      </c>
      <c r="E2896" s="14">
        <v>0.1</v>
      </c>
      <c r="F2896" s="15">
        <f>ROUND(7.37,3)</f>
        <v>7.37</v>
      </c>
      <c r="G2896" s="12">
        <f t="shared" ref="G2896:G2904" si="513">ROUND(E2896*F2896,2)</f>
        <v>0.74</v>
      </c>
    </row>
    <row r="2897" ht="39.75" customHeight="1">
      <c r="A2897" s="10" t="s">
        <v>1342</v>
      </c>
      <c r="B2897" s="10" t="s">
        <v>42</v>
      </c>
      <c r="C2897" s="10" t="s">
        <v>330</v>
      </c>
      <c r="D2897" s="10" t="s">
        <v>1343</v>
      </c>
      <c r="E2897" s="14">
        <v>0.25</v>
      </c>
      <c r="F2897" s="15">
        <f>ROUND(11.38,3)</f>
        <v>11.38</v>
      </c>
      <c r="G2897" s="12">
        <f t="shared" si="513"/>
        <v>2.85</v>
      </c>
    </row>
    <row r="2898" ht="30.0" customHeight="1">
      <c r="A2898" s="10" t="s">
        <v>971</v>
      </c>
      <c r="B2898" s="10" t="s">
        <v>42</v>
      </c>
      <c r="C2898" s="10" t="s">
        <v>231</v>
      </c>
      <c r="D2898" s="10" t="s">
        <v>972</v>
      </c>
      <c r="E2898" s="14">
        <v>0.1</v>
      </c>
      <c r="F2898" s="15">
        <f>ROUND(4.92,3)</f>
        <v>4.92</v>
      </c>
      <c r="G2898" s="12">
        <f t="shared" si="513"/>
        <v>0.49</v>
      </c>
    </row>
    <row r="2899" ht="21.0" customHeight="1">
      <c r="A2899" s="10" t="s">
        <v>1344</v>
      </c>
      <c r="B2899" s="10" t="s">
        <v>42</v>
      </c>
      <c r="C2899" s="10" t="s">
        <v>231</v>
      </c>
      <c r="D2899" s="10" t="s">
        <v>1345</v>
      </c>
      <c r="E2899" s="14">
        <v>0.1</v>
      </c>
      <c r="F2899" s="15">
        <f>ROUND(5.52,3)</f>
        <v>5.52</v>
      </c>
      <c r="G2899" s="12">
        <f t="shared" si="513"/>
        <v>0.55</v>
      </c>
    </row>
    <row r="2900" ht="21.0" customHeight="1">
      <c r="A2900" s="10" t="s">
        <v>22</v>
      </c>
      <c r="B2900" s="10" t="s">
        <v>18</v>
      </c>
      <c r="C2900" s="10" t="s">
        <v>23</v>
      </c>
      <c r="D2900" s="10" t="s">
        <v>24</v>
      </c>
      <c r="E2900" s="14">
        <v>0.18</v>
      </c>
      <c r="F2900" s="15">
        <f>F2904</f>
        <v>43.8</v>
      </c>
      <c r="G2900" s="12">
        <f t="shared" si="513"/>
        <v>7.88</v>
      </c>
    </row>
    <row r="2901" ht="24.0" customHeight="1">
      <c r="A2901" s="10" t="s">
        <v>25</v>
      </c>
      <c r="B2901" s="10" t="s">
        <v>26</v>
      </c>
      <c r="C2901" s="10" t="s">
        <v>23</v>
      </c>
      <c r="D2901" s="10" t="s">
        <v>27</v>
      </c>
      <c r="E2901" s="14">
        <v>1.0</v>
      </c>
      <c r="F2901" s="15">
        <f>ROUND(21,3)</f>
        <v>21</v>
      </c>
      <c r="G2901" s="12">
        <f t="shared" si="513"/>
        <v>21</v>
      </c>
    </row>
    <row r="2902" ht="24.0" customHeight="1">
      <c r="A2902" s="10" t="s">
        <v>28</v>
      </c>
      <c r="B2902" s="10" t="s">
        <v>26</v>
      </c>
      <c r="C2902" s="10" t="s">
        <v>23</v>
      </c>
      <c r="D2902" s="10" t="s">
        <v>29</v>
      </c>
      <c r="E2902" s="14">
        <v>1.0</v>
      </c>
      <c r="F2902" s="15">
        <f t="shared" ref="F2902:F2903" si="514">ROUND(19,3)</f>
        <v>19</v>
      </c>
      <c r="G2902" s="12">
        <f t="shared" si="513"/>
        <v>19</v>
      </c>
    </row>
    <row r="2903" ht="24.0" customHeight="1">
      <c r="A2903" s="10" t="s">
        <v>30</v>
      </c>
      <c r="B2903" s="10" t="s">
        <v>26</v>
      </c>
      <c r="C2903" s="10" t="s">
        <v>23</v>
      </c>
      <c r="D2903" s="10" t="s">
        <v>31</v>
      </c>
      <c r="E2903" s="14">
        <v>0.2</v>
      </c>
      <c r="F2903" s="15">
        <f t="shared" si="514"/>
        <v>19</v>
      </c>
      <c r="G2903" s="12">
        <f t="shared" si="513"/>
        <v>3.8</v>
      </c>
    </row>
    <row r="2904" ht="15.0" customHeight="1">
      <c r="A2904" s="11"/>
      <c r="B2904" s="11"/>
      <c r="C2904" s="11"/>
      <c r="D2904" s="10" t="s">
        <v>22</v>
      </c>
      <c r="E2904" s="14">
        <v>0.18</v>
      </c>
      <c r="F2904" s="15">
        <f>ROUND((G2901+G2902+G2903),3)</f>
        <v>43.8</v>
      </c>
      <c r="G2904" s="12">
        <f t="shared" si="513"/>
        <v>7.88</v>
      </c>
    </row>
    <row r="2905" ht="15.0" customHeight="1">
      <c r="A2905" s="10" t="s">
        <v>32</v>
      </c>
      <c r="B2905" s="10"/>
      <c r="C2905" s="10" t="s">
        <v>33</v>
      </c>
      <c r="D2905" s="10" t="s">
        <v>34</v>
      </c>
      <c r="E2905" s="14">
        <v>3.0</v>
      </c>
      <c r="F2905" s="15">
        <f>ROUND(7.88,3)</f>
        <v>7.88</v>
      </c>
      <c r="G2905" s="12">
        <f>ROUND((E2905*F2905)/100,2)</f>
        <v>0.24</v>
      </c>
    </row>
    <row r="2906" ht="15.0" customHeight="1">
      <c r="A2906" s="16"/>
      <c r="B2906" s="16"/>
      <c r="C2906" s="16"/>
      <c r="D2906" s="17" t="s">
        <v>1337</v>
      </c>
      <c r="E2906" s="16"/>
      <c r="F2906" s="18">
        <f>ROUND((G2896+G2897+G2898+G2899+G2900+G2905)*(1+G2/100),2)</f>
        <v>12.75</v>
      </c>
      <c r="G2906" s="16"/>
    </row>
    <row r="2907" ht="15.0" customHeight="1">
      <c r="A2907" s="19" t="s">
        <v>1346</v>
      </c>
      <c r="B2907" s="20" t="s">
        <v>18</v>
      </c>
      <c r="C2907" s="20" t="s">
        <v>537</v>
      </c>
      <c r="D2907" s="20" t="s">
        <v>1347</v>
      </c>
      <c r="E2907" s="21"/>
      <c r="F2907" s="22">
        <f>F2916</f>
        <v>8.55</v>
      </c>
      <c r="G2907" s="21"/>
    </row>
    <row r="2908" ht="12.0" customHeight="1">
      <c r="A2908" s="11"/>
      <c r="B2908" s="11"/>
      <c r="C2908" s="11"/>
      <c r="D2908" s="10" t="s">
        <v>1348</v>
      </c>
    </row>
    <row r="2909" ht="39.75" customHeight="1">
      <c r="A2909" s="10" t="s">
        <v>1349</v>
      </c>
      <c r="B2909" s="10" t="s">
        <v>42</v>
      </c>
      <c r="C2909" s="10" t="s">
        <v>231</v>
      </c>
      <c r="D2909" s="10" t="s">
        <v>1350</v>
      </c>
      <c r="E2909" s="14">
        <v>0.44</v>
      </c>
      <c r="F2909" s="15">
        <f>ROUND(4.05,3)</f>
        <v>4.05</v>
      </c>
      <c r="G2909" s="12">
        <f t="shared" ref="G2909:G2914" si="515">ROUND(E2909*F2909,2)</f>
        <v>1.78</v>
      </c>
    </row>
    <row r="2910" ht="21.0" customHeight="1">
      <c r="A2910" s="10" t="s">
        <v>22</v>
      </c>
      <c r="B2910" s="10" t="s">
        <v>18</v>
      </c>
      <c r="C2910" s="10" t="s">
        <v>23</v>
      </c>
      <c r="D2910" s="10" t="s">
        <v>24</v>
      </c>
      <c r="E2910" s="14">
        <v>0.15</v>
      </c>
      <c r="F2910" s="15">
        <f>F2914</f>
        <v>43.8</v>
      </c>
      <c r="G2910" s="12">
        <f t="shared" si="515"/>
        <v>6.57</v>
      </c>
    </row>
    <row r="2911" ht="24.0" customHeight="1">
      <c r="A2911" s="10" t="s">
        <v>25</v>
      </c>
      <c r="B2911" s="10" t="s">
        <v>26</v>
      </c>
      <c r="C2911" s="10" t="s">
        <v>23</v>
      </c>
      <c r="D2911" s="10" t="s">
        <v>27</v>
      </c>
      <c r="E2911" s="14">
        <v>1.0</v>
      </c>
      <c r="F2911" s="15">
        <f>ROUND(21,3)</f>
        <v>21</v>
      </c>
      <c r="G2911" s="12">
        <f t="shared" si="515"/>
        <v>21</v>
      </c>
    </row>
    <row r="2912" ht="24.0" customHeight="1">
      <c r="A2912" s="10" t="s">
        <v>28</v>
      </c>
      <c r="B2912" s="10" t="s">
        <v>26</v>
      </c>
      <c r="C2912" s="10" t="s">
        <v>23</v>
      </c>
      <c r="D2912" s="10" t="s">
        <v>29</v>
      </c>
      <c r="E2912" s="14">
        <v>1.0</v>
      </c>
      <c r="F2912" s="15">
        <f t="shared" ref="F2912:F2913" si="516">ROUND(19,3)</f>
        <v>19</v>
      </c>
      <c r="G2912" s="12">
        <f t="shared" si="515"/>
        <v>19</v>
      </c>
    </row>
    <row r="2913" ht="24.0" customHeight="1">
      <c r="A2913" s="10" t="s">
        <v>30</v>
      </c>
      <c r="B2913" s="10" t="s">
        <v>26</v>
      </c>
      <c r="C2913" s="10" t="s">
        <v>23</v>
      </c>
      <c r="D2913" s="10" t="s">
        <v>31</v>
      </c>
      <c r="E2913" s="14">
        <v>0.2</v>
      </c>
      <c r="F2913" s="15">
        <f t="shared" si="516"/>
        <v>19</v>
      </c>
      <c r="G2913" s="12">
        <f t="shared" si="515"/>
        <v>3.8</v>
      </c>
    </row>
    <row r="2914" ht="15.0" customHeight="1">
      <c r="A2914" s="11"/>
      <c r="B2914" s="11"/>
      <c r="C2914" s="11"/>
      <c r="D2914" s="10" t="s">
        <v>22</v>
      </c>
      <c r="E2914" s="14">
        <v>0.15</v>
      </c>
      <c r="F2914" s="15">
        <f>ROUND((G2911+G2912+G2913),3)</f>
        <v>43.8</v>
      </c>
      <c r="G2914" s="12">
        <f t="shared" si="515"/>
        <v>6.57</v>
      </c>
    </row>
    <row r="2915" ht="15.0" customHeight="1">
      <c r="A2915" s="10" t="s">
        <v>32</v>
      </c>
      <c r="B2915" s="10"/>
      <c r="C2915" s="10" t="s">
        <v>33</v>
      </c>
      <c r="D2915" s="10" t="s">
        <v>34</v>
      </c>
      <c r="E2915" s="14">
        <v>3.0</v>
      </c>
      <c r="F2915" s="15">
        <f>ROUND(6.57,3)</f>
        <v>6.57</v>
      </c>
      <c r="G2915" s="12">
        <f>ROUND((E2915*F2915)/100,2)</f>
        <v>0.2</v>
      </c>
    </row>
    <row r="2916" ht="15.0" customHeight="1">
      <c r="A2916" s="16"/>
      <c r="B2916" s="16"/>
      <c r="C2916" s="16"/>
      <c r="D2916" s="17" t="s">
        <v>1346</v>
      </c>
      <c r="E2916" s="16"/>
      <c r="F2916" s="18">
        <f>ROUND((G2909+G2910+G2915)*(1+G2/100),2)</f>
        <v>8.55</v>
      </c>
      <c r="G2916" s="16"/>
    </row>
    <row r="2917" ht="30.0" customHeight="1">
      <c r="A2917" s="19" t="s">
        <v>1351</v>
      </c>
      <c r="B2917" s="20" t="s">
        <v>18</v>
      </c>
      <c r="C2917" s="20" t="s">
        <v>251</v>
      </c>
      <c r="D2917" s="20" t="s">
        <v>1352</v>
      </c>
      <c r="E2917" s="21"/>
      <c r="F2917" s="22">
        <f>F2928</f>
        <v>326.3</v>
      </c>
      <c r="G2917" s="21"/>
    </row>
    <row r="2918" ht="326.25" customHeight="1">
      <c r="A2918" s="11"/>
      <c r="B2918" s="11"/>
      <c r="C2918" s="11"/>
      <c r="D2918" s="10" t="s">
        <v>1353</v>
      </c>
    </row>
    <row r="2919" ht="67.5" customHeight="1">
      <c r="A2919" s="10" t="s">
        <v>1354</v>
      </c>
      <c r="B2919" s="10" t="s">
        <v>42</v>
      </c>
      <c r="C2919" s="10" t="s">
        <v>1207</v>
      </c>
      <c r="D2919" s="10" t="s">
        <v>1355</v>
      </c>
      <c r="E2919" s="14">
        <v>0.275</v>
      </c>
      <c r="F2919" s="15">
        <f>ROUND(37.71,3)</f>
        <v>37.71</v>
      </c>
      <c r="G2919" s="12">
        <f t="shared" ref="G2919:G2926" si="517">ROUND(E2919*F2919,2)</f>
        <v>10.37</v>
      </c>
    </row>
    <row r="2920" ht="76.5" customHeight="1">
      <c r="A2920" s="10" t="s">
        <v>1356</v>
      </c>
      <c r="B2920" s="10" t="s">
        <v>42</v>
      </c>
      <c r="C2920" s="10" t="s">
        <v>1357</v>
      </c>
      <c r="D2920" s="10" t="s">
        <v>1358</v>
      </c>
      <c r="E2920" s="14">
        <v>1.1</v>
      </c>
      <c r="F2920" s="15">
        <f>ROUND(228.67,3)</f>
        <v>228.67</v>
      </c>
      <c r="G2920" s="12">
        <f t="shared" si="517"/>
        <v>251.54</v>
      </c>
    </row>
    <row r="2921" ht="95.25" customHeight="1">
      <c r="A2921" s="10" t="s">
        <v>1359</v>
      </c>
      <c r="B2921" s="10" t="s">
        <v>42</v>
      </c>
      <c r="C2921" s="10" t="s">
        <v>1207</v>
      </c>
      <c r="D2921" s="10" t="s">
        <v>1360</v>
      </c>
      <c r="E2921" s="14">
        <v>1.05</v>
      </c>
      <c r="F2921" s="15">
        <f>ROUND(33.4,3)</f>
        <v>33.4</v>
      </c>
      <c r="G2921" s="12">
        <f t="shared" si="517"/>
        <v>35.07</v>
      </c>
    </row>
    <row r="2922" ht="21.0" customHeight="1">
      <c r="A2922" s="10" t="s">
        <v>22</v>
      </c>
      <c r="B2922" s="10" t="s">
        <v>18</v>
      </c>
      <c r="C2922" s="10" t="s">
        <v>23</v>
      </c>
      <c r="D2922" s="10" t="s">
        <v>24</v>
      </c>
      <c r="E2922" s="14">
        <v>0.65</v>
      </c>
      <c r="F2922" s="15">
        <f>F2926</f>
        <v>43.8</v>
      </c>
      <c r="G2922" s="12">
        <f t="shared" si="517"/>
        <v>28.47</v>
      </c>
    </row>
    <row r="2923" ht="24.0" customHeight="1">
      <c r="A2923" s="10" t="s">
        <v>25</v>
      </c>
      <c r="B2923" s="10" t="s">
        <v>26</v>
      </c>
      <c r="C2923" s="10" t="s">
        <v>23</v>
      </c>
      <c r="D2923" s="10" t="s">
        <v>27</v>
      </c>
      <c r="E2923" s="14">
        <v>1.0</v>
      </c>
      <c r="F2923" s="15">
        <f>ROUND(21,3)</f>
        <v>21</v>
      </c>
      <c r="G2923" s="12">
        <f t="shared" si="517"/>
        <v>21</v>
      </c>
    </row>
    <row r="2924" ht="24.0" customHeight="1">
      <c r="A2924" s="10" t="s">
        <v>28</v>
      </c>
      <c r="B2924" s="10" t="s">
        <v>26</v>
      </c>
      <c r="C2924" s="10" t="s">
        <v>23</v>
      </c>
      <c r="D2924" s="10" t="s">
        <v>29</v>
      </c>
      <c r="E2924" s="14">
        <v>1.0</v>
      </c>
      <c r="F2924" s="15">
        <f t="shared" ref="F2924:F2925" si="518">ROUND(19,3)</f>
        <v>19</v>
      </c>
      <c r="G2924" s="12">
        <f t="shared" si="517"/>
        <v>19</v>
      </c>
    </row>
    <row r="2925" ht="24.0" customHeight="1">
      <c r="A2925" s="10" t="s">
        <v>30</v>
      </c>
      <c r="B2925" s="10" t="s">
        <v>26</v>
      </c>
      <c r="C2925" s="10" t="s">
        <v>23</v>
      </c>
      <c r="D2925" s="10" t="s">
        <v>31</v>
      </c>
      <c r="E2925" s="14">
        <v>0.2</v>
      </c>
      <c r="F2925" s="15">
        <f t="shared" si="518"/>
        <v>19</v>
      </c>
      <c r="G2925" s="12">
        <f t="shared" si="517"/>
        <v>3.8</v>
      </c>
    </row>
    <row r="2926" ht="15.0" customHeight="1">
      <c r="A2926" s="11"/>
      <c r="B2926" s="11"/>
      <c r="C2926" s="11"/>
      <c r="D2926" s="10" t="s">
        <v>22</v>
      </c>
      <c r="E2926" s="14">
        <v>0.65</v>
      </c>
      <c r="F2926" s="15">
        <f>ROUND((G2923+G2924+G2925),3)</f>
        <v>43.8</v>
      </c>
      <c r="G2926" s="12">
        <f t="shared" si="517"/>
        <v>28.47</v>
      </c>
    </row>
    <row r="2927" ht="15.0" customHeight="1">
      <c r="A2927" s="10" t="s">
        <v>32</v>
      </c>
      <c r="B2927" s="10"/>
      <c r="C2927" s="10" t="s">
        <v>33</v>
      </c>
      <c r="D2927" s="10" t="s">
        <v>34</v>
      </c>
      <c r="E2927" s="14">
        <v>3.0</v>
      </c>
      <c r="F2927" s="15">
        <f>ROUND(28.47,3)</f>
        <v>28.47</v>
      </c>
      <c r="G2927" s="12">
        <f>ROUND((E2927*F2927)/100,2)</f>
        <v>0.85</v>
      </c>
    </row>
    <row r="2928" ht="15.0" customHeight="1">
      <c r="A2928" s="16"/>
      <c r="B2928" s="16"/>
      <c r="C2928" s="16"/>
      <c r="D2928" s="17" t="s">
        <v>1351</v>
      </c>
      <c r="E2928" s="16"/>
      <c r="F2928" s="18">
        <f>ROUND((G2919+G2920+G2921+G2922+G2927)*(1+G2/100),2)</f>
        <v>326.3</v>
      </c>
      <c r="G2928" s="16"/>
    </row>
    <row r="2929" ht="15.0" customHeight="1">
      <c r="A2929" s="19" t="s">
        <v>1361</v>
      </c>
      <c r="B2929" s="20" t="s">
        <v>18</v>
      </c>
      <c r="C2929" s="20" t="s">
        <v>251</v>
      </c>
      <c r="D2929" s="20" t="s">
        <v>1362</v>
      </c>
      <c r="E2929" s="21"/>
      <c r="F2929" s="22">
        <f>F2941</f>
        <v>73.02</v>
      </c>
      <c r="G2929" s="21"/>
    </row>
    <row r="2930" ht="67.5" customHeight="1">
      <c r="A2930" s="11"/>
      <c r="B2930" s="11"/>
      <c r="C2930" s="11"/>
      <c r="D2930" s="10" t="s">
        <v>1363</v>
      </c>
    </row>
    <row r="2931" ht="30.0" customHeight="1">
      <c r="A2931" s="10" t="s">
        <v>233</v>
      </c>
      <c r="B2931" s="10" t="s">
        <v>42</v>
      </c>
      <c r="C2931" s="10" t="s">
        <v>231</v>
      </c>
      <c r="D2931" s="10" t="s">
        <v>234</v>
      </c>
      <c r="E2931" s="14">
        <v>0.11</v>
      </c>
      <c r="F2931" s="15">
        <f>ROUND(23.46,3)</f>
        <v>23.46</v>
      </c>
      <c r="G2931" s="12">
        <f t="shared" ref="G2931:G2939" si="519">ROUND(E2931*F2931,2)</f>
        <v>2.58</v>
      </c>
    </row>
    <row r="2932" ht="21.0" customHeight="1">
      <c r="A2932" s="10" t="s">
        <v>235</v>
      </c>
      <c r="B2932" s="10" t="s">
        <v>42</v>
      </c>
      <c r="C2932" s="10" t="s">
        <v>231</v>
      </c>
      <c r="D2932" s="10" t="s">
        <v>236</v>
      </c>
      <c r="E2932" s="14">
        <v>0.05</v>
      </c>
      <c r="F2932" s="15">
        <f>ROUND(30.17,3)</f>
        <v>30.17</v>
      </c>
      <c r="G2932" s="12">
        <f t="shared" si="519"/>
        <v>1.51</v>
      </c>
    </row>
    <row r="2933" ht="30.0" customHeight="1">
      <c r="A2933" s="10" t="s">
        <v>1229</v>
      </c>
      <c r="B2933" s="10" t="s">
        <v>42</v>
      </c>
      <c r="C2933" s="10" t="s">
        <v>231</v>
      </c>
      <c r="D2933" s="10" t="s">
        <v>1230</v>
      </c>
      <c r="E2933" s="14">
        <v>0.03</v>
      </c>
      <c r="F2933" s="15">
        <f>ROUND(21.5,3)</f>
        <v>21.5</v>
      </c>
      <c r="G2933" s="12">
        <f t="shared" si="519"/>
        <v>0.65</v>
      </c>
    </row>
    <row r="2934" ht="21.0" customHeight="1">
      <c r="A2934" s="10" t="s">
        <v>1333</v>
      </c>
      <c r="B2934" s="10" t="s">
        <v>42</v>
      </c>
      <c r="C2934" s="10" t="s">
        <v>226</v>
      </c>
      <c r="D2934" s="10" t="s">
        <v>1334</v>
      </c>
      <c r="E2934" s="14">
        <v>0.01</v>
      </c>
      <c r="F2934" s="15">
        <f>ROUND(60.94,3)</f>
        <v>60.94</v>
      </c>
      <c r="G2934" s="12">
        <f t="shared" si="519"/>
        <v>0.61</v>
      </c>
    </row>
    <row r="2935" ht="21.0" customHeight="1">
      <c r="A2935" s="10" t="s">
        <v>22</v>
      </c>
      <c r="B2935" s="10" t="s">
        <v>18</v>
      </c>
      <c r="C2935" s="10" t="s">
        <v>23</v>
      </c>
      <c r="D2935" s="10" t="s">
        <v>24</v>
      </c>
      <c r="E2935" s="14">
        <v>1.5</v>
      </c>
      <c r="F2935" s="15">
        <f>F2939</f>
        <v>43.8</v>
      </c>
      <c r="G2935" s="12">
        <f t="shared" si="519"/>
        <v>65.7</v>
      </c>
    </row>
    <row r="2936" ht="24.0" customHeight="1">
      <c r="A2936" s="10" t="s">
        <v>25</v>
      </c>
      <c r="B2936" s="10" t="s">
        <v>26</v>
      </c>
      <c r="C2936" s="10" t="s">
        <v>23</v>
      </c>
      <c r="D2936" s="10" t="s">
        <v>27</v>
      </c>
      <c r="E2936" s="14">
        <v>1.0</v>
      </c>
      <c r="F2936" s="15">
        <f>ROUND(21,3)</f>
        <v>21</v>
      </c>
      <c r="G2936" s="12">
        <f t="shared" si="519"/>
        <v>21</v>
      </c>
    </row>
    <row r="2937" ht="24.0" customHeight="1">
      <c r="A2937" s="10" t="s">
        <v>28</v>
      </c>
      <c r="B2937" s="10" t="s">
        <v>26</v>
      </c>
      <c r="C2937" s="10" t="s">
        <v>23</v>
      </c>
      <c r="D2937" s="10" t="s">
        <v>29</v>
      </c>
      <c r="E2937" s="14">
        <v>1.0</v>
      </c>
      <c r="F2937" s="15">
        <f t="shared" ref="F2937:F2938" si="520">ROUND(19,3)</f>
        <v>19</v>
      </c>
      <c r="G2937" s="12">
        <f t="shared" si="519"/>
        <v>19</v>
      </c>
    </row>
    <row r="2938" ht="24.0" customHeight="1">
      <c r="A2938" s="10" t="s">
        <v>30</v>
      </c>
      <c r="B2938" s="10" t="s">
        <v>26</v>
      </c>
      <c r="C2938" s="10" t="s">
        <v>23</v>
      </c>
      <c r="D2938" s="10" t="s">
        <v>31</v>
      </c>
      <c r="E2938" s="14">
        <v>0.2</v>
      </c>
      <c r="F2938" s="15">
        <f t="shared" si="520"/>
        <v>19</v>
      </c>
      <c r="G2938" s="12">
        <f t="shared" si="519"/>
        <v>3.8</v>
      </c>
    </row>
    <row r="2939" ht="15.0" customHeight="1">
      <c r="A2939" s="11"/>
      <c r="B2939" s="11"/>
      <c r="C2939" s="11"/>
      <c r="D2939" s="10" t="s">
        <v>22</v>
      </c>
      <c r="E2939" s="14">
        <v>1.5</v>
      </c>
      <c r="F2939" s="15">
        <f>ROUND((G2936+G2937+G2938),3)</f>
        <v>43.8</v>
      </c>
      <c r="G2939" s="12">
        <f t="shared" si="519"/>
        <v>65.7</v>
      </c>
    </row>
    <row r="2940" ht="15.0" customHeight="1">
      <c r="A2940" s="10" t="s">
        <v>32</v>
      </c>
      <c r="B2940" s="10"/>
      <c r="C2940" s="10" t="s">
        <v>33</v>
      </c>
      <c r="D2940" s="10" t="s">
        <v>34</v>
      </c>
      <c r="E2940" s="14">
        <v>3.0</v>
      </c>
      <c r="F2940" s="15">
        <f>ROUND(65.7,3)</f>
        <v>65.7</v>
      </c>
      <c r="G2940" s="12">
        <f>ROUND((E2940*F2940)/100,2)</f>
        <v>1.97</v>
      </c>
    </row>
    <row r="2941" ht="15.0" customHeight="1">
      <c r="A2941" s="16"/>
      <c r="B2941" s="16"/>
      <c r="C2941" s="16"/>
      <c r="D2941" s="17" t="s">
        <v>1361</v>
      </c>
      <c r="E2941" s="16"/>
      <c r="F2941" s="18">
        <f>ROUND((G2931+G2932+G2933+G2934+G2935+G2940)*(1+G2/100),2)</f>
        <v>73.02</v>
      </c>
      <c r="G2941" s="16"/>
    </row>
    <row r="2942" ht="24.75" customHeight="1">
      <c r="A2942" s="19" t="s">
        <v>1364</v>
      </c>
      <c r="B2942" s="20" t="s">
        <v>18</v>
      </c>
      <c r="C2942" s="20" t="s">
        <v>231</v>
      </c>
      <c r="D2942" s="20" t="s">
        <v>1365</v>
      </c>
      <c r="E2942" s="21"/>
      <c r="F2942" s="22">
        <f>F2963</f>
        <v>289.39</v>
      </c>
      <c r="G2942" s="21"/>
    </row>
    <row r="2943" ht="39.75" customHeight="1">
      <c r="A2943" s="11"/>
      <c r="B2943" s="11"/>
      <c r="C2943" s="11"/>
      <c r="D2943" s="10" t="s">
        <v>1366</v>
      </c>
    </row>
    <row r="2944" ht="48.75" customHeight="1">
      <c r="A2944" s="10" t="s">
        <v>675</v>
      </c>
      <c r="B2944" s="10" t="s">
        <v>18</v>
      </c>
      <c r="C2944" s="10" t="s">
        <v>19</v>
      </c>
      <c r="D2944" s="10" t="s">
        <v>676</v>
      </c>
      <c r="E2944" s="14">
        <v>4.7</v>
      </c>
      <c r="F2944" s="15">
        <f>F2947</f>
        <v>23</v>
      </c>
      <c r="G2944" s="12">
        <f t="shared" ref="G2944:G2945" si="521">ROUND(E2944*F2944,2)</f>
        <v>108.1</v>
      </c>
    </row>
    <row r="2945" ht="21.0" customHeight="1">
      <c r="A2945" s="10" t="s">
        <v>22</v>
      </c>
      <c r="B2945" s="10" t="s">
        <v>18</v>
      </c>
      <c r="C2945" s="10" t="s">
        <v>23</v>
      </c>
      <c r="D2945" s="10" t="s">
        <v>24</v>
      </c>
      <c r="E2945" s="14">
        <v>0.5</v>
      </c>
      <c r="F2945" s="15">
        <f>ROUND(43.8,3)</f>
        <v>43.8</v>
      </c>
      <c r="G2945" s="12">
        <f t="shared" si="521"/>
        <v>21.9</v>
      </c>
    </row>
    <row r="2946" ht="15.0" customHeight="1">
      <c r="A2946" s="10" t="s">
        <v>32</v>
      </c>
      <c r="B2946" s="10"/>
      <c r="C2946" s="10" t="s">
        <v>33</v>
      </c>
      <c r="D2946" s="10" t="s">
        <v>34</v>
      </c>
      <c r="E2946" s="14">
        <v>5.0</v>
      </c>
      <c r="F2946" s="15">
        <f>ROUND(21.9,3)</f>
        <v>21.9</v>
      </c>
      <c r="G2946" s="12">
        <f>ROUND((E2946*F2946)/100,2)</f>
        <v>1.1</v>
      </c>
    </row>
    <row r="2947" ht="15.0" customHeight="1">
      <c r="A2947" s="11"/>
      <c r="B2947" s="11"/>
      <c r="C2947" s="11"/>
      <c r="D2947" s="10" t="s">
        <v>675</v>
      </c>
      <c r="E2947" s="14">
        <v>4.7</v>
      </c>
      <c r="F2947" s="15">
        <f>ROUND((G2945+G2946),3)</f>
        <v>23</v>
      </c>
      <c r="G2947" s="12">
        <f t="shared" ref="G2947:G2953" si="522">ROUND(E2947*F2947,2)</f>
        <v>108.1</v>
      </c>
    </row>
    <row r="2948" ht="30.0" customHeight="1">
      <c r="A2948" s="10" t="s">
        <v>775</v>
      </c>
      <c r="B2948" s="10" t="s">
        <v>18</v>
      </c>
      <c r="C2948" s="10" t="s">
        <v>19</v>
      </c>
      <c r="D2948" s="10" t="s">
        <v>776</v>
      </c>
      <c r="E2948" s="14">
        <v>4.7</v>
      </c>
      <c r="F2948" s="15">
        <f>F2955</f>
        <v>26.65</v>
      </c>
      <c r="G2948" s="12">
        <f t="shared" si="522"/>
        <v>125.26</v>
      </c>
    </row>
    <row r="2949" ht="39.75" customHeight="1">
      <c r="A2949" s="10" t="s">
        <v>778</v>
      </c>
      <c r="B2949" s="10" t="s">
        <v>112</v>
      </c>
      <c r="C2949" s="10" t="s">
        <v>23</v>
      </c>
      <c r="D2949" s="10" t="s">
        <v>779</v>
      </c>
      <c r="E2949" s="14">
        <v>0.2</v>
      </c>
      <c r="F2949" s="15">
        <f>ROUND(2,3)</f>
        <v>2</v>
      </c>
      <c r="G2949" s="12">
        <f t="shared" si="522"/>
        <v>0.4</v>
      </c>
    </row>
    <row r="2950" ht="30.0" customHeight="1">
      <c r="A2950" s="10" t="s">
        <v>780</v>
      </c>
      <c r="B2950" s="10" t="s">
        <v>112</v>
      </c>
      <c r="C2950" s="10" t="s">
        <v>23</v>
      </c>
      <c r="D2950" s="10" t="s">
        <v>781</v>
      </c>
      <c r="E2950" s="14">
        <v>0.2</v>
      </c>
      <c r="F2950" s="15">
        <f>ROUND(1.875,3)</f>
        <v>1.875</v>
      </c>
      <c r="G2950" s="12">
        <f t="shared" si="522"/>
        <v>0.38</v>
      </c>
    </row>
    <row r="2951" ht="39.75" customHeight="1">
      <c r="A2951" s="10" t="s">
        <v>188</v>
      </c>
      <c r="B2951" s="10" t="s">
        <v>112</v>
      </c>
      <c r="C2951" s="10" t="s">
        <v>23</v>
      </c>
      <c r="D2951" s="10" t="s">
        <v>189</v>
      </c>
      <c r="E2951" s="14">
        <v>0.2</v>
      </c>
      <c r="F2951" s="15">
        <f>ROUND(7.565,3)</f>
        <v>7.565</v>
      </c>
      <c r="G2951" s="12">
        <f t="shared" si="522"/>
        <v>1.51</v>
      </c>
    </row>
    <row r="2952" ht="21.0" customHeight="1">
      <c r="A2952" s="10" t="s">
        <v>773</v>
      </c>
      <c r="B2952" s="10" t="s">
        <v>112</v>
      </c>
      <c r="C2952" s="10" t="s">
        <v>23</v>
      </c>
      <c r="D2952" s="10" t="s">
        <v>774</v>
      </c>
      <c r="E2952" s="14">
        <v>0.1</v>
      </c>
      <c r="F2952" s="15">
        <f>ROUND(3,3)</f>
        <v>3</v>
      </c>
      <c r="G2952" s="12">
        <f t="shared" si="522"/>
        <v>0.3</v>
      </c>
    </row>
    <row r="2953" ht="21.0" customHeight="1">
      <c r="A2953" s="10" t="s">
        <v>22</v>
      </c>
      <c r="B2953" s="10" t="s">
        <v>18</v>
      </c>
      <c r="C2953" s="10" t="s">
        <v>23</v>
      </c>
      <c r="D2953" s="10" t="s">
        <v>24</v>
      </c>
      <c r="E2953" s="14">
        <v>0.53333</v>
      </c>
      <c r="F2953" s="15">
        <f>ROUND(43.8,3)</f>
        <v>43.8</v>
      </c>
      <c r="G2953" s="12">
        <f t="shared" si="522"/>
        <v>23.36</v>
      </c>
    </row>
    <row r="2954" ht="15.0" customHeight="1">
      <c r="A2954" s="10" t="s">
        <v>32</v>
      </c>
      <c r="B2954" s="10"/>
      <c r="C2954" s="10" t="s">
        <v>33</v>
      </c>
      <c r="D2954" s="10" t="s">
        <v>34</v>
      </c>
      <c r="E2954" s="14">
        <v>3.0</v>
      </c>
      <c r="F2954" s="15">
        <f>ROUND(23.36,3)</f>
        <v>23.36</v>
      </c>
      <c r="G2954" s="12">
        <f>ROUND((E2954*F2954)/100,2)</f>
        <v>0.7</v>
      </c>
    </row>
    <row r="2955" ht="15.0" customHeight="1">
      <c r="A2955" s="11"/>
      <c r="B2955" s="11"/>
      <c r="C2955" s="11"/>
      <c r="D2955" s="10" t="s">
        <v>775</v>
      </c>
      <c r="E2955" s="14">
        <v>4.7</v>
      </c>
      <c r="F2955" s="15">
        <f>ROUND((G2949+G2950+G2951+G2952+G2953+G2954),3)</f>
        <v>26.65</v>
      </c>
      <c r="G2955" s="12">
        <f t="shared" ref="G2955:G2959" si="523">ROUND(E2955*F2955,2)</f>
        <v>125.26</v>
      </c>
    </row>
    <row r="2956" ht="24.0" customHeight="1">
      <c r="A2956" s="10" t="s">
        <v>1367</v>
      </c>
      <c r="B2956" s="10" t="s">
        <v>18</v>
      </c>
      <c r="C2956" s="10" t="s">
        <v>1181</v>
      </c>
      <c r="D2956" s="10" t="s">
        <v>1368</v>
      </c>
      <c r="E2956" s="14">
        <v>1.0</v>
      </c>
      <c r="F2956" s="15">
        <f>F2961</f>
        <v>56.03</v>
      </c>
      <c r="G2956" s="12">
        <f t="shared" si="523"/>
        <v>56.03</v>
      </c>
    </row>
    <row r="2957" ht="15.0" customHeight="1">
      <c r="A2957" s="10" t="s">
        <v>365</v>
      </c>
      <c r="B2957" s="10" t="s">
        <v>42</v>
      </c>
      <c r="C2957" s="10" t="s">
        <v>184</v>
      </c>
      <c r="D2957" s="10" t="s">
        <v>366</v>
      </c>
      <c r="E2957" s="14">
        <v>1.0</v>
      </c>
      <c r="F2957" s="15">
        <f>ROUND(32,3)</f>
        <v>32</v>
      </c>
      <c r="G2957" s="12">
        <f t="shared" si="523"/>
        <v>32</v>
      </c>
    </row>
    <row r="2958" ht="30.0" customHeight="1">
      <c r="A2958" s="10" t="s">
        <v>363</v>
      </c>
      <c r="B2958" s="10" t="s">
        <v>42</v>
      </c>
      <c r="C2958" s="10" t="s">
        <v>231</v>
      </c>
      <c r="D2958" s="10" t="s">
        <v>364</v>
      </c>
      <c r="E2958" s="14">
        <v>10.66667</v>
      </c>
      <c r="F2958" s="15">
        <f>ROUND(0.17,3)</f>
        <v>0.17</v>
      </c>
      <c r="G2958" s="12">
        <f t="shared" si="523"/>
        <v>1.81</v>
      </c>
    </row>
    <row r="2959" ht="21.0" customHeight="1">
      <c r="A2959" s="10" t="s">
        <v>22</v>
      </c>
      <c r="B2959" s="10" t="s">
        <v>18</v>
      </c>
      <c r="C2959" s="10" t="s">
        <v>23</v>
      </c>
      <c r="D2959" s="10" t="s">
        <v>24</v>
      </c>
      <c r="E2959" s="14">
        <v>0.5</v>
      </c>
      <c r="F2959" s="15">
        <f>ROUND(43.8,3)</f>
        <v>43.8</v>
      </c>
      <c r="G2959" s="12">
        <f t="shared" si="523"/>
        <v>21.9</v>
      </c>
    </row>
    <row r="2960" ht="15.0" customHeight="1">
      <c r="A2960" s="10" t="s">
        <v>1369</v>
      </c>
      <c r="B2960" s="10"/>
      <c r="C2960" s="10" t="s">
        <v>33</v>
      </c>
      <c r="D2960" s="10" t="s">
        <v>1370</v>
      </c>
      <c r="E2960" s="14">
        <v>1.0</v>
      </c>
      <c r="F2960" s="15">
        <f>ROUND(32,3)</f>
        <v>32</v>
      </c>
      <c r="G2960" s="12">
        <f>ROUND((E2960*F2960)/100,2)</f>
        <v>0.32</v>
      </c>
    </row>
    <row r="2961" ht="15.0" customHeight="1">
      <c r="A2961" s="11"/>
      <c r="B2961" s="11"/>
      <c r="C2961" s="11"/>
      <c r="D2961" s="10" t="s">
        <v>1367</v>
      </c>
      <c r="E2961" s="14">
        <v>1.0</v>
      </c>
      <c r="F2961" s="15">
        <f>ROUND((G2957+G2958+G2959+G2960),3)</f>
        <v>56.03</v>
      </c>
      <c r="G2961" s="12">
        <f t="shared" ref="G2961:G2962" si="524">ROUND(E2961*F2961,2)</f>
        <v>56.03</v>
      </c>
    </row>
    <row r="2962" ht="30.0" customHeight="1">
      <c r="A2962" s="10" t="s">
        <v>1371</v>
      </c>
      <c r="B2962" s="10" t="s">
        <v>42</v>
      </c>
      <c r="C2962" s="10" t="s">
        <v>1207</v>
      </c>
      <c r="D2962" s="10" t="s">
        <v>1372</v>
      </c>
      <c r="E2962" s="14">
        <v>0.0</v>
      </c>
      <c r="F2962" s="15">
        <f>ROUND(1.7,3)</f>
        <v>1.7</v>
      </c>
      <c r="G2962" s="12">
        <f t="shared" si="524"/>
        <v>0</v>
      </c>
    </row>
    <row r="2963" ht="15.0" customHeight="1">
      <c r="A2963" s="16"/>
      <c r="B2963" s="16"/>
      <c r="C2963" s="16"/>
      <c r="D2963" s="17" t="s">
        <v>1364</v>
      </c>
      <c r="E2963" s="16"/>
      <c r="F2963" s="18">
        <f>ROUND((G2944+G2948+G2956+G2962)*(1+G2/100),2)</f>
        <v>289.39</v>
      </c>
      <c r="G2963" s="16"/>
    </row>
    <row r="2964" ht="85.5" customHeight="1">
      <c r="A2964" s="19" t="s">
        <v>1373</v>
      </c>
      <c r="B2964" s="20" t="s">
        <v>18</v>
      </c>
      <c r="C2964" s="20" t="s">
        <v>231</v>
      </c>
      <c r="D2964" s="20" t="s">
        <v>1374</v>
      </c>
      <c r="E2964" s="21"/>
      <c r="F2964" s="22">
        <f>F2982</f>
        <v>497.33</v>
      </c>
      <c r="G2964" s="21"/>
    </row>
    <row r="2965" ht="39.75" customHeight="1">
      <c r="A2965" s="11"/>
      <c r="B2965" s="11"/>
      <c r="C2965" s="11"/>
      <c r="D2965" s="10" t="s">
        <v>1375</v>
      </c>
    </row>
    <row r="2966" ht="21.0" customHeight="1">
      <c r="A2966" s="10" t="s">
        <v>1376</v>
      </c>
      <c r="B2966" s="10" t="s">
        <v>42</v>
      </c>
      <c r="C2966" s="10" t="s">
        <v>344</v>
      </c>
      <c r="D2966" s="10" t="s">
        <v>1377</v>
      </c>
      <c r="E2966" s="14">
        <v>4.55</v>
      </c>
      <c r="F2966" s="15">
        <f>ROUND(4.98,3)</f>
        <v>4.98</v>
      </c>
      <c r="G2966" s="12">
        <f t="shared" ref="G2966:G2980" si="525">ROUND(E2966*F2966,2)</f>
        <v>22.66</v>
      </c>
    </row>
    <row r="2967" ht="30.0" customHeight="1">
      <c r="A2967" s="10" t="s">
        <v>1378</v>
      </c>
      <c r="B2967" s="10" t="s">
        <v>42</v>
      </c>
      <c r="C2967" s="10" t="s">
        <v>330</v>
      </c>
      <c r="D2967" s="10" t="s">
        <v>1379</v>
      </c>
      <c r="E2967" s="14">
        <v>4.0</v>
      </c>
      <c r="F2967" s="15">
        <f>ROUND(6.14,3)</f>
        <v>6.14</v>
      </c>
      <c r="G2967" s="12">
        <f t="shared" si="525"/>
        <v>24.56</v>
      </c>
    </row>
    <row r="2968" ht="39.75" customHeight="1">
      <c r="A2968" s="10" t="s">
        <v>1340</v>
      </c>
      <c r="B2968" s="10" t="s">
        <v>42</v>
      </c>
      <c r="C2968" s="10" t="s">
        <v>1245</v>
      </c>
      <c r="D2968" s="10" t="s">
        <v>1341</v>
      </c>
      <c r="E2968" s="14">
        <v>3.0</v>
      </c>
      <c r="F2968" s="15">
        <f>ROUND(7.37,3)</f>
        <v>7.37</v>
      </c>
      <c r="G2968" s="12">
        <f t="shared" si="525"/>
        <v>22.11</v>
      </c>
    </row>
    <row r="2969" ht="39.75" customHeight="1">
      <c r="A2969" s="10" t="s">
        <v>1380</v>
      </c>
      <c r="B2969" s="10" t="s">
        <v>42</v>
      </c>
      <c r="C2969" s="10" t="s">
        <v>344</v>
      </c>
      <c r="D2969" s="10" t="s">
        <v>1381</v>
      </c>
      <c r="E2969" s="14">
        <v>1.0</v>
      </c>
      <c r="F2969" s="15">
        <f>ROUND(20.13,3)</f>
        <v>20.13</v>
      </c>
      <c r="G2969" s="12">
        <f t="shared" si="525"/>
        <v>20.13</v>
      </c>
    </row>
    <row r="2970" ht="30.0" customHeight="1">
      <c r="A2970" s="10" t="s">
        <v>1006</v>
      </c>
      <c r="B2970" s="10" t="s">
        <v>42</v>
      </c>
      <c r="C2970" s="10" t="s">
        <v>184</v>
      </c>
      <c r="D2970" s="10" t="s">
        <v>1007</v>
      </c>
      <c r="E2970" s="14">
        <v>1.0</v>
      </c>
      <c r="F2970" s="15">
        <f>ROUND(16.81,3)</f>
        <v>16.81</v>
      </c>
      <c r="G2970" s="12">
        <f t="shared" si="525"/>
        <v>16.81</v>
      </c>
    </row>
    <row r="2971" ht="30.0" customHeight="1">
      <c r="A2971" s="10" t="s">
        <v>233</v>
      </c>
      <c r="B2971" s="10" t="s">
        <v>42</v>
      </c>
      <c r="C2971" s="10" t="s">
        <v>231</v>
      </c>
      <c r="D2971" s="10" t="s">
        <v>234</v>
      </c>
      <c r="E2971" s="14">
        <v>0.14286</v>
      </c>
      <c r="F2971" s="15">
        <f>ROUND(23.46,3)</f>
        <v>23.46</v>
      </c>
      <c r="G2971" s="12">
        <f t="shared" si="525"/>
        <v>3.35</v>
      </c>
    </row>
    <row r="2972" ht="30.0" customHeight="1">
      <c r="A2972" s="10" t="s">
        <v>1229</v>
      </c>
      <c r="B2972" s="10" t="s">
        <v>42</v>
      </c>
      <c r="C2972" s="10" t="s">
        <v>231</v>
      </c>
      <c r="D2972" s="10" t="s">
        <v>1230</v>
      </c>
      <c r="E2972" s="14">
        <v>0.24</v>
      </c>
      <c r="F2972" s="15">
        <f>ROUND(21.5,3)</f>
        <v>21.5</v>
      </c>
      <c r="G2972" s="12">
        <f t="shared" si="525"/>
        <v>5.16</v>
      </c>
    </row>
    <row r="2973" ht="30.0" customHeight="1">
      <c r="A2973" s="10" t="s">
        <v>1382</v>
      </c>
      <c r="B2973" s="10" t="s">
        <v>42</v>
      </c>
      <c r="C2973" s="10" t="s">
        <v>184</v>
      </c>
      <c r="D2973" s="10" t="s">
        <v>1383</v>
      </c>
      <c r="E2973" s="14">
        <v>4.0</v>
      </c>
      <c r="F2973" s="15">
        <f>ROUND(1.47,3)</f>
        <v>1.47</v>
      </c>
      <c r="G2973" s="12">
        <f t="shared" si="525"/>
        <v>5.88</v>
      </c>
    </row>
    <row r="2974" ht="21.0" customHeight="1">
      <c r="A2974" s="10" t="s">
        <v>969</v>
      </c>
      <c r="B2974" s="10" t="s">
        <v>112</v>
      </c>
      <c r="C2974" s="10" t="s">
        <v>23</v>
      </c>
      <c r="D2974" s="10" t="s">
        <v>970</v>
      </c>
      <c r="E2974" s="14">
        <v>0.5</v>
      </c>
      <c r="F2974" s="15">
        <f>ROUND(2,3)</f>
        <v>2</v>
      </c>
      <c r="G2974" s="12">
        <f t="shared" si="525"/>
        <v>1</v>
      </c>
    </row>
    <row r="2975" ht="30.0" customHeight="1">
      <c r="A2975" s="10" t="s">
        <v>971</v>
      </c>
      <c r="B2975" s="10" t="s">
        <v>42</v>
      </c>
      <c r="C2975" s="10" t="s">
        <v>231</v>
      </c>
      <c r="D2975" s="10" t="s">
        <v>972</v>
      </c>
      <c r="E2975" s="14">
        <v>0.15</v>
      </c>
      <c r="F2975" s="15">
        <f>ROUND(4.92,3)</f>
        <v>4.92</v>
      </c>
      <c r="G2975" s="12">
        <f t="shared" si="525"/>
        <v>0.74</v>
      </c>
    </row>
    <row r="2976" ht="21.0" customHeight="1">
      <c r="A2976" s="10" t="s">
        <v>22</v>
      </c>
      <c r="B2976" s="10" t="s">
        <v>18</v>
      </c>
      <c r="C2976" s="10" t="s">
        <v>23</v>
      </c>
      <c r="D2976" s="10" t="s">
        <v>24</v>
      </c>
      <c r="E2976" s="14">
        <v>8.0</v>
      </c>
      <c r="F2976" s="15">
        <f>F2980</f>
        <v>43.8</v>
      </c>
      <c r="G2976" s="12">
        <f t="shared" si="525"/>
        <v>350.4</v>
      </c>
    </row>
    <row r="2977" ht="24.0" customHeight="1">
      <c r="A2977" s="10" t="s">
        <v>25</v>
      </c>
      <c r="B2977" s="10" t="s">
        <v>26</v>
      </c>
      <c r="C2977" s="10" t="s">
        <v>23</v>
      </c>
      <c r="D2977" s="10" t="s">
        <v>27</v>
      </c>
      <c r="E2977" s="14">
        <v>1.0</v>
      </c>
      <c r="F2977" s="15">
        <f>ROUND(21,3)</f>
        <v>21</v>
      </c>
      <c r="G2977" s="12">
        <f t="shared" si="525"/>
        <v>21</v>
      </c>
    </row>
    <row r="2978" ht="24.0" customHeight="1">
      <c r="A2978" s="10" t="s">
        <v>28</v>
      </c>
      <c r="B2978" s="10" t="s">
        <v>26</v>
      </c>
      <c r="C2978" s="10" t="s">
        <v>23</v>
      </c>
      <c r="D2978" s="10" t="s">
        <v>29</v>
      </c>
      <c r="E2978" s="14">
        <v>1.0</v>
      </c>
      <c r="F2978" s="15">
        <f t="shared" ref="F2978:F2979" si="526">ROUND(19,3)</f>
        <v>19</v>
      </c>
      <c r="G2978" s="12">
        <f t="shared" si="525"/>
        <v>19</v>
      </c>
    </row>
    <row r="2979" ht="24.0" customHeight="1">
      <c r="A2979" s="10" t="s">
        <v>30</v>
      </c>
      <c r="B2979" s="10" t="s">
        <v>26</v>
      </c>
      <c r="C2979" s="10" t="s">
        <v>23</v>
      </c>
      <c r="D2979" s="10" t="s">
        <v>31</v>
      </c>
      <c r="E2979" s="14">
        <v>0.2</v>
      </c>
      <c r="F2979" s="15">
        <f t="shared" si="526"/>
        <v>19</v>
      </c>
      <c r="G2979" s="12">
        <f t="shared" si="525"/>
        <v>3.8</v>
      </c>
    </row>
    <row r="2980" ht="15.0" customHeight="1">
      <c r="A2980" s="11"/>
      <c r="B2980" s="11"/>
      <c r="C2980" s="11"/>
      <c r="D2980" s="10" t="s">
        <v>22</v>
      </c>
      <c r="E2980" s="14">
        <v>8.0</v>
      </c>
      <c r="F2980" s="15">
        <f>ROUND((G2977+G2978+G2979),3)</f>
        <v>43.8</v>
      </c>
      <c r="G2980" s="12">
        <f t="shared" si="525"/>
        <v>350.4</v>
      </c>
    </row>
    <row r="2981" ht="15.0" customHeight="1">
      <c r="A2981" s="10" t="s">
        <v>32</v>
      </c>
      <c r="B2981" s="10"/>
      <c r="C2981" s="10" t="s">
        <v>33</v>
      </c>
      <c r="D2981" s="10" t="s">
        <v>34</v>
      </c>
      <c r="E2981" s="14">
        <v>7.0</v>
      </c>
      <c r="F2981" s="15">
        <f>ROUND(350.4,3)</f>
        <v>350.4</v>
      </c>
      <c r="G2981" s="12">
        <f>ROUND((E2981*F2981)/100,2)</f>
        <v>24.53</v>
      </c>
    </row>
    <row r="2982" ht="15.0" customHeight="1">
      <c r="A2982" s="16"/>
      <c r="B2982" s="16"/>
      <c r="C2982" s="16"/>
      <c r="D2982" s="17" t="s">
        <v>1373</v>
      </c>
      <c r="E2982" s="16"/>
      <c r="F2982" s="18">
        <f>ROUND((G2966+G2967+G2968+G2969+G2970+G2971+G2972+G2973+G2974+G2975+G2976+G2981)*(1+G2/100),2)</f>
        <v>497.33</v>
      </c>
      <c r="G2982" s="16"/>
    </row>
    <row r="2983" ht="21.0" customHeight="1">
      <c r="A2983" s="19" t="s">
        <v>1384</v>
      </c>
      <c r="B2983" s="20" t="s">
        <v>18</v>
      </c>
      <c r="C2983" s="20" t="s">
        <v>251</v>
      </c>
      <c r="D2983" s="20" t="s">
        <v>1385</v>
      </c>
      <c r="E2983" s="21"/>
      <c r="F2983" s="22">
        <f>F2987</f>
        <v>15.82</v>
      </c>
      <c r="G2983" s="21"/>
    </row>
    <row r="2984" ht="12.0" customHeight="1">
      <c r="A2984" s="11"/>
      <c r="B2984" s="11"/>
      <c r="C2984" s="11"/>
      <c r="D2984" s="10" t="s">
        <v>1386</v>
      </c>
    </row>
    <row r="2985" ht="15.0" customHeight="1">
      <c r="A2985" s="10" t="s">
        <v>1387</v>
      </c>
      <c r="B2985" s="10" t="s">
        <v>42</v>
      </c>
      <c r="C2985" s="10" t="s">
        <v>23</v>
      </c>
      <c r="D2985" s="10" t="s">
        <v>1388</v>
      </c>
      <c r="E2985" s="14">
        <v>0.28</v>
      </c>
      <c r="F2985" s="15">
        <f>ROUND(7,3)</f>
        <v>7</v>
      </c>
      <c r="G2985" s="12">
        <f t="shared" ref="G2985:G2986" si="527">ROUND(E2985*F2985,2)</f>
        <v>1.96</v>
      </c>
    </row>
    <row r="2986" ht="24.0" customHeight="1">
      <c r="A2986" s="10" t="s">
        <v>1186</v>
      </c>
      <c r="B2986" s="10" t="s">
        <v>26</v>
      </c>
      <c r="C2986" s="10" t="s">
        <v>23</v>
      </c>
      <c r="D2986" s="10" t="s">
        <v>1187</v>
      </c>
      <c r="E2986" s="14">
        <v>0.28</v>
      </c>
      <c r="F2986" s="15">
        <f>ROUND(49.5,3)</f>
        <v>49.5</v>
      </c>
      <c r="G2986" s="12">
        <f t="shared" si="527"/>
        <v>13.86</v>
      </c>
    </row>
    <row r="2987" ht="15.0" customHeight="1">
      <c r="A2987" s="16"/>
      <c r="B2987" s="16"/>
      <c r="C2987" s="16"/>
      <c r="D2987" s="17" t="s">
        <v>1384</v>
      </c>
      <c r="E2987" s="16"/>
      <c r="F2987" s="18">
        <f>ROUND((G2985+G2986)*(1+G2/100),2)</f>
        <v>15.82</v>
      </c>
      <c r="G2987" s="16"/>
    </row>
    <row r="2988" ht="30.0" customHeight="1">
      <c r="A2988" s="19" t="s">
        <v>1389</v>
      </c>
      <c r="B2988" s="20" t="s">
        <v>18</v>
      </c>
      <c r="C2988" s="20" t="s">
        <v>537</v>
      </c>
      <c r="D2988" s="20" t="s">
        <v>1390</v>
      </c>
      <c r="E2988" s="21"/>
      <c r="F2988" s="22">
        <f>F2996</f>
        <v>7.11</v>
      </c>
      <c r="G2988" s="21"/>
    </row>
    <row r="2989" ht="12.0" customHeight="1">
      <c r="A2989" s="11"/>
      <c r="B2989" s="11"/>
      <c r="C2989" s="11"/>
      <c r="D2989" s="10" t="s">
        <v>1391</v>
      </c>
    </row>
    <row r="2990" ht="15.0" customHeight="1">
      <c r="A2990" s="10" t="s">
        <v>1387</v>
      </c>
      <c r="B2990" s="10" t="s">
        <v>42</v>
      </c>
      <c r="C2990" s="10" t="s">
        <v>23</v>
      </c>
      <c r="D2990" s="10" t="s">
        <v>1388</v>
      </c>
      <c r="E2990" s="14">
        <v>0.14</v>
      </c>
      <c r="F2990" s="15">
        <f>ROUND(7,3)</f>
        <v>7</v>
      </c>
      <c r="G2990" s="12">
        <f t="shared" ref="G2990:G2995" si="528">ROUND(E2990*F2990,2)</f>
        <v>0.98</v>
      </c>
    </row>
    <row r="2991" ht="21.0" customHeight="1">
      <c r="A2991" s="10" t="s">
        <v>22</v>
      </c>
      <c r="B2991" s="10" t="s">
        <v>18</v>
      </c>
      <c r="C2991" s="10" t="s">
        <v>23</v>
      </c>
      <c r="D2991" s="10" t="s">
        <v>24</v>
      </c>
      <c r="E2991" s="14">
        <v>0.14</v>
      </c>
      <c r="F2991" s="15">
        <f>F2995</f>
        <v>43.8</v>
      </c>
      <c r="G2991" s="12">
        <f t="shared" si="528"/>
        <v>6.13</v>
      </c>
    </row>
    <row r="2992" ht="24.0" customHeight="1">
      <c r="A2992" s="10" t="s">
        <v>25</v>
      </c>
      <c r="B2992" s="10" t="s">
        <v>26</v>
      </c>
      <c r="C2992" s="10" t="s">
        <v>23</v>
      </c>
      <c r="D2992" s="10" t="s">
        <v>27</v>
      </c>
      <c r="E2992" s="14">
        <v>1.0</v>
      </c>
      <c r="F2992" s="15">
        <f>ROUND(21,3)</f>
        <v>21</v>
      </c>
      <c r="G2992" s="12">
        <f t="shared" si="528"/>
        <v>21</v>
      </c>
    </row>
    <row r="2993" ht="24.0" customHeight="1">
      <c r="A2993" s="10" t="s">
        <v>28</v>
      </c>
      <c r="B2993" s="10" t="s">
        <v>26</v>
      </c>
      <c r="C2993" s="10" t="s">
        <v>23</v>
      </c>
      <c r="D2993" s="10" t="s">
        <v>29</v>
      </c>
      <c r="E2993" s="14">
        <v>1.0</v>
      </c>
      <c r="F2993" s="15">
        <f t="shared" ref="F2993:F2994" si="529">ROUND(19,3)</f>
        <v>19</v>
      </c>
      <c r="G2993" s="12">
        <f t="shared" si="528"/>
        <v>19</v>
      </c>
    </row>
    <row r="2994" ht="24.0" customHeight="1">
      <c r="A2994" s="10" t="s">
        <v>30</v>
      </c>
      <c r="B2994" s="10" t="s">
        <v>26</v>
      </c>
      <c r="C2994" s="10" t="s">
        <v>23</v>
      </c>
      <c r="D2994" s="10" t="s">
        <v>31</v>
      </c>
      <c r="E2994" s="14">
        <v>0.2</v>
      </c>
      <c r="F2994" s="15">
        <f t="shared" si="529"/>
        <v>19</v>
      </c>
      <c r="G2994" s="12">
        <f t="shared" si="528"/>
        <v>3.8</v>
      </c>
    </row>
    <row r="2995" ht="15.0" customHeight="1">
      <c r="A2995" s="11"/>
      <c r="B2995" s="11"/>
      <c r="C2995" s="11"/>
      <c r="D2995" s="10" t="s">
        <v>22</v>
      </c>
      <c r="E2995" s="14">
        <v>0.14</v>
      </c>
      <c r="F2995" s="15">
        <f>ROUND((G2992+G2993+G2994),3)</f>
        <v>43.8</v>
      </c>
      <c r="G2995" s="12">
        <f t="shared" si="528"/>
        <v>6.13</v>
      </c>
    </row>
    <row r="2996" ht="15.0" customHeight="1">
      <c r="A2996" s="16"/>
      <c r="B2996" s="16"/>
      <c r="C2996" s="16"/>
      <c r="D2996" s="17" t="s">
        <v>1389</v>
      </c>
      <c r="E2996" s="16"/>
      <c r="F2996" s="18">
        <f>ROUND((G2990+G2991)*(1+G2/100),2)</f>
        <v>7.11</v>
      </c>
      <c r="G2996" s="16"/>
    </row>
    <row r="2997" ht="39.75" customHeight="1">
      <c r="A2997" s="19" t="s">
        <v>1392</v>
      </c>
      <c r="B2997" s="20" t="s">
        <v>18</v>
      </c>
      <c r="C2997" s="20" t="s">
        <v>251</v>
      </c>
      <c r="D2997" s="20" t="s">
        <v>1393</v>
      </c>
      <c r="E2997" s="21"/>
      <c r="F2997" s="22">
        <f>F3000</f>
        <v>31.93</v>
      </c>
      <c r="G2997" s="21"/>
    </row>
    <row r="2998" ht="39.75" customHeight="1">
      <c r="A2998" s="11"/>
      <c r="B2998" s="11"/>
      <c r="C2998" s="11"/>
      <c r="D2998" s="10" t="s">
        <v>1394</v>
      </c>
    </row>
    <row r="2999" ht="24.0" customHeight="1">
      <c r="A2999" s="10" t="s">
        <v>1186</v>
      </c>
      <c r="B2999" s="10" t="s">
        <v>26</v>
      </c>
      <c r="C2999" s="10" t="s">
        <v>23</v>
      </c>
      <c r="D2999" s="10" t="s">
        <v>1187</v>
      </c>
      <c r="E2999" s="14">
        <v>0.645</v>
      </c>
      <c r="F2999" s="15">
        <f>ROUND(49.5,3)</f>
        <v>49.5</v>
      </c>
      <c r="G2999" s="12">
        <f>ROUND(E2999*F2999,2)</f>
        <v>31.93</v>
      </c>
    </row>
    <row r="3000" ht="15.0" customHeight="1">
      <c r="A3000" s="16"/>
      <c r="B3000" s="16"/>
      <c r="C3000" s="16"/>
      <c r="D3000" s="17" t="s">
        <v>1392</v>
      </c>
      <c r="E3000" s="16"/>
      <c r="F3000" s="18">
        <f>ROUND((G2999)*(1+G2/100),2)</f>
        <v>31.93</v>
      </c>
      <c r="G3000" s="16"/>
    </row>
    <row r="3001" ht="57.75" customHeight="1">
      <c r="A3001" s="19" t="s">
        <v>1395</v>
      </c>
      <c r="B3001" s="20" t="s">
        <v>18</v>
      </c>
      <c r="C3001" s="20" t="s">
        <v>351</v>
      </c>
      <c r="D3001" s="20" t="s">
        <v>1396</v>
      </c>
      <c r="E3001" s="21"/>
      <c r="F3001" s="22">
        <f>F3012</f>
        <v>11.97</v>
      </c>
      <c r="G3001" s="21"/>
    </row>
    <row r="3002" ht="39.75" customHeight="1">
      <c r="A3002" s="11"/>
      <c r="B3002" s="11"/>
      <c r="C3002" s="11"/>
      <c r="D3002" s="10" t="s">
        <v>1397</v>
      </c>
    </row>
    <row r="3003" ht="39.75" customHeight="1">
      <c r="A3003" s="10" t="s">
        <v>1274</v>
      </c>
      <c r="B3003" s="10" t="s">
        <v>42</v>
      </c>
      <c r="C3003" s="10" t="s">
        <v>43</v>
      </c>
      <c r="D3003" s="10" t="s">
        <v>1275</v>
      </c>
      <c r="E3003" s="14">
        <v>0.0</v>
      </c>
      <c r="F3003" s="15">
        <f>ROUND(11.83,3)</f>
        <v>11.83</v>
      </c>
      <c r="G3003" s="12">
        <f t="shared" ref="G3003:G3010" si="530">ROUND(E3003*F3003,2)</f>
        <v>0</v>
      </c>
    </row>
    <row r="3004" ht="30.0" customHeight="1">
      <c r="A3004" s="10" t="s">
        <v>1259</v>
      </c>
      <c r="B3004" s="10" t="s">
        <v>42</v>
      </c>
      <c r="C3004" s="10" t="s">
        <v>43</v>
      </c>
      <c r="D3004" s="10" t="s">
        <v>1260</v>
      </c>
      <c r="E3004" s="14">
        <v>0.01676</v>
      </c>
      <c r="F3004" s="15">
        <f>ROUND(18.44,3)</f>
        <v>18.44</v>
      </c>
      <c r="G3004" s="12">
        <f t="shared" si="530"/>
        <v>0.31</v>
      </c>
    </row>
    <row r="3005" ht="30.0" customHeight="1">
      <c r="A3005" s="10" t="s">
        <v>1006</v>
      </c>
      <c r="B3005" s="10" t="s">
        <v>42</v>
      </c>
      <c r="C3005" s="10" t="s">
        <v>184</v>
      </c>
      <c r="D3005" s="10" t="s">
        <v>1007</v>
      </c>
      <c r="E3005" s="14">
        <v>0.189</v>
      </c>
      <c r="F3005" s="15">
        <f>ROUND(16.81,3)</f>
        <v>16.81</v>
      </c>
      <c r="G3005" s="12">
        <f t="shared" si="530"/>
        <v>3.18</v>
      </c>
    </row>
    <row r="3006" ht="21.0" customHeight="1">
      <c r="A3006" s="10" t="s">
        <v>22</v>
      </c>
      <c r="B3006" s="10" t="s">
        <v>18</v>
      </c>
      <c r="C3006" s="10" t="s">
        <v>23</v>
      </c>
      <c r="D3006" s="10" t="s">
        <v>24</v>
      </c>
      <c r="E3006" s="14">
        <v>0.188</v>
      </c>
      <c r="F3006" s="15">
        <f>F3010</f>
        <v>43.8</v>
      </c>
      <c r="G3006" s="12">
        <f t="shared" si="530"/>
        <v>8.23</v>
      </c>
    </row>
    <row r="3007" ht="24.0" customHeight="1">
      <c r="A3007" s="10" t="s">
        <v>25</v>
      </c>
      <c r="B3007" s="10" t="s">
        <v>26</v>
      </c>
      <c r="C3007" s="10" t="s">
        <v>23</v>
      </c>
      <c r="D3007" s="10" t="s">
        <v>27</v>
      </c>
      <c r="E3007" s="14">
        <v>1.0</v>
      </c>
      <c r="F3007" s="15">
        <f>ROUND(21,3)</f>
        <v>21</v>
      </c>
      <c r="G3007" s="12">
        <f t="shared" si="530"/>
        <v>21</v>
      </c>
    </row>
    <row r="3008" ht="24.0" customHeight="1">
      <c r="A3008" s="10" t="s">
        <v>28</v>
      </c>
      <c r="B3008" s="10" t="s">
        <v>26</v>
      </c>
      <c r="C3008" s="10" t="s">
        <v>23</v>
      </c>
      <c r="D3008" s="10" t="s">
        <v>29</v>
      </c>
      <c r="E3008" s="14">
        <v>1.0</v>
      </c>
      <c r="F3008" s="15">
        <f t="shared" ref="F3008:F3009" si="531">ROUND(19,3)</f>
        <v>19</v>
      </c>
      <c r="G3008" s="12">
        <f t="shared" si="530"/>
        <v>19</v>
      </c>
    </row>
    <row r="3009" ht="24.0" customHeight="1">
      <c r="A3009" s="10" t="s">
        <v>30</v>
      </c>
      <c r="B3009" s="10" t="s">
        <v>26</v>
      </c>
      <c r="C3009" s="10" t="s">
        <v>23</v>
      </c>
      <c r="D3009" s="10" t="s">
        <v>31</v>
      </c>
      <c r="E3009" s="14">
        <v>0.2</v>
      </c>
      <c r="F3009" s="15">
        <f t="shared" si="531"/>
        <v>19</v>
      </c>
      <c r="G3009" s="12">
        <f t="shared" si="530"/>
        <v>3.8</v>
      </c>
    </row>
    <row r="3010" ht="15.0" customHeight="1">
      <c r="A3010" s="11"/>
      <c r="B3010" s="11"/>
      <c r="C3010" s="11"/>
      <c r="D3010" s="10" t="s">
        <v>22</v>
      </c>
      <c r="E3010" s="14">
        <v>0.188</v>
      </c>
      <c r="F3010" s="15">
        <f>ROUND((G3007+G3008+G3009),3)</f>
        <v>43.8</v>
      </c>
      <c r="G3010" s="12">
        <f t="shared" si="530"/>
        <v>8.23</v>
      </c>
    </row>
    <row r="3011" ht="15.0" customHeight="1">
      <c r="A3011" s="10" t="s">
        <v>32</v>
      </c>
      <c r="B3011" s="10"/>
      <c r="C3011" s="10" t="s">
        <v>33</v>
      </c>
      <c r="D3011" s="10" t="s">
        <v>34</v>
      </c>
      <c r="E3011" s="14">
        <v>3.0</v>
      </c>
      <c r="F3011" s="15">
        <f>ROUND(8.23,3)</f>
        <v>8.23</v>
      </c>
      <c r="G3011" s="12">
        <f>ROUND((E3011*F3011)/100,2)</f>
        <v>0.25</v>
      </c>
    </row>
    <row r="3012" ht="15.0" customHeight="1">
      <c r="A3012" s="16"/>
      <c r="B3012" s="16"/>
      <c r="C3012" s="16"/>
      <c r="D3012" s="17" t="s">
        <v>1395</v>
      </c>
      <c r="E3012" s="16"/>
      <c r="F3012" s="18">
        <f>ROUND((G3003+G3004+G3005+G3006+G3011)*(1+G2/100),2)</f>
        <v>11.97</v>
      </c>
      <c r="G3012" s="16"/>
    </row>
    <row r="3013" ht="21.0" customHeight="1">
      <c r="A3013" s="19" t="s">
        <v>1398</v>
      </c>
      <c r="B3013" s="20" t="s">
        <v>18</v>
      </c>
      <c r="C3013" s="20" t="s">
        <v>251</v>
      </c>
      <c r="D3013" s="20" t="s">
        <v>1399</v>
      </c>
      <c r="E3013" s="21"/>
      <c r="F3013" s="22">
        <f>F3016</f>
        <v>17.82</v>
      </c>
      <c r="G3013" s="21"/>
    </row>
    <row r="3014" ht="30.0" customHeight="1">
      <c r="A3014" s="11"/>
      <c r="B3014" s="11"/>
      <c r="C3014" s="11"/>
      <c r="D3014" s="10" t="s">
        <v>1400</v>
      </c>
    </row>
    <row r="3015" ht="24.0" customHeight="1">
      <c r="A3015" s="10" t="s">
        <v>1186</v>
      </c>
      <c r="B3015" s="10" t="s">
        <v>26</v>
      </c>
      <c r="C3015" s="10" t="s">
        <v>23</v>
      </c>
      <c r="D3015" s="10" t="s">
        <v>1187</v>
      </c>
      <c r="E3015" s="14">
        <v>0.36</v>
      </c>
      <c r="F3015" s="15">
        <f>ROUND(49.5,3)</f>
        <v>49.5</v>
      </c>
      <c r="G3015" s="12">
        <f>ROUND(E3015*F3015,2)</f>
        <v>17.82</v>
      </c>
    </row>
    <row r="3016" ht="15.0" customHeight="1">
      <c r="A3016" s="16"/>
      <c r="B3016" s="16"/>
      <c r="C3016" s="16"/>
      <c r="D3016" s="17" t="s">
        <v>1398</v>
      </c>
      <c r="E3016" s="16"/>
      <c r="F3016" s="18">
        <f>ROUND((G3015)*(1+G2/100),2)</f>
        <v>17.82</v>
      </c>
      <c r="G3016" s="16"/>
    </row>
    <row r="3017" ht="34.5" customHeight="1">
      <c r="A3017" s="19" t="s">
        <v>1401</v>
      </c>
      <c r="B3017" s="20" t="s">
        <v>18</v>
      </c>
      <c r="C3017" s="20" t="s">
        <v>19</v>
      </c>
      <c r="D3017" s="20" t="s">
        <v>1402</v>
      </c>
      <c r="E3017" s="21"/>
      <c r="F3017" s="22">
        <f>F3026</f>
        <v>16.91</v>
      </c>
      <c r="G3017" s="21"/>
    </row>
    <row r="3018" ht="21.0" customHeight="1">
      <c r="A3018" s="11"/>
      <c r="B3018" s="11"/>
      <c r="C3018" s="11"/>
      <c r="D3018" s="10" t="s">
        <v>1403</v>
      </c>
    </row>
    <row r="3019" ht="30.0" customHeight="1">
      <c r="A3019" s="10" t="s">
        <v>1404</v>
      </c>
      <c r="B3019" s="10" t="s">
        <v>42</v>
      </c>
      <c r="C3019" s="10" t="s">
        <v>184</v>
      </c>
      <c r="D3019" s="10" t="s">
        <v>1405</v>
      </c>
      <c r="E3019" s="14">
        <v>12.0</v>
      </c>
      <c r="F3019" s="15">
        <f>ROUND(0.43,3)</f>
        <v>0.43</v>
      </c>
      <c r="G3019" s="12">
        <f t="shared" ref="G3019:G3025" si="532">ROUND(E3019*F3019,2)</f>
        <v>5.16</v>
      </c>
    </row>
    <row r="3020" ht="30.0" customHeight="1">
      <c r="A3020" s="10" t="s">
        <v>1406</v>
      </c>
      <c r="B3020" s="10" t="s">
        <v>112</v>
      </c>
      <c r="C3020" s="10" t="s">
        <v>23</v>
      </c>
      <c r="D3020" s="10" t="s">
        <v>1407</v>
      </c>
      <c r="E3020" s="14">
        <v>0.2</v>
      </c>
      <c r="F3020" s="15">
        <f>ROUND(4,3)</f>
        <v>4</v>
      </c>
      <c r="G3020" s="12">
        <f t="shared" si="532"/>
        <v>0.8</v>
      </c>
    </row>
    <row r="3021" ht="21.0" customHeight="1">
      <c r="A3021" s="10" t="s">
        <v>22</v>
      </c>
      <c r="B3021" s="10" t="s">
        <v>18</v>
      </c>
      <c r="C3021" s="10" t="s">
        <v>23</v>
      </c>
      <c r="D3021" s="10" t="s">
        <v>24</v>
      </c>
      <c r="E3021" s="14">
        <v>0.25</v>
      </c>
      <c r="F3021" s="15">
        <f>F3025</f>
        <v>43.8</v>
      </c>
      <c r="G3021" s="12">
        <f t="shared" si="532"/>
        <v>10.95</v>
      </c>
    </row>
    <row r="3022" ht="24.0" customHeight="1">
      <c r="A3022" s="10" t="s">
        <v>25</v>
      </c>
      <c r="B3022" s="10" t="s">
        <v>26</v>
      </c>
      <c r="C3022" s="10" t="s">
        <v>23</v>
      </c>
      <c r="D3022" s="10" t="s">
        <v>27</v>
      </c>
      <c r="E3022" s="14">
        <v>1.0</v>
      </c>
      <c r="F3022" s="15">
        <f>ROUND(21,3)</f>
        <v>21</v>
      </c>
      <c r="G3022" s="12">
        <f t="shared" si="532"/>
        <v>21</v>
      </c>
    </row>
    <row r="3023" ht="24.0" customHeight="1">
      <c r="A3023" s="10" t="s">
        <v>28</v>
      </c>
      <c r="B3023" s="10" t="s">
        <v>26</v>
      </c>
      <c r="C3023" s="10" t="s">
        <v>23</v>
      </c>
      <c r="D3023" s="10" t="s">
        <v>29</v>
      </c>
      <c r="E3023" s="14">
        <v>1.0</v>
      </c>
      <c r="F3023" s="15">
        <f t="shared" ref="F3023:F3024" si="533">ROUND(19,3)</f>
        <v>19</v>
      </c>
      <c r="G3023" s="12">
        <f t="shared" si="532"/>
        <v>19</v>
      </c>
    </row>
    <row r="3024" ht="24.0" customHeight="1">
      <c r="A3024" s="10" t="s">
        <v>30</v>
      </c>
      <c r="B3024" s="10" t="s">
        <v>26</v>
      </c>
      <c r="C3024" s="10" t="s">
        <v>23</v>
      </c>
      <c r="D3024" s="10" t="s">
        <v>31</v>
      </c>
      <c r="E3024" s="14">
        <v>0.2</v>
      </c>
      <c r="F3024" s="15">
        <f t="shared" si="533"/>
        <v>19</v>
      </c>
      <c r="G3024" s="12">
        <f t="shared" si="532"/>
        <v>3.8</v>
      </c>
    </row>
    <row r="3025" ht="15.0" customHeight="1">
      <c r="A3025" s="11"/>
      <c r="B3025" s="11"/>
      <c r="C3025" s="11"/>
      <c r="D3025" s="10" t="s">
        <v>22</v>
      </c>
      <c r="E3025" s="14">
        <v>0.25</v>
      </c>
      <c r="F3025" s="15">
        <f>ROUND((G3022+G3023+G3024),3)</f>
        <v>43.8</v>
      </c>
      <c r="G3025" s="12">
        <f t="shared" si="532"/>
        <v>10.95</v>
      </c>
    </row>
    <row r="3026" ht="24.75" customHeight="1">
      <c r="A3026" s="16"/>
      <c r="B3026" s="16"/>
      <c r="C3026" s="16"/>
      <c r="D3026" s="17" t="s">
        <v>1401</v>
      </c>
      <c r="E3026" s="16"/>
      <c r="F3026" s="18">
        <f>ROUND((G3019+G3020+G3021)*(1+G2/100),2)</f>
        <v>16.91</v>
      </c>
      <c r="G3026" s="16"/>
    </row>
    <row r="3027" ht="104.25" customHeight="1">
      <c r="A3027" s="19" t="s">
        <v>1408</v>
      </c>
      <c r="B3027" s="20" t="s">
        <v>18</v>
      </c>
      <c r="C3027" s="20" t="s">
        <v>351</v>
      </c>
      <c r="D3027" s="20" t="s">
        <v>1409</v>
      </c>
      <c r="E3027" s="21"/>
      <c r="F3027" s="22">
        <f>F3040</f>
        <v>45.48</v>
      </c>
      <c r="G3027" s="21"/>
    </row>
    <row r="3028" ht="30.0" customHeight="1">
      <c r="A3028" s="11"/>
      <c r="B3028" s="11"/>
      <c r="C3028" s="11"/>
      <c r="D3028" s="10" t="s">
        <v>1410</v>
      </c>
    </row>
    <row r="3029" ht="30.0" customHeight="1">
      <c r="A3029" s="10" t="s">
        <v>1227</v>
      </c>
      <c r="B3029" s="10" t="s">
        <v>42</v>
      </c>
      <c r="C3029" s="10" t="s">
        <v>226</v>
      </c>
      <c r="D3029" s="10" t="s">
        <v>1228</v>
      </c>
      <c r="E3029" s="14">
        <v>0.0077</v>
      </c>
      <c r="F3029" s="15">
        <f>ROUND(27.5,3)</f>
        <v>27.5</v>
      </c>
      <c r="G3029" s="12">
        <f t="shared" ref="G3029:G3038" si="534">ROUND(E3029*F3029,2)</f>
        <v>0.21</v>
      </c>
    </row>
    <row r="3030" ht="48.75" customHeight="1">
      <c r="A3030" s="10" t="s">
        <v>1276</v>
      </c>
      <c r="B3030" s="10" t="s">
        <v>42</v>
      </c>
      <c r="C3030" s="10" t="s">
        <v>43</v>
      </c>
      <c r="D3030" s="10" t="s">
        <v>1277</v>
      </c>
      <c r="E3030" s="14">
        <v>0.11</v>
      </c>
      <c r="F3030" s="15">
        <f>ROUND(45.57,3)</f>
        <v>45.57</v>
      </c>
      <c r="G3030" s="12">
        <f t="shared" si="534"/>
        <v>5.01</v>
      </c>
    </row>
    <row r="3031" ht="30.0" customHeight="1">
      <c r="A3031" s="10" t="s">
        <v>1004</v>
      </c>
      <c r="B3031" s="10" t="s">
        <v>42</v>
      </c>
      <c r="C3031" s="10" t="s">
        <v>184</v>
      </c>
      <c r="D3031" s="10" t="s">
        <v>1005</v>
      </c>
      <c r="E3031" s="14">
        <v>0.4536</v>
      </c>
      <c r="F3031" s="15">
        <f>ROUND(22.45,3)</f>
        <v>22.45</v>
      </c>
      <c r="G3031" s="12">
        <f t="shared" si="534"/>
        <v>10.18</v>
      </c>
    </row>
    <row r="3032" ht="39.75" customHeight="1">
      <c r="A3032" s="10" t="s">
        <v>1315</v>
      </c>
      <c r="B3032" s="10" t="s">
        <v>42</v>
      </c>
      <c r="C3032" s="10" t="s">
        <v>231</v>
      </c>
      <c r="D3032" s="10" t="s">
        <v>1316</v>
      </c>
      <c r="E3032" s="14">
        <v>0.07</v>
      </c>
      <c r="F3032" s="15">
        <f>ROUND(2.63,3)</f>
        <v>2.63</v>
      </c>
      <c r="G3032" s="12">
        <f t="shared" si="534"/>
        <v>0.18</v>
      </c>
    </row>
    <row r="3033" ht="39.75" customHeight="1">
      <c r="A3033" s="10" t="s">
        <v>1349</v>
      </c>
      <c r="B3033" s="10" t="s">
        <v>42</v>
      </c>
      <c r="C3033" s="10" t="s">
        <v>231</v>
      </c>
      <c r="D3033" s="10" t="s">
        <v>1350</v>
      </c>
      <c r="E3033" s="14">
        <v>0.44</v>
      </c>
      <c r="F3033" s="15">
        <f>ROUND(4.05,3)</f>
        <v>4.05</v>
      </c>
      <c r="G3033" s="12">
        <f t="shared" si="534"/>
        <v>1.78</v>
      </c>
    </row>
    <row r="3034" ht="21.0" customHeight="1">
      <c r="A3034" s="10" t="s">
        <v>22</v>
      </c>
      <c r="B3034" s="10" t="s">
        <v>18</v>
      </c>
      <c r="C3034" s="10" t="s">
        <v>23</v>
      </c>
      <c r="D3034" s="10" t="s">
        <v>24</v>
      </c>
      <c r="E3034" s="14">
        <v>0.6</v>
      </c>
      <c r="F3034" s="15">
        <f>F3038</f>
        <v>43.8</v>
      </c>
      <c r="G3034" s="12">
        <f t="shared" si="534"/>
        <v>26.28</v>
      </c>
    </row>
    <row r="3035" ht="24.0" customHeight="1">
      <c r="A3035" s="10" t="s">
        <v>25</v>
      </c>
      <c r="B3035" s="10" t="s">
        <v>26</v>
      </c>
      <c r="C3035" s="10" t="s">
        <v>23</v>
      </c>
      <c r="D3035" s="10" t="s">
        <v>27</v>
      </c>
      <c r="E3035" s="14">
        <v>1.0</v>
      </c>
      <c r="F3035" s="15">
        <f>ROUND(21,3)</f>
        <v>21</v>
      </c>
      <c r="G3035" s="12">
        <f t="shared" si="534"/>
        <v>21</v>
      </c>
    </row>
    <row r="3036" ht="24.0" customHeight="1">
      <c r="A3036" s="10" t="s">
        <v>28</v>
      </c>
      <c r="B3036" s="10" t="s">
        <v>26</v>
      </c>
      <c r="C3036" s="10" t="s">
        <v>23</v>
      </c>
      <c r="D3036" s="10" t="s">
        <v>29</v>
      </c>
      <c r="E3036" s="14">
        <v>1.0</v>
      </c>
      <c r="F3036" s="15">
        <f t="shared" ref="F3036:F3037" si="535">ROUND(19,3)</f>
        <v>19</v>
      </c>
      <c r="G3036" s="12">
        <f t="shared" si="534"/>
        <v>19</v>
      </c>
    </row>
    <row r="3037" ht="24.0" customHeight="1">
      <c r="A3037" s="10" t="s">
        <v>30</v>
      </c>
      <c r="B3037" s="10" t="s">
        <v>26</v>
      </c>
      <c r="C3037" s="10" t="s">
        <v>23</v>
      </c>
      <c r="D3037" s="10" t="s">
        <v>31</v>
      </c>
      <c r="E3037" s="14">
        <v>0.2</v>
      </c>
      <c r="F3037" s="15">
        <f t="shared" si="535"/>
        <v>19</v>
      </c>
      <c r="G3037" s="12">
        <f t="shared" si="534"/>
        <v>3.8</v>
      </c>
    </row>
    <row r="3038" ht="15.0" customHeight="1">
      <c r="A3038" s="11"/>
      <c r="B3038" s="11"/>
      <c r="C3038" s="11"/>
      <c r="D3038" s="10" t="s">
        <v>22</v>
      </c>
      <c r="E3038" s="14">
        <v>0.6</v>
      </c>
      <c r="F3038" s="15">
        <f>ROUND((G3035+G3036+G3037),3)</f>
        <v>43.8</v>
      </c>
      <c r="G3038" s="12">
        <f t="shared" si="534"/>
        <v>26.28</v>
      </c>
    </row>
    <row r="3039" ht="15.0" customHeight="1">
      <c r="A3039" s="10" t="s">
        <v>32</v>
      </c>
      <c r="B3039" s="10"/>
      <c r="C3039" s="10" t="s">
        <v>33</v>
      </c>
      <c r="D3039" s="10" t="s">
        <v>34</v>
      </c>
      <c r="E3039" s="14">
        <v>7.0</v>
      </c>
      <c r="F3039" s="15">
        <f>ROUND(26.28,3)</f>
        <v>26.28</v>
      </c>
      <c r="G3039" s="12">
        <f>ROUND((E3039*F3039)/100,2)</f>
        <v>1.84</v>
      </c>
    </row>
    <row r="3040" ht="15.0" customHeight="1">
      <c r="A3040" s="16"/>
      <c r="B3040" s="16"/>
      <c r="C3040" s="16"/>
      <c r="D3040" s="17" t="s">
        <v>1408</v>
      </c>
      <c r="E3040" s="16"/>
      <c r="F3040" s="18">
        <f>ROUND((G3029+G3030+G3031+G3032+G3033+G3034+G3039)*(1+G2/100),2)</f>
        <v>45.48</v>
      </c>
      <c r="G3040" s="16"/>
    </row>
    <row r="3041" ht="67.5" customHeight="1">
      <c r="A3041" s="19" t="s">
        <v>1411</v>
      </c>
      <c r="B3041" s="20" t="s">
        <v>18</v>
      </c>
      <c r="C3041" s="20" t="s">
        <v>19</v>
      </c>
      <c r="D3041" s="20" t="s">
        <v>1412</v>
      </c>
      <c r="E3041" s="21"/>
      <c r="F3041" s="22">
        <f>F3050</f>
        <v>19.91</v>
      </c>
      <c r="G3041" s="21"/>
    </row>
    <row r="3042" ht="21.0" customHeight="1">
      <c r="A3042" s="11"/>
      <c r="B3042" s="11"/>
      <c r="C3042" s="11"/>
      <c r="D3042" s="10" t="s">
        <v>1413</v>
      </c>
    </row>
    <row r="3043" ht="39.75" customHeight="1">
      <c r="A3043" s="10" t="s">
        <v>1414</v>
      </c>
      <c r="B3043" s="10" t="s">
        <v>42</v>
      </c>
      <c r="C3043" s="10" t="s">
        <v>276</v>
      </c>
      <c r="D3043" s="10" t="s">
        <v>1415</v>
      </c>
      <c r="E3043" s="14">
        <v>0.0175</v>
      </c>
      <c r="F3043" s="15">
        <f>ROUND(86,3)</f>
        <v>86</v>
      </c>
      <c r="G3043" s="12">
        <f t="shared" ref="G3043:G3048" si="536">ROUND(E3043*F3043,2)</f>
        <v>1.51</v>
      </c>
    </row>
    <row r="3044" ht="21.0" customHeight="1">
      <c r="A3044" s="10" t="s">
        <v>1416</v>
      </c>
      <c r="B3044" s="10" t="s">
        <v>18</v>
      </c>
      <c r="C3044" s="10" t="s">
        <v>23</v>
      </c>
      <c r="D3044" s="10" t="s">
        <v>1417</v>
      </c>
      <c r="E3044" s="14">
        <v>0.4</v>
      </c>
      <c r="F3044" s="15">
        <f>F3048</f>
        <v>43.8</v>
      </c>
      <c r="G3044" s="12">
        <f t="shared" si="536"/>
        <v>17.52</v>
      </c>
    </row>
    <row r="3045" ht="24.0" customHeight="1">
      <c r="A3045" s="10" t="s">
        <v>1418</v>
      </c>
      <c r="B3045" s="10" t="s">
        <v>26</v>
      </c>
      <c r="C3045" s="10" t="s">
        <v>23</v>
      </c>
      <c r="D3045" s="10" t="s">
        <v>1419</v>
      </c>
      <c r="E3045" s="14">
        <v>1.0</v>
      </c>
      <c r="F3045" s="15">
        <f>ROUND(21,3)</f>
        <v>21</v>
      </c>
      <c r="G3045" s="12">
        <f t="shared" si="536"/>
        <v>21</v>
      </c>
    </row>
    <row r="3046" ht="24.0" customHeight="1">
      <c r="A3046" s="10" t="s">
        <v>1420</v>
      </c>
      <c r="B3046" s="10" t="s">
        <v>26</v>
      </c>
      <c r="C3046" s="10" t="s">
        <v>23</v>
      </c>
      <c r="D3046" s="10" t="s">
        <v>1421</v>
      </c>
      <c r="E3046" s="14">
        <v>1.0</v>
      </c>
      <c r="F3046" s="15">
        <f t="shared" ref="F3046:F3047" si="537">ROUND(19,3)</f>
        <v>19</v>
      </c>
      <c r="G3046" s="12">
        <f t="shared" si="536"/>
        <v>19</v>
      </c>
    </row>
    <row r="3047" ht="24.0" customHeight="1">
      <c r="A3047" s="10" t="s">
        <v>30</v>
      </c>
      <c r="B3047" s="10" t="s">
        <v>26</v>
      </c>
      <c r="C3047" s="10" t="s">
        <v>23</v>
      </c>
      <c r="D3047" s="10" t="s">
        <v>31</v>
      </c>
      <c r="E3047" s="14">
        <v>0.2</v>
      </c>
      <c r="F3047" s="15">
        <f t="shared" si="537"/>
        <v>19</v>
      </c>
      <c r="G3047" s="12">
        <f t="shared" si="536"/>
        <v>3.8</v>
      </c>
    </row>
    <row r="3048" ht="15.0" customHeight="1">
      <c r="A3048" s="11"/>
      <c r="B3048" s="11"/>
      <c r="C3048" s="11"/>
      <c r="D3048" s="10" t="s">
        <v>1416</v>
      </c>
      <c r="E3048" s="14">
        <v>0.4</v>
      </c>
      <c r="F3048" s="15">
        <f>ROUND((G3045+G3046+G3047),3)</f>
        <v>43.8</v>
      </c>
      <c r="G3048" s="12">
        <f t="shared" si="536"/>
        <v>17.52</v>
      </c>
    </row>
    <row r="3049" ht="15.0" customHeight="1">
      <c r="A3049" s="10" t="s">
        <v>32</v>
      </c>
      <c r="B3049" s="10"/>
      <c r="C3049" s="10" t="s">
        <v>33</v>
      </c>
      <c r="D3049" s="10" t="s">
        <v>34</v>
      </c>
      <c r="E3049" s="14">
        <v>5.0</v>
      </c>
      <c r="F3049" s="15">
        <f>ROUND(17.52,3)</f>
        <v>17.52</v>
      </c>
      <c r="G3049" s="12">
        <f>ROUND((E3049*F3049)/100,2)</f>
        <v>0.88</v>
      </c>
    </row>
    <row r="3050" ht="15.0" customHeight="1">
      <c r="A3050" s="16"/>
      <c r="B3050" s="16"/>
      <c r="C3050" s="16"/>
      <c r="D3050" s="17" t="s">
        <v>1411</v>
      </c>
      <c r="E3050" s="16"/>
      <c r="F3050" s="18">
        <f>ROUND((G3043+G3044+G3049)*(1+G2/100),2)</f>
        <v>19.91</v>
      </c>
      <c r="G3050" s="16"/>
    </row>
    <row r="3051" ht="57.75" customHeight="1">
      <c r="A3051" s="19" t="s">
        <v>1422</v>
      </c>
      <c r="B3051" s="20" t="s">
        <v>18</v>
      </c>
      <c r="C3051" s="20" t="s">
        <v>1423</v>
      </c>
      <c r="D3051" s="20" t="s">
        <v>1424</v>
      </c>
      <c r="E3051" s="21"/>
      <c r="F3051" s="22">
        <f>F3062</f>
        <v>9.58</v>
      </c>
      <c r="G3051" s="21"/>
    </row>
    <row r="3052" ht="21.0" customHeight="1">
      <c r="A3052" s="11"/>
      <c r="B3052" s="11"/>
      <c r="C3052" s="11"/>
      <c r="D3052" s="10" t="s">
        <v>1425</v>
      </c>
    </row>
    <row r="3053" ht="39.75" customHeight="1">
      <c r="A3053" s="10" t="s">
        <v>1274</v>
      </c>
      <c r="B3053" s="10" t="s">
        <v>42</v>
      </c>
      <c r="C3053" s="10" t="s">
        <v>43</v>
      </c>
      <c r="D3053" s="10" t="s">
        <v>1275</v>
      </c>
      <c r="E3053" s="14">
        <v>0.0</v>
      </c>
      <c r="F3053" s="15">
        <f>ROUND(11.83,3)</f>
        <v>11.83</v>
      </c>
      <c r="G3053" s="12">
        <f t="shared" ref="G3053:G3060" si="538">ROUND(E3053*F3053,2)</f>
        <v>0</v>
      </c>
    </row>
    <row r="3054" ht="30.0" customHeight="1">
      <c r="A3054" s="10" t="s">
        <v>1259</v>
      </c>
      <c r="B3054" s="10" t="s">
        <v>42</v>
      </c>
      <c r="C3054" s="10" t="s">
        <v>43</v>
      </c>
      <c r="D3054" s="10" t="s">
        <v>1260</v>
      </c>
      <c r="E3054" s="14">
        <v>0.004</v>
      </c>
      <c r="F3054" s="15">
        <f>ROUND(18.44,3)</f>
        <v>18.44</v>
      </c>
      <c r="G3054" s="12">
        <f t="shared" si="538"/>
        <v>0.07</v>
      </c>
    </row>
    <row r="3055" ht="48.75" customHeight="1">
      <c r="A3055" s="10" t="s">
        <v>1276</v>
      </c>
      <c r="B3055" s="10" t="s">
        <v>42</v>
      </c>
      <c r="C3055" s="10" t="s">
        <v>43</v>
      </c>
      <c r="D3055" s="10" t="s">
        <v>1277</v>
      </c>
      <c r="E3055" s="14">
        <v>0.04714</v>
      </c>
      <c r="F3055" s="15">
        <f>ROUND(45.57,3)</f>
        <v>45.57</v>
      </c>
      <c r="G3055" s="12">
        <f t="shared" si="538"/>
        <v>2.15</v>
      </c>
    </row>
    <row r="3056" ht="21.0" customHeight="1">
      <c r="A3056" s="10" t="s">
        <v>22</v>
      </c>
      <c r="B3056" s="10" t="s">
        <v>18</v>
      </c>
      <c r="C3056" s="10" t="s">
        <v>23</v>
      </c>
      <c r="D3056" s="10" t="s">
        <v>24</v>
      </c>
      <c r="E3056" s="14">
        <v>0.16</v>
      </c>
      <c r="F3056" s="15">
        <f>F3060</f>
        <v>43.8</v>
      </c>
      <c r="G3056" s="12">
        <f t="shared" si="538"/>
        <v>7.01</v>
      </c>
    </row>
    <row r="3057" ht="24.0" customHeight="1">
      <c r="A3057" s="10" t="s">
        <v>25</v>
      </c>
      <c r="B3057" s="10" t="s">
        <v>26</v>
      </c>
      <c r="C3057" s="10" t="s">
        <v>23</v>
      </c>
      <c r="D3057" s="10" t="s">
        <v>27</v>
      </c>
      <c r="E3057" s="14">
        <v>1.0</v>
      </c>
      <c r="F3057" s="15">
        <f>ROUND(21,3)</f>
        <v>21</v>
      </c>
      <c r="G3057" s="12">
        <f t="shared" si="538"/>
        <v>21</v>
      </c>
    </row>
    <row r="3058" ht="24.0" customHeight="1">
      <c r="A3058" s="10" t="s">
        <v>28</v>
      </c>
      <c r="B3058" s="10" t="s">
        <v>26</v>
      </c>
      <c r="C3058" s="10" t="s">
        <v>23</v>
      </c>
      <c r="D3058" s="10" t="s">
        <v>29</v>
      </c>
      <c r="E3058" s="14">
        <v>1.0</v>
      </c>
      <c r="F3058" s="15">
        <f t="shared" ref="F3058:F3059" si="539">ROUND(19,3)</f>
        <v>19</v>
      </c>
      <c r="G3058" s="12">
        <f t="shared" si="538"/>
        <v>19</v>
      </c>
    </row>
    <row r="3059" ht="24.0" customHeight="1">
      <c r="A3059" s="10" t="s">
        <v>30</v>
      </c>
      <c r="B3059" s="10" t="s">
        <v>26</v>
      </c>
      <c r="C3059" s="10" t="s">
        <v>23</v>
      </c>
      <c r="D3059" s="10" t="s">
        <v>31</v>
      </c>
      <c r="E3059" s="14">
        <v>0.2</v>
      </c>
      <c r="F3059" s="15">
        <f t="shared" si="539"/>
        <v>19</v>
      </c>
      <c r="G3059" s="12">
        <f t="shared" si="538"/>
        <v>3.8</v>
      </c>
    </row>
    <row r="3060" ht="15.0" customHeight="1">
      <c r="A3060" s="11"/>
      <c r="B3060" s="11"/>
      <c r="C3060" s="11"/>
      <c r="D3060" s="10" t="s">
        <v>22</v>
      </c>
      <c r="E3060" s="14">
        <v>0.16</v>
      </c>
      <c r="F3060" s="15">
        <f>ROUND((G3057+G3058+G3059),3)</f>
        <v>43.8</v>
      </c>
      <c r="G3060" s="12">
        <f t="shared" si="538"/>
        <v>7.01</v>
      </c>
    </row>
    <row r="3061" ht="15.0" customHeight="1">
      <c r="A3061" s="10" t="s">
        <v>32</v>
      </c>
      <c r="B3061" s="10"/>
      <c r="C3061" s="10" t="s">
        <v>33</v>
      </c>
      <c r="D3061" s="10" t="s">
        <v>34</v>
      </c>
      <c r="E3061" s="14">
        <v>5.0</v>
      </c>
      <c r="F3061" s="15">
        <f>ROUND(7.01,3)</f>
        <v>7.01</v>
      </c>
      <c r="G3061" s="12">
        <f>ROUND((E3061*F3061)/100,2)</f>
        <v>0.35</v>
      </c>
    </row>
    <row r="3062" ht="15.0" customHeight="1">
      <c r="A3062" s="16"/>
      <c r="B3062" s="16"/>
      <c r="C3062" s="16"/>
      <c r="D3062" s="17" t="s">
        <v>1422</v>
      </c>
      <c r="E3062" s="16"/>
      <c r="F3062" s="18">
        <f>ROUND((G3053+G3054+G3055+G3056+G3061)*(1+G2/100),2)</f>
        <v>9.58</v>
      </c>
      <c r="G3062" s="16"/>
    </row>
    <row r="3063" ht="48.75" customHeight="1">
      <c r="A3063" s="19" t="s">
        <v>1426</v>
      </c>
      <c r="B3063" s="20" t="s">
        <v>18</v>
      </c>
      <c r="C3063" s="20" t="s">
        <v>19</v>
      </c>
      <c r="D3063" s="20" t="s">
        <v>1427</v>
      </c>
      <c r="E3063" s="21"/>
      <c r="F3063" s="22">
        <f>F3074</f>
        <v>16.24</v>
      </c>
      <c r="G3063" s="21"/>
    </row>
    <row r="3064" ht="21.0" customHeight="1">
      <c r="A3064" s="11"/>
      <c r="B3064" s="11"/>
      <c r="C3064" s="11"/>
      <c r="D3064" s="10" t="s">
        <v>1428</v>
      </c>
    </row>
    <row r="3065" ht="39.75" customHeight="1">
      <c r="A3065" s="10" t="s">
        <v>1274</v>
      </c>
      <c r="B3065" s="10" t="s">
        <v>42</v>
      </c>
      <c r="C3065" s="10" t="s">
        <v>43</v>
      </c>
      <c r="D3065" s="10" t="s">
        <v>1275</v>
      </c>
      <c r="E3065" s="14">
        <v>0.01</v>
      </c>
      <c r="F3065" s="15">
        <f>ROUND(11.83,3)</f>
        <v>11.83</v>
      </c>
      <c r="G3065" s="12">
        <f t="shared" ref="G3065:G3072" si="540">ROUND(E3065*F3065,2)</f>
        <v>0.12</v>
      </c>
    </row>
    <row r="3066" ht="30.0" customHeight="1">
      <c r="A3066" s="10" t="s">
        <v>1259</v>
      </c>
      <c r="B3066" s="10" t="s">
        <v>42</v>
      </c>
      <c r="C3066" s="10" t="s">
        <v>43</v>
      </c>
      <c r="D3066" s="10" t="s">
        <v>1260</v>
      </c>
      <c r="E3066" s="14">
        <v>0.02792</v>
      </c>
      <c r="F3066" s="15">
        <f>ROUND(18.44,3)</f>
        <v>18.44</v>
      </c>
      <c r="G3066" s="12">
        <f t="shared" si="540"/>
        <v>0.51</v>
      </c>
    </row>
    <row r="3067" ht="30.0" customHeight="1">
      <c r="A3067" s="10" t="s">
        <v>1006</v>
      </c>
      <c r="B3067" s="10" t="s">
        <v>42</v>
      </c>
      <c r="C3067" s="10" t="s">
        <v>184</v>
      </c>
      <c r="D3067" s="10" t="s">
        <v>1007</v>
      </c>
      <c r="E3067" s="14">
        <v>0.315</v>
      </c>
      <c r="F3067" s="15">
        <f>ROUND(16.81,3)</f>
        <v>16.81</v>
      </c>
      <c r="G3067" s="12">
        <f t="shared" si="540"/>
        <v>5.3</v>
      </c>
    </row>
    <row r="3068" ht="21.0" customHeight="1">
      <c r="A3068" s="10" t="s">
        <v>22</v>
      </c>
      <c r="B3068" s="10" t="s">
        <v>18</v>
      </c>
      <c r="C3068" s="10" t="s">
        <v>23</v>
      </c>
      <c r="D3068" s="10" t="s">
        <v>24</v>
      </c>
      <c r="E3068" s="14">
        <v>0.22857</v>
      </c>
      <c r="F3068" s="15">
        <f>F3072</f>
        <v>43.8</v>
      </c>
      <c r="G3068" s="12">
        <f t="shared" si="540"/>
        <v>10.01</v>
      </c>
    </row>
    <row r="3069" ht="24.0" customHeight="1">
      <c r="A3069" s="10" t="s">
        <v>25</v>
      </c>
      <c r="B3069" s="10" t="s">
        <v>26</v>
      </c>
      <c r="C3069" s="10" t="s">
        <v>23</v>
      </c>
      <c r="D3069" s="10" t="s">
        <v>27</v>
      </c>
      <c r="E3069" s="14">
        <v>1.0</v>
      </c>
      <c r="F3069" s="15">
        <f>ROUND(21,3)</f>
        <v>21</v>
      </c>
      <c r="G3069" s="12">
        <f t="shared" si="540"/>
        <v>21</v>
      </c>
    </row>
    <row r="3070" ht="24.0" customHeight="1">
      <c r="A3070" s="10" t="s">
        <v>28</v>
      </c>
      <c r="B3070" s="10" t="s">
        <v>26</v>
      </c>
      <c r="C3070" s="10" t="s">
        <v>23</v>
      </c>
      <c r="D3070" s="10" t="s">
        <v>29</v>
      </c>
      <c r="E3070" s="14">
        <v>1.0</v>
      </c>
      <c r="F3070" s="15">
        <f t="shared" ref="F3070:F3071" si="541">ROUND(19,3)</f>
        <v>19</v>
      </c>
      <c r="G3070" s="12">
        <f t="shared" si="540"/>
        <v>19</v>
      </c>
    </row>
    <row r="3071" ht="24.0" customHeight="1">
      <c r="A3071" s="10" t="s">
        <v>30</v>
      </c>
      <c r="B3071" s="10" t="s">
        <v>26</v>
      </c>
      <c r="C3071" s="10" t="s">
        <v>23</v>
      </c>
      <c r="D3071" s="10" t="s">
        <v>31</v>
      </c>
      <c r="E3071" s="14">
        <v>0.2</v>
      </c>
      <c r="F3071" s="15">
        <f t="shared" si="541"/>
        <v>19</v>
      </c>
      <c r="G3071" s="12">
        <f t="shared" si="540"/>
        <v>3.8</v>
      </c>
    </row>
    <row r="3072" ht="15.0" customHeight="1">
      <c r="A3072" s="11"/>
      <c r="B3072" s="11"/>
      <c r="C3072" s="11"/>
      <c r="D3072" s="10" t="s">
        <v>22</v>
      </c>
      <c r="E3072" s="14">
        <v>0.22857</v>
      </c>
      <c r="F3072" s="15">
        <f>ROUND((G3069+G3070+G3071),3)</f>
        <v>43.8</v>
      </c>
      <c r="G3072" s="12">
        <f t="shared" si="540"/>
        <v>10.01</v>
      </c>
    </row>
    <row r="3073" ht="15.0" customHeight="1">
      <c r="A3073" s="10" t="s">
        <v>32</v>
      </c>
      <c r="B3073" s="10"/>
      <c r="C3073" s="10" t="s">
        <v>33</v>
      </c>
      <c r="D3073" s="10" t="s">
        <v>34</v>
      </c>
      <c r="E3073" s="14">
        <v>3.0</v>
      </c>
      <c r="F3073" s="15">
        <f>ROUND(10.01,3)</f>
        <v>10.01</v>
      </c>
      <c r="G3073" s="12">
        <f>ROUND((E3073*F3073)/100,2)</f>
        <v>0.3</v>
      </c>
    </row>
    <row r="3074" ht="15.0" customHeight="1">
      <c r="A3074" s="16"/>
      <c r="B3074" s="16"/>
      <c r="C3074" s="16"/>
      <c r="D3074" s="17" t="s">
        <v>1426</v>
      </c>
      <c r="E3074" s="16"/>
      <c r="F3074" s="18">
        <f>ROUND((G3065+G3066+G3067+G3068+G3073)*(1+G2/100),2)</f>
        <v>16.24</v>
      </c>
      <c r="G3074" s="16"/>
    </row>
    <row r="3075" ht="67.5" customHeight="1">
      <c r="A3075" s="19" t="s">
        <v>1429</v>
      </c>
      <c r="B3075" s="20" t="s">
        <v>18</v>
      </c>
      <c r="C3075" s="20" t="s">
        <v>351</v>
      </c>
      <c r="D3075" s="20" t="s">
        <v>1430</v>
      </c>
      <c r="E3075" s="21"/>
      <c r="F3075" s="22">
        <f>F3086</f>
        <v>14.96</v>
      </c>
      <c r="G3075" s="21"/>
    </row>
    <row r="3076" ht="30.0" customHeight="1">
      <c r="A3076" s="11"/>
      <c r="B3076" s="11"/>
      <c r="C3076" s="11"/>
      <c r="D3076" s="10" t="s">
        <v>1431</v>
      </c>
    </row>
    <row r="3077" ht="39.75" customHeight="1">
      <c r="A3077" s="10" t="s">
        <v>1274</v>
      </c>
      <c r="B3077" s="10" t="s">
        <v>42</v>
      </c>
      <c r="C3077" s="10" t="s">
        <v>43</v>
      </c>
      <c r="D3077" s="10" t="s">
        <v>1275</v>
      </c>
      <c r="E3077" s="14">
        <v>0.0</v>
      </c>
      <c r="F3077" s="15">
        <f>ROUND(11.83,3)</f>
        <v>11.83</v>
      </c>
      <c r="G3077" s="12">
        <f t="shared" ref="G3077:G3084" si="542">ROUND(E3077*F3077,2)</f>
        <v>0</v>
      </c>
    </row>
    <row r="3078" ht="30.0" customHeight="1">
      <c r="A3078" s="10" t="s">
        <v>1259</v>
      </c>
      <c r="B3078" s="10" t="s">
        <v>42</v>
      </c>
      <c r="C3078" s="10" t="s">
        <v>43</v>
      </c>
      <c r="D3078" s="10" t="s">
        <v>1260</v>
      </c>
      <c r="E3078" s="14">
        <v>0.02234</v>
      </c>
      <c r="F3078" s="15">
        <f>ROUND(18.44,3)</f>
        <v>18.44</v>
      </c>
      <c r="G3078" s="12">
        <f t="shared" si="542"/>
        <v>0.41</v>
      </c>
    </row>
    <row r="3079" ht="30.0" customHeight="1">
      <c r="A3079" s="10" t="s">
        <v>1006</v>
      </c>
      <c r="B3079" s="10" t="s">
        <v>42</v>
      </c>
      <c r="C3079" s="10" t="s">
        <v>184</v>
      </c>
      <c r="D3079" s="10" t="s">
        <v>1007</v>
      </c>
      <c r="E3079" s="14">
        <v>0.252</v>
      </c>
      <c r="F3079" s="15">
        <f>ROUND(16.81,3)</f>
        <v>16.81</v>
      </c>
      <c r="G3079" s="12">
        <f t="shared" si="542"/>
        <v>4.24</v>
      </c>
    </row>
    <row r="3080" ht="21.0" customHeight="1">
      <c r="A3080" s="10" t="s">
        <v>22</v>
      </c>
      <c r="B3080" s="10" t="s">
        <v>18</v>
      </c>
      <c r="C3080" s="10" t="s">
        <v>23</v>
      </c>
      <c r="D3080" s="10" t="s">
        <v>24</v>
      </c>
      <c r="E3080" s="14">
        <v>0.22857</v>
      </c>
      <c r="F3080" s="15">
        <f>F3084</f>
        <v>43.8</v>
      </c>
      <c r="G3080" s="12">
        <f t="shared" si="542"/>
        <v>10.01</v>
      </c>
    </row>
    <row r="3081" ht="24.0" customHeight="1">
      <c r="A3081" s="10" t="s">
        <v>25</v>
      </c>
      <c r="B3081" s="10" t="s">
        <v>26</v>
      </c>
      <c r="C3081" s="10" t="s">
        <v>23</v>
      </c>
      <c r="D3081" s="10" t="s">
        <v>27</v>
      </c>
      <c r="E3081" s="14">
        <v>1.0</v>
      </c>
      <c r="F3081" s="15">
        <f>ROUND(21,3)</f>
        <v>21</v>
      </c>
      <c r="G3081" s="12">
        <f t="shared" si="542"/>
        <v>21</v>
      </c>
    </row>
    <row r="3082" ht="24.0" customHeight="1">
      <c r="A3082" s="10" t="s">
        <v>28</v>
      </c>
      <c r="B3082" s="10" t="s">
        <v>26</v>
      </c>
      <c r="C3082" s="10" t="s">
        <v>23</v>
      </c>
      <c r="D3082" s="10" t="s">
        <v>29</v>
      </c>
      <c r="E3082" s="14">
        <v>1.0</v>
      </c>
      <c r="F3082" s="15">
        <f t="shared" ref="F3082:F3083" si="543">ROUND(19,3)</f>
        <v>19</v>
      </c>
      <c r="G3082" s="12">
        <f t="shared" si="542"/>
        <v>19</v>
      </c>
    </row>
    <row r="3083" ht="24.0" customHeight="1">
      <c r="A3083" s="10" t="s">
        <v>30</v>
      </c>
      <c r="B3083" s="10" t="s">
        <v>26</v>
      </c>
      <c r="C3083" s="10" t="s">
        <v>23</v>
      </c>
      <c r="D3083" s="10" t="s">
        <v>31</v>
      </c>
      <c r="E3083" s="14">
        <v>0.2</v>
      </c>
      <c r="F3083" s="15">
        <f t="shared" si="543"/>
        <v>19</v>
      </c>
      <c r="G3083" s="12">
        <f t="shared" si="542"/>
        <v>3.8</v>
      </c>
    </row>
    <row r="3084" ht="15.0" customHeight="1">
      <c r="A3084" s="11"/>
      <c r="B3084" s="11"/>
      <c r="C3084" s="11"/>
      <c r="D3084" s="10" t="s">
        <v>22</v>
      </c>
      <c r="E3084" s="14">
        <v>0.22857</v>
      </c>
      <c r="F3084" s="15">
        <f>ROUND((G3081+G3082+G3083),3)</f>
        <v>43.8</v>
      </c>
      <c r="G3084" s="12">
        <f t="shared" si="542"/>
        <v>10.01</v>
      </c>
    </row>
    <row r="3085" ht="15.0" customHeight="1">
      <c r="A3085" s="10" t="s">
        <v>32</v>
      </c>
      <c r="B3085" s="10"/>
      <c r="C3085" s="10" t="s">
        <v>33</v>
      </c>
      <c r="D3085" s="10" t="s">
        <v>34</v>
      </c>
      <c r="E3085" s="14">
        <v>3.0</v>
      </c>
      <c r="F3085" s="15">
        <f>ROUND(10.01,3)</f>
        <v>10.01</v>
      </c>
      <c r="G3085" s="12">
        <f>ROUND((E3085*F3085)/100,2)</f>
        <v>0.3</v>
      </c>
    </row>
    <row r="3086" ht="15.0" customHeight="1">
      <c r="A3086" s="16"/>
      <c r="B3086" s="16"/>
      <c r="C3086" s="16"/>
      <c r="D3086" s="17" t="s">
        <v>1429</v>
      </c>
      <c r="E3086" s="16"/>
      <c r="F3086" s="18">
        <f>ROUND((G3077+G3078+G3079+G3080+G3085)*(1+G2/100),2)</f>
        <v>14.96</v>
      </c>
      <c r="G3086" s="16"/>
    </row>
    <row r="3087" ht="48.75" customHeight="1">
      <c r="A3087" s="19" t="s">
        <v>1432</v>
      </c>
      <c r="B3087" s="20" t="s">
        <v>18</v>
      </c>
      <c r="C3087" s="20" t="s">
        <v>19</v>
      </c>
      <c r="D3087" s="20" t="s">
        <v>1433</v>
      </c>
      <c r="E3087" s="21"/>
      <c r="F3087" s="22">
        <f>F3101</f>
        <v>35.76</v>
      </c>
      <c r="G3087" s="21"/>
    </row>
    <row r="3088" ht="21.0" customHeight="1">
      <c r="A3088" s="11"/>
      <c r="B3088" s="11"/>
      <c r="C3088" s="11"/>
      <c r="D3088" s="10" t="s">
        <v>1434</v>
      </c>
    </row>
    <row r="3089" ht="39.75" customHeight="1">
      <c r="A3089" s="10" t="s">
        <v>1274</v>
      </c>
      <c r="B3089" s="10" t="s">
        <v>42</v>
      </c>
      <c r="C3089" s="10" t="s">
        <v>43</v>
      </c>
      <c r="D3089" s="10" t="s">
        <v>1275</v>
      </c>
      <c r="E3089" s="14">
        <v>0.0</v>
      </c>
      <c r="F3089" s="15">
        <f>ROUND(11.83,3)</f>
        <v>11.83</v>
      </c>
      <c r="G3089" s="12">
        <f t="shared" ref="G3089:G3099" si="544">ROUND(E3089*F3089,2)</f>
        <v>0</v>
      </c>
    </row>
    <row r="3090" ht="30.0" customHeight="1">
      <c r="A3090" s="10" t="s">
        <v>1259</v>
      </c>
      <c r="B3090" s="10" t="s">
        <v>42</v>
      </c>
      <c r="C3090" s="10" t="s">
        <v>43</v>
      </c>
      <c r="D3090" s="10" t="s">
        <v>1260</v>
      </c>
      <c r="E3090" s="14">
        <v>0.02792</v>
      </c>
      <c r="F3090" s="15">
        <f>ROUND(18.44,3)</f>
        <v>18.44</v>
      </c>
      <c r="G3090" s="12">
        <f t="shared" si="544"/>
        <v>0.51</v>
      </c>
    </row>
    <row r="3091" ht="21.0" customHeight="1">
      <c r="A3091" s="10" t="s">
        <v>1376</v>
      </c>
      <c r="B3091" s="10" t="s">
        <v>42</v>
      </c>
      <c r="C3091" s="10" t="s">
        <v>344</v>
      </c>
      <c r="D3091" s="10" t="s">
        <v>1377</v>
      </c>
      <c r="E3091" s="14">
        <v>1.0</v>
      </c>
      <c r="F3091" s="15">
        <f>ROUND(4.98,3)</f>
        <v>4.98</v>
      </c>
      <c r="G3091" s="12">
        <f t="shared" si="544"/>
        <v>4.98</v>
      </c>
    </row>
    <row r="3092" ht="39.75" customHeight="1">
      <c r="A3092" s="10" t="s">
        <v>1435</v>
      </c>
      <c r="B3092" s="10" t="s">
        <v>112</v>
      </c>
      <c r="C3092" s="10" t="s">
        <v>23</v>
      </c>
      <c r="D3092" s="10" t="s">
        <v>1436</v>
      </c>
      <c r="E3092" s="14">
        <v>0.2</v>
      </c>
      <c r="F3092" s="15">
        <f>ROUND(2.86,3)</f>
        <v>2.86</v>
      </c>
      <c r="G3092" s="12">
        <f t="shared" si="544"/>
        <v>0.57</v>
      </c>
    </row>
    <row r="3093" ht="30.0" customHeight="1">
      <c r="A3093" s="10" t="s">
        <v>1437</v>
      </c>
      <c r="B3093" s="10" t="s">
        <v>42</v>
      </c>
      <c r="C3093" s="10" t="s">
        <v>325</v>
      </c>
      <c r="D3093" s="10" t="s">
        <v>1438</v>
      </c>
      <c r="E3093" s="14">
        <v>0.1818</v>
      </c>
      <c r="F3093" s="15">
        <f>ROUND(30.45,3)</f>
        <v>30.45</v>
      </c>
      <c r="G3093" s="12">
        <f t="shared" si="544"/>
        <v>5.54</v>
      </c>
    </row>
    <row r="3094" ht="30.0" customHeight="1">
      <c r="A3094" s="10" t="s">
        <v>1006</v>
      </c>
      <c r="B3094" s="10" t="s">
        <v>42</v>
      </c>
      <c r="C3094" s="10" t="s">
        <v>184</v>
      </c>
      <c r="D3094" s="10" t="s">
        <v>1007</v>
      </c>
      <c r="E3094" s="14">
        <v>0.504</v>
      </c>
      <c r="F3094" s="15">
        <f>ROUND(16.81,3)</f>
        <v>16.81</v>
      </c>
      <c r="G3094" s="12">
        <f t="shared" si="544"/>
        <v>8.47</v>
      </c>
    </row>
    <row r="3095" ht="21.0" customHeight="1">
      <c r="A3095" s="10" t="s">
        <v>22</v>
      </c>
      <c r="B3095" s="10" t="s">
        <v>18</v>
      </c>
      <c r="C3095" s="10" t="s">
        <v>23</v>
      </c>
      <c r="D3095" s="10" t="s">
        <v>24</v>
      </c>
      <c r="E3095" s="14">
        <v>0.34783</v>
      </c>
      <c r="F3095" s="15">
        <f>F3099</f>
        <v>43.8</v>
      </c>
      <c r="G3095" s="12">
        <f t="shared" si="544"/>
        <v>15.23</v>
      </c>
    </row>
    <row r="3096" ht="24.0" customHeight="1">
      <c r="A3096" s="10" t="s">
        <v>25</v>
      </c>
      <c r="B3096" s="10" t="s">
        <v>26</v>
      </c>
      <c r="C3096" s="10" t="s">
        <v>23</v>
      </c>
      <c r="D3096" s="10" t="s">
        <v>27</v>
      </c>
      <c r="E3096" s="14">
        <v>1.0</v>
      </c>
      <c r="F3096" s="15">
        <f>ROUND(21,3)</f>
        <v>21</v>
      </c>
      <c r="G3096" s="12">
        <f t="shared" si="544"/>
        <v>21</v>
      </c>
    </row>
    <row r="3097" ht="24.0" customHeight="1">
      <c r="A3097" s="10" t="s">
        <v>28</v>
      </c>
      <c r="B3097" s="10" t="s">
        <v>26</v>
      </c>
      <c r="C3097" s="10" t="s">
        <v>23</v>
      </c>
      <c r="D3097" s="10" t="s">
        <v>29</v>
      </c>
      <c r="E3097" s="14">
        <v>1.0</v>
      </c>
      <c r="F3097" s="15">
        <f t="shared" ref="F3097:F3098" si="545">ROUND(19,3)</f>
        <v>19</v>
      </c>
      <c r="G3097" s="12">
        <f t="shared" si="544"/>
        <v>19</v>
      </c>
    </row>
    <row r="3098" ht="24.0" customHeight="1">
      <c r="A3098" s="10" t="s">
        <v>30</v>
      </c>
      <c r="B3098" s="10" t="s">
        <v>26</v>
      </c>
      <c r="C3098" s="10" t="s">
        <v>23</v>
      </c>
      <c r="D3098" s="10" t="s">
        <v>31</v>
      </c>
      <c r="E3098" s="14">
        <v>0.2</v>
      </c>
      <c r="F3098" s="15">
        <f t="shared" si="545"/>
        <v>19</v>
      </c>
      <c r="G3098" s="12">
        <f t="shared" si="544"/>
        <v>3.8</v>
      </c>
    </row>
    <row r="3099" ht="15.0" customHeight="1">
      <c r="A3099" s="11"/>
      <c r="B3099" s="11"/>
      <c r="C3099" s="11"/>
      <c r="D3099" s="10" t="s">
        <v>22</v>
      </c>
      <c r="E3099" s="14">
        <v>0.34783</v>
      </c>
      <c r="F3099" s="15">
        <f>ROUND((G3096+G3097+G3098),3)</f>
        <v>43.8</v>
      </c>
      <c r="G3099" s="12">
        <f t="shared" si="544"/>
        <v>15.23</v>
      </c>
    </row>
    <row r="3100" ht="15.0" customHeight="1">
      <c r="A3100" s="10" t="s">
        <v>32</v>
      </c>
      <c r="B3100" s="10"/>
      <c r="C3100" s="10" t="s">
        <v>33</v>
      </c>
      <c r="D3100" s="10" t="s">
        <v>34</v>
      </c>
      <c r="E3100" s="14">
        <v>3.0</v>
      </c>
      <c r="F3100" s="15">
        <f>ROUND(15.23,3)</f>
        <v>15.23</v>
      </c>
      <c r="G3100" s="12">
        <f>ROUND((E3100*F3100)/100,2)</f>
        <v>0.46</v>
      </c>
    </row>
    <row r="3101" ht="15.0" customHeight="1">
      <c r="A3101" s="16"/>
      <c r="B3101" s="16"/>
      <c r="C3101" s="16"/>
      <c r="D3101" s="17" t="s">
        <v>1432</v>
      </c>
      <c r="E3101" s="16"/>
      <c r="F3101" s="18">
        <f>ROUND((G3089+G3090+G3091+G3092+G3093+G3094+G3095+G3100)*(1+G2/100),2)</f>
        <v>35.76</v>
      </c>
      <c r="G3101" s="16"/>
    </row>
    <row r="3102" ht="57.75" customHeight="1">
      <c r="A3102" s="19" t="s">
        <v>1439</v>
      </c>
      <c r="B3102" s="20" t="s">
        <v>18</v>
      </c>
      <c r="C3102" s="20" t="s">
        <v>351</v>
      </c>
      <c r="D3102" s="20" t="s">
        <v>1440</v>
      </c>
      <c r="E3102" s="21"/>
      <c r="F3102" s="22">
        <f>F3116</f>
        <v>25.93</v>
      </c>
      <c r="G3102" s="21"/>
    </row>
    <row r="3103" ht="21.0" customHeight="1">
      <c r="A3103" s="11"/>
      <c r="B3103" s="11"/>
      <c r="C3103" s="11"/>
      <c r="D3103" s="10" t="s">
        <v>1441</v>
      </c>
    </row>
    <row r="3104" ht="39.75" customHeight="1">
      <c r="A3104" s="10" t="s">
        <v>1274</v>
      </c>
      <c r="B3104" s="10" t="s">
        <v>42</v>
      </c>
      <c r="C3104" s="10" t="s">
        <v>43</v>
      </c>
      <c r="D3104" s="10" t="s">
        <v>1275</v>
      </c>
      <c r="E3104" s="14">
        <v>0.0</v>
      </c>
      <c r="F3104" s="15">
        <f>ROUND(11.83,3)</f>
        <v>11.83</v>
      </c>
      <c r="G3104" s="12">
        <f t="shared" ref="G3104:G3114" si="546">ROUND(E3104*F3104,2)</f>
        <v>0</v>
      </c>
    </row>
    <row r="3105" ht="30.0" customHeight="1">
      <c r="A3105" s="10" t="s">
        <v>1259</v>
      </c>
      <c r="B3105" s="10" t="s">
        <v>42</v>
      </c>
      <c r="C3105" s="10" t="s">
        <v>43</v>
      </c>
      <c r="D3105" s="10" t="s">
        <v>1260</v>
      </c>
      <c r="E3105" s="14">
        <v>0.0168</v>
      </c>
      <c r="F3105" s="15">
        <f>ROUND(18.44,3)</f>
        <v>18.44</v>
      </c>
      <c r="G3105" s="12">
        <f t="shared" si="546"/>
        <v>0.31</v>
      </c>
    </row>
    <row r="3106" ht="21.0" customHeight="1">
      <c r="A3106" s="10" t="s">
        <v>1204</v>
      </c>
      <c r="B3106" s="10" t="s">
        <v>42</v>
      </c>
      <c r="C3106" s="10" t="s">
        <v>344</v>
      </c>
      <c r="D3106" s="10" t="s">
        <v>1205</v>
      </c>
      <c r="E3106" s="14">
        <v>1.0</v>
      </c>
      <c r="F3106" s="15">
        <f>ROUND(2.29,3)</f>
        <v>2.29</v>
      </c>
      <c r="G3106" s="12">
        <f t="shared" si="546"/>
        <v>2.29</v>
      </c>
    </row>
    <row r="3107" ht="39.75" customHeight="1">
      <c r="A3107" s="10" t="s">
        <v>1435</v>
      </c>
      <c r="B3107" s="10" t="s">
        <v>112</v>
      </c>
      <c r="C3107" s="10" t="s">
        <v>23</v>
      </c>
      <c r="D3107" s="10" t="s">
        <v>1436</v>
      </c>
      <c r="E3107" s="14">
        <v>0.2</v>
      </c>
      <c r="F3107" s="15">
        <f>ROUND(2.86,3)</f>
        <v>2.86</v>
      </c>
      <c r="G3107" s="12">
        <f t="shared" si="546"/>
        <v>0.57</v>
      </c>
    </row>
    <row r="3108" ht="30.0" customHeight="1">
      <c r="A3108" s="10" t="s">
        <v>1437</v>
      </c>
      <c r="B3108" s="10" t="s">
        <v>42</v>
      </c>
      <c r="C3108" s="10" t="s">
        <v>325</v>
      </c>
      <c r="D3108" s="10" t="s">
        <v>1438</v>
      </c>
      <c r="E3108" s="14">
        <v>0.15</v>
      </c>
      <c r="F3108" s="15">
        <f>ROUND(30.45,3)</f>
        <v>30.45</v>
      </c>
      <c r="G3108" s="12">
        <f t="shared" si="546"/>
        <v>4.57</v>
      </c>
    </row>
    <row r="3109" ht="30.0" customHeight="1">
      <c r="A3109" s="10" t="s">
        <v>1006</v>
      </c>
      <c r="B3109" s="10" t="s">
        <v>42</v>
      </c>
      <c r="C3109" s="10" t="s">
        <v>184</v>
      </c>
      <c r="D3109" s="10" t="s">
        <v>1007</v>
      </c>
      <c r="E3109" s="14">
        <v>0.315</v>
      </c>
      <c r="F3109" s="15">
        <f>ROUND(16.81,3)</f>
        <v>16.81</v>
      </c>
      <c r="G3109" s="12">
        <f t="shared" si="546"/>
        <v>5.3</v>
      </c>
    </row>
    <row r="3110" ht="21.0" customHeight="1">
      <c r="A3110" s="10" t="s">
        <v>22</v>
      </c>
      <c r="B3110" s="10" t="s">
        <v>18</v>
      </c>
      <c r="C3110" s="10" t="s">
        <v>23</v>
      </c>
      <c r="D3110" s="10" t="s">
        <v>24</v>
      </c>
      <c r="E3110" s="14">
        <v>0.2857</v>
      </c>
      <c r="F3110" s="15">
        <f>F3114</f>
        <v>43.8</v>
      </c>
      <c r="G3110" s="12">
        <f t="shared" si="546"/>
        <v>12.51</v>
      </c>
    </row>
    <row r="3111" ht="24.0" customHeight="1">
      <c r="A3111" s="10" t="s">
        <v>25</v>
      </c>
      <c r="B3111" s="10" t="s">
        <v>26</v>
      </c>
      <c r="C3111" s="10" t="s">
        <v>23</v>
      </c>
      <c r="D3111" s="10" t="s">
        <v>27</v>
      </c>
      <c r="E3111" s="14">
        <v>1.0</v>
      </c>
      <c r="F3111" s="15">
        <f>ROUND(21,3)</f>
        <v>21</v>
      </c>
      <c r="G3111" s="12">
        <f t="shared" si="546"/>
        <v>21</v>
      </c>
    </row>
    <row r="3112" ht="24.0" customHeight="1">
      <c r="A3112" s="10" t="s">
        <v>28</v>
      </c>
      <c r="B3112" s="10" t="s">
        <v>26</v>
      </c>
      <c r="C3112" s="10" t="s">
        <v>23</v>
      </c>
      <c r="D3112" s="10" t="s">
        <v>29</v>
      </c>
      <c r="E3112" s="14">
        <v>1.0</v>
      </c>
      <c r="F3112" s="15">
        <f t="shared" ref="F3112:F3113" si="547">ROUND(19,3)</f>
        <v>19</v>
      </c>
      <c r="G3112" s="12">
        <f t="shared" si="546"/>
        <v>19</v>
      </c>
    </row>
    <row r="3113" ht="24.0" customHeight="1">
      <c r="A3113" s="10" t="s">
        <v>30</v>
      </c>
      <c r="B3113" s="10" t="s">
        <v>26</v>
      </c>
      <c r="C3113" s="10" t="s">
        <v>23</v>
      </c>
      <c r="D3113" s="10" t="s">
        <v>31</v>
      </c>
      <c r="E3113" s="14">
        <v>0.2</v>
      </c>
      <c r="F3113" s="15">
        <f t="shared" si="547"/>
        <v>19</v>
      </c>
      <c r="G3113" s="12">
        <f t="shared" si="546"/>
        <v>3.8</v>
      </c>
    </row>
    <row r="3114" ht="15.0" customHeight="1">
      <c r="A3114" s="11"/>
      <c r="B3114" s="11"/>
      <c r="C3114" s="11"/>
      <c r="D3114" s="10" t="s">
        <v>22</v>
      </c>
      <c r="E3114" s="14">
        <v>0.2857</v>
      </c>
      <c r="F3114" s="15">
        <f>ROUND((G3111+G3112+G3113),3)</f>
        <v>43.8</v>
      </c>
      <c r="G3114" s="12">
        <f t="shared" si="546"/>
        <v>12.51</v>
      </c>
    </row>
    <row r="3115" ht="15.0" customHeight="1">
      <c r="A3115" s="10" t="s">
        <v>32</v>
      </c>
      <c r="B3115" s="10"/>
      <c r="C3115" s="10" t="s">
        <v>33</v>
      </c>
      <c r="D3115" s="10" t="s">
        <v>34</v>
      </c>
      <c r="E3115" s="14">
        <v>3.0</v>
      </c>
      <c r="F3115" s="15">
        <f>ROUND(12.51,3)</f>
        <v>12.51</v>
      </c>
      <c r="G3115" s="12">
        <f>ROUND((E3115*F3115)/100,2)</f>
        <v>0.38</v>
      </c>
    </row>
    <row r="3116" ht="15.0" customHeight="1">
      <c r="A3116" s="16"/>
      <c r="B3116" s="16"/>
      <c r="C3116" s="16"/>
      <c r="D3116" s="17" t="s">
        <v>1439</v>
      </c>
      <c r="E3116" s="16"/>
      <c r="F3116" s="18">
        <f>ROUND((G3104+G3105+G3106+G3107+G3108+G3109+G3110+G3115)*(1+G2/100),2)</f>
        <v>25.93</v>
      </c>
      <c r="G3116" s="16"/>
    </row>
    <row r="3117" ht="67.5" customHeight="1">
      <c r="A3117" s="19" t="s">
        <v>1442</v>
      </c>
      <c r="B3117" s="20" t="s">
        <v>18</v>
      </c>
      <c r="C3117" s="20" t="s">
        <v>351</v>
      </c>
      <c r="D3117" s="20" t="s">
        <v>1443</v>
      </c>
      <c r="E3117" s="21"/>
      <c r="F3117" s="22">
        <f>F3131</f>
        <v>29.88</v>
      </c>
      <c r="G3117" s="21"/>
    </row>
    <row r="3118" ht="30.0" customHeight="1">
      <c r="A3118" s="11"/>
      <c r="B3118" s="11"/>
      <c r="C3118" s="11"/>
      <c r="D3118" s="10" t="s">
        <v>1444</v>
      </c>
    </row>
    <row r="3119" ht="39.75" customHeight="1">
      <c r="A3119" s="10" t="s">
        <v>1274</v>
      </c>
      <c r="B3119" s="10" t="s">
        <v>42</v>
      </c>
      <c r="C3119" s="10" t="s">
        <v>43</v>
      </c>
      <c r="D3119" s="10" t="s">
        <v>1275</v>
      </c>
      <c r="E3119" s="14">
        <v>0.0</v>
      </c>
      <c r="F3119" s="15">
        <f>ROUND(11.83,3)</f>
        <v>11.83</v>
      </c>
      <c r="G3119" s="12">
        <f t="shared" ref="G3119:G3129" si="548">ROUND(E3119*F3119,2)</f>
        <v>0</v>
      </c>
    </row>
    <row r="3120" ht="30.0" customHeight="1">
      <c r="A3120" s="10" t="s">
        <v>1259</v>
      </c>
      <c r="B3120" s="10" t="s">
        <v>42</v>
      </c>
      <c r="C3120" s="10" t="s">
        <v>43</v>
      </c>
      <c r="D3120" s="10" t="s">
        <v>1260</v>
      </c>
      <c r="E3120" s="14">
        <v>0.0223</v>
      </c>
      <c r="F3120" s="15">
        <f>ROUND(18.44,3)</f>
        <v>18.44</v>
      </c>
      <c r="G3120" s="12">
        <f t="shared" si="548"/>
        <v>0.41</v>
      </c>
    </row>
    <row r="3121" ht="21.0" customHeight="1">
      <c r="A3121" s="10" t="s">
        <v>1204</v>
      </c>
      <c r="B3121" s="10" t="s">
        <v>42</v>
      </c>
      <c r="C3121" s="10" t="s">
        <v>344</v>
      </c>
      <c r="D3121" s="10" t="s">
        <v>1205</v>
      </c>
      <c r="E3121" s="14">
        <v>1.0</v>
      </c>
      <c r="F3121" s="15">
        <f>ROUND(2.29,3)</f>
        <v>2.29</v>
      </c>
      <c r="G3121" s="12">
        <f t="shared" si="548"/>
        <v>2.29</v>
      </c>
    </row>
    <row r="3122" ht="39.75" customHeight="1">
      <c r="A3122" s="10" t="s">
        <v>1435</v>
      </c>
      <c r="B3122" s="10" t="s">
        <v>112</v>
      </c>
      <c r="C3122" s="10" t="s">
        <v>23</v>
      </c>
      <c r="D3122" s="10" t="s">
        <v>1436</v>
      </c>
      <c r="E3122" s="14">
        <v>0.2</v>
      </c>
      <c r="F3122" s="15">
        <f>ROUND(2.86,3)</f>
        <v>2.86</v>
      </c>
      <c r="G3122" s="12">
        <f t="shared" si="548"/>
        <v>0.57</v>
      </c>
    </row>
    <row r="3123" ht="30.0" customHeight="1">
      <c r="A3123" s="10" t="s">
        <v>1437</v>
      </c>
      <c r="B3123" s="10" t="s">
        <v>42</v>
      </c>
      <c r="C3123" s="10" t="s">
        <v>325</v>
      </c>
      <c r="D3123" s="10" t="s">
        <v>1438</v>
      </c>
      <c r="E3123" s="14">
        <v>0.15</v>
      </c>
      <c r="F3123" s="15">
        <f>ROUND(30.45,3)</f>
        <v>30.45</v>
      </c>
      <c r="G3123" s="12">
        <f t="shared" si="548"/>
        <v>4.57</v>
      </c>
    </row>
    <row r="3124" ht="30.0" customHeight="1">
      <c r="A3124" s="10" t="s">
        <v>1006</v>
      </c>
      <c r="B3124" s="10" t="s">
        <v>42</v>
      </c>
      <c r="C3124" s="10" t="s">
        <v>184</v>
      </c>
      <c r="D3124" s="10" t="s">
        <v>1007</v>
      </c>
      <c r="E3124" s="14">
        <v>0.378</v>
      </c>
      <c r="F3124" s="15">
        <f>ROUND(16.81,3)</f>
        <v>16.81</v>
      </c>
      <c r="G3124" s="12">
        <f t="shared" si="548"/>
        <v>6.35</v>
      </c>
    </row>
    <row r="3125" ht="21.0" customHeight="1">
      <c r="A3125" s="10" t="s">
        <v>22</v>
      </c>
      <c r="B3125" s="10" t="s">
        <v>18</v>
      </c>
      <c r="C3125" s="10" t="s">
        <v>23</v>
      </c>
      <c r="D3125" s="10" t="s">
        <v>24</v>
      </c>
      <c r="E3125" s="14">
        <v>0.34783</v>
      </c>
      <c r="F3125" s="15">
        <f>F3129</f>
        <v>43.8</v>
      </c>
      <c r="G3125" s="12">
        <f t="shared" si="548"/>
        <v>15.23</v>
      </c>
    </row>
    <row r="3126" ht="24.0" customHeight="1">
      <c r="A3126" s="10" t="s">
        <v>25</v>
      </c>
      <c r="B3126" s="10" t="s">
        <v>26</v>
      </c>
      <c r="C3126" s="10" t="s">
        <v>23</v>
      </c>
      <c r="D3126" s="10" t="s">
        <v>27</v>
      </c>
      <c r="E3126" s="14">
        <v>1.0</v>
      </c>
      <c r="F3126" s="15">
        <f>ROUND(21,3)</f>
        <v>21</v>
      </c>
      <c r="G3126" s="12">
        <f t="shared" si="548"/>
        <v>21</v>
      </c>
    </row>
    <row r="3127" ht="24.0" customHeight="1">
      <c r="A3127" s="10" t="s">
        <v>28</v>
      </c>
      <c r="B3127" s="10" t="s">
        <v>26</v>
      </c>
      <c r="C3127" s="10" t="s">
        <v>23</v>
      </c>
      <c r="D3127" s="10" t="s">
        <v>29</v>
      </c>
      <c r="E3127" s="14">
        <v>1.0</v>
      </c>
      <c r="F3127" s="15">
        <f t="shared" ref="F3127:F3128" si="549">ROUND(19,3)</f>
        <v>19</v>
      </c>
      <c r="G3127" s="12">
        <f t="shared" si="548"/>
        <v>19</v>
      </c>
    </row>
    <row r="3128" ht="24.0" customHeight="1">
      <c r="A3128" s="10" t="s">
        <v>30</v>
      </c>
      <c r="B3128" s="10" t="s">
        <v>26</v>
      </c>
      <c r="C3128" s="10" t="s">
        <v>23</v>
      </c>
      <c r="D3128" s="10" t="s">
        <v>31</v>
      </c>
      <c r="E3128" s="14">
        <v>0.2</v>
      </c>
      <c r="F3128" s="15">
        <f t="shared" si="549"/>
        <v>19</v>
      </c>
      <c r="G3128" s="12">
        <f t="shared" si="548"/>
        <v>3.8</v>
      </c>
    </row>
    <row r="3129" ht="15.0" customHeight="1">
      <c r="A3129" s="11"/>
      <c r="B3129" s="11"/>
      <c r="C3129" s="11"/>
      <c r="D3129" s="10" t="s">
        <v>22</v>
      </c>
      <c r="E3129" s="14">
        <v>0.34783</v>
      </c>
      <c r="F3129" s="15">
        <f>ROUND((G3126+G3127+G3128),3)</f>
        <v>43.8</v>
      </c>
      <c r="G3129" s="12">
        <f t="shared" si="548"/>
        <v>15.23</v>
      </c>
    </row>
    <row r="3130" ht="15.0" customHeight="1">
      <c r="A3130" s="10" t="s">
        <v>32</v>
      </c>
      <c r="B3130" s="10"/>
      <c r="C3130" s="10" t="s">
        <v>33</v>
      </c>
      <c r="D3130" s="10" t="s">
        <v>34</v>
      </c>
      <c r="E3130" s="14">
        <v>3.0</v>
      </c>
      <c r="F3130" s="15">
        <f>ROUND(15.23,3)</f>
        <v>15.23</v>
      </c>
      <c r="G3130" s="12">
        <f>ROUND((E3130*F3130)/100,2)</f>
        <v>0.46</v>
      </c>
    </row>
    <row r="3131" ht="15.0" customHeight="1">
      <c r="A3131" s="16"/>
      <c r="B3131" s="16"/>
      <c r="C3131" s="16"/>
      <c r="D3131" s="17" t="s">
        <v>1442</v>
      </c>
      <c r="E3131" s="16"/>
      <c r="F3131" s="18">
        <f>ROUND((G3119+G3120+G3121+G3122+G3123+G3124+G3125+G3130)*(1+G2/100),2)</f>
        <v>29.88</v>
      </c>
      <c r="G3131" s="16"/>
    </row>
    <row r="3132" ht="67.5" customHeight="1">
      <c r="A3132" s="19" t="s">
        <v>1445</v>
      </c>
      <c r="B3132" s="20" t="s">
        <v>18</v>
      </c>
      <c r="C3132" s="20" t="s">
        <v>351</v>
      </c>
      <c r="D3132" s="20" t="s">
        <v>1446</v>
      </c>
      <c r="E3132" s="21"/>
      <c r="F3132" s="22">
        <f>F3143</f>
        <v>10.48</v>
      </c>
      <c r="G3132" s="21"/>
    </row>
    <row r="3133" ht="30.0" customHeight="1">
      <c r="A3133" s="11"/>
      <c r="B3133" s="11"/>
      <c r="C3133" s="11"/>
      <c r="D3133" s="10" t="s">
        <v>1447</v>
      </c>
    </row>
    <row r="3134" ht="39.75" customHeight="1">
      <c r="A3134" s="10" t="s">
        <v>1274</v>
      </c>
      <c r="B3134" s="10" t="s">
        <v>42</v>
      </c>
      <c r="C3134" s="10" t="s">
        <v>43</v>
      </c>
      <c r="D3134" s="10" t="s">
        <v>1275</v>
      </c>
      <c r="E3134" s="14">
        <v>0.0</v>
      </c>
      <c r="F3134" s="15">
        <f>ROUND(11.83,3)</f>
        <v>11.83</v>
      </c>
      <c r="G3134" s="12">
        <f t="shared" ref="G3134:G3141" si="550">ROUND(E3134*F3134,2)</f>
        <v>0</v>
      </c>
    </row>
    <row r="3135" ht="30.0" customHeight="1">
      <c r="A3135" s="10" t="s">
        <v>1259</v>
      </c>
      <c r="B3135" s="10" t="s">
        <v>42</v>
      </c>
      <c r="C3135" s="10" t="s">
        <v>43</v>
      </c>
      <c r="D3135" s="10" t="s">
        <v>1260</v>
      </c>
      <c r="E3135" s="14">
        <v>0.01676</v>
      </c>
      <c r="F3135" s="15">
        <f>ROUND(18.44,3)</f>
        <v>18.44</v>
      </c>
      <c r="G3135" s="12">
        <f t="shared" si="550"/>
        <v>0.31</v>
      </c>
    </row>
    <row r="3136" ht="48.75" customHeight="1">
      <c r="A3136" s="10" t="s">
        <v>1276</v>
      </c>
      <c r="B3136" s="10" t="s">
        <v>42</v>
      </c>
      <c r="C3136" s="10" t="s">
        <v>43</v>
      </c>
      <c r="D3136" s="10" t="s">
        <v>1277</v>
      </c>
      <c r="E3136" s="14">
        <v>0.0253</v>
      </c>
      <c r="F3136" s="15">
        <f>ROUND(45.57,3)</f>
        <v>45.57</v>
      </c>
      <c r="G3136" s="12">
        <f t="shared" si="550"/>
        <v>1.15</v>
      </c>
    </row>
    <row r="3137" ht="21.0" customHeight="1">
      <c r="A3137" s="10" t="s">
        <v>22</v>
      </c>
      <c r="B3137" s="10" t="s">
        <v>18</v>
      </c>
      <c r="C3137" s="10" t="s">
        <v>23</v>
      </c>
      <c r="D3137" s="10" t="s">
        <v>24</v>
      </c>
      <c r="E3137" s="14">
        <v>0.2</v>
      </c>
      <c r="F3137" s="15">
        <f>F3141</f>
        <v>43.8</v>
      </c>
      <c r="G3137" s="12">
        <f t="shared" si="550"/>
        <v>8.76</v>
      </c>
    </row>
    <row r="3138" ht="24.0" customHeight="1">
      <c r="A3138" s="10" t="s">
        <v>25</v>
      </c>
      <c r="B3138" s="10" t="s">
        <v>26</v>
      </c>
      <c r="C3138" s="10" t="s">
        <v>23</v>
      </c>
      <c r="D3138" s="10" t="s">
        <v>27</v>
      </c>
      <c r="E3138" s="14">
        <v>1.0</v>
      </c>
      <c r="F3138" s="15">
        <f>ROUND(21,3)</f>
        <v>21</v>
      </c>
      <c r="G3138" s="12">
        <f t="shared" si="550"/>
        <v>21</v>
      </c>
    </row>
    <row r="3139" ht="24.0" customHeight="1">
      <c r="A3139" s="10" t="s">
        <v>28</v>
      </c>
      <c r="B3139" s="10" t="s">
        <v>26</v>
      </c>
      <c r="C3139" s="10" t="s">
        <v>23</v>
      </c>
      <c r="D3139" s="10" t="s">
        <v>29</v>
      </c>
      <c r="E3139" s="14">
        <v>1.0</v>
      </c>
      <c r="F3139" s="15">
        <f t="shared" ref="F3139:F3140" si="551">ROUND(19,3)</f>
        <v>19</v>
      </c>
      <c r="G3139" s="12">
        <f t="shared" si="550"/>
        <v>19</v>
      </c>
    </row>
    <row r="3140" ht="24.0" customHeight="1">
      <c r="A3140" s="10" t="s">
        <v>30</v>
      </c>
      <c r="B3140" s="10" t="s">
        <v>26</v>
      </c>
      <c r="C3140" s="10" t="s">
        <v>23</v>
      </c>
      <c r="D3140" s="10" t="s">
        <v>31</v>
      </c>
      <c r="E3140" s="14">
        <v>0.2</v>
      </c>
      <c r="F3140" s="15">
        <f t="shared" si="551"/>
        <v>19</v>
      </c>
      <c r="G3140" s="12">
        <f t="shared" si="550"/>
        <v>3.8</v>
      </c>
    </row>
    <row r="3141" ht="15.0" customHeight="1">
      <c r="A3141" s="11"/>
      <c r="B3141" s="11"/>
      <c r="C3141" s="11"/>
      <c r="D3141" s="10" t="s">
        <v>22</v>
      </c>
      <c r="E3141" s="14">
        <v>0.2</v>
      </c>
      <c r="F3141" s="15">
        <f>ROUND((G3138+G3139+G3140),3)</f>
        <v>43.8</v>
      </c>
      <c r="G3141" s="12">
        <f t="shared" si="550"/>
        <v>8.76</v>
      </c>
    </row>
    <row r="3142" ht="15.0" customHeight="1">
      <c r="A3142" s="10" t="s">
        <v>32</v>
      </c>
      <c r="B3142" s="10"/>
      <c r="C3142" s="10" t="s">
        <v>33</v>
      </c>
      <c r="D3142" s="10" t="s">
        <v>34</v>
      </c>
      <c r="E3142" s="14">
        <v>3.0</v>
      </c>
      <c r="F3142" s="15">
        <f>ROUND(8.76,3)</f>
        <v>8.76</v>
      </c>
      <c r="G3142" s="12">
        <f>ROUND((E3142*F3142)/100,2)</f>
        <v>0.26</v>
      </c>
    </row>
    <row r="3143" ht="15.0" customHeight="1">
      <c r="A3143" s="16"/>
      <c r="B3143" s="16"/>
      <c r="C3143" s="16"/>
      <c r="D3143" s="17" t="s">
        <v>1445</v>
      </c>
      <c r="E3143" s="16"/>
      <c r="F3143" s="18">
        <f>ROUND((G3134+G3135+G3136+G3137+G3142)*(1+G2/100),2)</f>
        <v>10.48</v>
      </c>
      <c r="G3143" s="16"/>
    </row>
    <row r="3144" ht="67.5" customHeight="1">
      <c r="A3144" s="19" t="s">
        <v>1448</v>
      </c>
      <c r="B3144" s="20" t="s">
        <v>18</v>
      </c>
      <c r="C3144" s="20" t="s">
        <v>351</v>
      </c>
      <c r="D3144" s="20" t="s">
        <v>1449</v>
      </c>
      <c r="E3144" s="21"/>
      <c r="F3144" s="22">
        <f>F3154</f>
        <v>12.26</v>
      </c>
      <c r="G3144" s="21"/>
    </row>
    <row r="3145" ht="30.0" customHeight="1">
      <c r="A3145" s="11"/>
      <c r="B3145" s="11"/>
      <c r="C3145" s="11"/>
      <c r="D3145" s="10" t="s">
        <v>1450</v>
      </c>
    </row>
    <row r="3146" ht="30.0" customHeight="1">
      <c r="A3146" s="10" t="s">
        <v>1259</v>
      </c>
      <c r="B3146" s="10" t="s">
        <v>42</v>
      </c>
      <c r="C3146" s="10" t="s">
        <v>43</v>
      </c>
      <c r="D3146" s="10" t="s">
        <v>1260</v>
      </c>
      <c r="E3146" s="14">
        <v>0.02234</v>
      </c>
      <c r="F3146" s="15">
        <f>ROUND(18.44,3)</f>
        <v>18.44</v>
      </c>
      <c r="G3146" s="12">
        <f t="shared" ref="G3146:G3152" si="552">ROUND(E3146*F3146,2)</f>
        <v>0.41</v>
      </c>
    </row>
    <row r="3147" ht="48.75" customHeight="1">
      <c r="A3147" s="10" t="s">
        <v>1276</v>
      </c>
      <c r="B3147" s="10" t="s">
        <v>42</v>
      </c>
      <c r="C3147" s="10" t="s">
        <v>43</v>
      </c>
      <c r="D3147" s="10" t="s">
        <v>1277</v>
      </c>
      <c r="E3147" s="14">
        <v>0.0338</v>
      </c>
      <c r="F3147" s="15">
        <f>ROUND(45.57,3)</f>
        <v>45.57</v>
      </c>
      <c r="G3147" s="12">
        <f t="shared" si="552"/>
        <v>1.54</v>
      </c>
    </row>
    <row r="3148" ht="21.0" customHeight="1">
      <c r="A3148" s="10" t="s">
        <v>22</v>
      </c>
      <c r="B3148" s="10" t="s">
        <v>18</v>
      </c>
      <c r="C3148" s="10" t="s">
        <v>23</v>
      </c>
      <c r="D3148" s="10" t="s">
        <v>24</v>
      </c>
      <c r="E3148" s="14">
        <v>0.22857</v>
      </c>
      <c r="F3148" s="15">
        <f>F3152</f>
        <v>43.8</v>
      </c>
      <c r="G3148" s="12">
        <f t="shared" si="552"/>
        <v>10.01</v>
      </c>
    </row>
    <row r="3149" ht="24.0" customHeight="1">
      <c r="A3149" s="10" t="s">
        <v>25</v>
      </c>
      <c r="B3149" s="10" t="s">
        <v>26</v>
      </c>
      <c r="C3149" s="10" t="s">
        <v>23</v>
      </c>
      <c r="D3149" s="10" t="s">
        <v>27</v>
      </c>
      <c r="E3149" s="14">
        <v>1.0</v>
      </c>
      <c r="F3149" s="15">
        <f>ROUND(21,3)</f>
        <v>21</v>
      </c>
      <c r="G3149" s="12">
        <f t="shared" si="552"/>
        <v>21</v>
      </c>
    </row>
    <row r="3150" ht="24.0" customHeight="1">
      <c r="A3150" s="10" t="s">
        <v>28</v>
      </c>
      <c r="B3150" s="10" t="s">
        <v>26</v>
      </c>
      <c r="C3150" s="10" t="s">
        <v>23</v>
      </c>
      <c r="D3150" s="10" t="s">
        <v>29</v>
      </c>
      <c r="E3150" s="14">
        <v>1.0</v>
      </c>
      <c r="F3150" s="15">
        <f t="shared" ref="F3150:F3151" si="553">ROUND(19,3)</f>
        <v>19</v>
      </c>
      <c r="G3150" s="12">
        <f t="shared" si="552"/>
        <v>19</v>
      </c>
    </row>
    <row r="3151" ht="24.0" customHeight="1">
      <c r="A3151" s="10" t="s">
        <v>30</v>
      </c>
      <c r="B3151" s="10" t="s">
        <v>26</v>
      </c>
      <c r="C3151" s="10" t="s">
        <v>23</v>
      </c>
      <c r="D3151" s="10" t="s">
        <v>31</v>
      </c>
      <c r="E3151" s="14">
        <v>0.2</v>
      </c>
      <c r="F3151" s="15">
        <f t="shared" si="553"/>
        <v>19</v>
      </c>
      <c r="G3151" s="12">
        <f t="shared" si="552"/>
        <v>3.8</v>
      </c>
    </row>
    <row r="3152" ht="15.0" customHeight="1">
      <c r="A3152" s="11"/>
      <c r="B3152" s="11"/>
      <c r="C3152" s="11"/>
      <c r="D3152" s="10" t="s">
        <v>22</v>
      </c>
      <c r="E3152" s="14">
        <v>0.22857</v>
      </c>
      <c r="F3152" s="15">
        <f>ROUND((G3149+G3150+G3151),3)</f>
        <v>43.8</v>
      </c>
      <c r="G3152" s="12">
        <f t="shared" si="552"/>
        <v>10.01</v>
      </c>
    </row>
    <row r="3153" ht="15.0" customHeight="1">
      <c r="A3153" s="10" t="s">
        <v>32</v>
      </c>
      <c r="B3153" s="10"/>
      <c r="C3153" s="10" t="s">
        <v>33</v>
      </c>
      <c r="D3153" s="10" t="s">
        <v>34</v>
      </c>
      <c r="E3153" s="14">
        <v>3.0</v>
      </c>
      <c r="F3153" s="15">
        <f>ROUND(10.01,3)</f>
        <v>10.01</v>
      </c>
      <c r="G3153" s="12">
        <f>ROUND((E3153*F3153)/100,2)</f>
        <v>0.3</v>
      </c>
    </row>
    <row r="3154" ht="15.0" customHeight="1">
      <c r="A3154" s="16"/>
      <c r="B3154" s="16"/>
      <c r="C3154" s="16"/>
      <c r="D3154" s="17" t="s">
        <v>1448</v>
      </c>
      <c r="E3154" s="16"/>
      <c r="F3154" s="18">
        <f>ROUND((G3146+G3147+G3148+G3153)*(1+G2/100),2)</f>
        <v>12.26</v>
      </c>
      <c r="G3154" s="16"/>
    </row>
    <row r="3155" ht="57.75" customHeight="1">
      <c r="A3155" s="19" t="s">
        <v>1451</v>
      </c>
      <c r="B3155" s="20" t="s">
        <v>18</v>
      </c>
      <c r="C3155" s="20" t="s">
        <v>19</v>
      </c>
      <c r="D3155" s="20" t="s">
        <v>1452</v>
      </c>
      <c r="E3155" s="21"/>
      <c r="F3155" s="22">
        <f>F3169</f>
        <v>30.08</v>
      </c>
      <c r="G3155" s="21"/>
    </row>
    <row r="3156" ht="21.0" customHeight="1">
      <c r="A3156" s="11"/>
      <c r="B3156" s="11"/>
      <c r="C3156" s="11"/>
      <c r="D3156" s="10" t="s">
        <v>1453</v>
      </c>
    </row>
    <row r="3157" ht="39.75" customHeight="1">
      <c r="A3157" s="10" t="s">
        <v>1274</v>
      </c>
      <c r="B3157" s="10" t="s">
        <v>42</v>
      </c>
      <c r="C3157" s="10" t="s">
        <v>43</v>
      </c>
      <c r="D3157" s="10" t="s">
        <v>1275</v>
      </c>
      <c r="E3157" s="14">
        <v>0.0</v>
      </c>
      <c r="F3157" s="15">
        <f>ROUND(11.83,3)</f>
        <v>11.83</v>
      </c>
      <c r="G3157" s="12">
        <f t="shared" ref="G3157:G3167" si="554">ROUND(E3157*F3157,2)</f>
        <v>0</v>
      </c>
    </row>
    <row r="3158" ht="30.0" customHeight="1">
      <c r="A3158" s="10" t="s">
        <v>1259</v>
      </c>
      <c r="B3158" s="10" t="s">
        <v>42</v>
      </c>
      <c r="C3158" s="10" t="s">
        <v>43</v>
      </c>
      <c r="D3158" s="10" t="s">
        <v>1260</v>
      </c>
      <c r="E3158" s="14">
        <v>0.02792</v>
      </c>
      <c r="F3158" s="15">
        <f>ROUND(18.44,3)</f>
        <v>18.44</v>
      </c>
      <c r="G3158" s="12">
        <f t="shared" si="554"/>
        <v>0.51</v>
      </c>
    </row>
    <row r="3159" ht="21.0" customHeight="1">
      <c r="A3159" s="10" t="s">
        <v>1376</v>
      </c>
      <c r="B3159" s="10" t="s">
        <v>42</v>
      </c>
      <c r="C3159" s="10" t="s">
        <v>344</v>
      </c>
      <c r="D3159" s="10" t="s">
        <v>1377</v>
      </c>
      <c r="E3159" s="14">
        <v>1.0</v>
      </c>
      <c r="F3159" s="15">
        <f>ROUND(4.98,3)</f>
        <v>4.98</v>
      </c>
      <c r="G3159" s="12">
        <f t="shared" si="554"/>
        <v>4.98</v>
      </c>
    </row>
    <row r="3160" ht="39.75" customHeight="1">
      <c r="A3160" s="10" t="s">
        <v>1435</v>
      </c>
      <c r="B3160" s="10" t="s">
        <v>112</v>
      </c>
      <c r="C3160" s="10" t="s">
        <v>23</v>
      </c>
      <c r="D3160" s="10" t="s">
        <v>1436</v>
      </c>
      <c r="E3160" s="14">
        <v>0.2</v>
      </c>
      <c r="F3160" s="15">
        <f>ROUND(2.86,3)</f>
        <v>2.86</v>
      </c>
      <c r="G3160" s="12">
        <f t="shared" si="554"/>
        <v>0.57</v>
      </c>
    </row>
    <row r="3161" ht="30.0" customHeight="1">
      <c r="A3161" s="10" t="s">
        <v>1437</v>
      </c>
      <c r="B3161" s="10" t="s">
        <v>42</v>
      </c>
      <c r="C3161" s="10" t="s">
        <v>325</v>
      </c>
      <c r="D3161" s="10" t="s">
        <v>1438</v>
      </c>
      <c r="E3161" s="14">
        <v>0.1818</v>
      </c>
      <c r="F3161" s="15">
        <f>ROUND(30.45,3)</f>
        <v>30.45</v>
      </c>
      <c r="G3161" s="12">
        <f t="shared" si="554"/>
        <v>5.54</v>
      </c>
    </row>
    <row r="3162" ht="48.75" customHeight="1">
      <c r="A3162" s="10" t="s">
        <v>1276</v>
      </c>
      <c r="B3162" s="10" t="s">
        <v>42</v>
      </c>
      <c r="C3162" s="10" t="s">
        <v>43</v>
      </c>
      <c r="D3162" s="10" t="s">
        <v>1277</v>
      </c>
      <c r="E3162" s="14">
        <v>0.0612</v>
      </c>
      <c r="F3162" s="15">
        <f>ROUND(45.57,3)</f>
        <v>45.57</v>
      </c>
      <c r="G3162" s="12">
        <f t="shared" si="554"/>
        <v>2.79</v>
      </c>
    </row>
    <row r="3163" ht="21.0" customHeight="1">
      <c r="A3163" s="10" t="s">
        <v>22</v>
      </c>
      <c r="B3163" s="10" t="s">
        <v>18</v>
      </c>
      <c r="C3163" s="10" t="s">
        <v>23</v>
      </c>
      <c r="D3163" s="10" t="s">
        <v>24</v>
      </c>
      <c r="E3163" s="14">
        <v>0.34783</v>
      </c>
      <c r="F3163" s="15">
        <f>F3167</f>
        <v>43.8</v>
      </c>
      <c r="G3163" s="12">
        <f t="shared" si="554"/>
        <v>15.23</v>
      </c>
    </row>
    <row r="3164" ht="24.0" customHeight="1">
      <c r="A3164" s="10" t="s">
        <v>25</v>
      </c>
      <c r="B3164" s="10" t="s">
        <v>26</v>
      </c>
      <c r="C3164" s="10" t="s">
        <v>23</v>
      </c>
      <c r="D3164" s="10" t="s">
        <v>27</v>
      </c>
      <c r="E3164" s="14">
        <v>1.0</v>
      </c>
      <c r="F3164" s="15">
        <f>ROUND(21,3)</f>
        <v>21</v>
      </c>
      <c r="G3164" s="12">
        <f t="shared" si="554"/>
        <v>21</v>
      </c>
    </row>
    <row r="3165" ht="24.0" customHeight="1">
      <c r="A3165" s="10" t="s">
        <v>28</v>
      </c>
      <c r="B3165" s="10" t="s">
        <v>26</v>
      </c>
      <c r="C3165" s="10" t="s">
        <v>23</v>
      </c>
      <c r="D3165" s="10" t="s">
        <v>29</v>
      </c>
      <c r="E3165" s="14">
        <v>1.0</v>
      </c>
      <c r="F3165" s="15">
        <f t="shared" ref="F3165:F3166" si="555">ROUND(19,3)</f>
        <v>19</v>
      </c>
      <c r="G3165" s="12">
        <f t="shared" si="554"/>
        <v>19</v>
      </c>
    </row>
    <row r="3166" ht="24.0" customHeight="1">
      <c r="A3166" s="10" t="s">
        <v>30</v>
      </c>
      <c r="B3166" s="10" t="s">
        <v>26</v>
      </c>
      <c r="C3166" s="10" t="s">
        <v>23</v>
      </c>
      <c r="D3166" s="10" t="s">
        <v>31</v>
      </c>
      <c r="E3166" s="14">
        <v>0.2</v>
      </c>
      <c r="F3166" s="15">
        <f t="shared" si="555"/>
        <v>19</v>
      </c>
      <c r="G3166" s="12">
        <f t="shared" si="554"/>
        <v>3.8</v>
      </c>
    </row>
    <row r="3167" ht="15.0" customHeight="1">
      <c r="A3167" s="11"/>
      <c r="B3167" s="11"/>
      <c r="C3167" s="11"/>
      <c r="D3167" s="10" t="s">
        <v>22</v>
      </c>
      <c r="E3167" s="14">
        <v>0.34783</v>
      </c>
      <c r="F3167" s="15">
        <f>ROUND((G3164+G3165+G3166),3)</f>
        <v>43.8</v>
      </c>
      <c r="G3167" s="12">
        <f t="shared" si="554"/>
        <v>15.23</v>
      </c>
    </row>
    <row r="3168" ht="15.0" customHeight="1">
      <c r="A3168" s="10" t="s">
        <v>32</v>
      </c>
      <c r="B3168" s="10"/>
      <c r="C3168" s="10" t="s">
        <v>33</v>
      </c>
      <c r="D3168" s="10" t="s">
        <v>34</v>
      </c>
      <c r="E3168" s="14">
        <v>3.0</v>
      </c>
      <c r="F3168" s="15">
        <f>ROUND(15.23,3)</f>
        <v>15.23</v>
      </c>
      <c r="G3168" s="12">
        <f>ROUND((E3168*F3168)/100,2)</f>
        <v>0.46</v>
      </c>
    </row>
    <row r="3169" ht="15.0" customHeight="1">
      <c r="A3169" s="16"/>
      <c r="B3169" s="16"/>
      <c r="C3169" s="16"/>
      <c r="D3169" s="17" t="s">
        <v>1451</v>
      </c>
      <c r="E3169" s="16"/>
      <c r="F3169" s="18">
        <f>ROUND((G3157+G3158+G3159+G3160+G3161+G3162+G3163+G3168)*(1+G2/100),2)</f>
        <v>30.08</v>
      </c>
      <c r="G3169" s="16"/>
    </row>
    <row r="3170" ht="67.5" customHeight="1">
      <c r="A3170" s="19" t="s">
        <v>1454</v>
      </c>
      <c r="B3170" s="20" t="s">
        <v>18</v>
      </c>
      <c r="C3170" s="20" t="s">
        <v>351</v>
      </c>
      <c r="D3170" s="20" t="s">
        <v>1455</v>
      </c>
      <c r="E3170" s="21"/>
      <c r="F3170" s="22">
        <f>F3184</f>
        <v>23.59</v>
      </c>
      <c r="G3170" s="21"/>
    </row>
    <row r="3171" ht="30.0" customHeight="1">
      <c r="A3171" s="11"/>
      <c r="B3171" s="11"/>
      <c r="C3171" s="11"/>
      <c r="D3171" s="10" t="s">
        <v>1456</v>
      </c>
    </row>
    <row r="3172" ht="39.75" customHeight="1">
      <c r="A3172" s="10" t="s">
        <v>1274</v>
      </c>
      <c r="B3172" s="10" t="s">
        <v>42</v>
      </c>
      <c r="C3172" s="10" t="s">
        <v>43</v>
      </c>
      <c r="D3172" s="10" t="s">
        <v>1275</v>
      </c>
      <c r="E3172" s="14">
        <v>0.0</v>
      </c>
      <c r="F3172" s="15">
        <f>ROUND(11.83,3)</f>
        <v>11.83</v>
      </c>
      <c r="G3172" s="12">
        <f t="shared" ref="G3172:G3182" si="556">ROUND(E3172*F3172,2)</f>
        <v>0</v>
      </c>
    </row>
    <row r="3173" ht="30.0" customHeight="1">
      <c r="A3173" s="10" t="s">
        <v>1259</v>
      </c>
      <c r="B3173" s="10" t="s">
        <v>42</v>
      </c>
      <c r="C3173" s="10" t="s">
        <v>43</v>
      </c>
      <c r="D3173" s="10" t="s">
        <v>1260</v>
      </c>
      <c r="E3173" s="14">
        <v>0.0168</v>
      </c>
      <c r="F3173" s="15">
        <f>ROUND(18.44,3)</f>
        <v>18.44</v>
      </c>
      <c r="G3173" s="12">
        <f t="shared" si="556"/>
        <v>0.31</v>
      </c>
    </row>
    <row r="3174" ht="21.0" customHeight="1">
      <c r="A3174" s="10" t="s">
        <v>1204</v>
      </c>
      <c r="B3174" s="10" t="s">
        <v>42</v>
      </c>
      <c r="C3174" s="10" t="s">
        <v>344</v>
      </c>
      <c r="D3174" s="10" t="s">
        <v>1205</v>
      </c>
      <c r="E3174" s="14">
        <v>1.0</v>
      </c>
      <c r="F3174" s="15">
        <f>ROUND(2.29,3)</f>
        <v>2.29</v>
      </c>
      <c r="G3174" s="12">
        <f t="shared" si="556"/>
        <v>2.29</v>
      </c>
    </row>
    <row r="3175" ht="39.75" customHeight="1">
      <c r="A3175" s="10" t="s">
        <v>1435</v>
      </c>
      <c r="B3175" s="10" t="s">
        <v>112</v>
      </c>
      <c r="C3175" s="10" t="s">
        <v>23</v>
      </c>
      <c r="D3175" s="10" t="s">
        <v>1436</v>
      </c>
      <c r="E3175" s="14">
        <v>0.2</v>
      </c>
      <c r="F3175" s="15">
        <f>ROUND(2.86,3)</f>
        <v>2.86</v>
      </c>
      <c r="G3175" s="12">
        <f t="shared" si="556"/>
        <v>0.57</v>
      </c>
    </row>
    <row r="3176" ht="30.0" customHeight="1">
      <c r="A3176" s="10" t="s">
        <v>1437</v>
      </c>
      <c r="B3176" s="10" t="s">
        <v>42</v>
      </c>
      <c r="C3176" s="10" t="s">
        <v>325</v>
      </c>
      <c r="D3176" s="10" t="s">
        <v>1438</v>
      </c>
      <c r="E3176" s="14">
        <v>0.15</v>
      </c>
      <c r="F3176" s="15">
        <f>ROUND(30.45,3)</f>
        <v>30.45</v>
      </c>
      <c r="G3176" s="12">
        <f t="shared" si="556"/>
        <v>4.57</v>
      </c>
    </row>
    <row r="3177" ht="48.75" customHeight="1">
      <c r="A3177" s="10" t="s">
        <v>1276</v>
      </c>
      <c r="B3177" s="10" t="s">
        <v>42</v>
      </c>
      <c r="C3177" s="10" t="s">
        <v>43</v>
      </c>
      <c r="D3177" s="10" t="s">
        <v>1277</v>
      </c>
      <c r="E3177" s="14">
        <v>0.0359</v>
      </c>
      <c r="F3177" s="15">
        <f>ROUND(45.57,3)</f>
        <v>45.57</v>
      </c>
      <c r="G3177" s="12">
        <f t="shared" si="556"/>
        <v>1.64</v>
      </c>
    </row>
    <row r="3178" ht="21.0" customHeight="1">
      <c r="A3178" s="10" t="s">
        <v>22</v>
      </c>
      <c r="B3178" s="10" t="s">
        <v>18</v>
      </c>
      <c r="C3178" s="10" t="s">
        <v>23</v>
      </c>
      <c r="D3178" s="10" t="s">
        <v>24</v>
      </c>
      <c r="E3178" s="14">
        <v>0.315</v>
      </c>
      <c r="F3178" s="15">
        <f>F3182</f>
        <v>43.8</v>
      </c>
      <c r="G3178" s="12">
        <f t="shared" si="556"/>
        <v>13.8</v>
      </c>
    </row>
    <row r="3179" ht="24.0" customHeight="1">
      <c r="A3179" s="10" t="s">
        <v>25</v>
      </c>
      <c r="B3179" s="10" t="s">
        <v>26</v>
      </c>
      <c r="C3179" s="10" t="s">
        <v>23</v>
      </c>
      <c r="D3179" s="10" t="s">
        <v>27</v>
      </c>
      <c r="E3179" s="14">
        <v>1.0</v>
      </c>
      <c r="F3179" s="15">
        <f>ROUND(21,3)</f>
        <v>21</v>
      </c>
      <c r="G3179" s="12">
        <f t="shared" si="556"/>
        <v>21</v>
      </c>
    </row>
    <row r="3180" ht="24.0" customHeight="1">
      <c r="A3180" s="10" t="s">
        <v>28</v>
      </c>
      <c r="B3180" s="10" t="s">
        <v>26</v>
      </c>
      <c r="C3180" s="10" t="s">
        <v>23</v>
      </c>
      <c r="D3180" s="10" t="s">
        <v>29</v>
      </c>
      <c r="E3180" s="14">
        <v>1.0</v>
      </c>
      <c r="F3180" s="15">
        <f t="shared" ref="F3180:F3181" si="557">ROUND(19,3)</f>
        <v>19</v>
      </c>
      <c r="G3180" s="12">
        <f t="shared" si="556"/>
        <v>19</v>
      </c>
    </row>
    <row r="3181" ht="24.0" customHeight="1">
      <c r="A3181" s="10" t="s">
        <v>30</v>
      </c>
      <c r="B3181" s="10" t="s">
        <v>26</v>
      </c>
      <c r="C3181" s="10" t="s">
        <v>23</v>
      </c>
      <c r="D3181" s="10" t="s">
        <v>31</v>
      </c>
      <c r="E3181" s="14">
        <v>0.2</v>
      </c>
      <c r="F3181" s="15">
        <f t="shared" si="557"/>
        <v>19</v>
      </c>
      <c r="G3181" s="12">
        <f t="shared" si="556"/>
        <v>3.8</v>
      </c>
    </row>
    <row r="3182" ht="15.0" customHeight="1">
      <c r="A3182" s="11"/>
      <c r="B3182" s="11"/>
      <c r="C3182" s="11"/>
      <c r="D3182" s="10" t="s">
        <v>22</v>
      </c>
      <c r="E3182" s="14">
        <v>0.315</v>
      </c>
      <c r="F3182" s="15">
        <f>ROUND((G3179+G3180+G3181),3)</f>
        <v>43.8</v>
      </c>
      <c r="G3182" s="12">
        <f t="shared" si="556"/>
        <v>13.8</v>
      </c>
    </row>
    <row r="3183" ht="15.0" customHeight="1">
      <c r="A3183" s="10" t="s">
        <v>32</v>
      </c>
      <c r="B3183" s="10"/>
      <c r="C3183" s="10" t="s">
        <v>33</v>
      </c>
      <c r="D3183" s="10" t="s">
        <v>34</v>
      </c>
      <c r="E3183" s="14">
        <v>3.0</v>
      </c>
      <c r="F3183" s="15">
        <f>ROUND(13.8,3)</f>
        <v>13.8</v>
      </c>
      <c r="G3183" s="12">
        <f>ROUND((E3183*F3183)/100,2)</f>
        <v>0.41</v>
      </c>
    </row>
    <row r="3184" ht="15.0" customHeight="1">
      <c r="A3184" s="16"/>
      <c r="B3184" s="16"/>
      <c r="C3184" s="16"/>
      <c r="D3184" s="17" t="s">
        <v>1454</v>
      </c>
      <c r="E3184" s="16"/>
      <c r="F3184" s="18">
        <f>ROUND((G3172+G3173+G3174+G3175+G3176+G3177+G3178+G3183)*(1+G2/100),2)</f>
        <v>23.59</v>
      </c>
      <c r="G3184" s="16"/>
    </row>
    <row r="3185" ht="67.5" customHeight="1">
      <c r="A3185" s="19" t="s">
        <v>1457</v>
      </c>
      <c r="B3185" s="20" t="s">
        <v>18</v>
      </c>
      <c r="C3185" s="20" t="s">
        <v>351</v>
      </c>
      <c r="D3185" s="20" t="s">
        <v>1458</v>
      </c>
      <c r="E3185" s="21"/>
      <c r="F3185" s="22">
        <f>F3199</f>
        <v>25.55</v>
      </c>
      <c r="G3185" s="21"/>
    </row>
    <row r="3186" ht="30.0" customHeight="1">
      <c r="A3186" s="11"/>
      <c r="B3186" s="11"/>
      <c r="C3186" s="11"/>
      <c r="D3186" s="10" t="s">
        <v>1459</v>
      </c>
    </row>
    <row r="3187" ht="39.75" customHeight="1">
      <c r="A3187" s="10" t="s">
        <v>1274</v>
      </c>
      <c r="B3187" s="10" t="s">
        <v>42</v>
      </c>
      <c r="C3187" s="10" t="s">
        <v>43</v>
      </c>
      <c r="D3187" s="10" t="s">
        <v>1275</v>
      </c>
      <c r="E3187" s="14">
        <v>0.0</v>
      </c>
      <c r="F3187" s="15">
        <f>ROUND(11.83,3)</f>
        <v>11.83</v>
      </c>
      <c r="G3187" s="12">
        <f t="shared" ref="G3187:G3197" si="558">ROUND(E3187*F3187,2)</f>
        <v>0</v>
      </c>
    </row>
    <row r="3188" ht="30.0" customHeight="1">
      <c r="A3188" s="10" t="s">
        <v>1259</v>
      </c>
      <c r="B3188" s="10" t="s">
        <v>42</v>
      </c>
      <c r="C3188" s="10" t="s">
        <v>43</v>
      </c>
      <c r="D3188" s="10" t="s">
        <v>1260</v>
      </c>
      <c r="E3188" s="14">
        <v>0.0223</v>
      </c>
      <c r="F3188" s="15">
        <f>ROUND(18.44,3)</f>
        <v>18.44</v>
      </c>
      <c r="G3188" s="12">
        <f t="shared" si="558"/>
        <v>0.41</v>
      </c>
    </row>
    <row r="3189" ht="21.0" customHeight="1">
      <c r="A3189" s="10" t="s">
        <v>1204</v>
      </c>
      <c r="B3189" s="10" t="s">
        <v>42</v>
      </c>
      <c r="C3189" s="10" t="s">
        <v>344</v>
      </c>
      <c r="D3189" s="10" t="s">
        <v>1205</v>
      </c>
      <c r="E3189" s="14">
        <v>1.0</v>
      </c>
      <c r="F3189" s="15">
        <f>ROUND(2.29,3)</f>
        <v>2.29</v>
      </c>
      <c r="G3189" s="12">
        <f t="shared" si="558"/>
        <v>2.29</v>
      </c>
    </row>
    <row r="3190" ht="39.75" customHeight="1">
      <c r="A3190" s="10" t="s">
        <v>1435</v>
      </c>
      <c r="B3190" s="10" t="s">
        <v>112</v>
      </c>
      <c r="C3190" s="10" t="s">
        <v>23</v>
      </c>
      <c r="D3190" s="10" t="s">
        <v>1436</v>
      </c>
      <c r="E3190" s="14">
        <v>0.2</v>
      </c>
      <c r="F3190" s="15">
        <f>ROUND(2.86,3)</f>
        <v>2.86</v>
      </c>
      <c r="G3190" s="12">
        <f t="shared" si="558"/>
        <v>0.57</v>
      </c>
    </row>
    <row r="3191" ht="30.0" customHeight="1">
      <c r="A3191" s="10" t="s">
        <v>1437</v>
      </c>
      <c r="B3191" s="10" t="s">
        <v>42</v>
      </c>
      <c r="C3191" s="10" t="s">
        <v>325</v>
      </c>
      <c r="D3191" s="10" t="s">
        <v>1438</v>
      </c>
      <c r="E3191" s="14">
        <v>0.15</v>
      </c>
      <c r="F3191" s="15">
        <f>ROUND(30.45,3)</f>
        <v>30.45</v>
      </c>
      <c r="G3191" s="12">
        <f t="shared" si="558"/>
        <v>4.57</v>
      </c>
    </row>
    <row r="3192" ht="48.75" customHeight="1">
      <c r="A3192" s="10" t="s">
        <v>1276</v>
      </c>
      <c r="B3192" s="10" t="s">
        <v>42</v>
      </c>
      <c r="C3192" s="10" t="s">
        <v>43</v>
      </c>
      <c r="D3192" s="10" t="s">
        <v>1277</v>
      </c>
      <c r="E3192" s="14">
        <v>0.0443</v>
      </c>
      <c r="F3192" s="15">
        <f>ROUND(45.57,3)</f>
        <v>45.57</v>
      </c>
      <c r="G3192" s="12">
        <f t="shared" si="558"/>
        <v>2.02</v>
      </c>
    </row>
    <row r="3193" ht="21.0" customHeight="1">
      <c r="A3193" s="10" t="s">
        <v>22</v>
      </c>
      <c r="B3193" s="10" t="s">
        <v>18</v>
      </c>
      <c r="C3193" s="10" t="s">
        <v>23</v>
      </c>
      <c r="D3193" s="10" t="s">
        <v>24</v>
      </c>
      <c r="E3193" s="14">
        <v>0.34783</v>
      </c>
      <c r="F3193" s="15">
        <f>F3197</f>
        <v>43.8</v>
      </c>
      <c r="G3193" s="12">
        <f t="shared" si="558"/>
        <v>15.23</v>
      </c>
    </row>
    <row r="3194" ht="24.0" customHeight="1">
      <c r="A3194" s="10" t="s">
        <v>25</v>
      </c>
      <c r="B3194" s="10" t="s">
        <v>26</v>
      </c>
      <c r="C3194" s="10" t="s">
        <v>23</v>
      </c>
      <c r="D3194" s="10" t="s">
        <v>27</v>
      </c>
      <c r="E3194" s="14">
        <v>1.0</v>
      </c>
      <c r="F3194" s="15">
        <f>ROUND(21,3)</f>
        <v>21</v>
      </c>
      <c r="G3194" s="12">
        <f t="shared" si="558"/>
        <v>21</v>
      </c>
    </row>
    <row r="3195" ht="24.0" customHeight="1">
      <c r="A3195" s="10" t="s">
        <v>28</v>
      </c>
      <c r="B3195" s="10" t="s">
        <v>26</v>
      </c>
      <c r="C3195" s="10" t="s">
        <v>23</v>
      </c>
      <c r="D3195" s="10" t="s">
        <v>29</v>
      </c>
      <c r="E3195" s="14">
        <v>1.0</v>
      </c>
      <c r="F3195" s="15">
        <f t="shared" ref="F3195:F3196" si="559">ROUND(19,3)</f>
        <v>19</v>
      </c>
      <c r="G3195" s="12">
        <f t="shared" si="558"/>
        <v>19</v>
      </c>
    </row>
    <row r="3196" ht="24.0" customHeight="1">
      <c r="A3196" s="10" t="s">
        <v>30</v>
      </c>
      <c r="B3196" s="10" t="s">
        <v>26</v>
      </c>
      <c r="C3196" s="10" t="s">
        <v>23</v>
      </c>
      <c r="D3196" s="10" t="s">
        <v>31</v>
      </c>
      <c r="E3196" s="14">
        <v>0.2</v>
      </c>
      <c r="F3196" s="15">
        <f t="shared" si="559"/>
        <v>19</v>
      </c>
      <c r="G3196" s="12">
        <f t="shared" si="558"/>
        <v>3.8</v>
      </c>
    </row>
    <row r="3197" ht="15.0" customHeight="1">
      <c r="A3197" s="11"/>
      <c r="B3197" s="11"/>
      <c r="C3197" s="11"/>
      <c r="D3197" s="10" t="s">
        <v>22</v>
      </c>
      <c r="E3197" s="14">
        <v>0.34783</v>
      </c>
      <c r="F3197" s="15">
        <f>ROUND((G3194+G3195+G3196),3)</f>
        <v>43.8</v>
      </c>
      <c r="G3197" s="12">
        <f t="shared" si="558"/>
        <v>15.23</v>
      </c>
    </row>
    <row r="3198" ht="15.0" customHeight="1">
      <c r="A3198" s="10" t="s">
        <v>32</v>
      </c>
      <c r="B3198" s="10"/>
      <c r="C3198" s="10" t="s">
        <v>33</v>
      </c>
      <c r="D3198" s="10" t="s">
        <v>34</v>
      </c>
      <c r="E3198" s="14">
        <v>3.0</v>
      </c>
      <c r="F3198" s="15">
        <f>ROUND(15.23,3)</f>
        <v>15.23</v>
      </c>
      <c r="G3198" s="12">
        <f>ROUND((E3198*F3198)/100,2)</f>
        <v>0.46</v>
      </c>
    </row>
    <row r="3199" ht="15.0" customHeight="1">
      <c r="A3199" s="16"/>
      <c r="B3199" s="16"/>
      <c r="C3199" s="16"/>
      <c r="D3199" s="17" t="s">
        <v>1457</v>
      </c>
      <c r="E3199" s="16"/>
      <c r="F3199" s="18">
        <f>ROUND((G3187+G3188+G3189+G3190+G3191+G3192+G3193+G3198)*(1+G2/100),2)</f>
        <v>25.55</v>
      </c>
      <c r="G3199" s="16"/>
    </row>
    <row r="3200" ht="67.5" customHeight="1">
      <c r="A3200" s="19" t="s">
        <v>1460</v>
      </c>
      <c r="B3200" s="20" t="s">
        <v>18</v>
      </c>
      <c r="C3200" s="20" t="s">
        <v>19</v>
      </c>
      <c r="D3200" s="20" t="s">
        <v>1461</v>
      </c>
      <c r="E3200" s="21"/>
      <c r="F3200" s="22">
        <f>F3213</f>
        <v>33.47</v>
      </c>
      <c r="G3200" s="21"/>
    </row>
    <row r="3201" ht="48.75" customHeight="1">
      <c r="A3201" s="11"/>
      <c r="B3201" s="11"/>
      <c r="C3201" s="11"/>
      <c r="D3201" s="10" t="s">
        <v>1462</v>
      </c>
    </row>
    <row r="3202" ht="30.0" customHeight="1">
      <c r="A3202" s="10" t="s">
        <v>1259</v>
      </c>
      <c r="B3202" s="10" t="s">
        <v>42</v>
      </c>
      <c r="C3202" s="10" t="s">
        <v>43</v>
      </c>
      <c r="D3202" s="10" t="s">
        <v>1260</v>
      </c>
      <c r="E3202" s="14">
        <v>0.02792</v>
      </c>
      <c r="F3202" s="15">
        <f>ROUND(18.44,3)</f>
        <v>18.44</v>
      </c>
      <c r="G3202" s="12">
        <f t="shared" ref="G3202:G3211" si="560">ROUND(E3202*F3202,2)</f>
        <v>0.51</v>
      </c>
    </row>
    <row r="3203" ht="21.0" customHeight="1">
      <c r="A3203" s="10" t="s">
        <v>1376</v>
      </c>
      <c r="B3203" s="10" t="s">
        <v>42</v>
      </c>
      <c r="C3203" s="10" t="s">
        <v>344</v>
      </c>
      <c r="D3203" s="10" t="s">
        <v>1377</v>
      </c>
      <c r="E3203" s="14">
        <v>1.0</v>
      </c>
      <c r="F3203" s="15">
        <f>ROUND(4.98,3)</f>
        <v>4.98</v>
      </c>
      <c r="G3203" s="12">
        <f t="shared" si="560"/>
        <v>4.98</v>
      </c>
    </row>
    <row r="3204" ht="39.75" customHeight="1">
      <c r="A3204" s="10" t="s">
        <v>1435</v>
      </c>
      <c r="B3204" s="10" t="s">
        <v>112</v>
      </c>
      <c r="C3204" s="10" t="s">
        <v>23</v>
      </c>
      <c r="D3204" s="10" t="s">
        <v>1436</v>
      </c>
      <c r="E3204" s="14">
        <v>0.2</v>
      </c>
      <c r="F3204" s="15">
        <f>ROUND(2.86,3)</f>
        <v>2.86</v>
      </c>
      <c r="G3204" s="12">
        <f t="shared" si="560"/>
        <v>0.57</v>
      </c>
    </row>
    <row r="3205" ht="30.0" customHeight="1">
      <c r="A3205" s="10" t="s">
        <v>1437</v>
      </c>
      <c r="B3205" s="10" t="s">
        <v>42</v>
      </c>
      <c r="C3205" s="10" t="s">
        <v>325</v>
      </c>
      <c r="D3205" s="10" t="s">
        <v>1438</v>
      </c>
      <c r="E3205" s="14">
        <v>0.15</v>
      </c>
      <c r="F3205" s="15">
        <f>ROUND(30.45,3)</f>
        <v>30.45</v>
      </c>
      <c r="G3205" s="12">
        <f t="shared" si="560"/>
        <v>4.57</v>
      </c>
    </row>
    <row r="3206" ht="48.75" customHeight="1">
      <c r="A3206" s="10" t="s">
        <v>1276</v>
      </c>
      <c r="B3206" s="10" t="s">
        <v>42</v>
      </c>
      <c r="C3206" s="10" t="s">
        <v>43</v>
      </c>
      <c r="D3206" s="10" t="s">
        <v>1277</v>
      </c>
      <c r="E3206" s="14">
        <v>0.275</v>
      </c>
      <c r="F3206" s="15">
        <f>ROUND(45.57,3)</f>
        <v>45.57</v>
      </c>
      <c r="G3206" s="12">
        <f t="shared" si="560"/>
        <v>12.53</v>
      </c>
    </row>
    <row r="3207" ht="21.0" customHeight="1">
      <c r="A3207" s="10" t="s">
        <v>22</v>
      </c>
      <c r="B3207" s="10" t="s">
        <v>18</v>
      </c>
      <c r="C3207" s="10" t="s">
        <v>23</v>
      </c>
      <c r="D3207" s="10" t="s">
        <v>24</v>
      </c>
      <c r="E3207" s="14">
        <v>0.22857</v>
      </c>
      <c r="F3207" s="15">
        <f>F3211</f>
        <v>43.8</v>
      </c>
      <c r="G3207" s="12">
        <f t="shared" si="560"/>
        <v>10.01</v>
      </c>
    </row>
    <row r="3208" ht="24.0" customHeight="1">
      <c r="A3208" s="10" t="s">
        <v>25</v>
      </c>
      <c r="B3208" s="10" t="s">
        <v>26</v>
      </c>
      <c r="C3208" s="10" t="s">
        <v>23</v>
      </c>
      <c r="D3208" s="10" t="s">
        <v>27</v>
      </c>
      <c r="E3208" s="14">
        <v>1.0</v>
      </c>
      <c r="F3208" s="15">
        <f>ROUND(21,3)</f>
        <v>21</v>
      </c>
      <c r="G3208" s="12">
        <f t="shared" si="560"/>
        <v>21</v>
      </c>
    </row>
    <row r="3209" ht="24.0" customHeight="1">
      <c r="A3209" s="10" t="s">
        <v>28</v>
      </c>
      <c r="B3209" s="10" t="s">
        <v>26</v>
      </c>
      <c r="C3209" s="10" t="s">
        <v>23</v>
      </c>
      <c r="D3209" s="10" t="s">
        <v>29</v>
      </c>
      <c r="E3209" s="14">
        <v>1.0</v>
      </c>
      <c r="F3209" s="15">
        <f t="shared" ref="F3209:F3210" si="561">ROUND(19,3)</f>
        <v>19</v>
      </c>
      <c r="G3209" s="12">
        <f t="shared" si="560"/>
        <v>19</v>
      </c>
    </row>
    <row r="3210" ht="24.0" customHeight="1">
      <c r="A3210" s="10" t="s">
        <v>30</v>
      </c>
      <c r="B3210" s="10" t="s">
        <v>26</v>
      </c>
      <c r="C3210" s="10" t="s">
        <v>23</v>
      </c>
      <c r="D3210" s="10" t="s">
        <v>31</v>
      </c>
      <c r="E3210" s="14">
        <v>0.2</v>
      </c>
      <c r="F3210" s="15">
        <f t="shared" si="561"/>
        <v>19</v>
      </c>
      <c r="G3210" s="12">
        <f t="shared" si="560"/>
        <v>3.8</v>
      </c>
    </row>
    <row r="3211" ht="15.0" customHeight="1">
      <c r="A3211" s="11"/>
      <c r="B3211" s="11"/>
      <c r="C3211" s="11"/>
      <c r="D3211" s="10" t="s">
        <v>22</v>
      </c>
      <c r="E3211" s="14">
        <v>0.22857</v>
      </c>
      <c r="F3211" s="15">
        <f>ROUND((G3208+G3209+G3210),3)</f>
        <v>43.8</v>
      </c>
      <c r="G3211" s="12">
        <f t="shared" si="560"/>
        <v>10.01</v>
      </c>
    </row>
    <row r="3212" ht="15.0" customHeight="1">
      <c r="A3212" s="10" t="s">
        <v>32</v>
      </c>
      <c r="B3212" s="10"/>
      <c r="C3212" s="10" t="s">
        <v>33</v>
      </c>
      <c r="D3212" s="10" t="s">
        <v>34</v>
      </c>
      <c r="E3212" s="14">
        <v>3.0</v>
      </c>
      <c r="F3212" s="15">
        <f>ROUND(10.01,3)</f>
        <v>10.01</v>
      </c>
      <c r="G3212" s="12">
        <f>ROUND((E3212*F3212)/100,2)</f>
        <v>0.3</v>
      </c>
    </row>
    <row r="3213" ht="15.0" customHeight="1">
      <c r="A3213" s="16"/>
      <c r="B3213" s="16"/>
      <c r="C3213" s="16"/>
      <c r="D3213" s="17" t="s">
        <v>1460</v>
      </c>
      <c r="E3213" s="16"/>
      <c r="F3213" s="18">
        <f>ROUND((G3202+G3203+G3204+G3205+G3206+G3207+G3212)*(1+G2/100),2)</f>
        <v>33.47</v>
      </c>
      <c r="G3213" s="16"/>
    </row>
    <row r="3214" ht="76.5" customHeight="1">
      <c r="A3214" s="19" t="s">
        <v>1463</v>
      </c>
      <c r="B3214" s="20" t="s">
        <v>18</v>
      </c>
      <c r="C3214" s="20" t="s">
        <v>351</v>
      </c>
      <c r="D3214" s="20" t="s">
        <v>1464</v>
      </c>
      <c r="E3214" s="21"/>
      <c r="F3214" s="22">
        <f>F3227</f>
        <v>21.8</v>
      </c>
      <c r="G3214" s="21"/>
    </row>
    <row r="3215" ht="57.75" customHeight="1">
      <c r="A3215" s="11"/>
      <c r="B3215" s="11"/>
      <c r="C3215" s="11"/>
      <c r="D3215" s="10" t="s">
        <v>1465</v>
      </c>
    </row>
    <row r="3216" ht="30.0" customHeight="1">
      <c r="A3216" s="10" t="s">
        <v>1259</v>
      </c>
      <c r="B3216" s="10" t="s">
        <v>42</v>
      </c>
      <c r="C3216" s="10" t="s">
        <v>43</v>
      </c>
      <c r="D3216" s="10" t="s">
        <v>1260</v>
      </c>
      <c r="E3216" s="14">
        <v>0.0223</v>
      </c>
      <c r="F3216" s="15">
        <f>ROUND(18.44,3)</f>
        <v>18.44</v>
      </c>
      <c r="G3216" s="12">
        <f t="shared" ref="G3216:G3225" si="562">ROUND(E3216*F3216,2)</f>
        <v>0.41</v>
      </c>
    </row>
    <row r="3217" ht="21.0" customHeight="1">
      <c r="A3217" s="10" t="s">
        <v>1204</v>
      </c>
      <c r="B3217" s="10" t="s">
        <v>42</v>
      </c>
      <c r="C3217" s="10" t="s">
        <v>344</v>
      </c>
      <c r="D3217" s="10" t="s">
        <v>1205</v>
      </c>
      <c r="E3217" s="14">
        <v>1.0</v>
      </c>
      <c r="F3217" s="15">
        <f>ROUND(2.29,3)</f>
        <v>2.29</v>
      </c>
      <c r="G3217" s="12">
        <f t="shared" si="562"/>
        <v>2.29</v>
      </c>
    </row>
    <row r="3218" ht="39.75" customHeight="1">
      <c r="A3218" s="10" t="s">
        <v>1435</v>
      </c>
      <c r="B3218" s="10" t="s">
        <v>112</v>
      </c>
      <c r="C3218" s="10" t="s">
        <v>23</v>
      </c>
      <c r="D3218" s="10" t="s">
        <v>1436</v>
      </c>
      <c r="E3218" s="14">
        <v>0.2</v>
      </c>
      <c r="F3218" s="15">
        <f>ROUND(2.86,3)</f>
        <v>2.86</v>
      </c>
      <c r="G3218" s="12">
        <f t="shared" si="562"/>
        <v>0.57</v>
      </c>
    </row>
    <row r="3219" ht="30.0" customHeight="1">
      <c r="A3219" s="10" t="s">
        <v>1437</v>
      </c>
      <c r="B3219" s="10" t="s">
        <v>42</v>
      </c>
      <c r="C3219" s="10" t="s">
        <v>325</v>
      </c>
      <c r="D3219" s="10" t="s">
        <v>1438</v>
      </c>
      <c r="E3219" s="14">
        <v>0.15</v>
      </c>
      <c r="F3219" s="15">
        <f>ROUND(30.45,3)</f>
        <v>30.45</v>
      </c>
      <c r="G3219" s="12">
        <f t="shared" si="562"/>
        <v>4.57</v>
      </c>
    </row>
    <row r="3220" ht="48.75" customHeight="1">
      <c r="A3220" s="10" t="s">
        <v>1276</v>
      </c>
      <c r="B3220" s="10" t="s">
        <v>42</v>
      </c>
      <c r="C3220" s="10" t="s">
        <v>43</v>
      </c>
      <c r="D3220" s="10" t="s">
        <v>1277</v>
      </c>
      <c r="E3220" s="14">
        <v>0.08</v>
      </c>
      <c r="F3220" s="15">
        <f>ROUND(45.57,3)</f>
        <v>45.57</v>
      </c>
      <c r="G3220" s="12">
        <f t="shared" si="562"/>
        <v>3.65</v>
      </c>
    </row>
    <row r="3221" ht="21.0" customHeight="1">
      <c r="A3221" s="10" t="s">
        <v>22</v>
      </c>
      <c r="B3221" s="10" t="s">
        <v>18</v>
      </c>
      <c r="C3221" s="10" t="s">
        <v>23</v>
      </c>
      <c r="D3221" s="10" t="s">
        <v>24</v>
      </c>
      <c r="E3221" s="14">
        <v>0.22857</v>
      </c>
      <c r="F3221" s="15">
        <f>F3225</f>
        <v>43.8</v>
      </c>
      <c r="G3221" s="12">
        <f t="shared" si="562"/>
        <v>10.01</v>
      </c>
    </row>
    <row r="3222" ht="24.0" customHeight="1">
      <c r="A3222" s="10" t="s">
        <v>25</v>
      </c>
      <c r="B3222" s="10" t="s">
        <v>26</v>
      </c>
      <c r="C3222" s="10" t="s">
        <v>23</v>
      </c>
      <c r="D3222" s="10" t="s">
        <v>27</v>
      </c>
      <c r="E3222" s="14">
        <v>1.0</v>
      </c>
      <c r="F3222" s="15">
        <f>ROUND(21,3)</f>
        <v>21</v>
      </c>
      <c r="G3222" s="12">
        <f t="shared" si="562"/>
        <v>21</v>
      </c>
    </row>
    <row r="3223" ht="24.0" customHeight="1">
      <c r="A3223" s="10" t="s">
        <v>28</v>
      </c>
      <c r="B3223" s="10" t="s">
        <v>26</v>
      </c>
      <c r="C3223" s="10" t="s">
        <v>23</v>
      </c>
      <c r="D3223" s="10" t="s">
        <v>29</v>
      </c>
      <c r="E3223" s="14">
        <v>1.0</v>
      </c>
      <c r="F3223" s="15">
        <f t="shared" ref="F3223:F3224" si="563">ROUND(19,3)</f>
        <v>19</v>
      </c>
      <c r="G3223" s="12">
        <f t="shared" si="562"/>
        <v>19</v>
      </c>
    </row>
    <row r="3224" ht="24.0" customHeight="1">
      <c r="A3224" s="10" t="s">
        <v>30</v>
      </c>
      <c r="B3224" s="10" t="s">
        <v>26</v>
      </c>
      <c r="C3224" s="10" t="s">
        <v>23</v>
      </c>
      <c r="D3224" s="10" t="s">
        <v>31</v>
      </c>
      <c r="E3224" s="14">
        <v>0.2</v>
      </c>
      <c r="F3224" s="15">
        <f t="shared" si="563"/>
        <v>19</v>
      </c>
      <c r="G3224" s="12">
        <f t="shared" si="562"/>
        <v>3.8</v>
      </c>
    </row>
    <row r="3225" ht="15.0" customHeight="1">
      <c r="A3225" s="11"/>
      <c r="B3225" s="11"/>
      <c r="C3225" s="11"/>
      <c r="D3225" s="10" t="s">
        <v>22</v>
      </c>
      <c r="E3225" s="14">
        <v>0.22857</v>
      </c>
      <c r="F3225" s="15">
        <f>ROUND((G3222+G3223+G3224),3)</f>
        <v>43.8</v>
      </c>
      <c r="G3225" s="12">
        <f t="shared" si="562"/>
        <v>10.01</v>
      </c>
    </row>
    <row r="3226" ht="15.0" customHeight="1">
      <c r="A3226" s="10" t="s">
        <v>32</v>
      </c>
      <c r="B3226" s="10"/>
      <c r="C3226" s="10" t="s">
        <v>33</v>
      </c>
      <c r="D3226" s="10" t="s">
        <v>34</v>
      </c>
      <c r="E3226" s="14">
        <v>3.0</v>
      </c>
      <c r="F3226" s="15">
        <f>ROUND(10.01,3)</f>
        <v>10.01</v>
      </c>
      <c r="G3226" s="12">
        <f>ROUND((E3226*F3226)/100,2)</f>
        <v>0.3</v>
      </c>
    </row>
    <row r="3227" ht="15.0" customHeight="1">
      <c r="A3227" s="16"/>
      <c r="B3227" s="16"/>
      <c r="C3227" s="16"/>
      <c r="D3227" s="17" t="s">
        <v>1463</v>
      </c>
      <c r="E3227" s="16"/>
      <c r="F3227" s="18">
        <f>ROUND((G3216+G3217+G3218+G3219+G3220+G3221+G3226)*(1+G2/100),2)</f>
        <v>21.8</v>
      </c>
      <c r="G3227" s="16"/>
    </row>
    <row r="3228" ht="76.5" customHeight="1">
      <c r="A3228" s="19" t="s">
        <v>1466</v>
      </c>
      <c r="B3228" s="20" t="s">
        <v>18</v>
      </c>
      <c r="C3228" s="20" t="s">
        <v>351</v>
      </c>
      <c r="D3228" s="20" t="s">
        <v>1467</v>
      </c>
      <c r="E3228" s="21"/>
      <c r="F3228" s="22">
        <f>F3241</f>
        <v>19.04</v>
      </c>
      <c r="G3228" s="21"/>
    </row>
    <row r="3229" ht="57.75" customHeight="1">
      <c r="A3229" s="11"/>
      <c r="B3229" s="11"/>
      <c r="C3229" s="11"/>
      <c r="D3229" s="10" t="s">
        <v>1468</v>
      </c>
    </row>
    <row r="3230" ht="30.0" customHeight="1">
      <c r="A3230" s="10" t="s">
        <v>1259</v>
      </c>
      <c r="B3230" s="10" t="s">
        <v>42</v>
      </c>
      <c r="C3230" s="10" t="s">
        <v>43</v>
      </c>
      <c r="D3230" s="10" t="s">
        <v>1260</v>
      </c>
      <c r="E3230" s="14">
        <v>0.0168</v>
      </c>
      <c r="F3230" s="15">
        <f>ROUND(18.44,3)</f>
        <v>18.44</v>
      </c>
      <c r="G3230" s="12">
        <f t="shared" ref="G3230:G3239" si="564">ROUND(E3230*F3230,2)</f>
        <v>0.31</v>
      </c>
    </row>
    <row r="3231" ht="21.0" customHeight="1">
      <c r="A3231" s="10" t="s">
        <v>1204</v>
      </c>
      <c r="B3231" s="10" t="s">
        <v>42</v>
      </c>
      <c r="C3231" s="10" t="s">
        <v>344</v>
      </c>
      <c r="D3231" s="10" t="s">
        <v>1205</v>
      </c>
      <c r="E3231" s="14">
        <v>1.0</v>
      </c>
      <c r="F3231" s="15">
        <f>ROUND(2.29,3)</f>
        <v>2.29</v>
      </c>
      <c r="G3231" s="12">
        <f t="shared" si="564"/>
        <v>2.29</v>
      </c>
    </row>
    <row r="3232" ht="39.75" customHeight="1">
      <c r="A3232" s="10" t="s">
        <v>1435</v>
      </c>
      <c r="B3232" s="10" t="s">
        <v>112</v>
      </c>
      <c r="C3232" s="10" t="s">
        <v>23</v>
      </c>
      <c r="D3232" s="10" t="s">
        <v>1436</v>
      </c>
      <c r="E3232" s="14">
        <v>0.2</v>
      </c>
      <c r="F3232" s="15">
        <f>ROUND(2.86,3)</f>
        <v>2.86</v>
      </c>
      <c r="G3232" s="12">
        <f t="shared" si="564"/>
        <v>0.57</v>
      </c>
    </row>
    <row r="3233" ht="30.0" customHeight="1">
      <c r="A3233" s="10" t="s">
        <v>1437</v>
      </c>
      <c r="B3233" s="10" t="s">
        <v>42</v>
      </c>
      <c r="C3233" s="10" t="s">
        <v>325</v>
      </c>
      <c r="D3233" s="10" t="s">
        <v>1438</v>
      </c>
      <c r="E3233" s="14">
        <v>0.15</v>
      </c>
      <c r="F3233" s="15">
        <f>ROUND(30.45,3)</f>
        <v>30.45</v>
      </c>
      <c r="G3233" s="12">
        <f t="shared" si="564"/>
        <v>4.57</v>
      </c>
    </row>
    <row r="3234" ht="48.75" customHeight="1">
      <c r="A3234" s="10" t="s">
        <v>1276</v>
      </c>
      <c r="B3234" s="10" t="s">
        <v>42</v>
      </c>
      <c r="C3234" s="10" t="s">
        <v>43</v>
      </c>
      <c r="D3234" s="10" t="s">
        <v>1277</v>
      </c>
      <c r="E3234" s="14">
        <v>0.05</v>
      </c>
      <c r="F3234" s="15">
        <f>ROUND(45.57,3)</f>
        <v>45.57</v>
      </c>
      <c r="G3234" s="12">
        <f t="shared" si="564"/>
        <v>2.28</v>
      </c>
    </row>
    <row r="3235" ht="21.0" customHeight="1">
      <c r="A3235" s="10" t="s">
        <v>22</v>
      </c>
      <c r="B3235" s="10" t="s">
        <v>18</v>
      </c>
      <c r="C3235" s="10" t="s">
        <v>23</v>
      </c>
      <c r="D3235" s="10" t="s">
        <v>24</v>
      </c>
      <c r="E3235" s="14">
        <v>0.2</v>
      </c>
      <c r="F3235" s="15">
        <f>F3239</f>
        <v>43.8</v>
      </c>
      <c r="G3235" s="12">
        <f t="shared" si="564"/>
        <v>8.76</v>
      </c>
    </row>
    <row r="3236" ht="24.0" customHeight="1">
      <c r="A3236" s="10" t="s">
        <v>25</v>
      </c>
      <c r="B3236" s="10" t="s">
        <v>26</v>
      </c>
      <c r="C3236" s="10" t="s">
        <v>23</v>
      </c>
      <c r="D3236" s="10" t="s">
        <v>27</v>
      </c>
      <c r="E3236" s="14">
        <v>1.0</v>
      </c>
      <c r="F3236" s="15">
        <f>ROUND(21,3)</f>
        <v>21</v>
      </c>
      <c r="G3236" s="12">
        <f t="shared" si="564"/>
        <v>21</v>
      </c>
    </row>
    <row r="3237" ht="24.0" customHeight="1">
      <c r="A3237" s="10" t="s">
        <v>28</v>
      </c>
      <c r="B3237" s="10" t="s">
        <v>26</v>
      </c>
      <c r="C3237" s="10" t="s">
        <v>23</v>
      </c>
      <c r="D3237" s="10" t="s">
        <v>29</v>
      </c>
      <c r="E3237" s="14">
        <v>1.0</v>
      </c>
      <c r="F3237" s="15">
        <f t="shared" ref="F3237:F3238" si="565">ROUND(19,3)</f>
        <v>19</v>
      </c>
      <c r="G3237" s="12">
        <f t="shared" si="564"/>
        <v>19</v>
      </c>
    </row>
    <row r="3238" ht="24.0" customHeight="1">
      <c r="A3238" s="10" t="s">
        <v>30</v>
      </c>
      <c r="B3238" s="10" t="s">
        <v>26</v>
      </c>
      <c r="C3238" s="10" t="s">
        <v>23</v>
      </c>
      <c r="D3238" s="10" t="s">
        <v>31</v>
      </c>
      <c r="E3238" s="14">
        <v>0.2</v>
      </c>
      <c r="F3238" s="15">
        <f t="shared" si="565"/>
        <v>19</v>
      </c>
      <c r="G3238" s="12">
        <f t="shared" si="564"/>
        <v>3.8</v>
      </c>
    </row>
    <row r="3239" ht="15.0" customHeight="1">
      <c r="A3239" s="11"/>
      <c r="B3239" s="11"/>
      <c r="C3239" s="11"/>
      <c r="D3239" s="10" t="s">
        <v>22</v>
      </c>
      <c r="E3239" s="14">
        <v>0.2</v>
      </c>
      <c r="F3239" s="15">
        <f>ROUND((G3236+G3237+G3238),3)</f>
        <v>43.8</v>
      </c>
      <c r="G3239" s="12">
        <f t="shared" si="564"/>
        <v>8.76</v>
      </c>
    </row>
    <row r="3240" ht="15.0" customHeight="1">
      <c r="A3240" s="10" t="s">
        <v>32</v>
      </c>
      <c r="B3240" s="10"/>
      <c r="C3240" s="10" t="s">
        <v>33</v>
      </c>
      <c r="D3240" s="10" t="s">
        <v>34</v>
      </c>
      <c r="E3240" s="14">
        <v>3.0</v>
      </c>
      <c r="F3240" s="15">
        <f>ROUND(8.76,3)</f>
        <v>8.76</v>
      </c>
      <c r="G3240" s="12">
        <f>ROUND((E3240*F3240)/100,2)</f>
        <v>0.26</v>
      </c>
    </row>
    <row r="3241" ht="15.0" customHeight="1">
      <c r="A3241" s="16"/>
      <c r="B3241" s="16"/>
      <c r="C3241" s="16"/>
      <c r="D3241" s="17" t="s">
        <v>1466</v>
      </c>
      <c r="E3241" s="16"/>
      <c r="F3241" s="18">
        <f>ROUND((G3230+G3231+G3232+G3233+G3234+G3235+G3240)*(1+G2/100),2)</f>
        <v>19.04</v>
      </c>
      <c r="G3241" s="16"/>
    </row>
    <row r="3242" ht="57.75" customHeight="1">
      <c r="A3242" s="19" t="s">
        <v>1469</v>
      </c>
      <c r="B3242" s="20" t="s">
        <v>18</v>
      </c>
      <c r="C3242" s="20" t="s">
        <v>19</v>
      </c>
      <c r="D3242" s="20" t="s">
        <v>1470</v>
      </c>
      <c r="E3242" s="21"/>
      <c r="F3242" s="22">
        <f>F3259</f>
        <v>102.8</v>
      </c>
      <c r="G3242" s="21"/>
    </row>
    <row r="3243" ht="30.0" customHeight="1">
      <c r="A3243" s="11"/>
      <c r="B3243" s="11"/>
      <c r="C3243" s="11"/>
      <c r="D3243" s="10" t="s">
        <v>1471</v>
      </c>
    </row>
    <row r="3244" ht="30.0" customHeight="1">
      <c r="A3244" s="10" t="s">
        <v>1259</v>
      </c>
      <c r="B3244" s="10" t="s">
        <v>42</v>
      </c>
      <c r="C3244" s="10" t="s">
        <v>43</v>
      </c>
      <c r="D3244" s="10" t="s">
        <v>1260</v>
      </c>
      <c r="E3244" s="14">
        <v>0.0279</v>
      </c>
      <c r="F3244" s="15">
        <f>ROUND(18.44,3)</f>
        <v>18.44</v>
      </c>
      <c r="G3244" s="12">
        <f t="shared" ref="G3244:G3257" si="566">ROUND(E3244*F3244,2)</f>
        <v>0.51</v>
      </c>
    </row>
    <row r="3245" ht="30.0" customHeight="1">
      <c r="A3245" s="10" t="s">
        <v>1006</v>
      </c>
      <c r="B3245" s="10" t="s">
        <v>42</v>
      </c>
      <c r="C3245" s="10" t="s">
        <v>184</v>
      </c>
      <c r="D3245" s="10" t="s">
        <v>1007</v>
      </c>
      <c r="E3245" s="14">
        <v>0.504</v>
      </c>
      <c r="F3245" s="15">
        <f>ROUND(16.81,3)</f>
        <v>16.81</v>
      </c>
      <c r="G3245" s="12">
        <f t="shared" si="566"/>
        <v>8.47</v>
      </c>
    </row>
    <row r="3246" ht="30.0" customHeight="1">
      <c r="A3246" s="10" t="s">
        <v>1227</v>
      </c>
      <c r="B3246" s="10" t="s">
        <v>42</v>
      </c>
      <c r="C3246" s="10" t="s">
        <v>226</v>
      </c>
      <c r="D3246" s="10" t="s">
        <v>1228</v>
      </c>
      <c r="E3246" s="14">
        <v>0.022</v>
      </c>
      <c r="F3246" s="15">
        <f>ROUND(27.5,3)</f>
        <v>27.5</v>
      </c>
      <c r="G3246" s="12">
        <f t="shared" si="566"/>
        <v>0.61</v>
      </c>
    </row>
    <row r="3247" ht="30.0" customHeight="1">
      <c r="A3247" s="10" t="s">
        <v>1237</v>
      </c>
      <c r="B3247" s="10" t="s">
        <v>42</v>
      </c>
      <c r="C3247" s="10" t="s">
        <v>184</v>
      </c>
      <c r="D3247" s="10" t="s">
        <v>1238</v>
      </c>
      <c r="E3247" s="14">
        <v>1.134</v>
      </c>
      <c r="F3247" s="15">
        <f>ROUND(28.55,3)</f>
        <v>28.55</v>
      </c>
      <c r="G3247" s="12">
        <f t="shared" si="566"/>
        <v>32.38</v>
      </c>
    </row>
    <row r="3248" ht="21.0" customHeight="1">
      <c r="A3248" s="10" t="s">
        <v>1376</v>
      </c>
      <c r="B3248" s="10" t="s">
        <v>42</v>
      </c>
      <c r="C3248" s="10" t="s">
        <v>344</v>
      </c>
      <c r="D3248" s="10" t="s">
        <v>1377</v>
      </c>
      <c r="E3248" s="14">
        <v>1.0</v>
      </c>
      <c r="F3248" s="15">
        <f>ROUND(4.98,3)</f>
        <v>4.98</v>
      </c>
      <c r="G3248" s="12">
        <f t="shared" si="566"/>
        <v>4.98</v>
      </c>
    </row>
    <row r="3249" ht="30.0" customHeight="1">
      <c r="A3249" s="10" t="s">
        <v>233</v>
      </c>
      <c r="B3249" s="10" t="s">
        <v>42</v>
      </c>
      <c r="C3249" s="10" t="s">
        <v>231</v>
      </c>
      <c r="D3249" s="10" t="s">
        <v>234</v>
      </c>
      <c r="E3249" s="14">
        <v>0.0714</v>
      </c>
      <c r="F3249" s="15">
        <f>ROUND(23.46,3)</f>
        <v>23.46</v>
      </c>
      <c r="G3249" s="12">
        <f t="shared" si="566"/>
        <v>1.68</v>
      </c>
    </row>
    <row r="3250" ht="30.0" customHeight="1">
      <c r="A3250" s="10" t="s">
        <v>1437</v>
      </c>
      <c r="B3250" s="10" t="s">
        <v>42</v>
      </c>
      <c r="C3250" s="10" t="s">
        <v>325</v>
      </c>
      <c r="D3250" s="10" t="s">
        <v>1438</v>
      </c>
      <c r="E3250" s="14">
        <v>0.1818</v>
      </c>
      <c r="F3250" s="15">
        <f>ROUND(30.45,3)</f>
        <v>30.45</v>
      </c>
      <c r="G3250" s="12">
        <f t="shared" si="566"/>
        <v>5.54</v>
      </c>
    </row>
    <row r="3251" ht="39.75" customHeight="1">
      <c r="A3251" s="10" t="s">
        <v>1349</v>
      </c>
      <c r="B3251" s="10" t="s">
        <v>42</v>
      </c>
      <c r="C3251" s="10" t="s">
        <v>231</v>
      </c>
      <c r="D3251" s="10" t="s">
        <v>1350</v>
      </c>
      <c r="E3251" s="14">
        <v>0.44</v>
      </c>
      <c r="F3251" s="15">
        <f>ROUND(4.05,3)</f>
        <v>4.05</v>
      </c>
      <c r="G3251" s="12">
        <f t="shared" si="566"/>
        <v>1.78</v>
      </c>
    </row>
    <row r="3252" ht="39.75" customHeight="1">
      <c r="A3252" s="10" t="s">
        <v>1435</v>
      </c>
      <c r="B3252" s="10" t="s">
        <v>112</v>
      </c>
      <c r="C3252" s="10" t="s">
        <v>23</v>
      </c>
      <c r="D3252" s="10" t="s">
        <v>1436</v>
      </c>
      <c r="E3252" s="14">
        <v>0.3</v>
      </c>
      <c r="F3252" s="15">
        <f>ROUND(2.86,3)</f>
        <v>2.86</v>
      </c>
      <c r="G3252" s="12">
        <f t="shared" si="566"/>
        <v>0.86</v>
      </c>
    </row>
    <row r="3253" ht="21.0" customHeight="1">
      <c r="A3253" s="10" t="s">
        <v>22</v>
      </c>
      <c r="B3253" s="10" t="s">
        <v>18</v>
      </c>
      <c r="C3253" s="10" t="s">
        <v>23</v>
      </c>
      <c r="D3253" s="10" t="s">
        <v>24</v>
      </c>
      <c r="E3253" s="14">
        <v>1.0</v>
      </c>
      <c r="F3253" s="15">
        <f>F3257</f>
        <v>43.8</v>
      </c>
      <c r="G3253" s="12">
        <f t="shared" si="566"/>
        <v>43.8</v>
      </c>
    </row>
    <row r="3254" ht="24.0" customHeight="1">
      <c r="A3254" s="10" t="s">
        <v>25</v>
      </c>
      <c r="B3254" s="10" t="s">
        <v>26</v>
      </c>
      <c r="C3254" s="10" t="s">
        <v>23</v>
      </c>
      <c r="D3254" s="10" t="s">
        <v>27</v>
      </c>
      <c r="E3254" s="14">
        <v>1.0</v>
      </c>
      <c r="F3254" s="15">
        <f>ROUND(21,3)</f>
        <v>21</v>
      </c>
      <c r="G3254" s="12">
        <f t="shared" si="566"/>
        <v>21</v>
      </c>
    </row>
    <row r="3255" ht="24.0" customHeight="1">
      <c r="A3255" s="10" t="s">
        <v>28</v>
      </c>
      <c r="B3255" s="10" t="s">
        <v>26</v>
      </c>
      <c r="C3255" s="10" t="s">
        <v>23</v>
      </c>
      <c r="D3255" s="10" t="s">
        <v>29</v>
      </c>
      <c r="E3255" s="14">
        <v>1.0</v>
      </c>
      <c r="F3255" s="15">
        <f t="shared" ref="F3255:F3256" si="567">ROUND(19,3)</f>
        <v>19</v>
      </c>
      <c r="G3255" s="12">
        <f t="shared" si="566"/>
        <v>19</v>
      </c>
    </row>
    <row r="3256" ht="24.0" customHeight="1">
      <c r="A3256" s="10" t="s">
        <v>30</v>
      </c>
      <c r="B3256" s="10" t="s">
        <v>26</v>
      </c>
      <c r="C3256" s="10" t="s">
        <v>23</v>
      </c>
      <c r="D3256" s="10" t="s">
        <v>31</v>
      </c>
      <c r="E3256" s="14">
        <v>0.2</v>
      </c>
      <c r="F3256" s="15">
        <f t="shared" si="567"/>
        <v>19</v>
      </c>
      <c r="G3256" s="12">
        <f t="shared" si="566"/>
        <v>3.8</v>
      </c>
    </row>
    <row r="3257" ht="15.0" customHeight="1">
      <c r="A3257" s="11"/>
      <c r="B3257" s="11"/>
      <c r="C3257" s="11"/>
      <c r="D3257" s="10" t="s">
        <v>22</v>
      </c>
      <c r="E3257" s="14">
        <v>1.0</v>
      </c>
      <c r="F3257" s="15">
        <f>ROUND((G3254+G3255+G3256),3)</f>
        <v>43.8</v>
      </c>
      <c r="G3257" s="12">
        <f t="shared" si="566"/>
        <v>43.8</v>
      </c>
    </row>
    <row r="3258" ht="15.0" customHeight="1">
      <c r="A3258" s="10" t="s">
        <v>32</v>
      </c>
      <c r="B3258" s="10"/>
      <c r="C3258" s="10" t="s">
        <v>33</v>
      </c>
      <c r="D3258" s="10" t="s">
        <v>34</v>
      </c>
      <c r="E3258" s="14">
        <v>5.0</v>
      </c>
      <c r="F3258" s="15">
        <f>ROUND(43.8,3)</f>
        <v>43.8</v>
      </c>
      <c r="G3258" s="12">
        <f>ROUND((E3258*F3258)/100,2)</f>
        <v>2.19</v>
      </c>
    </row>
    <row r="3259" ht="15.0" customHeight="1">
      <c r="A3259" s="16"/>
      <c r="B3259" s="16"/>
      <c r="C3259" s="16"/>
      <c r="D3259" s="17" t="s">
        <v>1469</v>
      </c>
      <c r="E3259" s="16"/>
      <c r="F3259" s="18">
        <f>ROUND((G3244+G3245+G3246+G3247+G3248+G3249+G3250+G3251+G3252+G3253+G3258)*(1+G2/100),2)</f>
        <v>102.8</v>
      </c>
      <c r="G3259" s="16"/>
    </row>
    <row r="3260" ht="57.75" customHeight="1">
      <c r="A3260" s="19" t="s">
        <v>1472</v>
      </c>
      <c r="B3260" s="20" t="s">
        <v>18</v>
      </c>
      <c r="C3260" s="20" t="s">
        <v>19</v>
      </c>
      <c r="D3260" s="20" t="s">
        <v>1473</v>
      </c>
      <c r="E3260" s="21"/>
      <c r="F3260" s="22">
        <f>F3277</f>
        <v>90.2</v>
      </c>
      <c r="G3260" s="21"/>
    </row>
    <row r="3261" ht="30.0" customHeight="1">
      <c r="A3261" s="11"/>
      <c r="B3261" s="11"/>
      <c r="C3261" s="11"/>
      <c r="D3261" s="10" t="s">
        <v>1474</v>
      </c>
    </row>
    <row r="3262" ht="30.0" customHeight="1">
      <c r="A3262" s="10" t="s">
        <v>1259</v>
      </c>
      <c r="B3262" s="10" t="s">
        <v>42</v>
      </c>
      <c r="C3262" s="10" t="s">
        <v>43</v>
      </c>
      <c r="D3262" s="10" t="s">
        <v>1260</v>
      </c>
      <c r="E3262" s="14">
        <v>0.0279</v>
      </c>
      <c r="F3262" s="15">
        <f>ROUND(18.44,3)</f>
        <v>18.44</v>
      </c>
      <c r="G3262" s="12">
        <f t="shared" ref="G3262:G3275" si="568">ROUND(E3262*F3262,2)</f>
        <v>0.51</v>
      </c>
    </row>
    <row r="3263" ht="48.75" customHeight="1">
      <c r="A3263" s="10" t="s">
        <v>1276</v>
      </c>
      <c r="B3263" s="10" t="s">
        <v>42</v>
      </c>
      <c r="C3263" s="10" t="s">
        <v>43</v>
      </c>
      <c r="D3263" s="10" t="s">
        <v>1277</v>
      </c>
      <c r="E3263" s="14">
        <v>0.0612</v>
      </c>
      <c r="F3263" s="15">
        <f>ROUND(45.57,3)</f>
        <v>45.57</v>
      </c>
      <c r="G3263" s="12">
        <f t="shared" si="568"/>
        <v>2.79</v>
      </c>
    </row>
    <row r="3264" ht="30.0" customHeight="1">
      <c r="A3264" s="10" t="s">
        <v>1227</v>
      </c>
      <c r="B3264" s="10" t="s">
        <v>42</v>
      </c>
      <c r="C3264" s="10" t="s">
        <v>226</v>
      </c>
      <c r="D3264" s="10" t="s">
        <v>1228</v>
      </c>
      <c r="E3264" s="14">
        <v>0.022</v>
      </c>
      <c r="F3264" s="15">
        <f>ROUND(27.5,3)</f>
        <v>27.5</v>
      </c>
      <c r="G3264" s="12">
        <f t="shared" si="568"/>
        <v>0.61</v>
      </c>
    </row>
    <row r="3265" ht="30.0" customHeight="1">
      <c r="A3265" s="10" t="s">
        <v>1004</v>
      </c>
      <c r="B3265" s="10" t="s">
        <v>42</v>
      </c>
      <c r="C3265" s="10" t="s">
        <v>184</v>
      </c>
      <c r="D3265" s="10" t="s">
        <v>1005</v>
      </c>
      <c r="E3265" s="14">
        <v>1.134</v>
      </c>
      <c r="F3265" s="15">
        <f>ROUND(22.45,3)</f>
        <v>22.45</v>
      </c>
      <c r="G3265" s="12">
        <f t="shared" si="568"/>
        <v>25.46</v>
      </c>
    </row>
    <row r="3266" ht="21.0" customHeight="1">
      <c r="A3266" s="10" t="s">
        <v>1376</v>
      </c>
      <c r="B3266" s="10" t="s">
        <v>42</v>
      </c>
      <c r="C3266" s="10" t="s">
        <v>344</v>
      </c>
      <c r="D3266" s="10" t="s">
        <v>1377</v>
      </c>
      <c r="E3266" s="14">
        <v>1.0</v>
      </c>
      <c r="F3266" s="15">
        <f>ROUND(4.98,3)</f>
        <v>4.98</v>
      </c>
      <c r="G3266" s="12">
        <f t="shared" si="568"/>
        <v>4.98</v>
      </c>
    </row>
    <row r="3267" ht="30.0" customHeight="1">
      <c r="A3267" s="10" t="s">
        <v>233</v>
      </c>
      <c r="B3267" s="10" t="s">
        <v>42</v>
      </c>
      <c r="C3267" s="10" t="s">
        <v>231</v>
      </c>
      <c r="D3267" s="10" t="s">
        <v>234</v>
      </c>
      <c r="E3267" s="14">
        <v>0.0714</v>
      </c>
      <c r="F3267" s="15">
        <f>ROUND(23.46,3)</f>
        <v>23.46</v>
      </c>
      <c r="G3267" s="12">
        <f t="shared" si="568"/>
        <v>1.68</v>
      </c>
    </row>
    <row r="3268" ht="30.0" customHeight="1">
      <c r="A3268" s="10" t="s">
        <v>1437</v>
      </c>
      <c r="B3268" s="10" t="s">
        <v>42</v>
      </c>
      <c r="C3268" s="10" t="s">
        <v>325</v>
      </c>
      <c r="D3268" s="10" t="s">
        <v>1438</v>
      </c>
      <c r="E3268" s="14">
        <v>0.1818</v>
      </c>
      <c r="F3268" s="15">
        <f>ROUND(30.45,3)</f>
        <v>30.45</v>
      </c>
      <c r="G3268" s="12">
        <f t="shared" si="568"/>
        <v>5.54</v>
      </c>
    </row>
    <row r="3269" ht="39.75" customHeight="1">
      <c r="A3269" s="10" t="s">
        <v>1349</v>
      </c>
      <c r="B3269" s="10" t="s">
        <v>42</v>
      </c>
      <c r="C3269" s="10" t="s">
        <v>231</v>
      </c>
      <c r="D3269" s="10" t="s">
        <v>1350</v>
      </c>
      <c r="E3269" s="14">
        <v>0.44</v>
      </c>
      <c r="F3269" s="15">
        <f>ROUND(4.05,3)</f>
        <v>4.05</v>
      </c>
      <c r="G3269" s="12">
        <f t="shared" si="568"/>
        <v>1.78</v>
      </c>
    </row>
    <row r="3270" ht="39.75" customHeight="1">
      <c r="A3270" s="10" t="s">
        <v>1435</v>
      </c>
      <c r="B3270" s="10" t="s">
        <v>112</v>
      </c>
      <c r="C3270" s="10" t="s">
        <v>23</v>
      </c>
      <c r="D3270" s="10" t="s">
        <v>1436</v>
      </c>
      <c r="E3270" s="14">
        <v>0.3</v>
      </c>
      <c r="F3270" s="15">
        <f>ROUND(2.86,3)</f>
        <v>2.86</v>
      </c>
      <c r="G3270" s="12">
        <f t="shared" si="568"/>
        <v>0.86</v>
      </c>
    </row>
    <row r="3271" ht="21.0" customHeight="1">
      <c r="A3271" s="10" t="s">
        <v>22</v>
      </c>
      <c r="B3271" s="10" t="s">
        <v>18</v>
      </c>
      <c r="C3271" s="10" t="s">
        <v>23</v>
      </c>
      <c r="D3271" s="10" t="s">
        <v>24</v>
      </c>
      <c r="E3271" s="14">
        <v>1.0</v>
      </c>
      <c r="F3271" s="15">
        <f>F3275</f>
        <v>43.8</v>
      </c>
      <c r="G3271" s="12">
        <f t="shared" si="568"/>
        <v>43.8</v>
      </c>
    </row>
    <row r="3272" ht="24.0" customHeight="1">
      <c r="A3272" s="10" t="s">
        <v>25</v>
      </c>
      <c r="B3272" s="10" t="s">
        <v>26</v>
      </c>
      <c r="C3272" s="10" t="s">
        <v>23</v>
      </c>
      <c r="D3272" s="10" t="s">
        <v>27</v>
      </c>
      <c r="E3272" s="14">
        <v>1.0</v>
      </c>
      <c r="F3272" s="15">
        <f>ROUND(21,3)</f>
        <v>21</v>
      </c>
      <c r="G3272" s="12">
        <f t="shared" si="568"/>
        <v>21</v>
      </c>
    </row>
    <row r="3273" ht="24.0" customHeight="1">
      <c r="A3273" s="10" t="s">
        <v>28</v>
      </c>
      <c r="B3273" s="10" t="s">
        <v>26</v>
      </c>
      <c r="C3273" s="10" t="s">
        <v>23</v>
      </c>
      <c r="D3273" s="10" t="s">
        <v>29</v>
      </c>
      <c r="E3273" s="14">
        <v>1.0</v>
      </c>
      <c r="F3273" s="15">
        <f t="shared" ref="F3273:F3274" si="569">ROUND(19,3)</f>
        <v>19</v>
      </c>
      <c r="G3273" s="12">
        <f t="shared" si="568"/>
        <v>19</v>
      </c>
    </row>
    <row r="3274" ht="24.0" customHeight="1">
      <c r="A3274" s="10" t="s">
        <v>30</v>
      </c>
      <c r="B3274" s="10" t="s">
        <v>26</v>
      </c>
      <c r="C3274" s="10" t="s">
        <v>23</v>
      </c>
      <c r="D3274" s="10" t="s">
        <v>31</v>
      </c>
      <c r="E3274" s="14">
        <v>0.2</v>
      </c>
      <c r="F3274" s="15">
        <f t="shared" si="569"/>
        <v>19</v>
      </c>
      <c r="G3274" s="12">
        <f t="shared" si="568"/>
        <v>3.8</v>
      </c>
    </row>
    <row r="3275" ht="15.0" customHeight="1">
      <c r="A3275" s="11"/>
      <c r="B3275" s="11"/>
      <c r="C3275" s="11"/>
      <c r="D3275" s="10" t="s">
        <v>22</v>
      </c>
      <c r="E3275" s="14">
        <v>1.0</v>
      </c>
      <c r="F3275" s="15">
        <f>ROUND((G3272+G3273+G3274),3)</f>
        <v>43.8</v>
      </c>
      <c r="G3275" s="12">
        <f t="shared" si="568"/>
        <v>43.8</v>
      </c>
    </row>
    <row r="3276" ht="15.0" customHeight="1">
      <c r="A3276" s="10" t="s">
        <v>32</v>
      </c>
      <c r="B3276" s="10"/>
      <c r="C3276" s="10" t="s">
        <v>33</v>
      </c>
      <c r="D3276" s="10" t="s">
        <v>34</v>
      </c>
      <c r="E3276" s="14">
        <v>5.0</v>
      </c>
      <c r="F3276" s="15">
        <f>ROUND(43.8,3)</f>
        <v>43.8</v>
      </c>
      <c r="G3276" s="12">
        <f>ROUND((E3276*F3276)/100,2)</f>
        <v>2.19</v>
      </c>
    </row>
    <row r="3277" ht="15.0" customHeight="1">
      <c r="A3277" s="16"/>
      <c r="B3277" s="16"/>
      <c r="C3277" s="16"/>
      <c r="D3277" s="17" t="s">
        <v>1472</v>
      </c>
      <c r="E3277" s="16"/>
      <c r="F3277" s="18">
        <f>ROUND((G3262+G3263+G3264+G3265+G3266+G3267+G3268+G3269+G3270+G3271+G3276)*(1+G2/100),2)</f>
        <v>90.2</v>
      </c>
      <c r="G3277" s="16"/>
    </row>
    <row r="3278" ht="57.75" customHeight="1">
      <c r="A3278" s="19" t="s">
        <v>1475</v>
      </c>
      <c r="B3278" s="20" t="s">
        <v>18</v>
      </c>
      <c r="C3278" s="20" t="s">
        <v>251</v>
      </c>
      <c r="D3278" s="20" t="s">
        <v>1470</v>
      </c>
      <c r="E3278" s="21"/>
      <c r="F3278" s="22">
        <f>F3287</f>
        <v>42.58</v>
      </c>
      <c r="G3278" s="21"/>
    </row>
    <row r="3279" ht="39.75" customHeight="1">
      <c r="A3279" s="11"/>
      <c r="B3279" s="11"/>
      <c r="C3279" s="11"/>
      <c r="D3279" s="10" t="s">
        <v>1476</v>
      </c>
    </row>
    <row r="3280" ht="30.0" customHeight="1">
      <c r="A3280" s="10" t="s">
        <v>1225</v>
      </c>
      <c r="B3280" s="10" t="s">
        <v>42</v>
      </c>
      <c r="C3280" s="10" t="s">
        <v>184</v>
      </c>
      <c r="D3280" s="10" t="s">
        <v>1226</v>
      </c>
      <c r="E3280" s="14">
        <v>1.15</v>
      </c>
      <c r="F3280" s="15">
        <f>ROUND(17.45,3)</f>
        <v>17.45</v>
      </c>
      <c r="G3280" s="12">
        <f t="shared" ref="G3280:G3286" si="570">ROUND(E3280*F3280,2)</f>
        <v>20.07</v>
      </c>
    </row>
    <row r="3281" ht="30.0" customHeight="1">
      <c r="A3281" s="10" t="s">
        <v>1227</v>
      </c>
      <c r="B3281" s="10" t="s">
        <v>42</v>
      </c>
      <c r="C3281" s="10" t="s">
        <v>226</v>
      </c>
      <c r="D3281" s="10" t="s">
        <v>1228</v>
      </c>
      <c r="E3281" s="14">
        <v>0.022</v>
      </c>
      <c r="F3281" s="15">
        <f>ROUND(27.5,3)</f>
        <v>27.5</v>
      </c>
      <c r="G3281" s="12">
        <f t="shared" si="570"/>
        <v>0.61</v>
      </c>
    </row>
    <row r="3282" ht="21.0" customHeight="1">
      <c r="A3282" s="10" t="s">
        <v>22</v>
      </c>
      <c r="B3282" s="10" t="s">
        <v>18</v>
      </c>
      <c r="C3282" s="10" t="s">
        <v>23</v>
      </c>
      <c r="D3282" s="10" t="s">
        <v>24</v>
      </c>
      <c r="E3282" s="14">
        <v>0.5</v>
      </c>
      <c r="F3282" s="15">
        <f>F3286</f>
        <v>43.8</v>
      </c>
      <c r="G3282" s="12">
        <f t="shared" si="570"/>
        <v>21.9</v>
      </c>
    </row>
    <row r="3283" ht="24.0" customHeight="1">
      <c r="A3283" s="10" t="s">
        <v>25</v>
      </c>
      <c r="B3283" s="10" t="s">
        <v>26</v>
      </c>
      <c r="C3283" s="10" t="s">
        <v>23</v>
      </c>
      <c r="D3283" s="10" t="s">
        <v>27</v>
      </c>
      <c r="E3283" s="14">
        <v>1.0</v>
      </c>
      <c r="F3283" s="15">
        <f>ROUND(21,3)</f>
        <v>21</v>
      </c>
      <c r="G3283" s="12">
        <f t="shared" si="570"/>
        <v>21</v>
      </c>
    </row>
    <row r="3284" ht="24.0" customHeight="1">
      <c r="A3284" s="10" t="s">
        <v>28</v>
      </c>
      <c r="B3284" s="10" t="s">
        <v>26</v>
      </c>
      <c r="C3284" s="10" t="s">
        <v>23</v>
      </c>
      <c r="D3284" s="10" t="s">
        <v>29</v>
      </c>
      <c r="E3284" s="14">
        <v>1.0</v>
      </c>
      <c r="F3284" s="15">
        <f t="shared" ref="F3284:F3285" si="571">ROUND(19,3)</f>
        <v>19</v>
      </c>
      <c r="G3284" s="12">
        <f t="shared" si="570"/>
        <v>19</v>
      </c>
    </row>
    <row r="3285" ht="24.0" customHeight="1">
      <c r="A3285" s="10" t="s">
        <v>30</v>
      </c>
      <c r="B3285" s="10" t="s">
        <v>26</v>
      </c>
      <c r="C3285" s="10" t="s">
        <v>23</v>
      </c>
      <c r="D3285" s="10" t="s">
        <v>31</v>
      </c>
      <c r="E3285" s="14">
        <v>0.2</v>
      </c>
      <c r="F3285" s="15">
        <f t="shared" si="571"/>
        <v>19</v>
      </c>
      <c r="G3285" s="12">
        <f t="shared" si="570"/>
        <v>3.8</v>
      </c>
    </row>
    <row r="3286" ht="15.0" customHeight="1">
      <c r="A3286" s="11"/>
      <c r="B3286" s="11"/>
      <c r="C3286" s="11"/>
      <c r="D3286" s="10" t="s">
        <v>22</v>
      </c>
      <c r="E3286" s="14">
        <v>0.5</v>
      </c>
      <c r="F3286" s="15">
        <f>ROUND((G3283+G3284+G3285),3)</f>
        <v>43.8</v>
      </c>
      <c r="G3286" s="12">
        <f t="shared" si="570"/>
        <v>21.9</v>
      </c>
    </row>
    <row r="3287" ht="15.0" customHeight="1">
      <c r="A3287" s="16"/>
      <c r="B3287" s="16"/>
      <c r="C3287" s="16"/>
      <c r="D3287" s="17" t="s">
        <v>1475</v>
      </c>
      <c r="E3287" s="16"/>
      <c r="F3287" s="18">
        <f>ROUND((G3280+G3281+G3282)*(1+G2/100),2)</f>
        <v>42.58</v>
      </c>
      <c r="G3287" s="16"/>
    </row>
    <row r="3288" ht="57.75" customHeight="1">
      <c r="A3288" s="19" t="s">
        <v>1477</v>
      </c>
      <c r="B3288" s="20" t="s">
        <v>18</v>
      </c>
      <c r="C3288" s="20" t="s">
        <v>19</v>
      </c>
      <c r="D3288" s="20" t="s">
        <v>1478</v>
      </c>
      <c r="E3288" s="21"/>
      <c r="F3288" s="22">
        <f>F3305</f>
        <v>113.59</v>
      </c>
      <c r="G3288" s="21"/>
    </row>
    <row r="3289" ht="30.0" customHeight="1">
      <c r="A3289" s="11"/>
      <c r="B3289" s="11"/>
      <c r="C3289" s="11"/>
      <c r="D3289" s="10" t="s">
        <v>1479</v>
      </c>
    </row>
    <row r="3290" ht="30.0" customHeight="1">
      <c r="A3290" s="10" t="s">
        <v>1259</v>
      </c>
      <c r="B3290" s="10" t="s">
        <v>42</v>
      </c>
      <c r="C3290" s="10" t="s">
        <v>43</v>
      </c>
      <c r="D3290" s="10" t="s">
        <v>1260</v>
      </c>
      <c r="E3290" s="14">
        <v>0.0279</v>
      </c>
      <c r="F3290" s="15">
        <f>ROUND(18.44,3)</f>
        <v>18.44</v>
      </c>
      <c r="G3290" s="12">
        <f t="shared" ref="G3290:G3303" si="572">ROUND(E3290*F3290,2)</f>
        <v>0.51</v>
      </c>
    </row>
    <row r="3291" ht="30.0" customHeight="1">
      <c r="A3291" s="10" t="s">
        <v>1006</v>
      </c>
      <c r="B3291" s="10" t="s">
        <v>42</v>
      </c>
      <c r="C3291" s="10" t="s">
        <v>184</v>
      </c>
      <c r="D3291" s="10" t="s">
        <v>1007</v>
      </c>
      <c r="E3291" s="14">
        <v>0.504</v>
      </c>
      <c r="F3291" s="15">
        <f>ROUND(16.81,3)</f>
        <v>16.81</v>
      </c>
      <c r="G3291" s="12">
        <f t="shared" si="572"/>
        <v>8.47</v>
      </c>
    </row>
    <row r="3292" ht="30.0" customHeight="1">
      <c r="A3292" s="10" t="s">
        <v>1227</v>
      </c>
      <c r="B3292" s="10" t="s">
        <v>42</v>
      </c>
      <c r="C3292" s="10" t="s">
        <v>226</v>
      </c>
      <c r="D3292" s="10" t="s">
        <v>1228</v>
      </c>
      <c r="E3292" s="14">
        <v>0.022</v>
      </c>
      <c r="F3292" s="15">
        <f>ROUND(27.5,3)</f>
        <v>27.5</v>
      </c>
      <c r="G3292" s="12">
        <f t="shared" si="572"/>
        <v>0.61</v>
      </c>
    </row>
    <row r="3293" ht="30.0" customHeight="1">
      <c r="A3293" s="10" t="s">
        <v>1237</v>
      </c>
      <c r="B3293" s="10" t="s">
        <v>42</v>
      </c>
      <c r="C3293" s="10" t="s">
        <v>184</v>
      </c>
      <c r="D3293" s="10" t="s">
        <v>1238</v>
      </c>
      <c r="E3293" s="14">
        <v>1.512</v>
      </c>
      <c r="F3293" s="15">
        <f>ROUND(28.55,3)</f>
        <v>28.55</v>
      </c>
      <c r="G3293" s="12">
        <f t="shared" si="572"/>
        <v>43.17</v>
      </c>
    </row>
    <row r="3294" ht="21.0" customHeight="1">
      <c r="A3294" s="10" t="s">
        <v>1376</v>
      </c>
      <c r="B3294" s="10" t="s">
        <v>42</v>
      </c>
      <c r="C3294" s="10" t="s">
        <v>344</v>
      </c>
      <c r="D3294" s="10" t="s">
        <v>1377</v>
      </c>
      <c r="E3294" s="14">
        <v>1.0</v>
      </c>
      <c r="F3294" s="15">
        <f>ROUND(4.98,3)</f>
        <v>4.98</v>
      </c>
      <c r="G3294" s="12">
        <f t="shared" si="572"/>
        <v>4.98</v>
      </c>
    </row>
    <row r="3295" ht="30.0" customHeight="1">
      <c r="A3295" s="10" t="s">
        <v>233</v>
      </c>
      <c r="B3295" s="10" t="s">
        <v>42</v>
      </c>
      <c r="C3295" s="10" t="s">
        <v>231</v>
      </c>
      <c r="D3295" s="10" t="s">
        <v>234</v>
      </c>
      <c r="E3295" s="14">
        <v>0.0714</v>
      </c>
      <c r="F3295" s="15">
        <f>ROUND(23.46,3)</f>
        <v>23.46</v>
      </c>
      <c r="G3295" s="12">
        <f t="shared" si="572"/>
        <v>1.68</v>
      </c>
    </row>
    <row r="3296" ht="30.0" customHeight="1">
      <c r="A3296" s="10" t="s">
        <v>1437</v>
      </c>
      <c r="B3296" s="10" t="s">
        <v>42</v>
      </c>
      <c r="C3296" s="10" t="s">
        <v>325</v>
      </c>
      <c r="D3296" s="10" t="s">
        <v>1438</v>
      </c>
      <c r="E3296" s="14">
        <v>0.1818</v>
      </c>
      <c r="F3296" s="15">
        <f>ROUND(30.45,3)</f>
        <v>30.45</v>
      </c>
      <c r="G3296" s="12">
        <f t="shared" si="572"/>
        <v>5.54</v>
      </c>
    </row>
    <row r="3297" ht="39.75" customHeight="1">
      <c r="A3297" s="10" t="s">
        <v>1349</v>
      </c>
      <c r="B3297" s="10" t="s">
        <v>42</v>
      </c>
      <c r="C3297" s="10" t="s">
        <v>231</v>
      </c>
      <c r="D3297" s="10" t="s">
        <v>1350</v>
      </c>
      <c r="E3297" s="14">
        <v>0.44</v>
      </c>
      <c r="F3297" s="15">
        <f>ROUND(4.05,3)</f>
        <v>4.05</v>
      </c>
      <c r="G3297" s="12">
        <f t="shared" si="572"/>
        <v>1.78</v>
      </c>
    </row>
    <row r="3298" ht="39.75" customHeight="1">
      <c r="A3298" s="10" t="s">
        <v>1435</v>
      </c>
      <c r="B3298" s="10" t="s">
        <v>112</v>
      </c>
      <c r="C3298" s="10" t="s">
        <v>23</v>
      </c>
      <c r="D3298" s="10" t="s">
        <v>1436</v>
      </c>
      <c r="E3298" s="14">
        <v>0.3</v>
      </c>
      <c r="F3298" s="15">
        <f>ROUND(2.86,3)</f>
        <v>2.86</v>
      </c>
      <c r="G3298" s="12">
        <f t="shared" si="572"/>
        <v>0.86</v>
      </c>
    </row>
    <row r="3299" ht="21.0" customHeight="1">
      <c r="A3299" s="10" t="s">
        <v>22</v>
      </c>
      <c r="B3299" s="10" t="s">
        <v>18</v>
      </c>
      <c r="C3299" s="10" t="s">
        <v>23</v>
      </c>
      <c r="D3299" s="10" t="s">
        <v>24</v>
      </c>
      <c r="E3299" s="14">
        <v>1.0</v>
      </c>
      <c r="F3299" s="15">
        <f>F3303</f>
        <v>43.8</v>
      </c>
      <c r="G3299" s="12">
        <f t="shared" si="572"/>
        <v>43.8</v>
      </c>
    </row>
    <row r="3300" ht="24.0" customHeight="1">
      <c r="A3300" s="10" t="s">
        <v>25</v>
      </c>
      <c r="B3300" s="10" t="s">
        <v>26</v>
      </c>
      <c r="C3300" s="10" t="s">
        <v>23</v>
      </c>
      <c r="D3300" s="10" t="s">
        <v>27</v>
      </c>
      <c r="E3300" s="14">
        <v>1.0</v>
      </c>
      <c r="F3300" s="15">
        <f>ROUND(21,3)</f>
        <v>21</v>
      </c>
      <c r="G3300" s="12">
        <f t="shared" si="572"/>
        <v>21</v>
      </c>
    </row>
    <row r="3301" ht="24.0" customHeight="1">
      <c r="A3301" s="10" t="s">
        <v>28</v>
      </c>
      <c r="B3301" s="10" t="s">
        <v>26</v>
      </c>
      <c r="C3301" s="10" t="s">
        <v>23</v>
      </c>
      <c r="D3301" s="10" t="s">
        <v>29</v>
      </c>
      <c r="E3301" s="14">
        <v>1.0</v>
      </c>
      <c r="F3301" s="15">
        <f t="shared" ref="F3301:F3302" si="573">ROUND(19,3)</f>
        <v>19</v>
      </c>
      <c r="G3301" s="12">
        <f t="shared" si="572"/>
        <v>19</v>
      </c>
    </row>
    <row r="3302" ht="24.0" customHeight="1">
      <c r="A3302" s="10" t="s">
        <v>30</v>
      </c>
      <c r="B3302" s="10" t="s">
        <v>26</v>
      </c>
      <c r="C3302" s="10" t="s">
        <v>23</v>
      </c>
      <c r="D3302" s="10" t="s">
        <v>31</v>
      </c>
      <c r="E3302" s="14">
        <v>0.2</v>
      </c>
      <c r="F3302" s="15">
        <f t="shared" si="573"/>
        <v>19</v>
      </c>
      <c r="G3302" s="12">
        <f t="shared" si="572"/>
        <v>3.8</v>
      </c>
    </row>
    <row r="3303" ht="15.0" customHeight="1">
      <c r="A3303" s="11"/>
      <c r="B3303" s="11"/>
      <c r="C3303" s="11"/>
      <c r="D3303" s="10" t="s">
        <v>22</v>
      </c>
      <c r="E3303" s="14">
        <v>1.0</v>
      </c>
      <c r="F3303" s="15">
        <f>ROUND((G3300+G3301+G3302),3)</f>
        <v>43.8</v>
      </c>
      <c r="G3303" s="12">
        <f t="shared" si="572"/>
        <v>43.8</v>
      </c>
    </row>
    <row r="3304" ht="15.0" customHeight="1">
      <c r="A3304" s="10" t="s">
        <v>32</v>
      </c>
      <c r="B3304" s="10"/>
      <c r="C3304" s="10" t="s">
        <v>33</v>
      </c>
      <c r="D3304" s="10" t="s">
        <v>34</v>
      </c>
      <c r="E3304" s="14">
        <v>5.0</v>
      </c>
      <c r="F3304" s="15">
        <f>ROUND(43.8,3)</f>
        <v>43.8</v>
      </c>
      <c r="G3304" s="12">
        <f>ROUND((E3304*F3304)/100,2)</f>
        <v>2.19</v>
      </c>
    </row>
    <row r="3305" ht="15.0" customHeight="1">
      <c r="A3305" s="16"/>
      <c r="B3305" s="16"/>
      <c r="C3305" s="16"/>
      <c r="D3305" s="17" t="s">
        <v>1477</v>
      </c>
      <c r="E3305" s="16"/>
      <c r="F3305" s="18">
        <f>ROUND((G3290+G3291+G3292+G3293+G3294+G3295+G3296+G3297+G3298+G3299+G3304)*(1+G2/100),2)</f>
        <v>113.59</v>
      </c>
      <c r="G3305" s="16"/>
    </row>
    <row r="3306" ht="57.75" customHeight="1">
      <c r="A3306" s="19" t="s">
        <v>1480</v>
      </c>
      <c r="B3306" s="20" t="s">
        <v>18</v>
      </c>
      <c r="C3306" s="20" t="s">
        <v>19</v>
      </c>
      <c r="D3306" s="20" t="s">
        <v>1481</v>
      </c>
      <c r="E3306" s="21"/>
      <c r="F3306" s="22">
        <f>F3323</f>
        <v>98.68</v>
      </c>
      <c r="G3306" s="21"/>
    </row>
    <row r="3307" ht="30.0" customHeight="1">
      <c r="A3307" s="11"/>
      <c r="B3307" s="11"/>
      <c r="C3307" s="11"/>
      <c r="D3307" s="10" t="s">
        <v>1482</v>
      </c>
    </row>
    <row r="3308" ht="30.0" customHeight="1">
      <c r="A3308" s="10" t="s">
        <v>1259</v>
      </c>
      <c r="B3308" s="10" t="s">
        <v>42</v>
      </c>
      <c r="C3308" s="10" t="s">
        <v>43</v>
      </c>
      <c r="D3308" s="10" t="s">
        <v>1260</v>
      </c>
      <c r="E3308" s="14">
        <v>0.0279</v>
      </c>
      <c r="F3308" s="15">
        <f>ROUND(18.44,3)</f>
        <v>18.44</v>
      </c>
      <c r="G3308" s="12">
        <f t="shared" ref="G3308:G3321" si="574">ROUND(E3308*F3308,2)</f>
        <v>0.51</v>
      </c>
    </row>
    <row r="3309" ht="48.75" customHeight="1">
      <c r="A3309" s="10" t="s">
        <v>1276</v>
      </c>
      <c r="B3309" s="10" t="s">
        <v>42</v>
      </c>
      <c r="C3309" s="10" t="s">
        <v>43</v>
      </c>
      <c r="D3309" s="10" t="s">
        <v>1277</v>
      </c>
      <c r="E3309" s="14">
        <v>0.0612</v>
      </c>
      <c r="F3309" s="15">
        <f>ROUND(45.57,3)</f>
        <v>45.57</v>
      </c>
      <c r="G3309" s="12">
        <f t="shared" si="574"/>
        <v>2.79</v>
      </c>
    </row>
    <row r="3310" ht="30.0" customHeight="1">
      <c r="A3310" s="10" t="s">
        <v>1227</v>
      </c>
      <c r="B3310" s="10" t="s">
        <v>42</v>
      </c>
      <c r="C3310" s="10" t="s">
        <v>226</v>
      </c>
      <c r="D3310" s="10" t="s">
        <v>1228</v>
      </c>
      <c r="E3310" s="14">
        <v>0.022</v>
      </c>
      <c r="F3310" s="15">
        <f>ROUND(27.5,3)</f>
        <v>27.5</v>
      </c>
      <c r="G3310" s="12">
        <f t="shared" si="574"/>
        <v>0.61</v>
      </c>
    </row>
    <row r="3311" ht="30.0" customHeight="1">
      <c r="A3311" s="10" t="s">
        <v>1004</v>
      </c>
      <c r="B3311" s="10" t="s">
        <v>42</v>
      </c>
      <c r="C3311" s="10" t="s">
        <v>184</v>
      </c>
      <c r="D3311" s="10" t="s">
        <v>1005</v>
      </c>
      <c r="E3311" s="14">
        <v>1.512</v>
      </c>
      <c r="F3311" s="15">
        <f>ROUND(22.45,3)</f>
        <v>22.45</v>
      </c>
      <c r="G3311" s="12">
        <f t="shared" si="574"/>
        <v>33.94</v>
      </c>
    </row>
    <row r="3312" ht="21.0" customHeight="1">
      <c r="A3312" s="10" t="s">
        <v>1376</v>
      </c>
      <c r="B3312" s="10" t="s">
        <v>42</v>
      </c>
      <c r="C3312" s="10" t="s">
        <v>344</v>
      </c>
      <c r="D3312" s="10" t="s">
        <v>1377</v>
      </c>
      <c r="E3312" s="14">
        <v>1.0</v>
      </c>
      <c r="F3312" s="15">
        <f>ROUND(4.98,3)</f>
        <v>4.98</v>
      </c>
      <c r="G3312" s="12">
        <f t="shared" si="574"/>
        <v>4.98</v>
      </c>
    </row>
    <row r="3313" ht="30.0" customHeight="1">
      <c r="A3313" s="10" t="s">
        <v>233</v>
      </c>
      <c r="B3313" s="10" t="s">
        <v>42</v>
      </c>
      <c r="C3313" s="10" t="s">
        <v>231</v>
      </c>
      <c r="D3313" s="10" t="s">
        <v>234</v>
      </c>
      <c r="E3313" s="14">
        <v>0.0714</v>
      </c>
      <c r="F3313" s="15">
        <f>ROUND(23.46,3)</f>
        <v>23.46</v>
      </c>
      <c r="G3313" s="12">
        <f t="shared" si="574"/>
        <v>1.68</v>
      </c>
    </row>
    <row r="3314" ht="30.0" customHeight="1">
      <c r="A3314" s="10" t="s">
        <v>1437</v>
      </c>
      <c r="B3314" s="10" t="s">
        <v>42</v>
      </c>
      <c r="C3314" s="10" t="s">
        <v>325</v>
      </c>
      <c r="D3314" s="10" t="s">
        <v>1438</v>
      </c>
      <c r="E3314" s="14">
        <v>0.1818</v>
      </c>
      <c r="F3314" s="15">
        <f>ROUND(30.45,3)</f>
        <v>30.45</v>
      </c>
      <c r="G3314" s="12">
        <f t="shared" si="574"/>
        <v>5.54</v>
      </c>
    </row>
    <row r="3315" ht="39.75" customHeight="1">
      <c r="A3315" s="10" t="s">
        <v>1349</v>
      </c>
      <c r="B3315" s="10" t="s">
        <v>42</v>
      </c>
      <c r="C3315" s="10" t="s">
        <v>231</v>
      </c>
      <c r="D3315" s="10" t="s">
        <v>1350</v>
      </c>
      <c r="E3315" s="14">
        <v>0.44</v>
      </c>
      <c r="F3315" s="15">
        <f>ROUND(4.05,3)</f>
        <v>4.05</v>
      </c>
      <c r="G3315" s="12">
        <f t="shared" si="574"/>
        <v>1.78</v>
      </c>
    </row>
    <row r="3316" ht="39.75" customHeight="1">
      <c r="A3316" s="10" t="s">
        <v>1435</v>
      </c>
      <c r="B3316" s="10" t="s">
        <v>112</v>
      </c>
      <c r="C3316" s="10" t="s">
        <v>23</v>
      </c>
      <c r="D3316" s="10" t="s">
        <v>1436</v>
      </c>
      <c r="E3316" s="14">
        <v>0.3</v>
      </c>
      <c r="F3316" s="15">
        <f>ROUND(2.86,3)</f>
        <v>2.86</v>
      </c>
      <c r="G3316" s="12">
        <f t="shared" si="574"/>
        <v>0.86</v>
      </c>
    </row>
    <row r="3317" ht="21.0" customHeight="1">
      <c r="A3317" s="10" t="s">
        <v>22</v>
      </c>
      <c r="B3317" s="10" t="s">
        <v>18</v>
      </c>
      <c r="C3317" s="10" t="s">
        <v>23</v>
      </c>
      <c r="D3317" s="10" t="s">
        <v>24</v>
      </c>
      <c r="E3317" s="14">
        <v>1.0</v>
      </c>
      <c r="F3317" s="15">
        <f>F3321</f>
        <v>43.8</v>
      </c>
      <c r="G3317" s="12">
        <f t="shared" si="574"/>
        <v>43.8</v>
      </c>
    </row>
    <row r="3318" ht="24.0" customHeight="1">
      <c r="A3318" s="10" t="s">
        <v>25</v>
      </c>
      <c r="B3318" s="10" t="s">
        <v>26</v>
      </c>
      <c r="C3318" s="10" t="s">
        <v>23</v>
      </c>
      <c r="D3318" s="10" t="s">
        <v>27</v>
      </c>
      <c r="E3318" s="14">
        <v>1.0</v>
      </c>
      <c r="F3318" s="15">
        <f>ROUND(21,3)</f>
        <v>21</v>
      </c>
      <c r="G3318" s="12">
        <f t="shared" si="574"/>
        <v>21</v>
      </c>
    </row>
    <row r="3319" ht="24.0" customHeight="1">
      <c r="A3319" s="10" t="s">
        <v>28</v>
      </c>
      <c r="B3319" s="10" t="s">
        <v>26</v>
      </c>
      <c r="C3319" s="10" t="s">
        <v>23</v>
      </c>
      <c r="D3319" s="10" t="s">
        <v>29</v>
      </c>
      <c r="E3319" s="14">
        <v>1.0</v>
      </c>
      <c r="F3319" s="15">
        <f t="shared" ref="F3319:F3320" si="575">ROUND(19,3)</f>
        <v>19</v>
      </c>
      <c r="G3319" s="12">
        <f t="shared" si="574"/>
        <v>19</v>
      </c>
    </row>
    <row r="3320" ht="24.0" customHeight="1">
      <c r="A3320" s="10" t="s">
        <v>30</v>
      </c>
      <c r="B3320" s="10" t="s">
        <v>26</v>
      </c>
      <c r="C3320" s="10" t="s">
        <v>23</v>
      </c>
      <c r="D3320" s="10" t="s">
        <v>31</v>
      </c>
      <c r="E3320" s="14">
        <v>0.2</v>
      </c>
      <c r="F3320" s="15">
        <f t="shared" si="575"/>
        <v>19</v>
      </c>
      <c r="G3320" s="12">
        <f t="shared" si="574"/>
        <v>3.8</v>
      </c>
    </row>
    <row r="3321" ht="15.0" customHeight="1">
      <c r="A3321" s="11"/>
      <c r="B3321" s="11"/>
      <c r="C3321" s="11"/>
      <c r="D3321" s="10" t="s">
        <v>22</v>
      </c>
      <c r="E3321" s="14">
        <v>1.0</v>
      </c>
      <c r="F3321" s="15">
        <f>ROUND((G3318+G3319+G3320),3)</f>
        <v>43.8</v>
      </c>
      <c r="G3321" s="12">
        <f t="shared" si="574"/>
        <v>43.8</v>
      </c>
    </row>
    <row r="3322" ht="15.0" customHeight="1">
      <c r="A3322" s="10" t="s">
        <v>32</v>
      </c>
      <c r="B3322" s="10"/>
      <c r="C3322" s="10" t="s">
        <v>33</v>
      </c>
      <c r="D3322" s="10" t="s">
        <v>34</v>
      </c>
      <c r="E3322" s="14">
        <v>5.0</v>
      </c>
      <c r="F3322" s="15">
        <f>ROUND(43.8,3)</f>
        <v>43.8</v>
      </c>
      <c r="G3322" s="12">
        <f>ROUND((E3322*F3322)/100,2)</f>
        <v>2.19</v>
      </c>
    </row>
    <row r="3323" ht="15.0" customHeight="1">
      <c r="A3323" s="16"/>
      <c r="B3323" s="16"/>
      <c r="C3323" s="16"/>
      <c r="D3323" s="17" t="s">
        <v>1480</v>
      </c>
      <c r="E3323" s="16"/>
      <c r="F3323" s="18">
        <f>ROUND((G3308+G3309+G3310+G3311+G3312+G3313+G3314+G3315+G3316+G3317+G3322)*(1+G2/100),2)</f>
        <v>98.68</v>
      </c>
      <c r="G3323" s="16"/>
    </row>
    <row r="3324" ht="76.5" customHeight="1">
      <c r="A3324" s="19" t="s">
        <v>1483</v>
      </c>
      <c r="B3324" s="20" t="s">
        <v>18</v>
      </c>
      <c r="C3324" s="20" t="s">
        <v>351</v>
      </c>
      <c r="D3324" s="20" t="s">
        <v>1484</v>
      </c>
      <c r="E3324" s="21"/>
      <c r="F3324" s="22">
        <f>F3342</f>
        <v>57.82</v>
      </c>
      <c r="G3324" s="21"/>
    </row>
    <row r="3325" ht="30.0" customHeight="1">
      <c r="A3325" s="11"/>
      <c r="B3325" s="11"/>
      <c r="C3325" s="11"/>
      <c r="D3325" s="10" t="s">
        <v>1485</v>
      </c>
    </row>
    <row r="3326" ht="30.0" customHeight="1">
      <c r="A3326" s="10" t="s">
        <v>1259</v>
      </c>
      <c r="B3326" s="10" t="s">
        <v>42</v>
      </c>
      <c r="C3326" s="10" t="s">
        <v>43</v>
      </c>
      <c r="D3326" s="10" t="s">
        <v>1260</v>
      </c>
      <c r="E3326" s="14">
        <v>0.0168</v>
      </c>
      <c r="F3326" s="15">
        <f>ROUND(18.44,3)</f>
        <v>18.44</v>
      </c>
      <c r="G3326" s="12">
        <f t="shared" ref="G3326:G3340" si="576">ROUND(E3326*F3326,2)</f>
        <v>0.31</v>
      </c>
    </row>
    <row r="3327" ht="30.0" customHeight="1">
      <c r="A3327" s="10" t="s">
        <v>1006</v>
      </c>
      <c r="B3327" s="10" t="s">
        <v>42</v>
      </c>
      <c r="C3327" s="10" t="s">
        <v>184</v>
      </c>
      <c r="D3327" s="10" t="s">
        <v>1007</v>
      </c>
      <c r="E3327" s="14">
        <v>0.315</v>
      </c>
      <c r="F3327" s="15">
        <f>ROUND(16.81,3)</f>
        <v>16.81</v>
      </c>
      <c r="G3327" s="12">
        <f t="shared" si="576"/>
        <v>5.3</v>
      </c>
    </row>
    <row r="3328" ht="30.0" customHeight="1">
      <c r="A3328" s="10" t="s">
        <v>1227</v>
      </c>
      <c r="B3328" s="10" t="s">
        <v>42</v>
      </c>
      <c r="C3328" s="10" t="s">
        <v>226</v>
      </c>
      <c r="D3328" s="10" t="s">
        <v>1228</v>
      </c>
      <c r="E3328" s="14">
        <v>0.00888</v>
      </c>
      <c r="F3328" s="15">
        <f>ROUND(27.5,3)</f>
        <v>27.5</v>
      </c>
      <c r="G3328" s="12">
        <f t="shared" si="576"/>
        <v>0.24</v>
      </c>
    </row>
    <row r="3329" ht="30.0" customHeight="1">
      <c r="A3329" s="10" t="s">
        <v>1237</v>
      </c>
      <c r="B3329" s="10" t="s">
        <v>42</v>
      </c>
      <c r="C3329" s="10" t="s">
        <v>184</v>
      </c>
      <c r="D3329" s="10" t="s">
        <v>1238</v>
      </c>
      <c r="E3329" s="14">
        <v>0.342</v>
      </c>
      <c r="F3329" s="15">
        <f>ROUND(28.55,3)</f>
        <v>28.55</v>
      </c>
      <c r="G3329" s="12">
        <f t="shared" si="576"/>
        <v>9.76</v>
      </c>
    </row>
    <row r="3330" ht="21.0" customHeight="1">
      <c r="A3330" s="10" t="s">
        <v>1204</v>
      </c>
      <c r="B3330" s="10" t="s">
        <v>42</v>
      </c>
      <c r="C3330" s="10" t="s">
        <v>344</v>
      </c>
      <c r="D3330" s="10" t="s">
        <v>1205</v>
      </c>
      <c r="E3330" s="14">
        <v>1.0</v>
      </c>
      <c r="F3330" s="15">
        <f>ROUND(2.29,3)</f>
        <v>2.29</v>
      </c>
      <c r="G3330" s="12">
        <f t="shared" si="576"/>
        <v>2.29</v>
      </c>
    </row>
    <row r="3331" ht="30.0" customHeight="1">
      <c r="A3331" s="10" t="s">
        <v>233</v>
      </c>
      <c r="B3331" s="10" t="s">
        <v>42</v>
      </c>
      <c r="C3331" s="10" t="s">
        <v>231</v>
      </c>
      <c r="D3331" s="10" t="s">
        <v>234</v>
      </c>
      <c r="E3331" s="14">
        <v>0.0714</v>
      </c>
      <c r="F3331" s="15">
        <f>ROUND(23.46,3)</f>
        <v>23.46</v>
      </c>
      <c r="G3331" s="12">
        <f t="shared" si="576"/>
        <v>1.68</v>
      </c>
    </row>
    <row r="3332" ht="30.0" customHeight="1">
      <c r="A3332" s="10" t="s">
        <v>1437</v>
      </c>
      <c r="B3332" s="10" t="s">
        <v>42</v>
      </c>
      <c r="C3332" s="10" t="s">
        <v>325</v>
      </c>
      <c r="D3332" s="10" t="s">
        <v>1438</v>
      </c>
      <c r="E3332" s="14">
        <v>0.15</v>
      </c>
      <c r="F3332" s="15">
        <f>ROUND(30.45,3)</f>
        <v>30.45</v>
      </c>
      <c r="G3332" s="12">
        <f t="shared" si="576"/>
        <v>4.57</v>
      </c>
    </row>
    <row r="3333" ht="39.75" customHeight="1">
      <c r="A3333" s="10" t="s">
        <v>1349</v>
      </c>
      <c r="B3333" s="10" t="s">
        <v>42</v>
      </c>
      <c r="C3333" s="10" t="s">
        <v>231</v>
      </c>
      <c r="D3333" s="10" t="s">
        <v>1350</v>
      </c>
      <c r="E3333" s="14">
        <v>0.44</v>
      </c>
      <c r="F3333" s="15">
        <f>ROUND(4.05,3)</f>
        <v>4.05</v>
      </c>
      <c r="G3333" s="12">
        <f t="shared" si="576"/>
        <v>1.78</v>
      </c>
    </row>
    <row r="3334" ht="39.75" customHeight="1">
      <c r="A3334" s="10" t="s">
        <v>1315</v>
      </c>
      <c r="B3334" s="10" t="s">
        <v>42</v>
      </c>
      <c r="C3334" s="10" t="s">
        <v>231</v>
      </c>
      <c r="D3334" s="10" t="s">
        <v>1316</v>
      </c>
      <c r="E3334" s="14">
        <v>0.25</v>
      </c>
      <c r="F3334" s="15">
        <f>ROUND(2.63,3)</f>
        <v>2.63</v>
      </c>
      <c r="G3334" s="12">
        <f t="shared" si="576"/>
        <v>0.66</v>
      </c>
    </row>
    <row r="3335" ht="39.75" customHeight="1">
      <c r="A3335" s="10" t="s">
        <v>1435</v>
      </c>
      <c r="B3335" s="10" t="s">
        <v>112</v>
      </c>
      <c r="C3335" s="10" t="s">
        <v>23</v>
      </c>
      <c r="D3335" s="10" t="s">
        <v>1436</v>
      </c>
      <c r="E3335" s="14">
        <v>0.2</v>
      </c>
      <c r="F3335" s="15">
        <f>ROUND(2.86,3)</f>
        <v>2.86</v>
      </c>
      <c r="G3335" s="12">
        <f t="shared" si="576"/>
        <v>0.57</v>
      </c>
    </row>
    <row r="3336" ht="21.0" customHeight="1">
      <c r="A3336" s="10" t="s">
        <v>22</v>
      </c>
      <c r="B3336" s="10" t="s">
        <v>18</v>
      </c>
      <c r="C3336" s="10" t="s">
        <v>23</v>
      </c>
      <c r="D3336" s="10" t="s">
        <v>24</v>
      </c>
      <c r="E3336" s="14">
        <v>0.66667</v>
      </c>
      <c r="F3336" s="15">
        <f>F3340</f>
        <v>43.8</v>
      </c>
      <c r="G3336" s="12">
        <f t="shared" si="576"/>
        <v>29.2</v>
      </c>
    </row>
    <row r="3337" ht="24.0" customHeight="1">
      <c r="A3337" s="10" t="s">
        <v>25</v>
      </c>
      <c r="B3337" s="10" t="s">
        <v>26</v>
      </c>
      <c r="C3337" s="10" t="s">
        <v>23</v>
      </c>
      <c r="D3337" s="10" t="s">
        <v>27</v>
      </c>
      <c r="E3337" s="14">
        <v>1.0</v>
      </c>
      <c r="F3337" s="15">
        <f>ROUND(21,3)</f>
        <v>21</v>
      </c>
      <c r="G3337" s="12">
        <f t="shared" si="576"/>
        <v>21</v>
      </c>
    </row>
    <row r="3338" ht="24.0" customHeight="1">
      <c r="A3338" s="10" t="s">
        <v>28</v>
      </c>
      <c r="B3338" s="10" t="s">
        <v>26</v>
      </c>
      <c r="C3338" s="10" t="s">
        <v>23</v>
      </c>
      <c r="D3338" s="10" t="s">
        <v>29</v>
      </c>
      <c r="E3338" s="14">
        <v>1.0</v>
      </c>
      <c r="F3338" s="15">
        <f t="shared" ref="F3338:F3339" si="577">ROUND(19,3)</f>
        <v>19</v>
      </c>
      <c r="G3338" s="12">
        <f t="shared" si="576"/>
        <v>19</v>
      </c>
    </row>
    <row r="3339" ht="24.0" customHeight="1">
      <c r="A3339" s="10" t="s">
        <v>30</v>
      </c>
      <c r="B3339" s="10" t="s">
        <v>26</v>
      </c>
      <c r="C3339" s="10" t="s">
        <v>23</v>
      </c>
      <c r="D3339" s="10" t="s">
        <v>31</v>
      </c>
      <c r="E3339" s="14">
        <v>0.2</v>
      </c>
      <c r="F3339" s="15">
        <f t="shared" si="577"/>
        <v>19</v>
      </c>
      <c r="G3339" s="12">
        <f t="shared" si="576"/>
        <v>3.8</v>
      </c>
    </row>
    <row r="3340" ht="15.0" customHeight="1">
      <c r="A3340" s="11"/>
      <c r="B3340" s="11"/>
      <c r="C3340" s="11"/>
      <c r="D3340" s="10" t="s">
        <v>22</v>
      </c>
      <c r="E3340" s="14">
        <v>0.66667</v>
      </c>
      <c r="F3340" s="15">
        <f>ROUND((G3337+G3338+G3339),3)</f>
        <v>43.8</v>
      </c>
      <c r="G3340" s="12">
        <f t="shared" si="576"/>
        <v>29.2</v>
      </c>
    </row>
    <row r="3341" ht="15.0" customHeight="1">
      <c r="A3341" s="10" t="s">
        <v>32</v>
      </c>
      <c r="B3341" s="10"/>
      <c r="C3341" s="10" t="s">
        <v>33</v>
      </c>
      <c r="D3341" s="10" t="s">
        <v>34</v>
      </c>
      <c r="E3341" s="14">
        <v>5.0</v>
      </c>
      <c r="F3341" s="15">
        <f>ROUND(29.2,3)</f>
        <v>29.2</v>
      </c>
      <c r="G3341" s="12">
        <f>ROUND((E3341*F3341)/100,2)</f>
        <v>1.46</v>
      </c>
    </row>
    <row r="3342" ht="15.0" customHeight="1">
      <c r="A3342" s="16"/>
      <c r="B3342" s="16"/>
      <c r="C3342" s="16"/>
      <c r="D3342" s="17" t="s">
        <v>1483</v>
      </c>
      <c r="E3342" s="16"/>
      <c r="F3342" s="18">
        <f>ROUND((G3326+G3327+G3328+G3329+G3330+G3331+G3332+G3333+G3334+G3335+G3336+G3341)*(1+G2/100),2)</f>
        <v>57.82</v>
      </c>
      <c r="G3342" s="16"/>
    </row>
    <row r="3343" ht="76.5" customHeight="1">
      <c r="A3343" s="19" t="s">
        <v>1486</v>
      </c>
      <c r="B3343" s="20" t="s">
        <v>18</v>
      </c>
      <c r="C3343" s="20" t="s">
        <v>351</v>
      </c>
      <c r="D3343" s="20" t="s">
        <v>1487</v>
      </c>
      <c r="E3343" s="21"/>
      <c r="F3343" s="22">
        <f>F3361</f>
        <v>76.12</v>
      </c>
      <c r="G3343" s="21"/>
    </row>
    <row r="3344" ht="30.0" customHeight="1">
      <c r="A3344" s="11"/>
      <c r="B3344" s="11"/>
      <c r="C3344" s="11"/>
      <c r="D3344" s="10" t="s">
        <v>1488</v>
      </c>
    </row>
    <row r="3345" ht="30.0" customHeight="1">
      <c r="A3345" s="10" t="s">
        <v>1259</v>
      </c>
      <c r="B3345" s="10" t="s">
        <v>42</v>
      </c>
      <c r="C3345" s="10" t="s">
        <v>43</v>
      </c>
      <c r="D3345" s="10" t="s">
        <v>1260</v>
      </c>
      <c r="E3345" s="14">
        <v>0.0223</v>
      </c>
      <c r="F3345" s="15">
        <f>ROUND(18.44,3)</f>
        <v>18.44</v>
      </c>
      <c r="G3345" s="12">
        <f t="shared" ref="G3345:G3359" si="578">ROUND(E3345*F3345,2)</f>
        <v>0.41</v>
      </c>
    </row>
    <row r="3346" ht="30.0" customHeight="1">
      <c r="A3346" s="10" t="s">
        <v>1006</v>
      </c>
      <c r="B3346" s="10" t="s">
        <v>42</v>
      </c>
      <c r="C3346" s="10" t="s">
        <v>184</v>
      </c>
      <c r="D3346" s="10" t="s">
        <v>1007</v>
      </c>
      <c r="E3346" s="14">
        <v>0.378</v>
      </c>
      <c r="F3346" s="15">
        <f>ROUND(16.81,3)</f>
        <v>16.81</v>
      </c>
      <c r="G3346" s="12">
        <f t="shared" si="578"/>
        <v>6.35</v>
      </c>
    </row>
    <row r="3347" ht="30.0" customHeight="1">
      <c r="A3347" s="10" t="s">
        <v>1227</v>
      </c>
      <c r="B3347" s="10" t="s">
        <v>42</v>
      </c>
      <c r="C3347" s="10" t="s">
        <v>226</v>
      </c>
      <c r="D3347" s="10" t="s">
        <v>1228</v>
      </c>
      <c r="E3347" s="14">
        <v>0.011</v>
      </c>
      <c r="F3347" s="15">
        <f>ROUND(27.5,3)</f>
        <v>27.5</v>
      </c>
      <c r="G3347" s="12">
        <f t="shared" si="578"/>
        <v>0.3</v>
      </c>
    </row>
    <row r="3348" ht="30.0" customHeight="1">
      <c r="A3348" s="10" t="s">
        <v>1237</v>
      </c>
      <c r="B3348" s="10" t="s">
        <v>42</v>
      </c>
      <c r="C3348" s="10" t="s">
        <v>184</v>
      </c>
      <c r="D3348" s="10" t="s">
        <v>1238</v>
      </c>
      <c r="E3348" s="14">
        <v>0.567</v>
      </c>
      <c r="F3348" s="15">
        <f>ROUND(28.55,3)</f>
        <v>28.55</v>
      </c>
      <c r="G3348" s="12">
        <f t="shared" si="578"/>
        <v>16.19</v>
      </c>
    </row>
    <row r="3349" ht="21.0" customHeight="1">
      <c r="A3349" s="10" t="s">
        <v>1204</v>
      </c>
      <c r="B3349" s="10" t="s">
        <v>42</v>
      </c>
      <c r="C3349" s="10" t="s">
        <v>344</v>
      </c>
      <c r="D3349" s="10" t="s">
        <v>1205</v>
      </c>
      <c r="E3349" s="14">
        <v>1.0</v>
      </c>
      <c r="F3349" s="15">
        <f>ROUND(2.29,3)</f>
        <v>2.29</v>
      </c>
      <c r="G3349" s="12">
        <f t="shared" si="578"/>
        <v>2.29</v>
      </c>
    </row>
    <row r="3350" ht="30.0" customHeight="1">
      <c r="A3350" s="10" t="s">
        <v>233</v>
      </c>
      <c r="B3350" s="10" t="s">
        <v>42</v>
      </c>
      <c r="C3350" s="10" t="s">
        <v>231</v>
      </c>
      <c r="D3350" s="10" t="s">
        <v>234</v>
      </c>
      <c r="E3350" s="14">
        <v>0.0714</v>
      </c>
      <c r="F3350" s="15">
        <f>ROUND(23.46,3)</f>
        <v>23.46</v>
      </c>
      <c r="G3350" s="12">
        <f t="shared" si="578"/>
        <v>1.68</v>
      </c>
    </row>
    <row r="3351" ht="30.0" customHeight="1">
      <c r="A3351" s="10" t="s">
        <v>1437</v>
      </c>
      <c r="B3351" s="10" t="s">
        <v>42</v>
      </c>
      <c r="C3351" s="10" t="s">
        <v>325</v>
      </c>
      <c r="D3351" s="10" t="s">
        <v>1438</v>
      </c>
      <c r="E3351" s="14">
        <v>0.15</v>
      </c>
      <c r="F3351" s="15">
        <f>ROUND(30.45,3)</f>
        <v>30.45</v>
      </c>
      <c r="G3351" s="12">
        <f t="shared" si="578"/>
        <v>4.57</v>
      </c>
    </row>
    <row r="3352" ht="39.75" customHeight="1">
      <c r="A3352" s="10" t="s">
        <v>1349</v>
      </c>
      <c r="B3352" s="10" t="s">
        <v>42</v>
      </c>
      <c r="C3352" s="10" t="s">
        <v>231</v>
      </c>
      <c r="D3352" s="10" t="s">
        <v>1350</v>
      </c>
      <c r="E3352" s="14">
        <v>0.44</v>
      </c>
      <c r="F3352" s="15">
        <f>ROUND(4.05,3)</f>
        <v>4.05</v>
      </c>
      <c r="G3352" s="12">
        <f t="shared" si="578"/>
        <v>1.78</v>
      </c>
    </row>
    <row r="3353" ht="39.75" customHeight="1">
      <c r="A3353" s="10" t="s">
        <v>1315</v>
      </c>
      <c r="B3353" s="10" t="s">
        <v>42</v>
      </c>
      <c r="C3353" s="10" t="s">
        <v>231</v>
      </c>
      <c r="D3353" s="10" t="s">
        <v>1316</v>
      </c>
      <c r="E3353" s="14">
        <v>0.42</v>
      </c>
      <c r="F3353" s="15">
        <f>ROUND(2.63,3)</f>
        <v>2.63</v>
      </c>
      <c r="G3353" s="12">
        <f t="shared" si="578"/>
        <v>1.1</v>
      </c>
    </row>
    <row r="3354" ht="39.75" customHeight="1">
      <c r="A3354" s="10" t="s">
        <v>1435</v>
      </c>
      <c r="B3354" s="10" t="s">
        <v>112</v>
      </c>
      <c r="C3354" s="10" t="s">
        <v>23</v>
      </c>
      <c r="D3354" s="10" t="s">
        <v>1436</v>
      </c>
      <c r="E3354" s="14">
        <v>0.2</v>
      </c>
      <c r="F3354" s="15">
        <f>ROUND(2.86,3)</f>
        <v>2.86</v>
      </c>
      <c r="G3354" s="12">
        <f t="shared" si="578"/>
        <v>0.57</v>
      </c>
    </row>
    <row r="3355" ht="21.0" customHeight="1">
      <c r="A3355" s="10" t="s">
        <v>22</v>
      </c>
      <c r="B3355" s="10" t="s">
        <v>18</v>
      </c>
      <c r="C3355" s="10" t="s">
        <v>23</v>
      </c>
      <c r="D3355" s="10" t="s">
        <v>24</v>
      </c>
      <c r="E3355" s="14">
        <v>0.88889</v>
      </c>
      <c r="F3355" s="15">
        <f>F3359</f>
        <v>43.8</v>
      </c>
      <c r="G3355" s="12">
        <f t="shared" si="578"/>
        <v>38.93</v>
      </c>
    </row>
    <row r="3356" ht="24.0" customHeight="1">
      <c r="A3356" s="10" t="s">
        <v>25</v>
      </c>
      <c r="B3356" s="10" t="s">
        <v>26</v>
      </c>
      <c r="C3356" s="10" t="s">
        <v>23</v>
      </c>
      <c r="D3356" s="10" t="s">
        <v>27</v>
      </c>
      <c r="E3356" s="14">
        <v>1.0</v>
      </c>
      <c r="F3356" s="15">
        <f>ROUND(21,3)</f>
        <v>21</v>
      </c>
      <c r="G3356" s="12">
        <f t="shared" si="578"/>
        <v>21</v>
      </c>
    </row>
    <row r="3357" ht="24.0" customHeight="1">
      <c r="A3357" s="10" t="s">
        <v>28</v>
      </c>
      <c r="B3357" s="10" t="s">
        <v>26</v>
      </c>
      <c r="C3357" s="10" t="s">
        <v>23</v>
      </c>
      <c r="D3357" s="10" t="s">
        <v>29</v>
      </c>
      <c r="E3357" s="14">
        <v>1.0</v>
      </c>
      <c r="F3357" s="15">
        <f t="shared" ref="F3357:F3358" si="579">ROUND(19,3)</f>
        <v>19</v>
      </c>
      <c r="G3357" s="12">
        <f t="shared" si="578"/>
        <v>19</v>
      </c>
    </row>
    <row r="3358" ht="24.0" customHeight="1">
      <c r="A3358" s="10" t="s">
        <v>30</v>
      </c>
      <c r="B3358" s="10" t="s">
        <v>26</v>
      </c>
      <c r="C3358" s="10" t="s">
        <v>23</v>
      </c>
      <c r="D3358" s="10" t="s">
        <v>31</v>
      </c>
      <c r="E3358" s="14">
        <v>0.2</v>
      </c>
      <c r="F3358" s="15">
        <f t="shared" si="579"/>
        <v>19</v>
      </c>
      <c r="G3358" s="12">
        <f t="shared" si="578"/>
        <v>3.8</v>
      </c>
    </row>
    <row r="3359" ht="15.0" customHeight="1">
      <c r="A3359" s="11"/>
      <c r="B3359" s="11"/>
      <c r="C3359" s="11"/>
      <c r="D3359" s="10" t="s">
        <v>22</v>
      </c>
      <c r="E3359" s="14">
        <v>0.88889</v>
      </c>
      <c r="F3359" s="15">
        <f>ROUND((G3356+G3357+G3358),3)</f>
        <v>43.8</v>
      </c>
      <c r="G3359" s="12">
        <f t="shared" si="578"/>
        <v>38.93</v>
      </c>
    </row>
    <row r="3360" ht="15.0" customHeight="1">
      <c r="A3360" s="10" t="s">
        <v>32</v>
      </c>
      <c r="B3360" s="10"/>
      <c r="C3360" s="10" t="s">
        <v>33</v>
      </c>
      <c r="D3360" s="10" t="s">
        <v>34</v>
      </c>
      <c r="E3360" s="14">
        <v>5.0</v>
      </c>
      <c r="F3360" s="15">
        <f>ROUND(38.93,3)</f>
        <v>38.93</v>
      </c>
      <c r="G3360" s="12">
        <f>ROUND((E3360*F3360)/100,2)</f>
        <v>1.95</v>
      </c>
    </row>
    <row r="3361" ht="15.0" customHeight="1">
      <c r="A3361" s="16"/>
      <c r="B3361" s="16"/>
      <c r="C3361" s="16"/>
      <c r="D3361" s="17" t="s">
        <v>1486</v>
      </c>
      <c r="E3361" s="16"/>
      <c r="F3361" s="18">
        <f>ROUND((G3345+G3346+G3347+G3348+G3349+G3350+G3351+G3352+G3353+G3354+G3355+G3360)*(1+G2/100),2)</f>
        <v>76.12</v>
      </c>
      <c r="G3361" s="16"/>
    </row>
    <row r="3362" ht="67.5" customHeight="1">
      <c r="A3362" s="19" t="s">
        <v>1489</v>
      </c>
      <c r="B3362" s="20" t="s">
        <v>18</v>
      </c>
      <c r="C3362" s="20" t="s">
        <v>351</v>
      </c>
      <c r="D3362" s="20" t="s">
        <v>1490</v>
      </c>
      <c r="E3362" s="21"/>
      <c r="F3362" s="22">
        <f>F3380</f>
        <v>52.04</v>
      </c>
      <c r="G3362" s="21"/>
    </row>
    <row r="3363" ht="30.0" customHeight="1">
      <c r="A3363" s="11"/>
      <c r="B3363" s="11"/>
      <c r="C3363" s="11"/>
      <c r="D3363" s="10" t="s">
        <v>1491</v>
      </c>
    </row>
    <row r="3364" ht="30.0" customHeight="1">
      <c r="A3364" s="10" t="s">
        <v>1259</v>
      </c>
      <c r="B3364" s="10" t="s">
        <v>42</v>
      </c>
      <c r="C3364" s="10" t="s">
        <v>43</v>
      </c>
      <c r="D3364" s="10" t="s">
        <v>1260</v>
      </c>
      <c r="E3364" s="14">
        <v>0.0168</v>
      </c>
      <c r="F3364" s="15">
        <f>ROUND(18.44,3)</f>
        <v>18.44</v>
      </c>
      <c r="G3364" s="12">
        <f t="shared" ref="G3364:G3378" si="580">ROUND(E3364*F3364,2)</f>
        <v>0.31</v>
      </c>
    </row>
    <row r="3365" ht="48.75" customHeight="1">
      <c r="A3365" s="10" t="s">
        <v>1276</v>
      </c>
      <c r="B3365" s="10" t="s">
        <v>42</v>
      </c>
      <c r="C3365" s="10" t="s">
        <v>43</v>
      </c>
      <c r="D3365" s="10" t="s">
        <v>1277</v>
      </c>
      <c r="E3365" s="14">
        <v>0.0359</v>
      </c>
      <c r="F3365" s="15">
        <f>ROUND(45.57,3)</f>
        <v>45.57</v>
      </c>
      <c r="G3365" s="12">
        <f t="shared" si="580"/>
        <v>1.64</v>
      </c>
    </row>
    <row r="3366" ht="30.0" customHeight="1">
      <c r="A3366" s="10" t="s">
        <v>1227</v>
      </c>
      <c r="B3366" s="10" t="s">
        <v>42</v>
      </c>
      <c r="C3366" s="10" t="s">
        <v>226</v>
      </c>
      <c r="D3366" s="10" t="s">
        <v>1228</v>
      </c>
      <c r="E3366" s="14">
        <v>0.00888</v>
      </c>
      <c r="F3366" s="15">
        <f>ROUND(27.5,3)</f>
        <v>27.5</v>
      </c>
      <c r="G3366" s="12">
        <f t="shared" si="580"/>
        <v>0.24</v>
      </c>
    </row>
    <row r="3367" ht="30.0" customHeight="1">
      <c r="A3367" s="10" t="s">
        <v>1004</v>
      </c>
      <c r="B3367" s="10" t="s">
        <v>42</v>
      </c>
      <c r="C3367" s="10" t="s">
        <v>184</v>
      </c>
      <c r="D3367" s="10" t="s">
        <v>1005</v>
      </c>
      <c r="E3367" s="14">
        <v>0.3402</v>
      </c>
      <c r="F3367" s="15">
        <f>ROUND(22.45,3)</f>
        <v>22.45</v>
      </c>
      <c r="G3367" s="12">
        <f t="shared" si="580"/>
        <v>7.64</v>
      </c>
    </row>
    <row r="3368" ht="21.0" customHeight="1">
      <c r="A3368" s="10" t="s">
        <v>1204</v>
      </c>
      <c r="B3368" s="10" t="s">
        <v>42</v>
      </c>
      <c r="C3368" s="10" t="s">
        <v>344</v>
      </c>
      <c r="D3368" s="10" t="s">
        <v>1205</v>
      </c>
      <c r="E3368" s="14">
        <v>1.0</v>
      </c>
      <c r="F3368" s="15">
        <f>ROUND(2.29,3)</f>
        <v>2.29</v>
      </c>
      <c r="G3368" s="12">
        <f t="shared" si="580"/>
        <v>2.29</v>
      </c>
    </row>
    <row r="3369" ht="30.0" customHeight="1">
      <c r="A3369" s="10" t="s">
        <v>233</v>
      </c>
      <c r="B3369" s="10" t="s">
        <v>42</v>
      </c>
      <c r="C3369" s="10" t="s">
        <v>231</v>
      </c>
      <c r="D3369" s="10" t="s">
        <v>234</v>
      </c>
      <c r="E3369" s="14">
        <v>0.0714</v>
      </c>
      <c r="F3369" s="15">
        <f>ROUND(23.46,3)</f>
        <v>23.46</v>
      </c>
      <c r="G3369" s="12">
        <f t="shared" si="580"/>
        <v>1.68</v>
      </c>
    </row>
    <row r="3370" ht="30.0" customHeight="1">
      <c r="A3370" s="10" t="s">
        <v>1437</v>
      </c>
      <c r="B3370" s="10" t="s">
        <v>42</v>
      </c>
      <c r="C3370" s="10" t="s">
        <v>325</v>
      </c>
      <c r="D3370" s="10" t="s">
        <v>1438</v>
      </c>
      <c r="E3370" s="14">
        <v>0.15</v>
      </c>
      <c r="F3370" s="15">
        <f>ROUND(30.45,3)</f>
        <v>30.45</v>
      </c>
      <c r="G3370" s="12">
        <f t="shared" si="580"/>
        <v>4.57</v>
      </c>
    </row>
    <row r="3371" ht="39.75" customHeight="1">
      <c r="A3371" s="10" t="s">
        <v>1349</v>
      </c>
      <c r="B3371" s="10" t="s">
        <v>42</v>
      </c>
      <c r="C3371" s="10" t="s">
        <v>231</v>
      </c>
      <c r="D3371" s="10" t="s">
        <v>1350</v>
      </c>
      <c r="E3371" s="14">
        <v>0.44</v>
      </c>
      <c r="F3371" s="15">
        <f>ROUND(4.05,3)</f>
        <v>4.05</v>
      </c>
      <c r="G3371" s="12">
        <f t="shared" si="580"/>
        <v>1.78</v>
      </c>
    </row>
    <row r="3372" ht="39.75" customHeight="1">
      <c r="A3372" s="10" t="s">
        <v>1315</v>
      </c>
      <c r="B3372" s="10" t="s">
        <v>42</v>
      </c>
      <c r="C3372" s="10" t="s">
        <v>231</v>
      </c>
      <c r="D3372" s="10" t="s">
        <v>1316</v>
      </c>
      <c r="E3372" s="14">
        <v>0.25</v>
      </c>
      <c r="F3372" s="15">
        <f>ROUND(2.63,3)</f>
        <v>2.63</v>
      </c>
      <c r="G3372" s="12">
        <f t="shared" si="580"/>
        <v>0.66</v>
      </c>
    </row>
    <row r="3373" ht="39.75" customHeight="1">
      <c r="A3373" s="10" t="s">
        <v>1435</v>
      </c>
      <c r="B3373" s="10" t="s">
        <v>112</v>
      </c>
      <c r="C3373" s="10" t="s">
        <v>23</v>
      </c>
      <c r="D3373" s="10" t="s">
        <v>1436</v>
      </c>
      <c r="E3373" s="14">
        <v>0.2</v>
      </c>
      <c r="F3373" s="15">
        <f>ROUND(2.86,3)</f>
        <v>2.86</v>
      </c>
      <c r="G3373" s="12">
        <f t="shared" si="580"/>
        <v>0.57</v>
      </c>
    </row>
    <row r="3374" ht="21.0" customHeight="1">
      <c r="A3374" s="10" t="s">
        <v>22</v>
      </c>
      <c r="B3374" s="10" t="s">
        <v>18</v>
      </c>
      <c r="C3374" s="10" t="s">
        <v>23</v>
      </c>
      <c r="D3374" s="10" t="s">
        <v>24</v>
      </c>
      <c r="E3374" s="14">
        <v>0.66667</v>
      </c>
      <c r="F3374" s="15">
        <f>F3378</f>
        <v>43.8</v>
      </c>
      <c r="G3374" s="12">
        <f t="shared" si="580"/>
        <v>29.2</v>
      </c>
    </row>
    <row r="3375" ht="24.0" customHeight="1">
      <c r="A3375" s="10" t="s">
        <v>25</v>
      </c>
      <c r="B3375" s="10" t="s">
        <v>26</v>
      </c>
      <c r="C3375" s="10" t="s">
        <v>23</v>
      </c>
      <c r="D3375" s="10" t="s">
        <v>27</v>
      </c>
      <c r="E3375" s="14">
        <v>1.0</v>
      </c>
      <c r="F3375" s="15">
        <f>ROUND(21,3)</f>
        <v>21</v>
      </c>
      <c r="G3375" s="12">
        <f t="shared" si="580"/>
        <v>21</v>
      </c>
    </row>
    <row r="3376" ht="24.0" customHeight="1">
      <c r="A3376" s="10" t="s">
        <v>28</v>
      </c>
      <c r="B3376" s="10" t="s">
        <v>26</v>
      </c>
      <c r="C3376" s="10" t="s">
        <v>23</v>
      </c>
      <c r="D3376" s="10" t="s">
        <v>29</v>
      </c>
      <c r="E3376" s="14">
        <v>1.0</v>
      </c>
      <c r="F3376" s="15">
        <f t="shared" ref="F3376:F3377" si="581">ROUND(19,3)</f>
        <v>19</v>
      </c>
      <c r="G3376" s="12">
        <f t="shared" si="580"/>
        <v>19</v>
      </c>
    </row>
    <row r="3377" ht="24.0" customHeight="1">
      <c r="A3377" s="10" t="s">
        <v>30</v>
      </c>
      <c r="B3377" s="10" t="s">
        <v>26</v>
      </c>
      <c r="C3377" s="10" t="s">
        <v>23</v>
      </c>
      <c r="D3377" s="10" t="s">
        <v>31</v>
      </c>
      <c r="E3377" s="14">
        <v>0.2</v>
      </c>
      <c r="F3377" s="15">
        <f t="shared" si="581"/>
        <v>19</v>
      </c>
      <c r="G3377" s="12">
        <f t="shared" si="580"/>
        <v>3.8</v>
      </c>
    </row>
    <row r="3378" ht="15.0" customHeight="1">
      <c r="A3378" s="11"/>
      <c r="B3378" s="11"/>
      <c r="C3378" s="11"/>
      <c r="D3378" s="10" t="s">
        <v>22</v>
      </c>
      <c r="E3378" s="14">
        <v>0.66667</v>
      </c>
      <c r="F3378" s="15">
        <f>ROUND((G3375+G3376+G3377),3)</f>
        <v>43.8</v>
      </c>
      <c r="G3378" s="12">
        <f t="shared" si="580"/>
        <v>29.2</v>
      </c>
    </row>
    <row r="3379" ht="15.0" customHeight="1">
      <c r="A3379" s="10" t="s">
        <v>32</v>
      </c>
      <c r="B3379" s="10"/>
      <c r="C3379" s="10" t="s">
        <v>33</v>
      </c>
      <c r="D3379" s="10" t="s">
        <v>34</v>
      </c>
      <c r="E3379" s="14">
        <v>5.0</v>
      </c>
      <c r="F3379" s="15">
        <f>ROUND(29.2,3)</f>
        <v>29.2</v>
      </c>
      <c r="G3379" s="12">
        <f>ROUND((E3379*F3379)/100,2)</f>
        <v>1.46</v>
      </c>
    </row>
    <row r="3380" ht="15.0" customHeight="1">
      <c r="A3380" s="16"/>
      <c r="B3380" s="16"/>
      <c r="C3380" s="16"/>
      <c r="D3380" s="17" t="s">
        <v>1489</v>
      </c>
      <c r="E3380" s="16"/>
      <c r="F3380" s="18">
        <f>ROUND((G3364+G3365+G3366+G3367+G3368+G3369+G3370+G3371+G3372+G3373+G3374+G3379)*(1+G2/100),2)</f>
        <v>52.04</v>
      </c>
      <c r="G3380" s="16"/>
    </row>
    <row r="3381" ht="67.5" customHeight="1">
      <c r="A3381" s="19" t="s">
        <v>1492</v>
      </c>
      <c r="B3381" s="20" t="s">
        <v>18</v>
      </c>
      <c r="C3381" s="20" t="s">
        <v>351</v>
      </c>
      <c r="D3381" s="20" t="s">
        <v>1493</v>
      </c>
      <c r="E3381" s="21"/>
      <c r="F3381" s="22">
        <f>F3399</f>
        <v>67.89</v>
      </c>
      <c r="G3381" s="21"/>
    </row>
    <row r="3382" ht="30.0" customHeight="1">
      <c r="A3382" s="11"/>
      <c r="B3382" s="11"/>
      <c r="C3382" s="11"/>
      <c r="D3382" s="10" t="s">
        <v>1494</v>
      </c>
    </row>
    <row r="3383" ht="30.0" customHeight="1">
      <c r="A3383" s="10" t="s">
        <v>1259</v>
      </c>
      <c r="B3383" s="10" t="s">
        <v>42</v>
      </c>
      <c r="C3383" s="10" t="s">
        <v>43</v>
      </c>
      <c r="D3383" s="10" t="s">
        <v>1260</v>
      </c>
      <c r="E3383" s="14">
        <v>0.0223</v>
      </c>
      <c r="F3383" s="15">
        <f>ROUND(18.44,3)</f>
        <v>18.44</v>
      </c>
      <c r="G3383" s="12">
        <f t="shared" ref="G3383:G3397" si="582">ROUND(E3383*F3383,2)</f>
        <v>0.41</v>
      </c>
    </row>
    <row r="3384" ht="48.75" customHeight="1">
      <c r="A3384" s="10" t="s">
        <v>1276</v>
      </c>
      <c r="B3384" s="10" t="s">
        <v>42</v>
      </c>
      <c r="C3384" s="10" t="s">
        <v>43</v>
      </c>
      <c r="D3384" s="10" t="s">
        <v>1277</v>
      </c>
      <c r="E3384" s="14">
        <v>0.0443</v>
      </c>
      <c r="F3384" s="15">
        <f>ROUND(45.57,3)</f>
        <v>45.57</v>
      </c>
      <c r="G3384" s="12">
        <f t="shared" si="582"/>
        <v>2.02</v>
      </c>
    </row>
    <row r="3385" ht="30.0" customHeight="1">
      <c r="A3385" s="10" t="s">
        <v>1227</v>
      </c>
      <c r="B3385" s="10" t="s">
        <v>42</v>
      </c>
      <c r="C3385" s="10" t="s">
        <v>226</v>
      </c>
      <c r="D3385" s="10" t="s">
        <v>1228</v>
      </c>
      <c r="E3385" s="14">
        <v>0.011</v>
      </c>
      <c r="F3385" s="15">
        <f>ROUND(27.5,3)</f>
        <v>27.5</v>
      </c>
      <c r="G3385" s="12">
        <f t="shared" si="582"/>
        <v>0.3</v>
      </c>
    </row>
    <row r="3386" ht="30.0" customHeight="1">
      <c r="A3386" s="10" t="s">
        <v>1004</v>
      </c>
      <c r="B3386" s="10" t="s">
        <v>42</v>
      </c>
      <c r="C3386" s="10" t="s">
        <v>184</v>
      </c>
      <c r="D3386" s="10" t="s">
        <v>1005</v>
      </c>
      <c r="E3386" s="14">
        <v>0.567</v>
      </c>
      <c r="F3386" s="15">
        <f>ROUND(22.45,3)</f>
        <v>22.45</v>
      </c>
      <c r="G3386" s="12">
        <f t="shared" si="582"/>
        <v>12.73</v>
      </c>
    </row>
    <row r="3387" ht="21.0" customHeight="1">
      <c r="A3387" s="10" t="s">
        <v>1204</v>
      </c>
      <c r="B3387" s="10" t="s">
        <v>42</v>
      </c>
      <c r="C3387" s="10" t="s">
        <v>344</v>
      </c>
      <c r="D3387" s="10" t="s">
        <v>1205</v>
      </c>
      <c r="E3387" s="14">
        <v>1.0</v>
      </c>
      <c r="F3387" s="15">
        <f>ROUND(2.29,3)</f>
        <v>2.29</v>
      </c>
      <c r="G3387" s="12">
        <f t="shared" si="582"/>
        <v>2.29</v>
      </c>
    </row>
    <row r="3388" ht="30.0" customHeight="1">
      <c r="A3388" s="10" t="s">
        <v>233</v>
      </c>
      <c r="B3388" s="10" t="s">
        <v>42</v>
      </c>
      <c r="C3388" s="10" t="s">
        <v>231</v>
      </c>
      <c r="D3388" s="10" t="s">
        <v>234</v>
      </c>
      <c r="E3388" s="14">
        <v>0.0714</v>
      </c>
      <c r="F3388" s="15">
        <f>ROUND(23.46,3)</f>
        <v>23.46</v>
      </c>
      <c r="G3388" s="12">
        <f t="shared" si="582"/>
        <v>1.68</v>
      </c>
    </row>
    <row r="3389" ht="30.0" customHeight="1">
      <c r="A3389" s="10" t="s">
        <v>1437</v>
      </c>
      <c r="B3389" s="10" t="s">
        <v>42</v>
      </c>
      <c r="C3389" s="10" t="s">
        <v>325</v>
      </c>
      <c r="D3389" s="10" t="s">
        <v>1438</v>
      </c>
      <c r="E3389" s="14">
        <v>0.15</v>
      </c>
      <c r="F3389" s="15">
        <f>ROUND(30.45,3)</f>
        <v>30.45</v>
      </c>
      <c r="G3389" s="12">
        <f t="shared" si="582"/>
        <v>4.57</v>
      </c>
    </row>
    <row r="3390" ht="39.75" customHeight="1">
      <c r="A3390" s="10" t="s">
        <v>1349</v>
      </c>
      <c r="B3390" s="10" t="s">
        <v>42</v>
      </c>
      <c r="C3390" s="10" t="s">
        <v>231</v>
      </c>
      <c r="D3390" s="10" t="s">
        <v>1350</v>
      </c>
      <c r="E3390" s="14">
        <v>0.44</v>
      </c>
      <c r="F3390" s="15">
        <f>ROUND(4.05,3)</f>
        <v>4.05</v>
      </c>
      <c r="G3390" s="12">
        <f t="shared" si="582"/>
        <v>1.78</v>
      </c>
    </row>
    <row r="3391" ht="39.75" customHeight="1">
      <c r="A3391" s="10" t="s">
        <v>1315</v>
      </c>
      <c r="B3391" s="10" t="s">
        <v>42</v>
      </c>
      <c r="C3391" s="10" t="s">
        <v>231</v>
      </c>
      <c r="D3391" s="10" t="s">
        <v>1316</v>
      </c>
      <c r="E3391" s="14">
        <v>0.25</v>
      </c>
      <c r="F3391" s="15">
        <f>ROUND(2.63,3)</f>
        <v>2.63</v>
      </c>
      <c r="G3391" s="12">
        <f t="shared" si="582"/>
        <v>0.66</v>
      </c>
    </row>
    <row r="3392" ht="39.75" customHeight="1">
      <c r="A3392" s="10" t="s">
        <v>1435</v>
      </c>
      <c r="B3392" s="10" t="s">
        <v>112</v>
      </c>
      <c r="C3392" s="10" t="s">
        <v>23</v>
      </c>
      <c r="D3392" s="10" t="s">
        <v>1436</v>
      </c>
      <c r="E3392" s="14">
        <v>0.2</v>
      </c>
      <c r="F3392" s="15">
        <f>ROUND(2.86,3)</f>
        <v>2.86</v>
      </c>
      <c r="G3392" s="12">
        <f t="shared" si="582"/>
        <v>0.57</v>
      </c>
    </row>
    <row r="3393" ht="21.0" customHeight="1">
      <c r="A3393" s="10" t="s">
        <v>22</v>
      </c>
      <c r="B3393" s="10" t="s">
        <v>18</v>
      </c>
      <c r="C3393" s="10" t="s">
        <v>23</v>
      </c>
      <c r="D3393" s="10" t="s">
        <v>24</v>
      </c>
      <c r="E3393" s="14">
        <v>0.88889</v>
      </c>
      <c r="F3393" s="15">
        <f>F3397</f>
        <v>43.8</v>
      </c>
      <c r="G3393" s="12">
        <f t="shared" si="582"/>
        <v>38.93</v>
      </c>
    </row>
    <row r="3394" ht="24.0" customHeight="1">
      <c r="A3394" s="10" t="s">
        <v>25</v>
      </c>
      <c r="B3394" s="10" t="s">
        <v>26</v>
      </c>
      <c r="C3394" s="10" t="s">
        <v>23</v>
      </c>
      <c r="D3394" s="10" t="s">
        <v>27</v>
      </c>
      <c r="E3394" s="14">
        <v>1.0</v>
      </c>
      <c r="F3394" s="15">
        <f>ROUND(21,3)</f>
        <v>21</v>
      </c>
      <c r="G3394" s="12">
        <f t="shared" si="582"/>
        <v>21</v>
      </c>
    </row>
    <row r="3395" ht="24.0" customHeight="1">
      <c r="A3395" s="10" t="s">
        <v>28</v>
      </c>
      <c r="B3395" s="10" t="s">
        <v>26</v>
      </c>
      <c r="C3395" s="10" t="s">
        <v>23</v>
      </c>
      <c r="D3395" s="10" t="s">
        <v>29</v>
      </c>
      <c r="E3395" s="14">
        <v>1.0</v>
      </c>
      <c r="F3395" s="15">
        <f t="shared" ref="F3395:F3396" si="583">ROUND(19,3)</f>
        <v>19</v>
      </c>
      <c r="G3395" s="12">
        <f t="shared" si="582"/>
        <v>19</v>
      </c>
    </row>
    <row r="3396" ht="24.0" customHeight="1">
      <c r="A3396" s="10" t="s">
        <v>30</v>
      </c>
      <c r="B3396" s="10" t="s">
        <v>26</v>
      </c>
      <c r="C3396" s="10" t="s">
        <v>23</v>
      </c>
      <c r="D3396" s="10" t="s">
        <v>31</v>
      </c>
      <c r="E3396" s="14">
        <v>0.2</v>
      </c>
      <c r="F3396" s="15">
        <f t="shared" si="583"/>
        <v>19</v>
      </c>
      <c r="G3396" s="12">
        <f t="shared" si="582"/>
        <v>3.8</v>
      </c>
    </row>
    <row r="3397" ht="15.0" customHeight="1">
      <c r="A3397" s="11"/>
      <c r="B3397" s="11"/>
      <c r="C3397" s="11"/>
      <c r="D3397" s="10" t="s">
        <v>22</v>
      </c>
      <c r="E3397" s="14">
        <v>0.88889</v>
      </c>
      <c r="F3397" s="15">
        <f>ROUND((G3394+G3395+G3396),3)</f>
        <v>43.8</v>
      </c>
      <c r="G3397" s="12">
        <f t="shared" si="582"/>
        <v>38.93</v>
      </c>
    </row>
    <row r="3398" ht="15.0" customHeight="1">
      <c r="A3398" s="10" t="s">
        <v>32</v>
      </c>
      <c r="B3398" s="10"/>
      <c r="C3398" s="10" t="s">
        <v>33</v>
      </c>
      <c r="D3398" s="10" t="s">
        <v>34</v>
      </c>
      <c r="E3398" s="14">
        <v>5.0</v>
      </c>
      <c r="F3398" s="15">
        <f>ROUND(38.93,3)</f>
        <v>38.93</v>
      </c>
      <c r="G3398" s="12">
        <f>ROUND((E3398*F3398)/100,2)</f>
        <v>1.95</v>
      </c>
    </row>
    <row r="3399" ht="15.0" customHeight="1">
      <c r="A3399" s="16"/>
      <c r="B3399" s="16"/>
      <c r="C3399" s="16"/>
      <c r="D3399" s="17" t="s">
        <v>1492</v>
      </c>
      <c r="E3399" s="16"/>
      <c r="F3399" s="18">
        <f>ROUND((G3383+G3384+G3385+G3386+G3387+G3388+G3389+G3390+G3391+G3392+G3393+G3398)*(1+G2/100),2)</f>
        <v>67.89</v>
      </c>
      <c r="G3399" s="16"/>
    </row>
    <row r="3400" ht="76.5" customHeight="1">
      <c r="A3400" s="19" t="s">
        <v>1495</v>
      </c>
      <c r="B3400" s="20" t="s">
        <v>18</v>
      </c>
      <c r="C3400" s="20" t="s">
        <v>351</v>
      </c>
      <c r="D3400" s="20" t="s">
        <v>1496</v>
      </c>
      <c r="E3400" s="21"/>
      <c r="F3400" s="22">
        <f>F3418</f>
        <v>61.01</v>
      </c>
      <c r="G3400" s="21"/>
    </row>
    <row r="3401" ht="30.0" customHeight="1">
      <c r="A3401" s="11"/>
      <c r="B3401" s="11"/>
      <c r="C3401" s="11"/>
      <c r="D3401" s="10" t="s">
        <v>1497</v>
      </c>
    </row>
    <row r="3402" ht="30.0" customHeight="1">
      <c r="A3402" s="10" t="s">
        <v>1259</v>
      </c>
      <c r="B3402" s="10" t="s">
        <v>42</v>
      </c>
      <c r="C3402" s="10" t="s">
        <v>43</v>
      </c>
      <c r="D3402" s="10" t="s">
        <v>1260</v>
      </c>
      <c r="E3402" s="14">
        <v>0.0168</v>
      </c>
      <c r="F3402" s="15">
        <f>ROUND(18.44,3)</f>
        <v>18.44</v>
      </c>
      <c r="G3402" s="12">
        <f t="shared" ref="G3402:G3416" si="584">ROUND(E3402*F3402,2)</f>
        <v>0.31</v>
      </c>
    </row>
    <row r="3403" ht="30.0" customHeight="1">
      <c r="A3403" s="10" t="s">
        <v>1006</v>
      </c>
      <c r="B3403" s="10" t="s">
        <v>42</v>
      </c>
      <c r="C3403" s="10" t="s">
        <v>184</v>
      </c>
      <c r="D3403" s="10" t="s">
        <v>1007</v>
      </c>
      <c r="E3403" s="14">
        <v>0.315</v>
      </c>
      <c r="F3403" s="15">
        <f>ROUND(16.81,3)</f>
        <v>16.81</v>
      </c>
      <c r="G3403" s="12">
        <f t="shared" si="584"/>
        <v>5.3</v>
      </c>
    </row>
    <row r="3404" ht="30.0" customHeight="1">
      <c r="A3404" s="10" t="s">
        <v>1227</v>
      </c>
      <c r="B3404" s="10" t="s">
        <v>42</v>
      </c>
      <c r="C3404" s="10" t="s">
        <v>226</v>
      </c>
      <c r="D3404" s="10" t="s">
        <v>1228</v>
      </c>
      <c r="E3404" s="14">
        <v>0.00888</v>
      </c>
      <c r="F3404" s="15">
        <f>ROUND(27.5,3)</f>
        <v>27.5</v>
      </c>
      <c r="G3404" s="12">
        <f t="shared" si="584"/>
        <v>0.24</v>
      </c>
    </row>
    <row r="3405" ht="30.0" customHeight="1">
      <c r="A3405" s="10" t="s">
        <v>1237</v>
      </c>
      <c r="B3405" s="10" t="s">
        <v>42</v>
      </c>
      <c r="C3405" s="10" t="s">
        <v>184</v>
      </c>
      <c r="D3405" s="10" t="s">
        <v>1238</v>
      </c>
      <c r="E3405" s="14">
        <v>0.4536</v>
      </c>
      <c r="F3405" s="15">
        <f>ROUND(28.55,3)</f>
        <v>28.55</v>
      </c>
      <c r="G3405" s="12">
        <f t="shared" si="584"/>
        <v>12.95</v>
      </c>
    </row>
    <row r="3406" ht="21.0" customHeight="1">
      <c r="A3406" s="10" t="s">
        <v>1204</v>
      </c>
      <c r="B3406" s="10" t="s">
        <v>42</v>
      </c>
      <c r="C3406" s="10" t="s">
        <v>344</v>
      </c>
      <c r="D3406" s="10" t="s">
        <v>1205</v>
      </c>
      <c r="E3406" s="14">
        <v>1.0</v>
      </c>
      <c r="F3406" s="15">
        <f>ROUND(2.29,3)</f>
        <v>2.29</v>
      </c>
      <c r="G3406" s="12">
        <f t="shared" si="584"/>
        <v>2.29</v>
      </c>
    </row>
    <row r="3407" ht="30.0" customHeight="1">
      <c r="A3407" s="10" t="s">
        <v>233</v>
      </c>
      <c r="B3407" s="10" t="s">
        <v>42</v>
      </c>
      <c r="C3407" s="10" t="s">
        <v>231</v>
      </c>
      <c r="D3407" s="10" t="s">
        <v>234</v>
      </c>
      <c r="E3407" s="14">
        <v>0.0714</v>
      </c>
      <c r="F3407" s="15">
        <f>ROUND(23.46,3)</f>
        <v>23.46</v>
      </c>
      <c r="G3407" s="12">
        <f t="shared" si="584"/>
        <v>1.68</v>
      </c>
    </row>
    <row r="3408" ht="30.0" customHeight="1">
      <c r="A3408" s="10" t="s">
        <v>1437</v>
      </c>
      <c r="B3408" s="10" t="s">
        <v>42</v>
      </c>
      <c r="C3408" s="10" t="s">
        <v>325</v>
      </c>
      <c r="D3408" s="10" t="s">
        <v>1438</v>
      </c>
      <c r="E3408" s="14">
        <v>0.15</v>
      </c>
      <c r="F3408" s="15">
        <f>ROUND(30.45,3)</f>
        <v>30.45</v>
      </c>
      <c r="G3408" s="12">
        <f t="shared" si="584"/>
        <v>4.57</v>
      </c>
    </row>
    <row r="3409" ht="39.75" customHeight="1">
      <c r="A3409" s="10" t="s">
        <v>1349</v>
      </c>
      <c r="B3409" s="10" t="s">
        <v>42</v>
      </c>
      <c r="C3409" s="10" t="s">
        <v>231</v>
      </c>
      <c r="D3409" s="10" t="s">
        <v>1350</v>
      </c>
      <c r="E3409" s="14">
        <v>0.44</v>
      </c>
      <c r="F3409" s="15">
        <f>ROUND(4.05,3)</f>
        <v>4.05</v>
      </c>
      <c r="G3409" s="12">
        <f t="shared" si="584"/>
        <v>1.78</v>
      </c>
    </row>
    <row r="3410" ht="39.75" customHeight="1">
      <c r="A3410" s="10" t="s">
        <v>1315</v>
      </c>
      <c r="B3410" s="10" t="s">
        <v>42</v>
      </c>
      <c r="C3410" s="10" t="s">
        <v>231</v>
      </c>
      <c r="D3410" s="10" t="s">
        <v>1316</v>
      </c>
      <c r="E3410" s="14">
        <v>0.25</v>
      </c>
      <c r="F3410" s="15">
        <f>ROUND(2.63,3)</f>
        <v>2.63</v>
      </c>
      <c r="G3410" s="12">
        <f t="shared" si="584"/>
        <v>0.66</v>
      </c>
    </row>
    <row r="3411" ht="39.75" customHeight="1">
      <c r="A3411" s="10" t="s">
        <v>1435</v>
      </c>
      <c r="B3411" s="10" t="s">
        <v>112</v>
      </c>
      <c r="C3411" s="10" t="s">
        <v>23</v>
      </c>
      <c r="D3411" s="10" t="s">
        <v>1436</v>
      </c>
      <c r="E3411" s="14">
        <v>0.2</v>
      </c>
      <c r="F3411" s="15">
        <f>ROUND(2.86,3)</f>
        <v>2.86</v>
      </c>
      <c r="G3411" s="12">
        <f t="shared" si="584"/>
        <v>0.57</v>
      </c>
    </row>
    <row r="3412" ht="21.0" customHeight="1">
      <c r="A3412" s="10" t="s">
        <v>22</v>
      </c>
      <c r="B3412" s="10" t="s">
        <v>18</v>
      </c>
      <c r="C3412" s="10" t="s">
        <v>23</v>
      </c>
      <c r="D3412" s="10" t="s">
        <v>24</v>
      </c>
      <c r="E3412" s="14">
        <v>0.66667</v>
      </c>
      <c r="F3412" s="15">
        <f>F3416</f>
        <v>43.8</v>
      </c>
      <c r="G3412" s="12">
        <f t="shared" si="584"/>
        <v>29.2</v>
      </c>
    </row>
    <row r="3413" ht="24.0" customHeight="1">
      <c r="A3413" s="10" t="s">
        <v>25</v>
      </c>
      <c r="B3413" s="10" t="s">
        <v>26</v>
      </c>
      <c r="C3413" s="10" t="s">
        <v>23</v>
      </c>
      <c r="D3413" s="10" t="s">
        <v>27</v>
      </c>
      <c r="E3413" s="14">
        <v>1.0</v>
      </c>
      <c r="F3413" s="15">
        <f>ROUND(21,3)</f>
        <v>21</v>
      </c>
      <c r="G3413" s="12">
        <f t="shared" si="584"/>
        <v>21</v>
      </c>
    </row>
    <row r="3414" ht="24.0" customHeight="1">
      <c r="A3414" s="10" t="s">
        <v>28</v>
      </c>
      <c r="B3414" s="10" t="s">
        <v>26</v>
      </c>
      <c r="C3414" s="10" t="s">
        <v>23</v>
      </c>
      <c r="D3414" s="10" t="s">
        <v>29</v>
      </c>
      <c r="E3414" s="14">
        <v>1.0</v>
      </c>
      <c r="F3414" s="15">
        <f t="shared" ref="F3414:F3415" si="585">ROUND(19,3)</f>
        <v>19</v>
      </c>
      <c r="G3414" s="12">
        <f t="shared" si="584"/>
        <v>19</v>
      </c>
    </row>
    <row r="3415" ht="24.0" customHeight="1">
      <c r="A3415" s="10" t="s">
        <v>30</v>
      </c>
      <c r="B3415" s="10" t="s">
        <v>26</v>
      </c>
      <c r="C3415" s="10" t="s">
        <v>23</v>
      </c>
      <c r="D3415" s="10" t="s">
        <v>31</v>
      </c>
      <c r="E3415" s="14">
        <v>0.2</v>
      </c>
      <c r="F3415" s="15">
        <f t="shared" si="585"/>
        <v>19</v>
      </c>
      <c r="G3415" s="12">
        <f t="shared" si="584"/>
        <v>3.8</v>
      </c>
    </row>
    <row r="3416" ht="15.0" customHeight="1">
      <c r="A3416" s="11"/>
      <c r="B3416" s="11"/>
      <c r="C3416" s="11"/>
      <c r="D3416" s="10" t="s">
        <v>22</v>
      </c>
      <c r="E3416" s="14">
        <v>0.66667</v>
      </c>
      <c r="F3416" s="15">
        <f>ROUND((G3413+G3414+G3415),3)</f>
        <v>43.8</v>
      </c>
      <c r="G3416" s="12">
        <f t="shared" si="584"/>
        <v>29.2</v>
      </c>
    </row>
    <row r="3417" ht="15.0" customHeight="1">
      <c r="A3417" s="10" t="s">
        <v>32</v>
      </c>
      <c r="B3417" s="10"/>
      <c r="C3417" s="10" t="s">
        <v>33</v>
      </c>
      <c r="D3417" s="10" t="s">
        <v>34</v>
      </c>
      <c r="E3417" s="14">
        <v>5.0</v>
      </c>
      <c r="F3417" s="15">
        <f>ROUND(29.2,3)</f>
        <v>29.2</v>
      </c>
      <c r="G3417" s="12">
        <f>ROUND((E3417*F3417)/100,2)</f>
        <v>1.46</v>
      </c>
    </row>
    <row r="3418" ht="15.0" customHeight="1">
      <c r="A3418" s="16"/>
      <c r="B3418" s="16"/>
      <c r="C3418" s="16"/>
      <c r="D3418" s="17" t="s">
        <v>1495</v>
      </c>
      <c r="E3418" s="16"/>
      <c r="F3418" s="18">
        <f>ROUND((G3402+G3403+G3404+G3405+G3406+G3407+G3408+G3409+G3410+G3411+G3412+G3417)*(1+G2/100),2)</f>
        <v>61.01</v>
      </c>
      <c r="G3418" s="16"/>
    </row>
    <row r="3419" ht="76.5" customHeight="1">
      <c r="A3419" s="19" t="s">
        <v>1498</v>
      </c>
      <c r="B3419" s="20" t="s">
        <v>18</v>
      </c>
      <c r="C3419" s="20" t="s">
        <v>351</v>
      </c>
      <c r="D3419" s="20" t="s">
        <v>1499</v>
      </c>
      <c r="E3419" s="21"/>
      <c r="F3419" s="22">
        <f>F3437</f>
        <v>81.51</v>
      </c>
      <c r="G3419" s="21"/>
    </row>
    <row r="3420" ht="30.0" customHeight="1">
      <c r="A3420" s="11"/>
      <c r="B3420" s="11"/>
      <c r="C3420" s="11"/>
      <c r="D3420" s="10" t="s">
        <v>1500</v>
      </c>
    </row>
    <row r="3421" ht="30.0" customHeight="1">
      <c r="A3421" s="10" t="s">
        <v>1259</v>
      </c>
      <c r="B3421" s="10" t="s">
        <v>42</v>
      </c>
      <c r="C3421" s="10" t="s">
        <v>43</v>
      </c>
      <c r="D3421" s="10" t="s">
        <v>1260</v>
      </c>
      <c r="E3421" s="14">
        <v>0.0223</v>
      </c>
      <c r="F3421" s="15">
        <f>ROUND(18.44,3)</f>
        <v>18.44</v>
      </c>
      <c r="G3421" s="12">
        <f t="shared" ref="G3421:G3435" si="586">ROUND(E3421*F3421,2)</f>
        <v>0.41</v>
      </c>
    </row>
    <row r="3422" ht="30.0" customHeight="1">
      <c r="A3422" s="10" t="s">
        <v>1006</v>
      </c>
      <c r="B3422" s="10" t="s">
        <v>42</v>
      </c>
      <c r="C3422" s="10" t="s">
        <v>184</v>
      </c>
      <c r="D3422" s="10" t="s">
        <v>1007</v>
      </c>
      <c r="E3422" s="14">
        <v>0.378</v>
      </c>
      <c r="F3422" s="15">
        <f>ROUND(16.81,3)</f>
        <v>16.81</v>
      </c>
      <c r="G3422" s="12">
        <f t="shared" si="586"/>
        <v>6.35</v>
      </c>
    </row>
    <row r="3423" ht="30.0" customHeight="1">
      <c r="A3423" s="10" t="s">
        <v>1227</v>
      </c>
      <c r="B3423" s="10" t="s">
        <v>42</v>
      </c>
      <c r="C3423" s="10" t="s">
        <v>226</v>
      </c>
      <c r="D3423" s="10" t="s">
        <v>1228</v>
      </c>
      <c r="E3423" s="14">
        <v>0.011</v>
      </c>
      <c r="F3423" s="15">
        <f>ROUND(27.5,3)</f>
        <v>27.5</v>
      </c>
      <c r="G3423" s="12">
        <f t="shared" si="586"/>
        <v>0.3</v>
      </c>
    </row>
    <row r="3424" ht="30.0" customHeight="1">
      <c r="A3424" s="10" t="s">
        <v>1237</v>
      </c>
      <c r="B3424" s="10" t="s">
        <v>42</v>
      </c>
      <c r="C3424" s="10" t="s">
        <v>184</v>
      </c>
      <c r="D3424" s="10" t="s">
        <v>1238</v>
      </c>
      <c r="E3424" s="14">
        <v>0.756</v>
      </c>
      <c r="F3424" s="15">
        <f>ROUND(28.55,3)</f>
        <v>28.55</v>
      </c>
      <c r="G3424" s="12">
        <f t="shared" si="586"/>
        <v>21.58</v>
      </c>
    </row>
    <row r="3425" ht="21.0" customHeight="1">
      <c r="A3425" s="10" t="s">
        <v>1204</v>
      </c>
      <c r="B3425" s="10" t="s">
        <v>42</v>
      </c>
      <c r="C3425" s="10" t="s">
        <v>344</v>
      </c>
      <c r="D3425" s="10" t="s">
        <v>1205</v>
      </c>
      <c r="E3425" s="14">
        <v>1.0</v>
      </c>
      <c r="F3425" s="15">
        <f>ROUND(2.29,3)</f>
        <v>2.29</v>
      </c>
      <c r="G3425" s="12">
        <f t="shared" si="586"/>
        <v>2.29</v>
      </c>
    </row>
    <row r="3426" ht="30.0" customHeight="1">
      <c r="A3426" s="10" t="s">
        <v>233</v>
      </c>
      <c r="B3426" s="10" t="s">
        <v>42</v>
      </c>
      <c r="C3426" s="10" t="s">
        <v>231</v>
      </c>
      <c r="D3426" s="10" t="s">
        <v>234</v>
      </c>
      <c r="E3426" s="14">
        <v>0.0714</v>
      </c>
      <c r="F3426" s="15">
        <f>ROUND(23.46,3)</f>
        <v>23.46</v>
      </c>
      <c r="G3426" s="12">
        <f t="shared" si="586"/>
        <v>1.68</v>
      </c>
    </row>
    <row r="3427" ht="30.0" customHeight="1">
      <c r="A3427" s="10" t="s">
        <v>1437</v>
      </c>
      <c r="B3427" s="10" t="s">
        <v>42</v>
      </c>
      <c r="C3427" s="10" t="s">
        <v>325</v>
      </c>
      <c r="D3427" s="10" t="s">
        <v>1438</v>
      </c>
      <c r="E3427" s="14">
        <v>0.15</v>
      </c>
      <c r="F3427" s="15">
        <f>ROUND(30.45,3)</f>
        <v>30.45</v>
      </c>
      <c r="G3427" s="12">
        <f t="shared" si="586"/>
        <v>4.57</v>
      </c>
    </row>
    <row r="3428" ht="39.75" customHeight="1">
      <c r="A3428" s="10" t="s">
        <v>1349</v>
      </c>
      <c r="B3428" s="10" t="s">
        <v>42</v>
      </c>
      <c r="C3428" s="10" t="s">
        <v>231</v>
      </c>
      <c r="D3428" s="10" t="s">
        <v>1350</v>
      </c>
      <c r="E3428" s="14">
        <v>0.44</v>
      </c>
      <c r="F3428" s="15">
        <f>ROUND(4.05,3)</f>
        <v>4.05</v>
      </c>
      <c r="G3428" s="12">
        <f t="shared" si="586"/>
        <v>1.78</v>
      </c>
    </row>
    <row r="3429" ht="39.75" customHeight="1">
      <c r="A3429" s="10" t="s">
        <v>1315</v>
      </c>
      <c r="B3429" s="10" t="s">
        <v>42</v>
      </c>
      <c r="C3429" s="10" t="s">
        <v>231</v>
      </c>
      <c r="D3429" s="10" t="s">
        <v>1316</v>
      </c>
      <c r="E3429" s="14">
        <v>0.42</v>
      </c>
      <c r="F3429" s="15">
        <f>ROUND(2.63,3)</f>
        <v>2.63</v>
      </c>
      <c r="G3429" s="12">
        <f t="shared" si="586"/>
        <v>1.1</v>
      </c>
    </row>
    <row r="3430" ht="39.75" customHeight="1">
      <c r="A3430" s="10" t="s">
        <v>1435</v>
      </c>
      <c r="B3430" s="10" t="s">
        <v>112</v>
      </c>
      <c r="C3430" s="10" t="s">
        <v>23</v>
      </c>
      <c r="D3430" s="10" t="s">
        <v>1436</v>
      </c>
      <c r="E3430" s="14">
        <v>0.2</v>
      </c>
      <c r="F3430" s="15">
        <f>ROUND(2.86,3)</f>
        <v>2.86</v>
      </c>
      <c r="G3430" s="12">
        <f t="shared" si="586"/>
        <v>0.57</v>
      </c>
    </row>
    <row r="3431" ht="21.0" customHeight="1">
      <c r="A3431" s="10" t="s">
        <v>22</v>
      </c>
      <c r="B3431" s="10" t="s">
        <v>18</v>
      </c>
      <c r="C3431" s="10" t="s">
        <v>23</v>
      </c>
      <c r="D3431" s="10" t="s">
        <v>24</v>
      </c>
      <c r="E3431" s="14">
        <v>0.88889</v>
      </c>
      <c r="F3431" s="15">
        <f>F3435</f>
        <v>43.8</v>
      </c>
      <c r="G3431" s="12">
        <f t="shared" si="586"/>
        <v>38.93</v>
      </c>
    </row>
    <row r="3432" ht="24.0" customHeight="1">
      <c r="A3432" s="10" t="s">
        <v>25</v>
      </c>
      <c r="B3432" s="10" t="s">
        <v>26</v>
      </c>
      <c r="C3432" s="10" t="s">
        <v>23</v>
      </c>
      <c r="D3432" s="10" t="s">
        <v>27</v>
      </c>
      <c r="E3432" s="14">
        <v>1.0</v>
      </c>
      <c r="F3432" s="15">
        <f>ROUND(21,3)</f>
        <v>21</v>
      </c>
      <c r="G3432" s="12">
        <f t="shared" si="586"/>
        <v>21</v>
      </c>
    </row>
    <row r="3433" ht="24.0" customHeight="1">
      <c r="A3433" s="10" t="s">
        <v>28</v>
      </c>
      <c r="B3433" s="10" t="s">
        <v>26</v>
      </c>
      <c r="C3433" s="10" t="s">
        <v>23</v>
      </c>
      <c r="D3433" s="10" t="s">
        <v>29</v>
      </c>
      <c r="E3433" s="14">
        <v>1.0</v>
      </c>
      <c r="F3433" s="15">
        <f t="shared" ref="F3433:F3434" si="587">ROUND(19,3)</f>
        <v>19</v>
      </c>
      <c r="G3433" s="12">
        <f t="shared" si="586"/>
        <v>19</v>
      </c>
    </row>
    <row r="3434" ht="24.0" customHeight="1">
      <c r="A3434" s="10" t="s">
        <v>30</v>
      </c>
      <c r="B3434" s="10" t="s">
        <v>26</v>
      </c>
      <c r="C3434" s="10" t="s">
        <v>23</v>
      </c>
      <c r="D3434" s="10" t="s">
        <v>31</v>
      </c>
      <c r="E3434" s="14">
        <v>0.2</v>
      </c>
      <c r="F3434" s="15">
        <f t="shared" si="587"/>
        <v>19</v>
      </c>
      <c r="G3434" s="12">
        <f t="shared" si="586"/>
        <v>3.8</v>
      </c>
    </row>
    <row r="3435" ht="15.0" customHeight="1">
      <c r="A3435" s="11"/>
      <c r="B3435" s="11"/>
      <c r="C3435" s="11"/>
      <c r="D3435" s="10" t="s">
        <v>22</v>
      </c>
      <c r="E3435" s="14">
        <v>0.88889</v>
      </c>
      <c r="F3435" s="15">
        <f>ROUND((G3432+G3433+G3434),3)</f>
        <v>43.8</v>
      </c>
      <c r="G3435" s="12">
        <f t="shared" si="586"/>
        <v>38.93</v>
      </c>
    </row>
    <row r="3436" ht="15.0" customHeight="1">
      <c r="A3436" s="10" t="s">
        <v>32</v>
      </c>
      <c r="B3436" s="10"/>
      <c r="C3436" s="10" t="s">
        <v>33</v>
      </c>
      <c r="D3436" s="10" t="s">
        <v>34</v>
      </c>
      <c r="E3436" s="14">
        <v>5.0</v>
      </c>
      <c r="F3436" s="15">
        <f>ROUND(38.93,3)</f>
        <v>38.93</v>
      </c>
      <c r="G3436" s="12">
        <f>ROUND((E3436*F3436)/100,2)</f>
        <v>1.95</v>
      </c>
    </row>
    <row r="3437" ht="15.0" customHeight="1">
      <c r="A3437" s="16"/>
      <c r="B3437" s="16"/>
      <c r="C3437" s="16"/>
      <c r="D3437" s="17" t="s">
        <v>1498</v>
      </c>
      <c r="E3437" s="16"/>
      <c r="F3437" s="18">
        <f>ROUND((G3421+G3422+G3423+G3424+G3425+G3426+G3427+G3428+G3429+G3430+G3431+G3436)*(1+G2/100),2)</f>
        <v>81.51</v>
      </c>
      <c r="G3437" s="16"/>
    </row>
    <row r="3438" ht="67.5" customHeight="1">
      <c r="A3438" s="19" t="s">
        <v>1501</v>
      </c>
      <c r="B3438" s="20" t="s">
        <v>18</v>
      </c>
      <c r="C3438" s="20" t="s">
        <v>351</v>
      </c>
      <c r="D3438" s="20" t="s">
        <v>1502</v>
      </c>
      <c r="E3438" s="21"/>
      <c r="F3438" s="22">
        <f>F3456</f>
        <v>54.58</v>
      </c>
      <c r="G3438" s="21"/>
    </row>
    <row r="3439" ht="30.0" customHeight="1">
      <c r="A3439" s="11"/>
      <c r="B3439" s="11"/>
      <c r="C3439" s="11"/>
      <c r="D3439" s="10" t="s">
        <v>1503</v>
      </c>
    </row>
    <row r="3440" ht="30.0" customHeight="1">
      <c r="A3440" s="10" t="s">
        <v>1259</v>
      </c>
      <c r="B3440" s="10" t="s">
        <v>42</v>
      </c>
      <c r="C3440" s="10" t="s">
        <v>43</v>
      </c>
      <c r="D3440" s="10" t="s">
        <v>1260</v>
      </c>
      <c r="E3440" s="14">
        <v>0.0168</v>
      </c>
      <c r="F3440" s="15">
        <f>ROUND(18.44,3)</f>
        <v>18.44</v>
      </c>
      <c r="G3440" s="12">
        <f t="shared" ref="G3440:G3454" si="588">ROUND(E3440*F3440,2)</f>
        <v>0.31</v>
      </c>
    </row>
    <row r="3441" ht="48.75" customHeight="1">
      <c r="A3441" s="10" t="s">
        <v>1276</v>
      </c>
      <c r="B3441" s="10" t="s">
        <v>42</v>
      </c>
      <c r="C3441" s="10" t="s">
        <v>43</v>
      </c>
      <c r="D3441" s="10" t="s">
        <v>1277</v>
      </c>
      <c r="E3441" s="14">
        <v>0.0359</v>
      </c>
      <c r="F3441" s="15">
        <f>ROUND(45.57,3)</f>
        <v>45.57</v>
      </c>
      <c r="G3441" s="12">
        <f t="shared" si="588"/>
        <v>1.64</v>
      </c>
    </row>
    <row r="3442" ht="30.0" customHeight="1">
      <c r="A3442" s="10" t="s">
        <v>1227</v>
      </c>
      <c r="B3442" s="10" t="s">
        <v>42</v>
      </c>
      <c r="C3442" s="10" t="s">
        <v>226</v>
      </c>
      <c r="D3442" s="10" t="s">
        <v>1228</v>
      </c>
      <c r="E3442" s="14">
        <v>0.00888</v>
      </c>
      <c r="F3442" s="15">
        <f>ROUND(27.5,3)</f>
        <v>27.5</v>
      </c>
      <c r="G3442" s="12">
        <f t="shared" si="588"/>
        <v>0.24</v>
      </c>
    </row>
    <row r="3443" ht="30.0" customHeight="1">
      <c r="A3443" s="10" t="s">
        <v>1004</v>
      </c>
      <c r="B3443" s="10" t="s">
        <v>42</v>
      </c>
      <c r="C3443" s="10" t="s">
        <v>184</v>
      </c>
      <c r="D3443" s="10" t="s">
        <v>1005</v>
      </c>
      <c r="E3443" s="14">
        <v>0.4536</v>
      </c>
      <c r="F3443" s="15">
        <f>ROUND(22.45,3)</f>
        <v>22.45</v>
      </c>
      <c r="G3443" s="12">
        <f t="shared" si="588"/>
        <v>10.18</v>
      </c>
    </row>
    <row r="3444" ht="21.0" customHeight="1">
      <c r="A3444" s="10" t="s">
        <v>1204</v>
      </c>
      <c r="B3444" s="10" t="s">
        <v>42</v>
      </c>
      <c r="C3444" s="10" t="s">
        <v>344</v>
      </c>
      <c r="D3444" s="10" t="s">
        <v>1205</v>
      </c>
      <c r="E3444" s="14">
        <v>1.0</v>
      </c>
      <c r="F3444" s="15">
        <f>ROUND(2.29,3)</f>
        <v>2.29</v>
      </c>
      <c r="G3444" s="12">
        <f t="shared" si="588"/>
        <v>2.29</v>
      </c>
    </row>
    <row r="3445" ht="30.0" customHeight="1">
      <c r="A3445" s="10" t="s">
        <v>233</v>
      </c>
      <c r="B3445" s="10" t="s">
        <v>42</v>
      </c>
      <c r="C3445" s="10" t="s">
        <v>231</v>
      </c>
      <c r="D3445" s="10" t="s">
        <v>234</v>
      </c>
      <c r="E3445" s="14">
        <v>0.0714</v>
      </c>
      <c r="F3445" s="15">
        <f>ROUND(23.46,3)</f>
        <v>23.46</v>
      </c>
      <c r="G3445" s="12">
        <f t="shared" si="588"/>
        <v>1.68</v>
      </c>
    </row>
    <row r="3446" ht="30.0" customHeight="1">
      <c r="A3446" s="10" t="s">
        <v>1437</v>
      </c>
      <c r="B3446" s="10" t="s">
        <v>42</v>
      </c>
      <c r="C3446" s="10" t="s">
        <v>325</v>
      </c>
      <c r="D3446" s="10" t="s">
        <v>1438</v>
      </c>
      <c r="E3446" s="14">
        <v>0.15</v>
      </c>
      <c r="F3446" s="15">
        <f>ROUND(30.45,3)</f>
        <v>30.45</v>
      </c>
      <c r="G3446" s="12">
        <f t="shared" si="588"/>
        <v>4.57</v>
      </c>
    </row>
    <row r="3447" ht="39.75" customHeight="1">
      <c r="A3447" s="10" t="s">
        <v>1349</v>
      </c>
      <c r="B3447" s="10" t="s">
        <v>42</v>
      </c>
      <c r="C3447" s="10" t="s">
        <v>231</v>
      </c>
      <c r="D3447" s="10" t="s">
        <v>1350</v>
      </c>
      <c r="E3447" s="14">
        <v>0.44</v>
      </c>
      <c r="F3447" s="15">
        <f>ROUND(4.05,3)</f>
        <v>4.05</v>
      </c>
      <c r="G3447" s="12">
        <f t="shared" si="588"/>
        <v>1.78</v>
      </c>
    </row>
    <row r="3448" ht="39.75" customHeight="1">
      <c r="A3448" s="10" t="s">
        <v>1315</v>
      </c>
      <c r="B3448" s="10" t="s">
        <v>42</v>
      </c>
      <c r="C3448" s="10" t="s">
        <v>231</v>
      </c>
      <c r="D3448" s="10" t="s">
        <v>1316</v>
      </c>
      <c r="E3448" s="14">
        <v>0.25</v>
      </c>
      <c r="F3448" s="15">
        <f>ROUND(2.63,3)</f>
        <v>2.63</v>
      </c>
      <c r="G3448" s="12">
        <f t="shared" si="588"/>
        <v>0.66</v>
      </c>
    </row>
    <row r="3449" ht="39.75" customHeight="1">
      <c r="A3449" s="10" t="s">
        <v>1435</v>
      </c>
      <c r="B3449" s="10" t="s">
        <v>112</v>
      </c>
      <c r="C3449" s="10" t="s">
        <v>23</v>
      </c>
      <c r="D3449" s="10" t="s">
        <v>1436</v>
      </c>
      <c r="E3449" s="14">
        <v>0.2</v>
      </c>
      <c r="F3449" s="15">
        <f>ROUND(2.86,3)</f>
        <v>2.86</v>
      </c>
      <c r="G3449" s="12">
        <f t="shared" si="588"/>
        <v>0.57</v>
      </c>
    </row>
    <row r="3450" ht="21.0" customHeight="1">
      <c r="A3450" s="10" t="s">
        <v>22</v>
      </c>
      <c r="B3450" s="10" t="s">
        <v>18</v>
      </c>
      <c r="C3450" s="10" t="s">
        <v>23</v>
      </c>
      <c r="D3450" s="10" t="s">
        <v>24</v>
      </c>
      <c r="E3450" s="14">
        <v>0.66667</v>
      </c>
      <c r="F3450" s="15">
        <f>F3454</f>
        <v>43.8</v>
      </c>
      <c r="G3450" s="12">
        <f t="shared" si="588"/>
        <v>29.2</v>
      </c>
    </row>
    <row r="3451" ht="24.0" customHeight="1">
      <c r="A3451" s="10" t="s">
        <v>25</v>
      </c>
      <c r="B3451" s="10" t="s">
        <v>26</v>
      </c>
      <c r="C3451" s="10" t="s">
        <v>23</v>
      </c>
      <c r="D3451" s="10" t="s">
        <v>27</v>
      </c>
      <c r="E3451" s="14">
        <v>1.0</v>
      </c>
      <c r="F3451" s="15">
        <f>ROUND(21,3)</f>
        <v>21</v>
      </c>
      <c r="G3451" s="12">
        <f t="shared" si="588"/>
        <v>21</v>
      </c>
    </row>
    <row r="3452" ht="24.0" customHeight="1">
      <c r="A3452" s="10" t="s">
        <v>28</v>
      </c>
      <c r="B3452" s="10" t="s">
        <v>26</v>
      </c>
      <c r="C3452" s="10" t="s">
        <v>23</v>
      </c>
      <c r="D3452" s="10" t="s">
        <v>29</v>
      </c>
      <c r="E3452" s="14">
        <v>1.0</v>
      </c>
      <c r="F3452" s="15">
        <f t="shared" ref="F3452:F3453" si="589">ROUND(19,3)</f>
        <v>19</v>
      </c>
      <c r="G3452" s="12">
        <f t="shared" si="588"/>
        <v>19</v>
      </c>
    </row>
    <row r="3453" ht="24.0" customHeight="1">
      <c r="A3453" s="10" t="s">
        <v>30</v>
      </c>
      <c r="B3453" s="10" t="s">
        <v>26</v>
      </c>
      <c r="C3453" s="10" t="s">
        <v>23</v>
      </c>
      <c r="D3453" s="10" t="s">
        <v>31</v>
      </c>
      <c r="E3453" s="14">
        <v>0.2</v>
      </c>
      <c r="F3453" s="15">
        <f t="shared" si="589"/>
        <v>19</v>
      </c>
      <c r="G3453" s="12">
        <f t="shared" si="588"/>
        <v>3.8</v>
      </c>
    </row>
    <row r="3454" ht="15.0" customHeight="1">
      <c r="A3454" s="11"/>
      <c r="B3454" s="11"/>
      <c r="C3454" s="11"/>
      <c r="D3454" s="10" t="s">
        <v>22</v>
      </c>
      <c r="E3454" s="14">
        <v>0.66667</v>
      </c>
      <c r="F3454" s="15">
        <f>ROUND((G3451+G3452+G3453),3)</f>
        <v>43.8</v>
      </c>
      <c r="G3454" s="12">
        <f t="shared" si="588"/>
        <v>29.2</v>
      </c>
    </row>
    <row r="3455" ht="15.0" customHeight="1">
      <c r="A3455" s="10" t="s">
        <v>32</v>
      </c>
      <c r="B3455" s="10"/>
      <c r="C3455" s="10" t="s">
        <v>33</v>
      </c>
      <c r="D3455" s="10" t="s">
        <v>34</v>
      </c>
      <c r="E3455" s="14">
        <v>5.0</v>
      </c>
      <c r="F3455" s="15">
        <f>ROUND(29.2,3)</f>
        <v>29.2</v>
      </c>
      <c r="G3455" s="12">
        <f>ROUND((E3455*F3455)/100,2)</f>
        <v>1.46</v>
      </c>
    </row>
    <row r="3456" ht="15.0" customHeight="1">
      <c r="A3456" s="16"/>
      <c r="B3456" s="16"/>
      <c r="C3456" s="16"/>
      <c r="D3456" s="17" t="s">
        <v>1501</v>
      </c>
      <c r="E3456" s="16"/>
      <c r="F3456" s="18">
        <f>ROUND((G3440+G3441+G3442+G3443+G3444+G3445+G3446+G3447+G3448+G3449+G3450+G3455)*(1+G2/100),2)</f>
        <v>54.58</v>
      </c>
      <c r="G3456" s="16"/>
    </row>
    <row r="3457" ht="67.5" customHeight="1">
      <c r="A3457" s="19" t="s">
        <v>1504</v>
      </c>
      <c r="B3457" s="20" t="s">
        <v>18</v>
      </c>
      <c r="C3457" s="20" t="s">
        <v>351</v>
      </c>
      <c r="D3457" s="20" t="s">
        <v>1505</v>
      </c>
      <c r="E3457" s="21"/>
      <c r="F3457" s="22">
        <f>F3475</f>
        <v>72.13</v>
      </c>
      <c r="G3457" s="21"/>
    </row>
    <row r="3458" ht="30.0" customHeight="1">
      <c r="A3458" s="11"/>
      <c r="B3458" s="11"/>
      <c r="C3458" s="11"/>
      <c r="D3458" s="10" t="s">
        <v>1506</v>
      </c>
    </row>
    <row r="3459" ht="30.0" customHeight="1">
      <c r="A3459" s="10" t="s">
        <v>1259</v>
      </c>
      <c r="B3459" s="10" t="s">
        <v>42</v>
      </c>
      <c r="C3459" s="10" t="s">
        <v>43</v>
      </c>
      <c r="D3459" s="10" t="s">
        <v>1260</v>
      </c>
      <c r="E3459" s="14">
        <v>0.0223</v>
      </c>
      <c r="F3459" s="15">
        <f>ROUND(18.44,3)</f>
        <v>18.44</v>
      </c>
      <c r="G3459" s="12">
        <f t="shared" ref="G3459:G3473" si="590">ROUND(E3459*F3459,2)</f>
        <v>0.41</v>
      </c>
    </row>
    <row r="3460" ht="48.75" customHeight="1">
      <c r="A3460" s="10" t="s">
        <v>1276</v>
      </c>
      <c r="B3460" s="10" t="s">
        <v>42</v>
      </c>
      <c r="C3460" s="10" t="s">
        <v>43</v>
      </c>
      <c r="D3460" s="10" t="s">
        <v>1277</v>
      </c>
      <c r="E3460" s="14">
        <v>0.0443</v>
      </c>
      <c r="F3460" s="15">
        <f>ROUND(45.57,3)</f>
        <v>45.57</v>
      </c>
      <c r="G3460" s="12">
        <f t="shared" si="590"/>
        <v>2.02</v>
      </c>
    </row>
    <row r="3461" ht="30.0" customHeight="1">
      <c r="A3461" s="10" t="s">
        <v>1227</v>
      </c>
      <c r="B3461" s="10" t="s">
        <v>42</v>
      </c>
      <c r="C3461" s="10" t="s">
        <v>226</v>
      </c>
      <c r="D3461" s="10" t="s">
        <v>1228</v>
      </c>
      <c r="E3461" s="14">
        <v>0.011</v>
      </c>
      <c r="F3461" s="15">
        <f>ROUND(27.5,3)</f>
        <v>27.5</v>
      </c>
      <c r="G3461" s="12">
        <f t="shared" si="590"/>
        <v>0.3</v>
      </c>
    </row>
    <row r="3462" ht="30.0" customHeight="1">
      <c r="A3462" s="10" t="s">
        <v>1004</v>
      </c>
      <c r="B3462" s="10" t="s">
        <v>42</v>
      </c>
      <c r="C3462" s="10" t="s">
        <v>184</v>
      </c>
      <c r="D3462" s="10" t="s">
        <v>1005</v>
      </c>
      <c r="E3462" s="14">
        <v>0.756</v>
      </c>
      <c r="F3462" s="15">
        <f>ROUND(22.45,3)</f>
        <v>22.45</v>
      </c>
      <c r="G3462" s="12">
        <f t="shared" si="590"/>
        <v>16.97</v>
      </c>
    </row>
    <row r="3463" ht="21.0" customHeight="1">
      <c r="A3463" s="10" t="s">
        <v>1204</v>
      </c>
      <c r="B3463" s="10" t="s">
        <v>42</v>
      </c>
      <c r="C3463" s="10" t="s">
        <v>344</v>
      </c>
      <c r="D3463" s="10" t="s">
        <v>1205</v>
      </c>
      <c r="E3463" s="14">
        <v>1.0</v>
      </c>
      <c r="F3463" s="15">
        <f>ROUND(2.29,3)</f>
        <v>2.29</v>
      </c>
      <c r="G3463" s="12">
        <f t="shared" si="590"/>
        <v>2.29</v>
      </c>
    </row>
    <row r="3464" ht="30.0" customHeight="1">
      <c r="A3464" s="10" t="s">
        <v>233</v>
      </c>
      <c r="B3464" s="10" t="s">
        <v>42</v>
      </c>
      <c r="C3464" s="10" t="s">
        <v>231</v>
      </c>
      <c r="D3464" s="10" t="s">
        <v>234</v>
      </c>
      <c r="E3464" s="14">
        <v>0.0714</v>
      </c>
      <c r="F3464" s="15">
        <f>ROUND(23.46,3)</f>
        <v>23.46</v>
      </c>
      <c r="G3464" s="12">
        <f t="shared" si="590"/>
        <v>1.68</v>
      </c>
    </row>
    <row r="3465" ht="30.0" customHeight="1">
      <c r="A3465" s="10" t="s">
        <v>1437</v>
      </c>
      <c r="B3465" s="10" t="s">
        <v>42</v>
      </c>
      <c r="C3465" s="10" t="s">
        <v>325</v>
      </c>
      <c r="D3465" s="10" t="s">
        <v>1438</v>
      </c>
      <c r="E3465" s="14">
        <v>0.15</v>
      </c>
      <c r="F3465" s="15">
        <f>ROUND(30.45,3)</f>
        <v>30.45</v>
      </c>
      <c r="G3465" s="12">
        <f t="shared" si="590"/>
        <v>4.57</v>
      </c>
    </row>
    <row r="3466" ht="39.75" customHeight="1">
      <c r="A3466" s="10" t="s">
        <v>1349</v>
      </c>
      <c r="B3466" s="10" t="s">
        <v>42</v>
      </c>
      <c r="C3466" s="10" t="s">
        <v>231</v>
      </c>
      <c r="D3466" s="10" t="s">
        <v>1350</v>
      </c>
      <c r="E3466" s="14">
        <v>0.44</v>
      </c>
      <c r="F3466" s="15">
        <f>ROUND(4.05,3)</f>
        <v>4.05</v>
      </c>
      <c r="G3466" s="12">
        <f t="shared" si="590"/>
        <v>1.78</v>
      </c>
    </row>
    <row r="3467" ht="39.75" customHeight="1">
      <c r="A3467" s="10" t="s">
        <v>1315</v>
      </c>
      <c r="B3467" s="10" t="s">
        <v>42</v>
      </c>
      <c r="C3467" s="10" t="s">
        <v>231</v>
      </c>
      <c r="D3467" s="10" t="s">
        <v>1316</v>
      </c>
      <c r="E3467" s="14">
        <v>0.25</v>
      </c>
      <c r="F3467" s="15">
        <f>ROUND(2.63,3)</f>
        <v>2.63</v>
      </c>
      <c r="G3467" s="12">
        <f t="shared" si="590"/>
        <v>0.66</v>
      </c>
    </row>
    <row r="3468" ht="39.75" customHeight="1">
      <c r="A3468" s="10" t="s">
        <v>1435</v>
      </c>
      <c r="B3468" s="10" t="s">
        <v>112</v>
      </c>
      <c r="C3468" s="10" t="s">
        <v>23</v>
      </c>
      <c r="D3468" s="10" t="s">
        <v>1436</v>
      </c>
      <c r="E3468" s="14">
        <v>0.2</v>
      </c>
      <c r="F3468" s="15">
        <f>ROUND(2.86,3)</f>
        <v>2.86</v>
      </c>
      <c r="G3468" s="12">
        <f t="shared" si="590"/>
        <v>0.57</v>
      </c>
    </row>
    <row r="3469" ht="21.0" customHeight="1">
      <c r="A3469" s="10" t="s">
        <v>22</v>
      </c>
      <c r="B3469" s="10" t="s">
        <v>18</v>
      </c>
      <c r="C3469" s="10" t="s">
        <v>23</v>
      </c>
      <c r="D3469" s="10" t="s">
        <v>24</v>
      </c>
      <c r="E3469" s="14">
        <v>0.88889</v>
      </c>
      <c r="F3469" s="15">
        <f>F3473</f>
        <v>43.8</v>
      </c>
      <c r="G3469" s="12">
        <f t="shared" si="590"/>
        <v>38.93</v>
      </c>
    </row>
    <row r="3470" ht="24.0" customHeight="1">
      <c r="A3470" s="10" t="s">
        <v>25</v>
      </c>
      <c r="B3470" s="10" t="s">
        <v>26</v>
      </c>
      <c r="C3470" s="10" t="s">
        <v>23</v>
      </c>
      <c r="D3470" s="10" t="s">
        <v>27</v>
      </c>
      <c r="E3470" s="14">
        <v>1.0</v>
      </c>
      <c r="F3470" s="15">
        <f>ROUND(21,3)</f>
        <v>21</v>
      </c>
      <c r="G3470" s="12">
        <f t="shared" si="590"/>
        <v>21</v>
      </c>
    </row>
    <row r="3471" ht="24.0" customHeight="1">
      <c r="A3471" s="10" t="s">
        <v>28</v>
      </c>
      <c r="B3471" s="10" t="s">
        <v>26</v>
      </c>
      <c r="C3471" s="10" t="s">
        <v>23</v>
      </c>
      <c r="D3471" s="10" t="s">
        <v>29</v>
      </c>
      <c r="E3471" s="14">
        <v>1.0</v>
      </c>
      <c r="F3471" s="15">
        <f t="shared" ref="F3471:F3472" si="591">ROUND(19,3)</f>
        <v>19</v>
      </c>
      <c r="G3471" s="12">
        <f t="shared" si="590"/>
        <v>19</v>
      </c>
    </row>
    <row r="3472" ht="24.0" customHeight="1">
      <c r="A3472" s="10" t="s">
        <v>30</v>
      </c>
      <c r="B3472" s="10" t="s">
        <v>26</v>
      </c>
      <c r="C3472" s="10" t="s">
        <v>23</v>
      </c>
      <c r="D3472" s="10" t="s">
        <v>31</v>
      </c>
      <c r="E3472" s="14">
        <v>0.2</v>
      </c>
      <c r="F3472" s="15">
        <f t="shared" si="591"/>
        <v>19</v>
      </c>
      <c r="G3472" s="12">
        <f t="shared" si="590"/>
        <v>3.8</v>
      </c>
    </row>
    <row r="3473" ht="15.0" customHeight="1">
      <c r="A3473" s="11"/>
      <c r="B3473" s="11"/>
      <c r="C3473" s="11"/>
      <c r="D3473" s="10" t="s">
        <v>22</v>
      </c>
      <c r="E3473" s="14">
        <v>0.88889</v>
      </c>
      <c r="F3473" s="15">
        <f>ROUND((G3470+G3471+G3472),3)</f>
        <v>43.8</v>
      </c>
      <c r="G3473" s="12">
        <f t="shared" si="590"/>
        <v>38.93</v>
      </c>
    </row>
    <row r="3474" ht="15.0" customHeight="1">
      <c r="A3474" s="10" t="s">
        <v>32</v>
      </c>
      <c r="B3474" s="10"/>
      <c r="C3474" s="10" t="s">
        <v>33</v>
      </c>
      <c r="D3474" s="10" t="s">
        <v>34</v>
      </c>
      <c r="E3474" s="14">
        <v>5.0</v>
      </c>
      <c r="F3474" s="15">
        <f>ROUND(38.93,3)</f>
        <v>38.93</v>
      </c>
      <c r="G3474" s="12">
        <f>ROUND((E3474*F3474)/100,2)</f>
        <v>1.95</v>
      </c>
    </row>
    <row r="3475" ht="15.0" customHeight="1">
      <c r="A3475" s="16"/>
      <c r="B3475" s="16"/>
      <c r="C3475" s="16"/>
      <c r="D3475" s="17" t="s">
        <v>1504</v>
      </c>
      <c r="E3475" s="16"/>
      <c r="F3475" s="18">
        <f>ROUND((G3459+G3460+G3461+G3462+G3463+G3464+G3465+G3466+G3467+G3468+G3469+G3474)*(1+G2/100),2)</f>
        <v>72.13</v>
      </c>
      <c r="G3475" s="16"/>
    </row>
    <row r="3476" ht="48.75" customHeight="1">
      <c r="A3476" s="19" t="s">
        <v>1507</v>
      </c>
      <c r="B3476" s="20" t="s">
        <v>18</v>
      </c>
      <c r="C3476" s="20" t="s">
        <v>351</v>
      </c>
      <c r="D3476" s="20" t="s">
        <v>1508</v>
      </c>
      <c r="E3476" s="21"/>
      <c r="F3476" s="22">
        <f>F3486</f>
        <v>16.41</v>
      </c>
      <c r="G3476" s="21"/>
    </row>
    <row r="3477" ht="12.0" customHeight="1">
      <c r="A3477" s="11"/>
      <c r="B3477" s="11"/>
      <c r="C3477" s="11"/>
      <c r="D3477" s="10" t="s">
        <v>1509</v>
      </c>
    </row>
    <row r="3478" ht="30.0" customHeight="1">
      <c r="A3478" s="10" t="s">
        <v>1259</v>
      </c>
      <c r="B3478" s="10" t="s">
        <v>42</v>
      </c>
      <c r="C3478" s="10" t="s">
        <v>43</v>
      </c>
      <c r="D3478" s="10" t="s">
        <v>1260</v>
      </c>
      <c r="E3478" s="14">
        <v>0.085</v>
      </c>
      <c r="F3478" s="15">
        <f>ROUND(18.44,3)</f>
        <v>18.44</v>
      </c>
      <c r="G3478" s="12">
        <f t="shared" ref="G3478:G3484" si="592">ROUND(E3478*F3478,2)</f>
        <v>1.57</v>
      </c>
    </row>
    <row r="3479" ht="48.75" customHeight="1">
      <c r="A3479" s="10" t="s">
        <v>1276</v>
      </c>
      <c r="B3479" s="10" t="s">
        <v>42</v>
      </c>
      <c r="C3479" s="10" t="s">
        <v>43</v>
      </c>
      <c r="D3479" s="10" t="s">
        <v>1277</v>
      </c>
      <c r="E3479" s="14">
        <v>0.095</v>
      </c>
      <c r="F3479" s="15">
        <f>ROUND(45.57,3)</f>
        <v>45.57</v>
      </c>
      <c r="G3479" s="12">
        <f t="shared" si="592"/>
        <v>4.33</v>
      </c>
    </row>
    <row r="3480" ht="21.0" customHeight="1">
      <c r="A3480" s="10" t="s">
        <v>22</v>
      </c>
      <c r="B3480" s="10" t="s">
        <v>18</v>
      </c>
      <c r="C3480" s="10" t="s">
        <v>23</v>
      </c>
      <c r="D3480" s="10" t="s">
        <v>24</v>
      </c>
      <c r="E3480" s="14">
        <v>0.22857</v>
      </c>
      <c r="F3480" s="15">
        <f>F3484</f>
        <v>43.8</v>
      </c>
      <c r="G3480" s="12">
        <f t="shared" si="592"/>
        <v>10.01</v>
      </c>
    </row>
    <row r="3481" ht="24.0" customHeight="1">
      <c r="A3481" s="10" t="s">
        <v>25</v>
      </c>
      <c r="B3481" s="10" t="s">
        <v>26</v>
      </c>
      <c r="C3481" s="10" t="s">
        <v>23</v>
      </c>
      <c r="D3481" s="10" t="s">
        <v>27</v>
      </c>
      <c r="E3481" s="14">
        <v>1.0</v>
      </c>
      <c r="F3481" s="15">
        <f>ROUND(21,3)</f>
        <v>21</v>
      </c>
      <c r="G3481" s="12">
        <f t="shared" si="592"/>
        <v>21</v>
      </c>
    </row>
    <row r="3482" ht="24.0" customHeight="1">
      <c r="A3482" s="10" t="s">
        <v>28</v>
      </c>
      <c r="B3482" s="10" t="s">
        <v>26</v>
      </c>
      <c r="C3482" s="10" t="s">
        <v>23</v>
      </c>
      <c r="D3482" s="10" t="s">
        <v>29</v>
      </c>
      <c r="E3482" s="14">
        <v>1.0</v>
      </c>
      <c r="F3482" s="15">
        <f t="shared" ref="F3482:F3483" si="593">ROUND(19,3)</f>
        <v>19</v>
      </c>
      <c r="G3482" s="12">
        <f t="shared" si="592"/>
        <v>19</v>
      </c>
    </row>
    <row r="3483" ht="24.0" customHeight="1">
      <c r="A3483" s="10" t="s">
        <v>30</v>
      </c>
      <c r="B3483" s="10" t="s">
        <v>26</v>
      </c>
      <c r="C3483" s="10" t="s">
        <v>23</v>
      </c>
      <c r="D3483" s="10" t="s">
        <v>31</v>
      </c>
      <c r="E3483" s="14">
        <v>0.2</v>
      </c>
      <c r="F3483" s="15">
        <f t="shared" si="593"/>
        <v>19</v>
      </c>
      <c r="G3483" s="12">
        <f t="shared" si="592"/>
        <v>3.8</v>
      </c>
    </row>
    <row r="3484" ht="15.0" customHeight="1">
      <c r="A3484" s="11"/>
      <c r="B3484" s="11"/>
      <c r="C3484" s="11"/>
      <c r="D3484" s="10" t="s">
        <v>22</v>
      </c>
      <c r="E3484" s="14">
        <v>0.22857</v>
      </c>
      <c r="F3484" s="15">
        <f>ROUND((G3481+G3482+G3483),3)</f>
        <v>43.8</v>
      </c>
      <c r="G3484" s="12">
        <f t="shared" si="592"/>
        <v>10.01</v>
      </c>
    </row>
    <row r="3485" ht="15.0" customHeight="1">
      <c r="A3485" s="10" t="s">
        <v>32</v>
      </c>
      <c r="B3485" s="10"/>
      <c r="C3485" s="10" t="s">
        <v>33</v>
      </c>
      <c r="D3485" s="10" t="s">
        <v>34</v>
      </c>
      <c r="E3485" s="14">
        <v>5.0</v>
      </c>
      <c r="F3485" s="15">
        <f>ROUND(10.01,3)</f>
        <v>10.01</v>
      </c>
      <c r="G3485" s="12">
        <f>ROUND((E3485*F3485)/100,2)</f>
        <v>0.5</v>
      </c>
    </row>
    <row r="3486" ht="15.0" customHeight="1">
      <c r="A3486" s="16"/>
      <c r="B3486" s="16"/>
      <c r="C3486" s="16"/>
      <c r="D3486" s="17" t="s">
        <v>1507</v>
      </c>
      <c r="E3486" s="16"/>
      <c r="F3486" s="18">
        <f>ROUND((G3478+G3479+G3480+G3485)*(1+G2/100),2)</f>
        <v>16.41</v>
      </c>
      <c r="G3486" s="16"/>
    </row>
    <row r="3487" ht="48.75" customHeight="1">
      <c r="A3487" s="19" t="s">
        <v>1510</v>
      </c>
      <c r="B3487" s="20" t="s">
        <v>18</v>
      </c>
      <c r="C3487" s="20" t="s">
        <v>351</v>
      </c>
      <c r="D3487" s="20" t="s">
        <v>1511</v>
      </c>
      <c r="E3487" s="21"/>
      <c r="F3487" s="22">
        <f>F3497</f>
        <v>19</v>
      </c>
      <c r="G3487" s="21"/>
    </row>
    <row r="3488" ht="12.0" customHeight="1">
      <c r="A3488" s="11"/>
      <c r="B3488" s="11"/>
      <c r="C3488" s="11"/>
      <c r="D3488" s="10" t="s">
        <v>1512</v>
      </c>
    </row>
    <row r="3489" ht="30.0" customHeight="1">
      <c r="A3489" s="10" t="s">
        <v>1259</v>
      </c>
      <c r="B3489" s="10" t="s">
        <v>42</v>
      </c>
      <c r="C3489" s="10" t="s">
        <v>43</v>
      </c>
      <c r="D3489" s="10" t="s">
        <v>1260</v>
      </c>
      <c r="E3489" s="14">
        <v>0.1</v>
      </c>
      <c r="F3489" s="15">
        <f>ROUND(18.44,3)</f>
        <v>18.44</v>
      </c>
      <c r="G3489" s="12">
        <f t="shared" ref="G3489:G3495" si="594">ROUND(E3489*F3489,2)</f>
        <v>1.84</v>
      </c>
    </row>
    <row r="3490" ht="48.75" customHeight="1">
      <c r="A3490" s="10" t="s">
        <v>1276</v>
      </c>
      <c r="B3490" s="10" t="s">
        <v>42</v>
      </c>
      <c r="C3490" s="10" t="s">
        <v>43</v>
      </c>
      <c r="D3490" s="10" t="s">
        <v>1277</v>
      </c>
      <c r="E3490" s="14">
        <v>0.1075</v>
      </c>
      <c r="F3490" s="15">
        <f>ROUND(45.57,3)</f>
        <v>45.57</v>
      </c>
      <c r="G3490" s="12">
        <f t="shared" si="594"/>
        <v>4.9</v>
      </c>
    </row>
    <row r="3491" ht="21.0" customHeight="1">
      <c r="A3491" s="10" t="s">
        <v>22</v>
      </c>
      <c r="B3491" s="10" t="s">
        <v>18</v>
      </c>
      <c r="C3491" s="10" t="s">
        <v>23</v>
      </c>
      <c r="D3491" s="10" t="s">
        <v>24</v>
      </c>
      <c r="E3491" s="14">
        <v>0.26667</v>
      </c>
      <c r="F3491" s="15">
        <f>F3495</f>
        <v>43.8</v>
      </c>
      <c r="G3491" s="12">
        <f t="shared" si="594"/>
        <v>11.68</v>
      </c>
    </row>
    <row r="3492" ht="24.0" customHeight="1">
      <c r="A3492" s="10" t="s">
        <v>25</v>
      </c>
      <c r="B3492" s="10" t="s">
        <v>26</v>
      </c>
      <c r="C3492" s="10" t="s">
        <v>23</v>
      </c>
      <c r="D3492" s="10" t="s">
        <v>27</v>
      </c>
      <c r="E3492" s="14">
        <v>1.0</v>
      </c>
      <c r="F3492" s="15">
        <f>ROUND(21,3)</f>
        <v>21</v>
      </c>
      <c r="G3492" s="12">
        <f t="shared" si="594"/>
        <v>21</v>
      </c>
    </row>
    <row r="3493" ht="24.0" customHeight="1">
      <c r="A3493" s="10" t="s">
        <v>28</v>
      </c>
      <c r="B3493" s="10" t="s">
        <v>26</v>
      </c>
      <c r="C3493" s="10" t="s">
        <v>23</v>
      </c>
      <c r="D3493" s="10" t="s">
        <v>29</v>
      </c>
      <c r="E3493" s="14">
        <v>1.0</v>
      </c>
      <c r="F3493" s="15">
        <f t="shared" ref="F3493:F3494" si="595">ROUND(19,3)</f>
        <v>19</v>
      </c>
      <c r="G3493" s="12">
        <f t="shared" si="594"/>
        <v>19</v>
      </c>
    </row>
    <row r="3494" ht="24.0" customHeight="1">
      <c r="A3494" s="10" t="s">
        <v>30</v>
      </c>
      <c r="B3494" s="10" t="s">
        <v>26</v>
      </c>
      <c r="C3494" s="10" t="s">
        <v>23</v>
      </c>
      <c r="D3494" s="10" t="s">
        <v>31</v>
      </c>
      <c r="E3494" s="14">
        <v>0.2</v>
      </c>
      <c r="F3494" s="15">
        <f t="shared" si="595"/>
        <v>19</v>
      </c>
      <c r="G3494" s="12">
        <f t="shared" si="594"/>
        <v>3.8</v>
      </c>
    </row>
    <row r="3495" ht="15.0" customHeight="1">
      <c r="A3495" s="11"/>
      <c r="B3495" s="11"/>
      <c r="C3495" s="11"/>
      <c r="D3495" s="10" t="s">
        <v>22</v>
      </c>
      <c r="E3495" s="14">
        <v>0.26667</v>
      </c>
      <c r="F3495" s="15">
        <f>ROUND((G3492+G3493+G3494),3)</f>
        <v>43.8</v>
      </c>
      <c r="G3495" s="12">
        <f t="shared" si="594"/>
        <v>11.68</v>
      </c>
    </row>
    <row r="3496" ht="15.0" customHeight="1">
      <c r="A3496" s="10" t="s">
        <v>32</v>
      </c>
      <c r="B3496" s="10"/>
      <c r="C3496" s="10" t="s">
        <v>33</v>
      </c>
      <c r="D3496" s="10" t="s">
        <v>34</v>
      </c>
      <c r="E3496" s="14">
        <v>5.0</v>
      </c>
      <c r="F3496" s="15">
        <f>ROUND(11.68,3)</f>
        <v>11.68</v>
      </c>
      <c r="G3496" s="12">
        <f>ROUND((E3496*F3496)/100,2)</f>
        <v>0.58</v>
      </c>
    </row>
    <row r="3497" ht="15.0" customHeight="1">
      <c r="A3497" s="16"/>
      <c r="B3497" s="16"/>
      <c r="C3497" s="16"/>
      <c r="D3497" s="17" t="s">
        <v>1510</v>
      </c>
      <c r="E3497" s="16"/>
      <c r="F3497" s="18">
        <f>ROUND((G3489+G3490+G3491+G3496)*(1+G2/100),2)</f>
        <v>19</v>
      </c>
      <c r="G3497" s="16"/>
    </row>
    <row r="3498" ht="48.75" customHeight="1">
      <c r="A3498" s="19" t="s">
        <v>1513</v>
      </c>
      <c r="B3498" s="20" t="s">
        <v>18</v>
      </c>
      <c r="C3498" s="20" t="s">
        <v>351</v>
      </c>
      <c r="D3498" s="20" t="s">
        <v>1514</v>
      </c>
      <c r="E3498" s="21"/>
      <c r="F3498" s="22">
        <f>F3508</f>
        <v>22.61</v>
      </c>
      <c r="G3498" s="21"/>
    </row>
    <row r="3499" ht="12.0" customHeight="1">
      <c r="A3499" s="11"/>
      <c r="B3499" s="11"/>
      <c r="C3499" s="11"/>
      <c r="D3499" s="10" t="s">
        <v>1515</v>
      </c>
    </row>
    <row r="3500" ht="30.0" customHeight="1">
      <c r="A3500" s="10" t="s">
        <v>1259</v>
      </c>
      <c r="B3500" s="10" t="s">
        <v>42</v>
      </c>
      <c r="C3500" s="10" t="s">
        <v>43</v>
      </c>
      <c r="D3500" s="10" t="s">
        <v>1260</v>
      </c>
      <c r="E3500" s="14">
        <v>0.113</v>
      </c>
      <c r="F3500" s="15">
        <f>ROUND(18.44,3)</f>
        <v>18.44</v>
      </c>
      <c r="G3500" s="12">
        <f t="shared" ref="G3500:G3506" si="596">ROUND(E3500*F3500,2)</f>
        <v>2.08</v>
      </c>
    </row>
    <row r="3501" ht="48.75" customHeight="1">
      <c r="A3501" s="10" t="s">
        <v>1276</v>
      </c>
      <c r="B3501" s="10" t="s">
        <v>42</v>
      </c>
      <c r="C3501" s="10" t="s">
        <v>43</v>
      </c>
      <c r="D3501" s="10" t="s">
        <v>1277</v>
      </c>
      <c r="E3501" s="14">
        <v>0.1275</v>
      </c>
      <c r="F3501" s="15">
        <f>ROUND(45.57,3)</f>
        <v>45.57</v>
      </c>
      <c r="G3501" s="12">
        <f t="shared" si="596"/>
        <v>5.81</v>
      </c>
    </row>
    <row r="3502" ht="21.0" customHeight="1">
      <c r="A3502" s="10" t="s">
        <v>22</v>
      </c>
      <c r="B3502" s="10" t="s">
        <v>18</v>
      </c>
      <c r="C3502" s="10" t="s">
        <v>23</v>
      </c>
      <c r="D3502" s="10" t="s">
        <v>24</v>
      </c>
      <c r="E3502" s="14">
        <v>0.32</v>
      </c>
      <c r="F3502" s="15">
        <f>F3506</f>
        <v>43.8</v>
      </c>
      <c r="G3502" s="12">
        <f t="shared" si="596"/>
        <v>14.02</v>
      </c>
    </row>
    <row r="3503" ht="24.0" customHeight="1">
      <c r="A3503" s="10" t="s">
        <v>25</v>
      </c>
      <c r="B3503" s="10" t="s">
        <v>26</v>
      </c>
      <c r="C3503" s="10" t="s">
        <v>23</v>
      </c>
      <c r="D3503" s="10" t="s">
        <v>27</v>
      </c>
      <c r="E3503" s="14">
        <v>1.0</v>
      </c>
      <c r="F3503" s="15">
        <f>ROUND(21,3)</f>
        <v>21</v>
      </c>
      <c r="G3503" s="12">
        <f t="shared" si="596"/>
        <v>21</v>
      </c>
    </row>
    <row r="3504" ht="24.0" customHeight="1">
      <c r="A3504" s="10" t="s">
        <v>28</v>
      </c>
      <c r="B3504" s="10" t="s">
        <v>26</v>
      </c>
      <c r="C3504" s="10" t="s">
        <v>23</v>
      </c>
      <c r="D3504" s="10" t="s">
        <v>29</v>
      </c>
      <c r="E3504" s="14">
        <v>1.0</v>
      </c>
      <c r="F3504" s="15">
        <f t="shared" ref="F3504:F3505" si="597">ROUND(19,3)</f>
        <v>19</v>
      </c>
      <c r="G3504" s="12">
        <f t="shared" si="596"/>
        <v>19</v>
      </c>
    </row>
    <row r="3505" ht="24.0" customHeight="1">
      <c r="A3505" s="10" t="s">
        <v>30</v>
      </c>
      <c r="B3505" s="10" t="s">
        <v>26</v>
      </c>
      <c r="C3505" s="10" t="s">
        <v>23</v>
      </c>
      <c r="D3505" s="10" t="s">
        <v>31</v>
      </c>
      <c r="E3505" s="14">
        <v>0.2</v>
      </c>
      <c r="F3505" s="15">
        <f t="shared" si="597"/>
        <v>19</v>
      </c>
      <c r="G3505" s="12">
        <f t="shared" si="596"/>
        <v>3.8</v>
      </c>
    </row>
    <row r="3506" ht="15.0" customHeight="1">
      <c r="A3506" s="11"/>
      <c r="B3506" s="11"/>
      <c r="C3506" s="11"/>
      <c r="D3506" s="10" t="s">
        <v>22</v>
      </c>
      <c r="E3506" s="14">
        <v>0.32</v>
      </c>
      <c r="F3506" s="15">
        <f>ROUND((G3503+G3504+G3505),3)</f>
        <v>43.8</v>
      </c>
      <c r="G3506" s="12">
        <f t="shared" si="596"/>
        <v>14.02</v>
      </c>
    </row>
    <row r="3507" ht="15.0" customHeight="1">
      <c r="A3507" s="10" t="s">
        <v>32</v>
      </c>
      <c r="B3507" s="10"/>
      <c r="C3507" s="10" t="s">
        <v>33</v>
      </c>
      <c r="D3507" s="10" t="s">
        <v>34</v>
      </c>
      <c r="E3507" s="14">
        <v>5.0</v>
      </c>
      <c r="F3507" s="15">
        <f>ROUND(14.02,3)</f>
        <v>14.02</v>
      </c>
      <c r="G3507" s="12">
        <f>ROUND((E3507*F3507)/100,2)</f>
        <v>0.7</v>
      </c>
    </row>
    <row r="3508" ht="15.0" customHeight="1">
      <c r="A3508" s="16"/>
      <c r="B3508" s="16"/>
      <c r="C3508" s="16"/>
      <c r="D3508" s="17" t="s">
        <v>1513</v>
      </c>
      <c r="E3508" s="16"/>
      <c r="F3508" s="18">
        <f>ROUND((G3500+G3501+G3502+G3507)*(1+G2/100),2)</f>
        <v>22.61</v>
      </c>
      <c r="G3508" s="16"/>
    </row>
    <row r="3509" ht="15.0" customHeight="1">
      <c r="A3509" s="23"/>
      <c r="B3509" s="23"/>
      <c r="C3509" s="23"/>
      <c r="D3509" s="32" t="s">
        <v>1220</v>
      </c>
      <c r="E3509" s="33"/>
      <c r="F3509" s="33"/>
      <c r="G3509" s="33"/>
    </row>
    <row r="3510" ht="15.0" customHeight="1">
      <c r="A3510" s="34" t="s">
        <v>1516</v>
      </c>
      <c r="B3510" s="34" t="s">
        <v>10</v>
      </c>
      <c r="C3510" s="35"/>
      <c r="D3510" s="34" t="s">
        <v>1517</v>
      </c>
      <c r="E3510" s="35"/>
      <c r="F3510" s="35"/>
      <c r="G3510" s="35"/>
    </row>
    <row r="3511" ht="30.0" customHeight="1">
      <c r="A3511" s="13" t="s">
        <v>1518</v>
      </c>
      <c r="B3511" s="10" t="s">
        <v>18</v>
      </c>
      <c r="C3511" s="10" t="s">
        <v>222</v>
      </c>
      <c r="D3511" s="10" t="s">
        <v>1519</v>
      </c>
      <c r="E3511" s="11"/>
      <c r="F3511" s="12">
        <f>F3554</f>
        <v>6245.83</v>
      </c>
      <c r="G3511" s="11"/>
    </row>
    <row r="3512" ht="12.0" customHeight="1">
      <c r="A3512" s="11"/>
      <c r="B3512" s="11"/>
      <c r="C3512" s="11"/>
      <c r="D3512" s="10" t="s">
        <v>1519</v>
      </c>
    </row>
    <row r="3513" ht="21.0" customHeight="1">
      <c r="A3513" s="10" t="s">
        <v>1520</v>
      </c>
      <c r="B3513" s="10" t="s">
        <v>18</v>
      </c>
      <c r="C3513" s="10" t="s">
        <v>251</v>
      </c>
      <c r="D3513" s="10" t="s">
        <v>1521</v>
      </c>
      <c r="E3513" s="14">
        <v>8.0</v>
      </c>
      <c r="F3513" s="15">
        <f>F3515</f>
        <v>8.44</v>
      </c>
      <c r="G3513" s="12">
        <f t="shared" ref="G3513:G3553" si="598">ROUND(E3513*F3513,2)</f>
        <v>67.52</v>
      </c>
    </row>
    <row r="3514" ht="24.0" customHeight="1">
      <c r="A3514" s="10" t="s">
        <v>1522</v>
      </c>
      <c r="B3514" s="10" t="s">
        <v>26</v>
      </c>
      <c r="C3514" s="10" t="s">
        <v>23</v>
      </c>
      <c r="D3514" s="10" t="s">
        <v>1523</v>
      </c>
      <c r="E3514" s="14">
        <v>0.25</v>
      </c>
      <c r="F3514" s="15">
        <f>ROUND(33.75,3)</f>
        <v>33.75</v>
      </c>
      <c r="G3514" s="12">
        <f t="shared" si="598"/>
        <v>8.44</v>
      </c>
    </row>
    <row r="3515" ht="15.0" customHeight="1">
      <c r="A3515" s="11"/>
      <c r="B3515" s="11"/>
      <c r="C3515" s="11"/>
      <c r="D3515" s="10" t="s">
        <v>1520</v>
      </c>
      <c r="E3515" s="14">
        <v>8.0</v>
      </c>
      <c r="F3515" s="15">
        <f>ROUND((G3514),3)</f>
        <v>8.44</v>
      </c>
      <c r="G3515" s="12">
        <f t="shared" si="598"/>
        <v>67.52</v>
      </c>
    </row>
    <row r="3516" ht="15.0" customHeight="1">
      <c r="A3516" s="10" t="s">
        <v>1524</v>
      </c>
      <c r="B3516" s="10" t="s">
        <v>18</v>
      </c>
      <c r="C3516" s="10" t="s">
        <v>295</v>
      </c>
      <c r="D3516" s="10" t="s">
        <v>1525</v>
      </c>
      <c r="E3516" s="14">
        <v>7.0</v>
      </c>
      <c r="F3516" s="15">
        <f>F3518</f>
        <v>33.75</v>
      </c>
      <c r="G3516" s="12">
        <f t="shared" si="598"/>
        <v>236.25</v>
      </c>
    </row>
    <row r="3517" ht="24.0" customHeight="1">
      <c r="A3517" s="10" t="s">
        <v>1522</v>
      </c>
      <c r="B3517" s="10" t="s">
        <v>26</v>
      </c>
      <c r="C3517" s="10" t="s">
        <v>23</v>
      </c>
      <c r="D3517" s="10" t="s">
        <v>1523</v>
      </c>
      <c r="E3517" s="14">
        <v>1.0</v>
      </c>
      <c r="F3517" s="15">
        <f>ROUND(33.75,3)</f>
        <v>33.75</v>
      </c>
      <c r="G3517" s="12">
        <f t="shared" si="598"/>
        <v>33.75</v>
      </c>
    </row>
    <row r="3518" ht="15.0" customHeight="1">
      <c r="A3518" s="11"/>
      <c r="B3518" s="11"/>
      <c r="C3518" s="11"/>
      <c r="D3518" s="10" t="s">
        <v>1524</v>
      </c>
      <c r="E3518" s="14">
        <v>7.0</v>
      </c>
      <c r="F3518" s="15">
        <f>ROUND((G3517),3)</f>
        <v>33.75</v>
      </c>
      <c r="G3518" s="12">
        <f t="shared" si="598"/>
        <v>236.25</v>
      </c>
    </row>
    <row r="3519" ht="30.0" customHeight="1">
      <c r="A3519" s="10" t="s">
        <v>1526</v>
      </c>
      <c r="B3519" s="10" t="s">
        <v>18</v>
      </c>
      <c r="C3519" s="10" t="s">
        <v>295</v>
      </c>
      <c r="D3519" s="10" t="s">
        <v>1527</v>
      </c>
      <c r="E3519" s="14">
        <v>1.0</v>
      </c>
      <c r="F3519" s="15">
        <f>F3522</f>
        <v>446</v>
      </c>
      <c r="G3519" s="12">
        <f t="shared" si="598"/>
        <v>446</v>
      </c>
    </row>
    <row r="3520" ht="15.0" customHeight="1">
      <c r="A3520" s="10" t="s">
        <v>1528</v>
      </c>
      <c r="B3520" s="10" t="s">
        <v>42</v>
      </c>
      <c r="C3520" s="10" t="s">
        <v>295</v>
      </c>
      <c r="D3520" s="10" t="s">
        <v>1529</v>
      </c>
      <c r="E3520" s="14">
        <v>1.0</v>
      </c>
      <c r="F3520" s="15">
        <f>ROUND(50,3)</f>
        <v>50</v>
      </c>
      <c r="G3520" s="12">
        <f t="shared" si="598"/>
        <v>50</v>
      </c>
    </row>
    <row r="3521" ht="24.0" customHeight="1">
      <c r="A3521" s="10" t="s">
        <v>1186</v>
      </c>
      <c r="B3521" s="10" t="s">
        <v>26</v>
      </c>
      <c r="C3521" s="10" t="s">
        <v>23</v>
      </c>
      <c r="D3521" s="10" t="s">
        <v>1187</v>
      </c>
      <c r="E3521" s="14">
        <v>8.0</v>
      </c>
      <c r="F3521" s="15">
        <f>ROUND(49.5,3)</f>
        <v>49.5</v>
      </c>
      <c r="G3521" s="12">
        <f t="shared" si="598"/>
        <v>396</v>
      </c>
    </row>
    <row r="3522" ht="15.0" customHeight="1">
      <c r="A3522" s="11"/>
      <c r="B3522" s="11"/>
      <c r="C3522" s="11"/>
      <c r="D3522" s="10" t="s">
        <v>1526</v>
      </c>
      <c r="E3522" s="14">
        <v>1.0</v>
      </c>
      <c r="F3522" s="15">
        <f>ROUND((G3520+G3521),3)</f>
        <v>446</v>
      </c>
      <c r="G3522" s="12">
        <f t="shared" si="598"/>
        <v>446</v>
      </c>
    </row>
    <row r="3523" ht="21.0" customHeight="1">
      <c r="A3523" s="10" t="s">
        <v>1530</v>
      </c>
      <c r="B3523" s="10" t="s">
        <v>18</v>
      </c>
      <c r="C3523" s="10" t="s">
        <v>295</v>
      </c>
      <c r="D3523" s="10" t="s">
        <v>1531</v>
      </c>
      <c r="E3523" s="14">
        <v>6.0</v>
      </c>
      <c r="F3523" s="15">
        <f>F3533</f>
        <v>648.08</v>
      </c>
      <c r="G3523" s="12">
        <f t="shared" si="598"/>
        <v>3888.48</v>
      </c>
    </row>
    <row r="3524" ht="21.0" customHeight="1">
      <c r="A3524" s="10" t="s">
        <v>1532</v>
      </c>
      <c r="B3524" s="10" t="s">
        <v>42</v>
      </c>
      <c r="C3524" s="10" t="s">
        <v>304</v>
      </c>
      <c r="D3524" s="10" t="s">
        <v>1533</v>
      </c>
      <c r="E3524" s="14">
        <v>2.0</v>
      </c>
      <c r="F3524" s="15">
        <f>ROUND(145.71,3)</f>
        <v>145.71</v>
      </c>
      <c r="G3524" s="12">
        <f t="shared" si="598"/>
        <v>291.42</v>
      </c>
    </row>
    <row r="3525" ht="30.0" customHeight="1">
      <c r="A3525" s="10" t="s">
        <v>1534</v>
      </c>
      <c r="B3525" s="10" t="s">
        <v>42</v>
      </c>
      <c r="C3525" s="10" t="s">
        <v>304</v>
      </c>
      <c r="D3525" s="10" t="s">
        <v>1535</v>
      </c>
      <c r="E3525" s="14">
        <v>4.0</v>
      </c>
      <c r="F3525" s="15">
        <f>ROUND(12,3)</f>
        <v>12</v>
      </c>
      <c r="G3525" s="12">
        <f t="shared" si="598"/>
        <v>48</v>
      </c>
    </row>
    <row r="3526" ht="15.0" customHeight="1">
      <c r="A3526" s="10" t="s">
        <v>1536</v>
      </c>
      <c r="B3526" s="10" t="s">
        <v>42</v>
      </c>
      <c r="C3526" s="10" t="s">
        <v>304</v>
      </c>
      <c r="D3526" s="10" t="s">
        <v>1537</v>
      </c>
      <c r="E3526" s="14">
        <v>8.0</v>
      </c>
      <c r="F3526" s="15">
        <f>ROUND(2,3)</f>
        <v>2</v>
      </c>
      <c r="G3526" s="12">
        <f t="shared" si="598"/>
        <v>16</v>
      </c>
    </row>
    <row r="3527" ht="30.0" customHeight="1">
      <c r="A3527" s="10" t="s">
        <v>1538</v>
      </c>
      <c r="B3527" s="10" t="s">
        <v>42</v>
      </c>
      <c r="C3527" s="10" t="s">
        <v>304</v>
      </c>
      <c r="D3527" s="10" t="s">
        <v>1539</v>
      </c>
      <c r="E3527" s="14">
        <v>2.0</v>
      </c>
      <c r="F3527" s="15">
        <f>ROUND(6,3)</f>
        <v>6</v>
      </c>
      <c r="G3527" s="12">
        <f t="shared" si="598"/>
        <v>12</v>
      </c>
    </row>
    <row r="3528" ht="15.0" customHeight="1">
      <c r="A3528" s="10" t="s">
        <v>1540</v>
      </c>
      <c r="B3528" s="10" t="s">
        <v>42</v>
      </c>
      <c r="C3528" s="10" t="s">
        <v>304</v>
      </c>
      <c r="D3528" s="10" t="s">
        <v>1541</v>
      </c>
      <c r="E3528" s="14">
        <v>1.0</v>
      </c>
      <c r="F3528" s="15">
        <f>ROUND(25,3)</f>
        <v>25</v>
      </c>
      <c r="G3528" s="12">
        <f t="shared" si="598"/>
        <v>25</v>
      </c>
    </row>
    <row r="3529" ht="15.0" customHeight="1">
      <c r="A3529" s="10" t="s">
        <v>1542</v>
      </c>
      <c r="B3529" s="10" t="s">
        <v>42</v>
      </c>
      <c r="C3529" s="10" t="s">
        <v>304</v>
      </c>
      <c r="D3529" s="10" t="s">
        <v>1543</v>
      </c>
      <c r="E3529" s="14">
        <v>2.0</v>
      </c>
      <c r="F3529" s="15">
        <f>ROUND(16.83,3)</f>
        <v>16.83</v>
      </c>
      <c r="G3529" s="12">
        <f t="shared" si="598"/>
        <v>33.66</v>
      </c>
    </row>
    <row r="3530" ht="15.0" customHeight="1">
      <c r="A3530" s="10" t="s">
        <v>1544</v>
      </c>
      <c r="B3530" s="10" t="s">
        <v>112</v>
      </c>
      <c r="C3530" s="10" t="s">
        <v>304</v>
      </c>
      <c r="D3530" s="10" t="s">
        <v>605</v>
      </c>
      <c r="E3530" s="14">
        <v>1.0</v>
      </c>
      <c r="F3530" s="15">
        <f>ROUND(10,3)</f>
        <v>10</v>
      </c>
      <c r="G3530" s="12">
        <f t="shared" si="598"/>
        <v>10</v>
      </c>
    </row>
    <row r="3531" ht="15.0" customHeight="1">
      <c r="A3531" s="10" t="s">
        <v>1545</v>
      </c>
      <c r="B3531" s="10" t="s">
        <v>112</v>
      </c>
      <c r="C3531" s="10" t="s">
        <v>304</v>
      </c>
      <c r="D3531" s="10" t="s">
        <v>1546</v>
      </c>
      <c r="E3531" s="14">
        <v>1.0</v>
      </c>
      <c r="F3531" s="15">
        <f>ROUND(22,3)</f>
        <v>22</v>
      </c>
      <c r="G3531" s="12">
        <f t="shared" si="598"/>
        <v>22</v>
      </c>
    </row>
    <row r="3532" ht="24.0" customHeight="1">
      <c r="A3532" s="10" t="s">
        <v>1547</v>
      </c>
      <c r="B3532" s="10" t="s">
        <v>26</v>
      </c>
      <c r="C3532" s="10" t="s">
        <v>23</v>
      </c>
      <c r="D3532" s="10" t="s">
        <v>1548</v>
      </c>
      <c r="E3532" s="14">
        <v>4.0</v>
      </c>
      <c r="F3532" s="15">
        <f>ROUND(47.5,3)</f>
        <v>47.5</v>
      </c>
      <c r="G3532" s="12">
        <f t="shared" si="598"/>
        <v>190</v>
      </c>
    </row>
    <row r="3533" ht="15.0" customHeight="1">
      <c r="A3533" s="11"/>
      <c r="B3533" s="11"/>
      <c r="C3533" s="11"/>
      <c r="D3533" s="10" t="s">
        <v>1530</v>
      </c>
      <c r="E3533" s="14">
        <v>6.0</v>
      </c>
      <c r="F3533" s="15">
        <f>ROUND((G3524+G3525+G3526+G3527+G3528+G3529+G3530+G3531+G3532),3)</f>
        <v>648.08</v>
      </c>
      <c r="G3533" s="12">
        <f t="shared" si="598"/>
        <v>3888.48</v>
      </c>
    </row>
    <row r="3534" ht="21.0" customHeight="1">
      <c r="A3534" s="10" t="s">
        <v>1549</v>
      </c>
      <c r="B3534" s="10" t="s">
        <v>18</v>
      </c>
      <c r="C3534" s="10" t="s">
        <v>295</v>
      </c>
      <c r="D3534" s="10" t="s">
        <v>1550</v>
      </c>
      <c r="E3534" s="14">
        <v>1.0</v>
      </c>
      <c r="F3534" s="15">
        <f>F3538</f>
        <v>349.3</v>
      </c>
      <c r="G3534" s="12">
        <f t="shared" si="598"/>
        <v>349.3</v>
      </c>
    </row>
    <row r="3535" ht="30.0" customHeight="1">
      <c r="A3535" s="10" t="s">
        <v>1551</v>
      </c>
      <c r="B3535" s="10" t="s">
        <v>42</v>
      </c>
      <c r="C3535" s="10" t="s">
        <v>304</v>
      </c>
      <c r="D3535" s="10" t="s">
        <v>1552</v>
      </c>
      <c r="E3535" s="14">
        <v>50.0</v>
      </c>
      <c r="F3535" s="15">
        <f>ROUND(0.5,3)</f>
        <v>0.5</v>
      </c>
      <c r="G3535" s="12">
        <f t="shared" si="598"/>
        <v>25</v>
      </c>
    </row>
    <row r="3536" ht="15.0" customHeight="1">
      <c r="A3536" s="10" t="s">
        <v>1553</v>
      </c>
      <c r="B3536" s="10" t="s">
        <v>42</v>
      </c>
      <c r="C3536" s="10" t="s">
        <v>304</v>
      </c>
      <c r="D3536" s="10" t="s">
        <v>1554</v>
      </c>
      <c r="E3536" s="14">
        <v>1.0</v>
      </c>
      <c r="F3536" s="15">
        <f>ROUND(27.3,3)</f>
        <v>27.3</v>
      </c>
      <c r="G3536" s="12">
        <f t="shared" si="598"/>
        <v>27.3</v>
      </c>
    </row>
    <row r="3537" ht="24.0" customHeight="1">
      <c r="A3537" s="10" t="s">
        <v>1186</v>
      </c>
      <c r="B3537" s="10" t="s">
        <v>26</v>
      </c>
      <c r="C3537" s="10" t="s">
        <v>23</v>
      </c>
      <c r="D3537" s="10" t="s">
        <v>1187</v>
      </c>
      <c r="E3537" s="14">
        <v>6.0</v>
      </c>
      <c r="F3537" s="15">
        <f>ROUND(49.5,3)</f>
        <v>49.5</v>
      </c>
      <c r="G3537" s="12">
        <f t="shared" si="598"/>
        <v>297</v>
      </c>
    </row>
    <row r="3538" ht="15.0" customHeight="1">
      <c r="A3538" s="11"/>
      <c r="B3538" s="11"/>
      <c r="C3538" s="11"/>
      <c r="D3538" s="10" t="s">
        <v>1549</v>
      </c>
      <c r="E3538" s="14">
        <v>1.0</v>
      </c>
      <c r="F3538" s="15">
        <f>ROUND((G3535+G3536+G3537),3)</f>
        <v>349.3</v>
      </c>
      <c r="G3538" s="12">
        <f t="shared" si="598"/>
        <v>349.3</v>
      </c>
    </row>
    <row r="3539" ht="15.0" customHeight="1">
      <c r="A3539" s="10" t="s">
        <v>1555</v>
      </c>
      <c r="B3539" s="10" t="s">
        <v>18</v>
      </c>
      <c r="C3539" s="10" t="s">
        <v>251</v>
      </c>
      <c r="D3539" s="10" t="s">
        <v>1556</v>
      </c>
      <c r="E3539" s="14">
        <v>16.0</v>
      </c>
      <c r="F3539" s="15">
        <f>F3542</f>
        <v>32.33</v>
      </c>
      <c r="G3539" s="12">
        <f t="shared" si="598"/>
        <v>517.28</v>
      </c>
    </row>
    <row r="3540" ht="15.0" customHeight="1">
      <c r="A3540" s="10" t="s">
        <v>1557</v>
      </c>
      <c r="B3540" s="10" t="s">
        <v>42</v>
      </c>
      <c r="C3540" s="10" t="s">
        <v>304</v>
      </c>
      <c r="D3540" s="10" t="s">
        <v>1558</v>
      </c>
      <c r="E3540" s="14">
        <v>1.0</v>
      </c>
      <c r="F3540" s="15">
        <f>ROUND(15,3)</f>
        <v>15</v>
      </c>
      <c r="G3540" s="12">
        <f t="shared" si="598"/>
        <v>15</v>
      </c>
    </row>
    <row r="3541" ht="24.0" customHeight="1">
      <c r="A3541" s="10" t="s">
        <v>1186</v>
      </c>
      <c r="B3541" s="10" t="s">
        <v>26</v>
      </c>
      <c r="C3541" s="10" t="s">
        <v>23</v>
      </c>
      <c r="D3541" s="10" t="s">
        <v>1187</v>
      </c>
      <c r="E3541" s="14">
        <v>0.35</v>
      </c>
      <c r="F3541" s="15">
        <f>ROUND(49.5,3)</f>
        <v>49.5</v>
      </c>
      <c r="G3541" s="12">
        <f t="shared" si="598"/>
        <v>17.33</v>
      </c>
    </row>
    <row r="3542" ht="15.0" customHeight="1">
      <c r="A3542" s="11"/>
      <c r="B3542" s="11"/>
      <c r="C3542" s="11"/>
      <c r="D3542" s="10" t="s">
        <v>1555</v>
      </c>
      <c r="E3542" s="14">
        <v>16.0</v>
      </c>
      <c r="F3542" s="15">
        <f>ROUND((G3540+G3541),3)</f>
        <v>32.33</v>
      </c>
      <c r="G3542" s="12">
        <f t="shared" si="598"/>
        <v>517.28</v>
      </c>
    </row>
    <row r="3543" ht="21.0" customHeight="1">
      <c r="A3543" s="10" t="s">
        <v>1559</v>
      </c>
      <c r="B3543" s="10" t="s">
        <v>18</v>
      </c>
      <c r="C3543" s="10" t="s">
        <v>251</v>
      </c>
      <c r="D3543" s="10" t="s">
        <v>1560</v>
      </c>
      <c r="E3543" s="14">
        <v>65.0</v>
      </c>
      <c r="F3543" s="15">
        <f>F3547</f>
        <v>10.59</v>
      </c>
      <c r="G3543" s="12">
        <f t="shared" si="598"/>
        <v>688.35</v>
      </c>
    </row>
    <row r="3544" ht="15.0" customHeight="1">
      <c r="A3544" s="10" t="s">
        <v>1561</v>
      </c>
      <c r="B3544" s="10" t="s">
        <v>42</v>
      </c>
      <c r="C3544" s="10" t="s">
        <v>521</v>
      </c>
      <c r="D3544" s="10" t="s">
        <v>1562</v>
      </c>
      <c r="E3544" s="14">
        <v>0.21</v>
      </c>
      <c r="F3544" s="15">
        <f>ROUND(4.5,3)</f>
        <v>4.5</v>
      </c>
      <c r="G3544" s="12">
        <f t="shared" si="598"/>
        <v>0.95</v>
      </c>
    </row>
    <row r="3545" ht="15.0" customHeight="1">
      <c r="A3545" s="10" t="s">
        <v>1563</v>
      </c>
      <c r="B3545" s="10" t="s">
        <v>42</v>
      </c>
      <c r="C3545" s="10" t="s">
        <v>521</v>
      </c>
      <c r="D3545" s="10" t="s">
        <v>1564</v>
      </c>
      <c r="E3545" s="14">
        <v>0.125</v>
      </c>
      <c r="F3545" s="15">
        <f>ROUND(5.87,3)</f>
        <v>5.87</v>
      </c>
      <c r="G3545" s="12">
        <f t="shared" si="598"/>
        <v>0.73</v>
      </c>
    </row>
    <row r="3546" ht="24.0" customHeight="1">
      <c r="A3546" s="10" t="s">
        <v>1186</v>
      </c>
      <c r="B3546" s="10" t="s">
        <v>26</v>
      </c>
      <c r="C3546" s="10" t="s">
        <v>23</v>
      </c>
      <c r="D3546" s="10" t="s">
        <v>1187</v>
      </c>
      <c r="E3546" s="14">
        <v>0.18</v>
      </c>
      <c r="F3546" s="15">
        <f>ROUND(49.5,3)</f>
        <v>49.5</v>
      </c>
      <c r="G3546" s="12">
        <f t="shared" si="598"/>
        <v>8.91</v>
      </c>
    </row>
    <row r="3547" ht="15.0" customHeight="1">
      <c r="A3547" s="11"/>
      <c r="B3547" s="11"/>
      <c r="C3547" s="11"/>
      <c r="D3547" s="10" t="s">
        <v>1559</v>
      </c>
      <c r="E3547" s="14">
        <v>65.0</v>
      </c>
      <c r="F3547" s="15">
        <f>ROUND((G3544+G3545+G3546),3)</f>
        <v>10.59</v>
      </c>
      <c r="G3547" s="12">
        <f t="shared" si="598"/>
        <v>688.35</v>
      </c>
    </row>
    <row r="3548" ht="15.0" customHeight="1">
      <c r="A3548" s="10" t="s">
        <v>1565</v>
      </c>
      <c r="B3548" s="10" t="s">
        <v>18</v>
      </c>
      <c r="C3548" s="10" t="s">
        <v>858</v>
      </c>
      <c r="D3548" s="10" t="s">
        <v>1566</v>
      </c>
      <c r="E3548" s="14">
        <v>1.0</v>
      </c>
      <c r="F3548" s="15">
        <f>F3553</f>
        <v>52.65</v>
      </c>
      <c r="G3548" s="12">
        <f t="shared" si="598"/>
        <v>52.65</v>
      </c>
    </row>
    <row r="3549" ht="15.0" customHeight="1">
      <c r="A3549" s="10" t="s">
        <v>365</v>
      </c>
      <c r="B3549" s="10" t="s">
        <v>42</v>
      </c>
      <c r="C3549" s="10" t="s">
        <v>184</v>
      </c>
      <c r="D3549" s="10" t="s">
        <v>366</v>
      </c>
      <c r="E3549" s="14">
        <v>1.0</v>
      </c>
      <c r="F3549" s="15">
        <f>ROUND(32,3)</f>
        <v>32</v>
      </c>
      <c r="G3549" s="12">
        <f t="shared" si="598"/>
        <v>32</v>
      </c>
    </row>
    <row r="3550" ht="30.0" customHeight="1">
      <c r="A3550" s="10" t="s">
        <v>363</v>
      </c>
      <c r="B3550" s="10" t="s">
        <v>42</v>
      </c>
      <c r="C3550" s="10" t="s">
        <v>231</v>
      </c>
      <c r="D3550" s="10" t="s">
        <v>364</v>
      </c>
      <c r="E3550" s="14">
        <v>5.0</v>
      </c>
      <c r="F3550" s="15">
        <f>ROUND(0.17,3)</f>
        <v>0.17</v>
      </c>
      <c r="G3550" s="12">
        <f t="shared" si="598"/>
        <v>0.85</v>
      </c>
    </row>
    <row r="3551" ht="15.0" customHeight="1">
      <c r="A3551" s="10" t="s">
        <v>1567</v>
      </c>
      <c r="B3551" s="10" t="s">
        <v>42</v>
      </c>
      <c r="C3551" s="10" t="s">
        <v>222</v>
      </c>
      <c r="D3551" s="10" t="s">
        <v>1568</v>
      </c>
      <c r="E3551" s="14">
        <v>0.001</v>
      </c>
      <c r="F3551" s="15">
        <f>ROUND(88,3)</f>
        <v>88</v>
      </c>
      <c r="G3551" s="12">
        <f t="shared" si="598"/>
        <v>0.09</v>
      </c>
    </row>
    <row r="3552" ht="21.0" customHeight="1">
      <c r="A3552" s="10" t="s">
        <v>22</v>
      </c>
      <c r="B3552" s="10" t="s">
        <v>18</v>
      </c>
      <c r="C3552" s="10" t="s">
        <v>23</v>
      </c>
      <c r="D3552" s="10" t="s">
        <v>24</v>
      </c>
      <c r="E3552" s="14">
        <v>0.45</v>
      </c>
      <c r="F3552" s="15">
        <f>ROUND(43.8,3)</f>
        <v>43.8</v>
      </c>
      <c r="G3552" s="12">
        <f t="shared" si="598"/>
        <v>19.71</v>
      </c>
    </row>
    <row r="3553" ht="15.0" customHeight="1">
      <c r="A3553" s="11"/>
      <c r="B3553" s="11"/>
      <c r="C3553" s="11"/>
      <c r="D3553" s="10" t="s">
        <v>1565</v>
      </c>
      <c r="E3553" s="14">
        <v>1.0</v>
      </c>
      <c r="F3553" s="15">
        <f>ROUND((G3549+G3550+G3551+G3552),3)</f>
        <v>52.65</v>
      </c>
      <c r="G3553" s="12">
        <f t="shared" si="598"/>
        <v>52.65</v>
      </c>
    </row>
    <row r="3554" ht="15.0" customHeight="1">
      <c r="A3554" s="16"/>
      <c r="B3554" s="16"/>
      <c r="C3554" s="16"/>
      <c r="D3554" s="17" t="s">
        <v>1518</v>
      </c>
      <c r="E3554" s="16"/>
      <c r="F3554" s="18">
        <f>ROUND((G3513+G3516+G3519+G3523+G3534+G3539+G3543+G3548)*(1+G2/100),2)</f>
        <v>6245.83</v>
      </c>
      <c r="G3554" s="16"/>
    </row>
    <row r="3555" ht="30.0" customHeight="1">
      <c r="A3555" s="19" t="s">
        <v>1569</v>
      </c>
      <c r="B3555" s="20" t="s">
        <v>18</v>
      </c>
      <c r="C3555" s="20" t="s">
        <v>222</v>
      </c>
      <c r="D3555" s="20" t="s">
        <v>1570</v>
      </c>
      <c r="E3555" s="21"/>
      <c r="F3555" s="22">
        <f>F3583</f>
        <v>5863743.37</v>
      </c>
      <c r="G3555" s="21"/>
    </row>
    <row r="3556" ht="12.0" customHeight="1">
      <c r="A3556" s="11"/>
      <c r="B3556" s="11"/>
      <c r="C3556" s="11"/>
      <c r="D3556" s="10" t="s">
        <v>1570</v>
      </c>
    </row>
    <row r="3557" ht="15.0" customHeight="1">
      <c r="A3557" s="10" t="s">
        <v>1571</v>
      </c>
      <c r="B3557" s="10" t="s">
        <v>18</v>
      </c>
      <c r="C3557" s="10" t="s">
        <v>295</v>
      </c>
      <c r="D3557" s="10" t="s">
        <v>1572</v>
      </c>
      <c r="E3557" s="14">
        <v>1.0</v>
      </c>
      <c r="F3557" s="15">
        <f>F3559</f>
        <v>792</v>
      </c>
      <c r="G3557" s="12">
        <f t="shared" ref="G3557:G3582" si="599">ROUND(E3557*F3557,2)</f>
        <v>792</v>
      </c>
    </row>
    <row r="3558" ht="24.0" customHeight="1">
      <c r="A3558" s="10" t="s">
        <v>1186</v>
      </c>
      <c r="B3558" s="10" t="s">
        <v>26</v>
      </c>
      <c r="C3558" s="10" t="s">
        <v>23</v>
      </c>
      <c r="D3558" s="10" t="s">
        <v>1187</v>
      </c>
      <c r="E3558" s="14">
        <v>16.0</v>
      </c>
      <c r="F3558" s="15">
        <f>ROUND(49.5,3)</f>
        <v>49.5</v>
      </c>
      <c r="G3558" s="12">
        <f t="shared" si="599"/>
        <v>792</v>
      </c>
    </row>
    <row r="3559" ht="15.0" customHeight="1">
      <c r="A3559" s="11"/>
      <c r="B3559" s="11"/>
      <c r="C3559" s="11"/>
      <c r="D3559" s="10" t="s">
        <v>1571</v>
      </c>
      <c r="E3559" s="14">
        <v>1.0</v>
      </c>
      <c r="F3559" s="15">
        <f>ROUND((G3558),3)</f>
        <v>792</v>
      </c>
      <c r="G3559" s="12">
        <f t="shared" si="599"/>
        <v>792</v>
      </c>
    </row>
    <row r="3560" ht="21.0" customHeight="1">
      <c r="A3560" s="10" t="s">
        <v>1573</v>
      </c>
      <c r="B3560" s="10" t="s">
        <v>18</v>
      </c>
      <c r="C3560" s="10" t="s">
        <v>295</v>
      </c>
      <c r="D3560" s="10" t="s">
        <v>1574</v>
      </c>
      <c r="E3560" s="14">
        <v>7.0</v>
      </c>
      <c r="F3560" s="15">
        <f>F3578</f>
        <v>837482.51</v>
      </c>
      <c r="G3560" s="12">
        <f t="shared" si="599"/>
        <v>5862377.57</v>
      </c>
    </row>
    <row r="3561" ht="30.0" customHeight="1">
      <c r="A3561" s="10" t="s">
        <v>1575</v>
      </c>
      <c r="B3561" s="10" t="s">
        <v>42</v>
      </c>
      <c r="C3561" s="10" t="s">
        <v>304</v>
      </c>
      <c r="D3561" s="10" t="s">
        <v>1576</v>
      </c>
      <c r="E3561" s="14">
        <v>1.0</v>
      </c>
      <c r="F3561" s="15">
        <f>ROUND(7.3,3)</f>
        <v>7.3</v>
      </c>
      <c r="G3561" s="12">
        <f t="shared" si="599"/>
        <v>7.3</v>
      </c>
    </row>
    <row r="3562" ht="21.0" customHeight="1">
      <c r="A3562" s="10" t="s">
        <v>1577</v>
      </c>
      <c r="B3562" s="10" t="s">
        <v>42</v>
      </c>
      <c r="C3562" s="10" t="s">
        <v>304</v>
      </c>
      <c r="D3562" s="10" t="s">
        <v>1578</v>
      </c>
      <c r="E3562" s="14">
        <v>12.0</v>
      </c>
      <c r="F3562" s="15">
        <f>ROUND(2.1,3)</f>
        <v>2.1</v>
      </c>
      <c r="G3562" s="12">
        <f t="shared" si="599"/>
        <v>25.2</v>
      </c>
    </row>
    <row r="3563" ht="15.0" customHeight="1">
      <c r="A3563" s="10" t="s">
        <v>1536</v>
      </c>
      <c r="B3563" s="10" t="s">
        <v>42</v>
      </c>
      <c r="C3563" s="10" t="s">
        <v>304</v>
      </c>
      <c r="D3563" s="10" t="s">
        <v>1537</v>
      </c>
      <c r="E3563" s="14">
        <v>75.0</v>
      </c>
      <c r="F3563" s="15">
        <f>ROUND(2,3)</f>
        <v>2</v>
      </c>
      <c r="G3563" s="12">
        <f t="shared" si="599"/>
        <v>150</v>
      </c>
    </row>
    <row r="3564" ht="30.0" customHeight="1">
      <c r="A3564" s="10" t="s">
        <v>1538</v>
      </c>
      <c r="B3564" s="10" t="s">
        <v>42</v>
      </c>
      <c r="C3564" s="10" t="s">
        <v>304</v>
      </c>
      <c r="D3564" s="10" t="s">
        <v>1539</v>
      </c>
      <c r="E3564" s="14">
        <v>0.143</v>
      </c>
      <c r="F3564" s="15">
        <f>ROUND(6,3)</f>
        <v>6</v>
      </c>
      <c r="G3564" s="12">
        <f t="shared" si="599"/>
        <v>0.86</v>
      </c>
    </row>
    <row r="3565" ht="15.0" customHeight="1">
      <c r="A3565" s="10" t="s">
        <v>1579</v>
      </c>
      <c r="B3565" s="10" t="s">
        <v>42</v>
      </c>
      <c r="C3565" s="10" t="s">
        <v>304</v>
      </c>
      <c r="D3565" s="10" t="s">
        <v>1580</v>
      </c>
      <c r="E3565" s="14">
        <v>1.0</v>
      </c>
      <c r="F3565" s="15">
        <f>ROUND(80,3)</f>
        <v>80</v>
      </c>
      <c r="G3565" s="12">
        <f t="shared" si="599"/>
        <v>80</v>
      </c>
    </row>
    <row r="3566" ht="15.0" customHeight="1">
      <c r="A3566" s="10" t="s">
        <v>1581</v>
      </c>
      <c r="B3566" s="10" t="s">
        <v>42</v>
      </c>
      <c r="C3566" s="10" t="s">
        <v>304</v>
      </c>
      <c r="D3566" s="10" t="s">
        <v>1582</v>
      </c>
      <c r="E3566" s="14">
        <v>1.286</v>
      </c>
      <c r="F3566" s="15">
        <f t="shared" ref="F3566:F3567" si="600">ROUND(6,3)</f>
        <v>6</v>
      </c>
      <c r="G3566" s="12">
        <f t="shared" si="599"/>
        <v>7.72</v>
      </c>
    </row>
    <row r="3567" ht="15.0" customHeight="1">
      <c r="A3567" s="10" t="s">
        <v>1583</v>
      </c>
      <c r="B3567" s="10" t="s">
        <v>42</v>
      </c>
      <c r="C3567" s="10" t="s">
        <v>304</v>
      </c>
      <c r="D3567" s="10" t="s">
        <v>1584</v>
      </c>
      <c r="E3567" s="14">
        <v>1.0</v>
      </c>
      <c r="F3567" s="15">
        <f t="shared" si="600"/>
        <v>6</v>
      </c>
      <c r="G3567" s="12">
        <f t="shared" si="599"/>
        <v>6</v>
      </c>
    </row>
    <row r="3568" ht="15.0" customHeight="1">
      <c r="A3568" s="10" t="s">
        <v>1585</v>
      </c>
      <c r="B3568" s="10" t="s">
        <v>42</v>
      </c>
      <c r="C3568" s="10" t="s">
        <v>304</v>
      </c>
      <c r="D3568" s="10" t="s">
        <v>1586</v>
      </c>
      <c r="E3568" s="14">
        <v>914.46</v>
      </c>
      <c r="F3568" s="15">
        <f>ROUND(914.46,3)</f>
        <v>914.46</v>
      </c>
      <c r="G3568" s="12">
        <f t="shared" si="599"/>
        <v>836237.09</v>
      </c>
    </row>
    <row r="3569" ht="24.0" customHeight="1">
      <c r="A3569" s="10" t="s">
        <v>1186</v>
      </c>
      <c r="B3569" s="10" t="s">
        <v>26</v>
      </c>
      <c r="C3569" s="10" t="s">
        <v>23</v>
      </c>
      <c r="D3569" s="10" t="s">
        <v>1187</v>
      </c>
      <c r="E3569" s="14">
        <v>8.0</v>
      </c>
      <c r="F3569" s="15">
        <f>ROUND(49.5,3)</f>
        <v>49.5</v>
      </c>
      <c r="G3569" s="12">
        <f t="shared" si="599"/>
        <v>396</v>
      </c>
    </row>
    <row r="3570" ht="15.0" customHeight="1">
      <c r="A3570" s="10" t="s">
        <v>1587</v>
      </c>
      <c r="B3570" s="10" t="s">
        <v>42</v>
      </c>
      <c r="C3570" s="10" t="s">
        <v>1207</v>
      </c>
      <c r="D3570" s="10" t="s">
        <v>1588</v>
      </c>
      <c r="E3570" s="14">
        <v>100.0</v>
      </c>
      <c r="F3570" s="15">
        <f>ROUND(0.22,3)</f>
        <v>0.22</v>
      </c>
      <c r="G3570" s="12">
        <f t="shared" si="599"/>
        <v>22</v>
      </c>
    </row>
    <row r="3571" ht="15.0" customHeight="1">
      <c r="A3571" s="10" t="s">
        <v>1589</v>
      </c>
      <c r="B3571" s="10" t="s">
        <v>42</v>
      </c>
      <c r="C3571" s="10" t="s">
        <v>304</v>
      </c>
      <c r="D3571" s="10" t="s">
        <v>1590</v>
      </c>
      <c r="E3571" s="14">
        <v>1.0</v>
      </c>
      <c r="F3571" s="15">
        <f>ROUND(403.83,3)</f>
        <v>403.83</v>
      </c>
      <c r="G3571" s="12">
        <f t="shared" si="599"/>
        <v>403.83</v>
      </c>
    </row>
    <row r="3572" ht="30.0" customHeight="1">
      <c r="A3572" s="10" t="s">
        <v>1575</v>
      </c>
      <c r="B3572" s="10" t="s">
        <v>42</v>
      </c>
      <c r="C3572" s="10" t="s">
        <v>304</v>
      </c>
      <c r="D3572" s="10" t="s">
        <v>1576</v>
      </c>
      <c r="E3572" s="14">
        <v>1.0</v>
      </c>
      <c r="F3572" s="15">
        <f>ROUND(7.3,3)</f>
        <v>7.3</v>
      </c>
      <c r="G3572" s="12">
        <f t="shared" si="599"/>
        <v>7.3</v>
      </c>
    </row>
    <row r="3573" ht="21.0" customHeight="1">
      <c r="A3573" s="10" t="s">
        <v>1577</v>
      </c>
      <c r="B3573" s="10" t="s">
        <v>42</v>
      </c>
      <c r="C3573" s="10" t="s">
        <v>304</v>
      </c>
      <c r="D3573" s="10" t="s">
        <v>1578</v>
      </c>
      <c r="E3573" s="14">
        <v>8.0</v>
      </c>
      <c r="F3573" s="15">
        <f>ROUND(2.1,3)</f>
        <v>2.1</v>
      </c>
      <c r="G3573" s="12">
        <f t="shared" si="599"/>
        <v>16.8</v>
      </c>
    </row>
    <row r="3574" ht="15.0" customHeight="1">
      <c r="A3574" s="10" t="s">
        <v>1591</v>
      </c>
      <c r="B3574" s="10" t="s">
        <v>42</v>
      </c>
      <c r="C3574" s="10" t="s">
        <v>1207</v>
      </c>
      <c r="D3574" s="10" t="s">
        <v>1592</v>
      </c>
      <c r="E3574" s="14">
        <v>33.333</v>
      </c>
      <c r="F3574" s="15">
        <f>ROUND(0.38,3)</f>
        <v>0.38</v>
      </c>
      <c r="G3574" s="12">
        <f t="shared" si="599"/>
        <v>12.67</v>
      </c>
    </row>
    <row r="3575" ht="15.0" customHeight="1">
      <c r="A3575" s="10" t="s">
        <v>1544</v>
      </c>
      <c r="B3575" s="10" t="s">
        <v>112</v>
      </c>
      <c r="C3575" s="10" t="s">
        <v>304</v>
      </c>
      <c r="D3575" s="10" t="s">
        <v>605</v>
      </c>
      <c r="E3575" s="14">
        <v>3.33</v>
      </c>
      <c r="F3575" s="15">
        <f>ROUND(10,3)</f>
        <v>10</v>
      </c>
      <c r="G3575" s="12">
        <f t="shared" si="599"/>
        <v>33.3</v>
      </c>
    </row>
    <row r="3576" ht="21.0" customHeight="1">
      <c r="A3576" s="10" t="s">
        <v>1593</v>
      </c>
      <c r="B3576" s="10" t="s">
        <v>42</v>
      </c>
      <c r="C3576" s="10" t="s">
        <v>304</v>
      </c>
      <c r="D3576" s="10" t="s">
        <v>1594</v>
      </c>
      <c r="E3576" s="14">
        <v>0.333</v>
      </c>
      <c r="F3576" s="15">
        <f>ROUND(180,3)</f>
        <v>180</v>
      </c>
      <c r="G3576" s="12">
        <f t="shared" si="599"/>
        <v>59.94</v>
      </c>
    </row>
    <row r="3577" ht="15.0" customHeight="1">
      <c r="A3577" s="10" t="s">
        <v>1587</v>
      </c>
      <c r="B3577" s="10" t="s">
        <v>42</v>
      </c>
      <c r="C3577" s="10" t="s">
        <v>1207</v>
      </c>
      <c r="D3577" s="10" t="s">
        <v>1588</v>
      </c>
      <c r="E3577" s="14">
        <v>75.0</v>
      </c>
      <c r="F3577" s="15">
        <f>ROUND(0.22,3)</f>
        <v>0.22</v>
      </c>
      <c r="G3577" s="12">
        <f t="shared" si="599"/>
        <v>16.5</v>
      </c>
    </row>
    <row r="3578" ht="15.0" customHeight="1">
      <c r="A3578" s="11"/>
      <c r="B3578" s="11"/>
      <c r="C3578" s="11"/>
      <c r="D3578" s="10" t="s">
        <v>1573</v>
      </c>
      <c r="E3578" s="14">
        <v>7.0</v>
      </c>
      <c r="F3578" s="15">
        <f>ROUND((G3561+G3562+G3563+G3564+G3565+G3566+G3567+G3568+G3569+G3570+G3571+G3572+G3573+G3574+G3575+G3576+G3577),3)</f>
        <v>837482.51</v>
      </c>
      <c r="G3578" s="12">
        <f t="shared" si="599"/>
        <v>5862377.57</v>
      </c>
    </row>
    <row r="3579" ht="21.0" customHeight="1">
      <c r="A3579" s="10" t="s">
        <v>1595</v>
      </c>
      <c r="B3579" s="10" t="s">
        <v>18</v>
      </c>
      <c r="C3579" s="10" t="s">
        <v>295</v>
      </c>
      <c r="D3579" s="10" t="s">
        <v>1596</v>
      </c>
      <c r="E3579" s="14">
        <v>4.0</v>
      </c>
      <c r="F3579" s="15">
        <f>F3582</f>
        <v>143.45</v>
      </c>
      <c r="G3579" s="12">
        <f t="shared" si="599"/>
        <v>573.8</v>
      </c>
    </row>
    <row r="3580" ht="21.0" customHeight="1">
      <c r="A3580" s="10" t="s">
        <v>1597</v>
      </c>
      <c r="B3580" s="10" t="s">
        <v>42</v>
      </c>
      <c r="C3580" s="10" t="s">
        <v>351</v>
      </c>
      <c r="D3580" s="10" t="s">
        <v>1598</v>
      </c>
      <c r="E3580" s="14">
        <v>1.0</v>
      </c>
      <c r="F3580" s="15">
        <f>ROUND(29.45,3)</f>
        <v>29.45</v>
      </c>
      <c r="G3580" s="12">
        <f t="shared" si="599"/>
        <v>29.45</v>
      </c>
    </row>
    <row r="3581" ht="24.0" customHeight="1">
      <c r="A3581" s="10" t="s">
        <v>1547</v>
      </c>
      <c r="B3581" s="10" t="s">
        <v>26</v>
      </c>
      <c r="C3581" s="10" t="s">
        <v>23</v>
      </c>
      <c r="D3581" s="10" t="s">
        <v>1548</v>
      </c>
      <c r="E3581" s="14">
        <v>2.4</v>
      </c>
      <c r="F3581" s="15">
        <f>ROUND(47.5,3)</f>
        <v>47.5</v>
      </c>
      <c r="G3581" s="12">
        <f t="shared" si="599"/>
        <v>114</v>
      </c>
    </row>
    <row r="3582" ht="15.0" customHeight="1">
      <c r="A3582" s="11"/>
      <c r="B3582" s="11"/>
      <c r="C3582" s="11"/>
      <c r="D3582" s="10" t="s">
        <v>1595</v>
      </c>
      <c r="E3582" s="14">
        <v>4.0</v>
      </c>
      <c r="F3582" s="15">
        <f>ROUND((G3580+G3581),3)</f>
        <v>143.45</v>
      </c>
      <c r="G3582" s="12">
        <f t="shared" si="599"/>
        <v>573.8</v>
      </c>
    </row>
    <row r="3583" ht="15.0" customHeight="1">
      <c r="A3583" s="16"/>
      <c r="B3583" s="16"/>
      <c r="C3583" s="16"/>
      <c r="D3583" s="17" t="s">
        <v>1569</v>
      </c>
      <c r="E3583" s="16"/>
      <c r="F3583" s="18">
        <f>ROUND((G3557+G3560+G3579)*(1+G2/100),2)</f>
        <v>5863743.37</v>
      </c>
      <c r="G3583" s="16"/>
    </row>
    <row r="3584" ht="21.0" customHeight="1">
      <c r="A3584" s="19" t="s">
        <v>1599</v>
      </c>
      <c r="B3584" s="20" t="s">
        <v>18</v>
      </c>
      <c r="C3584" s="20" t="s">
        <v>222</v>
      </c>
      <c r="D3584" s="20" t="s">
        <v>1600</v>
      </c>
      <c r="E3584" s="21"/>
      <c r="F3584" s="22">
        <f>F3591</f>
        <v>25.14</v>
      </c>
      <c r="G3584" s="21"/>
    </row>
    <row r="3585" ht="12.0" customHeight="1">
      <c r="A3585" s="11"/>
      <c r="B3585" s="11"/>
      <c r="C3585" s="11"/>
      <c r="D3585" s="10" t="s">
        <v>1600</v>
      </c>
    </row>
    <row r="3586" ht="48.75" customHeight="1">
      <c r="A3586" s="10" t="s">
        <v>1601</v>
      </c>
      <c r="B3586" s="10" t="s">
        <v>18</v>
      </c>
      <c r="C3586" s="10" t="s">
        <v>251</v>
      </c>
      <c r="D3586" s="10" t="s">
        <v>1602</v>
      </c>
      <c r="E3586" s="14">
        <v>1.0</v>
      </c>
      <c r="F3586" s="15">
        <f>F3590</f>
        <v>25.14</v>
      </c>
      <c r="G3586" s="12">
        <f t="shared" ref="G3586:G3590" si="601">ROUND(E3586*F3586,2)</f>
        <v>25.14</v>
      </c>
    </row>
    <row r="3587" ht="30.0" customHeight="1">
      <c r="A3587" s="10" t="s">
        <v>1603</v>
      </c>
      <c r="B3587" s="10" t="s">
        <v>42</v>
      </c>
      <c r="C3587" s="10" t="s">
        <v>1181</v>
      </c>
      <c r="D3587" s="10" t="s">
        <v>1604</v>
      </c>
      <c r="E3587" s="14">
        <v>0.023</v>
      </c>
      <c r="F3587" s="15">
        <f>ROUND(312,3)</f>
        <v>312</v>
      </c>
      <c r="G3587" s="12">
        <f t="shared" si="601"/>
        <v>7.18</v>
      </c>
    </row>
    <row r="3588" ht="21.0" customHeight="1">
      <c r="A3588" s="10" t="s">
        <v>1605</v>
      </c>
      <c r="B3588" s="10" t="s">
        <v>112</v>
      </c>
      <c r="C3588" s="10" t="s">
        <v>23</v>
      </c>
      <c r="D3588" s="10" t="s">
        <v>1606</v>
      </c>
      <c r="E3588" s="14">
        <v>0.27</v>
      </c>
      <c r="F3588" s="15">
        <f>ROUND(11.5,3)</f>
        <v>11.5</v>
      </c>
      <c r="G3588" s="12">
        <f t="shared" si="601"/>
        <v>3.11</v>
      </c>
    </row>
    <row r="3589" ht="24.0" customHeight="1">
      <c r="A3589" s="10" t="s">
        <v>1186</v>
      </c>
      <c r="B3589" s="10" t="s">
        <v>26</v>
      </c>
      <c r="C3589" s="10" t="s">
        <v>23</v>
      </c>
      <c r="D3589" s="10" t="s">
        <v>1187</v>
      </c>
      <c r="E3589" s="14">
        <v>0.3</v>
      </c>
      <c r="F3589" s="15">
        <f>ROUND(49.5,3)</f>
        <v>49.5</v>
      </c>
      <c r="G3589" s="12">
        <f t="shared" si="601"/>
        <v>14.85</v>
      </c>
    </row>
    <row r="3590" ht="15.0" customHeight="1">
      <c r="A3590" s="11"/>
      <c r="B3590" s="11"/>
      <c r="C3590" s="11"/>
      <c r="D3590" s="10" t="s">
        <v>1601</v>
      </c>
      <c r="E3590" s="14">
        <v>1.0</v>
      </c>
      <c r="F3590" s="15">
        <f>ROUND((G3587+G3588+G3589),3)</f>
        <v>25.14</v>
      </c>
      <c r="G3590" s="12">
        <f t="shared" si="601"/>
        <v>25.14</v>
      </c>
    </row>
    <row r="3591" ht="15.0" customHeight="1">
      <c r="A3591" s="16"/>
      <c r="B3591" s="16"/>
      <c r="C3591" s="16"/>
      <c r="D3591" s="17" t="s">
        <v>1599</v>
      </c>
      <c r="E3591" s="16"/>
      <c r="F3591" s="18">
        <f>ROUND((G3586)*(1+G2/100),2)</f>
        <v>25.14</v>
      </c>
      <c r="G3591" s="16"/>
    </row>
    <row r="3592" ht="30.0" customHeight="1">
      <c r="A3592" s="19" t="s">
        <v>1607</v>
      </c>
      <c r="B3592" s="20" t="s">
        <v>18</v>
      </c>
      <c r="C3592" s="20" t="s">
        <v>1201</v>
      </c>
      <c r="D3592" s="20" t="s">
        <v>1608</v>
      </c>
      <c r="E3592" s="21"/>
      <c r="F3592" s="22">
        <f>F3606</f>
        <v>7.8</v>
      </c>
      <c r="G3592" s="21"/>
    </row>
    <row r="3593" ht="57.75" customHeight="1">
      <c r="A3593" s="11"/>
      <c r="B3593" s="11"/>
      <c r="C3593" s="11"/>
      <c r="D3593" s="10" t="s">
        <v>1609</v>
      </c>
    </row>
    <row r="3594" ht="15.0" customHeight="1">
      <c r="A3594" s="10" t="s">
        <v>1610</v>
      </c>
      <c r="B3594" s="10" t="s">
        <v>42</v>
      </c>
      <c r="C3594" s="10" t="s">
        <v>1207</v>
      </c>
      <c r="D3594" s="10" t="s">
        <v>1611</v>
      </c>
      <c r="E3594" s="14">
        <v>1.0</v>
      </c>
      <c r="F3594" s="15">
        <f>ROUND(3,3)</f>
        <v>3</v>
      </c>
      <c r="G3594" s="12">
        <f t="shared" ref="G3594:G3599" si="602">ROUND(E3594*F3594,2)</f>
        <v>3</v>
      </c>
    </row>
    <row r="3595" ht="15.0" customHeight="1">
      <c r="A3595" s="10" t="s">
        <v>1612</v>
      </c>
      <c r="B3595" s="10" t="s">
        <v>42</v>
      </c>
      <c r="C3595" s="10" t="s">
        <v>23</v>
      </c>
      <c r="D3595" s="10" t="s">
        <v>1613</v>
      </c>
      <c r="E3595" s="14">
        <v>0.06</v>
      </c>
      <c r="F3595" s="15">
        <f>ROUND(6.25,3)</f>
        <v>6.25</v>
      </c>
      <c r="G3595" s="12">
        <f t="shared" si="602"/>
        <v>0.38</v>
      </c>
    </row>
    <row r="3596" ht="21.0" customHeight="1">
      <c r="A3596" s="10" t="s">
        <v>1614</v>
      </c>
      <c r="B3596" s="10" t="s">
        <v>42</v>
      </c>
      <c r="C3596" s="10" t="s">
        <v>304</v>
      </c>
      <c r="D3596" s="10" t="s">
        <v>1615</v>
      </c>
      <c r="E3596" s="14">
        <v>0.001</v>
      </c>
      <c r="F3596" s="15">
        <f>ROUND(23.83,3)</f>
        <v>23.83</v>
      </c>
      <c r="G3596" s="12">
        <f t="shared" si="602"/>
        <v>0.02</v>
      </c>
    </row>
    <row r="3597" ht="30.0" customHeight="1">
      <c r="A3597" s="10" t="s">
        <v>1616</v>
      </c>
      <c r="B3597" s="10" t="s">
        <v>42</v>
      </c>
      <c r="C3597" s="10" t="s">
        <v>304</v>
      </c>
      <c r="D3597" s="10" t="s">
        <v>1617</v>
      </c>
      <c r="E3597" s="14">
        <v>0.001</v>
      </c>
      <c r="F3597" s="15">
        <f>ROUND(6.64,3)</f>
        <v>6.64</v>
      </c>
      <c r="G3597" s="12">
        <f t="shared" si="602"/>
        <v>0.01</v>
      </c>
    </row>
    <row r="3598" ht="21.0" customHeight="1">
      <c r="A3598" s="10" t="s">
        <v>1618</v>
      </c>
      <c r="B3598" s="10" t="s">
        <v>42</v>
      </c>
      <c r="C3598" s="10" t="s">
        <v>304</v>
      </c>
      <c r="D3598" s="10" t="s">
        <v>1619</v>
      </c>
      <c r="E3598" s="14">
        <v>0.001</v>
      </c>
      <c r="F3598" s="15">
        <f>ROUND(10.87,3)</f>
        <v>10.87</v>
      </c>
      <c r="G3598" s="12">
        <f t="shared" si="602"/>
        <v>0.01</v>
      </c>
    </row>
    <row r="3599" ht="21.0" customHeight="1">
      <c r="A3599" s="10" t="s">
        <v>1577</v>
      </c>
      <c r="B3599" s="10" t="s">
        <v>42</v>
      </c>
      <c r="C3599" s="10" t="s">
        <v>304</v>
      </c>
      <c r="D3599" s="10" t="s">
        <v>1578</v>
      </c>
      <c r="E3599" s="14">
        <v>0.001</v>
      </c>
      <c r="F3599" s="15">
        <f>ROUND(2.1,3)</f>
        <v>2.1</v>
      </c>
      <c r="G3599" s="12">
        <f t="shared" si="602"/>
        <v>0</v>
      </c>
    </row>
    <row r="3600" ht="15.0" customHeight="1">
      <c r="A3600" s="10" t="s">
        <v>32</v>
      </c>
      <c r="B3600" s="10"/>
      <c r="C3600" s="10" t="s">
        <v>33</v>
      </c>
      <c r="D3600" s="10" t="s">
        <v>34</v>
      </c>
      <c r="E3600" s="14">
        <v>3.0</v>
      </c>
      <c r="F3600" s="15">
        <f>ROUND(0,3)</f>
        <v>0</v>
      </c>
      <c r="G3600" s="12">
        <f>ROUND((E3600*F3600)/100,2)</f>
        <v>0</v>
      </c>
    </row>
    <row r="3601" ht="21.0" customHeight="1">
      <c r="A3601" s="10" t="s">
        <v>22</v>
      </c>
      <c r="B3601" s="10" t="s">
        <v>18</v>
      </c>
      <c r="C3601" s="10" t="s">
        <v>23</v>
      </c>
      <c r="D3601" s="10" t="s">
        <v>24</v>
      </c>
      <c r="E3601" s="14">
        <v>0.1</v>
      </c>
      <c r="F3601" s="15">
        <f>F3605</f>
        <v>43.8</v>
      </c>
      <c r="G3601" s="12">
        <f t="shared" ref="G3601:G3605" si="603">ROUND(E3601*F3601,2)</f>
        <v>4.38</v>
      </c>
    </row>
    <row r="3602" ht="24.0" customHeight="1">
      <c r="A3602" s="10" t="s">
        <v>25</v>
      </c>
      <c r="B3602" s="10" t="s">
        <v>26</v>
      </c>
      <c r="C3602" s="10" t="s">
        <v>23</v>
      </c>
      <c r="D3602" s="10" t="s">
        <v>27</v>
      </c>
      <c r="E3602" s="14">
        <v>1.0</v>
      </c>
      <c r="F3602" s="15">
        <f>ROUND(21,3)</f>
        <v>21</v>
      </c>
      <c r="G3602" s="12">
        <f t="shared" si="603"/>
        <v>21</v>
      </c>
    </row>
    <row r="3603" ht="24.0" customHeight="1">
      <c r="A3603" s="10" t="s">
        <v>28</v>
      </c>
      <c r="B3603" s="10" t="s">
        <v>26</v>
      </c>
      <c r="C3603" s="10" t="s">
        <v>23</v>
      </c>
      <c r="D3603" s="10" t="s">
        <v>29</v>
      </c>
      <c r="E3603" s="14">
        <v>1.0</v>
      </c>
      <c r="F3603" s="15">
        <f t="shared" ref="F3603:F3604" si="604">ROUND(19,3)</f>
        <v>19</v>
      </c>
      <c r="G3603" s="12">
        <f t="shared" si="603"/>
        <v>19</v>
      </c>
    </row>
    <row r="3604" ht="24.0" customHeight="1">
      <c r="A3604" s="10" t="s">
        <v>30</v>
      </c>
      <c r="B3604" s="10" t="s">
        <v>26</v>
      </c>
      <c r="C3604" s="10" t="s">
        <v>23</v>
      </c>
      <c r="D3604" s="10" t="s">
        <v>31</v>
      </c>
      <c r="E3604" s="14">
        <v>0.2</v>
      </c>
      <c r="F3604" s="15">
        <f t="shared" si="604"/>
        <v>19</v>
      </c>
      <c r="G3604" s="12">
        <f t="shared" si="603"/>
        <v>3.8</v>
      </c>
    </row>
    <row r="3605" ht="15.0" customHeight="1">
      <c r="A3605" s="11"/>
      <c r="B3605" s="11"/>
      <c r="C3605" s="11"/>
      <c r="D3605" s="10" t="s">
        <v>22</v>
      </c>
      <c r="E3605" s="14">
        <v>0.1</v>
      </c>
      <c r="F3605" s="15">
        <f>ROUND((G3602+G3603+G3604),3)</f>
        <v>43.8</v>
      </c>
      <c r="G3605" s="12">
        <f t="shared" si="603"/>
        <v>4.38</v>
      </c>
    </row>
    <row r="3606" ht="15.0" customHeight="1">
      <c r="A3606" s="16"/>
      <c r="B3606" s="16"/>
      <c r="C3606" s="16"/>
      <c r="D3606" s="17" t="s">
        <v>1607</v>
      </c>
      <c r="E3606" s="16"/>
      <c r="F3606" s="18">
        <f>ROUND((G3594+G3595+G3596+G3597+G3598+G3599+G3600+G3601)*(1+G2/100),2)</f>
        <v>7.8</v>
      </c>
      <c r="G3606" s="16"/>
    </row>
    <row r="3607" ht="15.0" customHeight="1">
      <c r="A3607" s="23"/>
      <c r="B3607" s="23"/>
      <c r="C3607" s="23"/>
      <c r="D3607" s="32" t="s">
        <v>1516</v>
      </c>
      <c r="E3607" s="33"/>
      <c r="F3607" s="33"/>
      <c r="G3607" s="33"/>
    </row>
    <row r="3608" ht="15.0" customHeight="1">
      <c r="A3608" s="34" t="s">
        <v>1620</v>
      </c>
      <c r="B3608" s="34" t="s">
        <v>10</v>
      </c>
      <c r="C3608" s="35"/>
      <c r="D3608" s="34" t="s">
        <v>1621</v>
      </c>
      <c r="E3608" s="35"/>
      <c r="F3608" s="35"/>
      <c r="G3608" s="35"/>
    </row>
    <row r="3609" ht="21.0" customHeight="1">
      <c r="A3609" s="13" t="s">
        <v>1622</v>
      </c>
      <c r="B3609" s="10" t="s">
        <v>18</v>
      </c>
      <c r="C3609" s="10" t="s">
        <v>295</v>
      </c>
      <c r="D3609" s="10" t="s">
        <v>1574</v>
      </c>
      <c r="E3609" s="11"/>
      <c r="F3609" s="12">
        <f>F3628</f>
        <v>1230.33</v>
      </c>
      <c r="G3609" s="11"/>
    </row>
    <row r="3610" ht="48.75" customHeight="1">
      <c r="A3610" s="11"/>
      <c r="B3610" s="11"/>
      <c r="C3610" s="11"/>
      <c r="D3610" s="10" t="s">
        <v>1623</v>
      </c>
    </row>
    <row r="3611" ht="21.0" customHeight="1">
      <c r="A3611" s="10" t="s">
        <v>1577</v>
      </c>
      <c r="B3611" s="10" t="s">
        <v>42</v>
      </c>
      <c r="C3611" s="10" t="s">
        <v>304</v>
      </c>
      <c r="D3611" s="10" t="s">
        <v>1578</v>
      </c>
      <c r="E3611" s="14">
        <v>12.0</v>
      </c>
      <c r="F3611" s="15">
        <f>ROUND(2.1,3)</f>
        <v>2.1</v>
      </c>
      <c r="G3611" s="12">
        <f t="shared" ref="G3611:G3627" si="605">ROUND(E3611*F3611,2)</f>
        <v>25.2</v>
      </c>
    </row>
    <row r="3612" ht="15.0" customHeight="1">
      <c r="A3612" s="10" t="s">
        <v>1536</v>
      </c>
      <c r="B3612" s="10" t="s">
        <v>42</v>
      </c>
      <c r="C3612" s="10" t="s">
        <v>304</v>
      </c>
      <c r="D3612" s="10" t="s">
        <v>1537</v>
      </c>
      <c r="E3612" s="14">
        <v>75.0</v>
      </c>
      <c r="F3612" s="15">
        <f>ROUND(2,3)</f>
        <v>2</v>
      </c>
      <c r="G3612" s="12">
        <f t="shared" si="605"/>
        <v>150</v>
      </c>
    </row>
    <row r="3613" ht="30.0" customHeight="1">
      <c r="A3613" s="10" t="s">
        <v>1575</v>
      </c>
      <c r="B3613" s="10" t="s">
        <v>42</v>
      </c>
      <c r="C3613" s="10" t="s">
        <v>304</v>
      </c>
      <c r="D3613" s="10" t="s">
        <v>1576</v>
      </c>
      <c r="E3613" s="14">
        <v>1.0</v>
      </c>
      <c r="F3613" s="15">
        <f>ROUND(7.3,3)</f>
        <v>7.3</v>
      </c>
      <c r="G3613" s="12">
        <f t="shared" si="605"/>
        <v>7.3</v>
      </c>
    </row>
    <row r="3614" ht="30.0" customHeight="1">
      <c r="A3614" s="10" t="s">
        <v>1538</v>
      </c>
      <c r="B3614" s="10" t="s">
        <v>42</v>
      </c>
      <c r="C3614" s="10" t="s">
        <v>304</v>
      </c>
      <c r="D3614" s="10" t="s">
        <v>1539</v>
      </c>
      <c r="E3614" s="14">
        <v>0.143</v>
      </c>
      <c r="F3614" s="15">
        <f>ROUND(6,3)</f>
        <v>6</v>
      </c>
      <c r="G3614" s="12">
        <f t="shared" si="605"/>
        <v>0.86</v>
      </c>
    </row>
    <row r="3615" ht="15.0" customHeight="1">
      <c r="A3615" s="10" t="s">
        <v>1579</v>
      </c>
      <c r="B3615" s="10" t="s">
        <v>42</v>
      </c>
      <c r="C3615" s="10" t="s">
        <v>304</v>
      </c>
      <c r="D3615" s="10" t="s">
        <v>1580</v>
      </c>
      <c r="E3615" s="14">
        <v>1.0</v>
      </c>
      <c r="F3615" s="15">
        <f>ROUND(80,3)</f>
        <v>80</v>
      </c>
      <c r="G3615" s="12">
        <f t="shared" si="605"/>
        <v>80</v>
      </c>
    </row>
    <row r="3616" ht="15.0" customHeight="1">
      <c r="A3616" s="10" t="s">
        <v>1581</v>
      </c>
      <c r="B3616" s="10" t="s">
        <v>42</v>
      </c>
      <c r="C3616" s="10" t="s">
        <v>304</v>
      </c>
      <c r="D3616" s="10" t="s">
        <v>1582</v>
      </c>
      <c r="E3616" s="14">
        <v>1.286</v>
      </c>
      <c r="F3616" s="15">
        <f>ROUND(6,3)</f>
        <v>6</v>
      </c>
      <c r="G3616" s="12">
        <f t="shared" si="605"/>
        <v>7.72</v>
      </c>
    </row>
    <row r="3617" ht="15.0" customHeight="1">
      <c r="A3617" s="10" t="s">
        <v>1587</v>
      </c>
      <c r="B3617" s="10" t="s">
        <v>42</v>
      </c>
      <c r="C3617" s="10" t="s">
        <v>1207</v>
      </c>
      <c r="D3617" s="10" t="s">
        <v>1588</v>
      </c>
      <c r="E3617" s="14">
        <v>100.0</v>
      </c>
      <c r="F3617" s="15">
        <f>ROUND(0.22,3)</f>
        <v>0.22</v>
      </c>
      <c r="G3617" s="12">
        <f t="shared" si="605"/>
        <v>22</v>
      </c>
    </row>
    <row r="3618" ht="30.0" customHeight="1">
      <c r="A3618" s="10" t="s">
        <v>1575</v>
      </c>
      <c r="B3618" s="10" t="s">
        <v>42</v>
      </c>
      <c r="C3618" s="10" t="s">
        <v>304</v>
      </c>
      <c r="D3618" s="10" t="s">
        <v>1576</v>
      </c>
      <c r="E3618" s="14">
        <v>1.0</v>
      </c>
      <c r="F3618" s="15">
        <f>ROUND(7.3,3)</f>
        <v>7.3</v>
      </c>
      <c r="G3618" s="12">
        <f t="shared" si="605"/>
        <v>7.3</v>
      </c>
    </row>
    <row r="3619" ht="15.0" customHeight="1">
      <c r="A3619" s="10" t="s">
        <v>1589</v>
      </c>
      <c r="B3619" s="10" t="s">
        <v>42</v>
      </c>
      <c r="C3619" s="10" t="s">
        <v>304</v>
      </c>
      <c r="D3619" s="10" t="s">
        <v>1590</v>
      </c>
      <c r="E3619" s="14">
        <v>1.0</v>
      </c>
      <c r="F3619" s="15">
        <f>ROUND(403.83,3)</f>
        <v>403.83</v>
      </c>
      <c r="G3619" s="12">
        <f t="shared" si="605"/>
        <v>403.83</v>
      </c>
    </row>
    <row r="3620" ht="21.0" customHeight="1">
      <c r="A3620" s="10" t="s">
        <v>1577</v>
      </c>
      <c r="B3620" s="10" t="s">
        <v>42</v>
      </c>
      <c r="C3620" s="10" t="s">
        <v>304</v>
      </c>
      <c r="D3620" s="10" t="s">
        <v>1578</v>
      </c>
      <c r="E3620" s="14">
        <v>8.0</v>
      </c>
      <c r="F3620" s="15">
        <f>ROUND(2.1,3)</f>
        <v>2.1</v>
      </c>
      <c r="G3620" s="12">
        <f t="shared" si="605"/>
        <v>16.8</v>
      </c>
    </row>
    <row r="3621" ht="15.0" customHeight="1">
      <c r="A3621" s="10" t="s">
        <v>1591</v>
      </c>
      <c r="B3621" s="10" t="s">
        <v>42</v>
      </c>
      <c r="C3621" s="10" t="s">
        <v>1207</v>
      </c>
      <c r="D3621" s="10" t="s">
        <v>1592</v>
      </c>
      <c r="E3621" s="14">
        <v>33.333</v>
      </c>
      <c r="F3621" s="15">
        <f>ROUND(0.38,3)</f>
        <v>0.38</v>
      </c>
      <c r="G3621" s="12">
        <f t="shared" si="605"/>
        <v>12.67</v>
      </c>
    </row>
    <row r="3622" ht="15.0" customHeight="1">
      <c r="A3622" s="10" t="s">
        <v>1544</v>
      </c>
      <c r="B3622" s="10" t="s">
        <v>112</v>
      </c>
      <c r="C3622" s="10" t="s">
        <v>304</v>
      </c>
      <c r="D3622" s="10" t="s">
        <v>605</v>
      </c>
      <c r="E3622" s="14">
        <v>3.33</v>
      </c>
      <c r="F3622" s="15">
        <f>ROUND(10,3)</f>
        <v>10</v>
      </c>
      <c r="G3622" s="12">
        <f t="shared" si="605"/>
        <v>33.3</v>
      </c>
    </row>
    <row r="3623" ht="15.0" customHeight="1">
      <c r="A3623" s="10" t="s">
        <v>1583</v>
      </c>
      <c r="B3623" s="10" t="s">
        <v>42</v>
      </c>
      <c r="C3623" s="10" t="s">
        <v>304</v>
      </c>
      <c r="D3623" s="10" t="s">
        <v>1584</v>
      </c>
      <c r="E3623" s="14">
        <v>1.0</v>
      </c>
      <c r="F3623" s="15">
        <f>ROUND(6,3)</f>
        <v>6</v>
      </c>
      <c r="G3623" s="12">
        <f t="shared" si="605"/>
        <v>6</v>
      </c>
    </row>
    <row r="3624" ht="21.0" customHeight="1">
      <c r="A3624" s="10" t="s">
        <v>1593</v>
      </c>
      <c r="B3624" s="10" t="s">
        <v>42</v>
      </c>
      <c r="C3624" s="10" t="s">
        <v>304</v>
      </c>
      <c r="D3624" s="10" t="s">
        <v>1594</v>
      </c>
      <c r="E3624" s="14">
        <v>0.333</v>
      </c>
      <c r="F3624" s="15">
        <f>ROUND(180,3)</f>
        <v>180</v>
      </c>
      <c r="G3624" s="12">
        <f t="shared" si="605"/>
        <v>59.94</v>
      </c>
    </row>
    <row r="3625" ht="15.0" customHeight="1">
      <c r="A3625" s="10" t="s">
        <v>1587</v>
      </c>
      <c r="B3625" s="10" t="s">
        <v>42</v>
      </c>
      <c r="C3625" s="10" t="s">
        <v>1207</v>
      </c>
      <c r="D3625" s="10" t="s">
        <v>1588</v>
      </c>
      <c r="E3625" s="14">
        <v>75.0</v>
      </c>
      <c r="F3625" s="15">
        <f>ROUND(0.22,3)</f>
        <v>0.22</v>
      </c>
      <c r="G3625" s="12">
        <f t="shared" si="605"/>
        <v>16.5</v>
      </c>
    </row>
    <row r="3626" ht="24.0" customHeight="1">
      <c r="A3626" s="10" t="s">
        <v>1547</v>
      </c>
      <c r="B3626" s="10" t="s">
        <v>26</v>
      </c>
      <c r="C3626" s="10" t="s">
        <v>23</v>
      </c>
      <c r="D3626" s="10" t="s">
        <v>1548</v>
      </c>
      <c r="E3626" s="14">
        <v>8.0</v>
      </c>
      <c r="F3626" s="15">
        <f>ROUND(47.5,3)</f>
        <v>47.5</v>
      </c>
      <c r="G3626" s="12">
        <f t="shared" si="605"/>
        <v>380</v>
      </c>
    </row>
    <row r="3627" ht="15.0" customHeight="1">
      <c r="A3627" s="10" t="s">
        <v>1585</v>
      </c>
      <c r="B3627" s="10" t="s">
        <v>42</v>
      </c>
      <c r="C3627" s="10" t="s">
        <v>304</v>
      </c>
      <c r="D3627" s="10" t="s">
        <v>1586</v>
      </c>
      <c r="E3627" s="14">
        <v>0.001</v>
      </c>
      <c r="F3627" s="15">
        <f>ROUND(914.46,3)</f>
        <v>914.46</v>
      </c>
      <c r="G3627" s="12">
        <f t="shared" si="605"/>
        <v>0.91</v>
      </c>
    </row>
    <row r="3628" ht="15.0" customHeight="1">
      <c r="A3628" s="16"/>
      <c r="B3628" s="16"/>
      <c r="C3628" s="16"/>
      <c r="D3628" s="17" t="s">
        <v>1622</v>
      </c>
      <c r="E3628" s="16"/>
      <c r="F3628" s="18">
        <f>ROUND((G3611+G3612+G3613+G3614+G3615+G3616+G3617+G3618+G3619+G3620+G3621+G3622+G3623+G3624+G3625+G3626+G3627)*(1+G2/100),2)</f>
        <v>1230.33</v>
      </c>
      <c r="G3628" s="16"/>
    </row>
    <row r="3629" ht="21.0" customHeight="1">
      <c r="A3629" s="19" t="s">
        <v>1624</v>
      </c>
      <c r="B3629" s="20" t="s">
        <v>18</v>
      </c>
      <c r="C3629" s="20" t="s">
        <v>295</v>
      </c>
      <c r="D3629" s="20" t="s">
        <v>1625</v>
      </c>
      <c r="E3629" s="21"/>
      <c r="F3629" s="22">
        <f>F3633</f>
        <v>764.9</v>
      </c>
      <c r="G3629" s="21"/>
    </row>
    <row r="3630" ht="48.75" customHeight="1">
      <c r="A3630" s="11"/>
      <c r="B3630" s="11"/>
      <c r="C3630" s="11"/>
      <c r="D3630" s="10" t="s">
        <v>1623</v>
      </c>
    </row>
    <row r="3631" ht="21.0" customHeight="1">
      <c r="A3631" s="10" t="s">
        <v>1626</v>
      </c>
      <c r="B3631" s="10" t="s">
        <v>42</v>
      </c>
      <c r="C3631" s="10" t="s">
        <v>304</v>
      </c>
      <c r="D3631" s="10" t="s">
        <v>1627</v>
      </c>
      <c r="E3631" s="14">
        <v>0.333</v>
      </c>
      <c r="F3631" s="15">
        <f>ROUND(1394.28,3)</f>
        <v>1394.28</v>
      </c>
      <c r="G3631" s="12">
        <f t="shared" ref="G3631:G3632" si="606">ROUND(E3631*F3631,2)</f>
        <v>464.3</v>
      </c>
    </row>
    <row r="3632" ht="15.0" customHeight="1">
      <c r="A3632" s="10" t="s">
        <v>1628</v>
      </c>
      <c r="B3632" s="10" t="s">
        <v>42</v>
      </c>
      <c r="C3632" s="10" t="s">
        <v>304</v>
      </c>
      <c r="D3632" s="10" t="s">
        <v>1629</v>
      </c>
      <c r="E3632" s="14">
        <v>0.334</v>
      </c>
      <c r="F3632" s="15">
        <f>ROUND(900,3)</f>
        <v>900</v>
      </c>
      <c r="G3632" s="12">
        <f t="shared" si="606"/>
        <v>300.6</v>
      </c>
    </row>
    <row r="3633" ht="15.0" customHeight="1">
      <c r="A3633" s="16"/>
      <c r="B3633" s="16"/>
      <c r="C3633" s="16"/>
      <c r="D3633" s="17" t="s">
        <v>1624</v>
      </c>
      <c r="E3633" s="16"/>
      <c r="F3633" s="18">
        <f>ROUND((G3631+G3632)*(1+G2/100),2)</f>
        <v>764.9</v>
      </c>
      <c r="G3633" s="16"/>
    </row>
    <row r="3634" ht="21.0" customHeight="1">
      <c r="A3634" s="19" t="s">
        <v>1630</v>
      </c>
      <c r="B3634" s="20" t="s">
        <v>18</v>
      </c>
      <c r="C3634" s="20" t="s">
        <v>295</v>
      </c>
      <c r="D3634" s="20" t="s">
        <v>1631</v>
      </c>
      <c r="E3634" s="21"/>
      <c r="F3634" s="22">
        <f>F3703</f>
        <v>576.17</v>
      </c>
      <c r="G3634" s="21"/>
    </row>
    <row r="3635" ht="132.0" customHeight="1">
      <c r="A3635" s="11"/>
      <c r="B3635" s="11"/>
      <c r="C3635" s="11"/>
      <c r="D3635" s="10" t="s">
        <v>1632</v>
      </c>
    </row>
    <row r="3636" ht="21.0" customHeight="1">
      <c r="A3636" s="10" t="s">
        <v>1633</v>
      </c>
      <c r="B3636" s="10" t="s">
        <v>18</v>
      </c>
      <c r="C3636" s="10" t="s">
        <v>251</v>
      </c>
      <c r="D3636" s="10" t="s">
        <v>1634</v>
      </c>
      <c r="E3636" s="14">
        <v>1.0</v>
      </c>
      <c r="F3636" s="15">
        <f>F3641</f>
        <v>2.11</v>
      </c>
      <c r="G3636" s="12">
        <f t="shared" ref="G3636:G3663" si="607">ROUND(E3636*F3636,2)</f>
        <v>2.11</v>
      </c>
    </row>
    <row r="3637" ht="21.0" customHeight="1">
      <c r="A3637" s="10" t="s">
        <v>1635</v>
      </c>
      <c r="B3637" s="10" t="s">
        <v>42</v>
      </c>
      <c r="C3637" s="10" t="s">
        <v>304</v>
      </c>
      <c r="D3637" s="10" t="s">
        <v>1636</v>
      </c>
      <c r="E3637" s="14">
        <v>0.04</v>
      </c>
      <c r="F3637" s="15">
        <f>ROUND(13.14,3)</f>
        <v>13.14</v>
      </c>
      <c r="G3637" s="12">
        <f t="shared" si="607"/>
        <v>0.53</v>
      </c>
    </row>
    <row r="3638" ht="21.0" customHeight="1">
      <c r="A3638" s="10" t="s">
        <v>1637</v>
      </c>
      <c r="B3638" s="10" t="s">
        <v>42</v>
      </c>
      <c r="C3638" s="10" t="s">
        <v>304</v>
      </c>
      <c r="D3638" s="10" t="s">
        <v>1638</v>
      </c>
      <c r="E3638" s="14">
        <v>0.1</v>
      </c>
      <c r="F3638" s="15">
        <f>ROUND(3.47,3)</f>
        <v>3.47</v>
      </c>
      <c r="G3638" s="12">
        <f t="shared" si="607"/>
        <v>0.35</v>
      </c>
    </row>
    <row r="3639" ht="21.0" customHeight="1">
      <c r="A3639" s="10" t="s">
        <v>1639</v>
      </c>
      <c r="B3639" s="10" t="s">
        <v>42</v>
      </c>
      <c r="C3639" s="10" t="s">
        <v>304</v>
      </c>
      <c r="D3639" s="10" t="s">
        <v>1640</v>
      </c>
      <c r="E3639" s="14">
        <v>0.04</v>
      </c>
      <c r="F3639" s="15">
        <f>ROUND(0.66,3)</f>
        <v>0.66</v>
      </c>
      <c r="G3639" s="12">
        <f t="shared" si="607"/>
        <v>0.03</v>
      </c>
    </row>
    <row r="3640" ht="24.0" customHeight="1">
      <c r="A3640" s="10" t="s">
        <v>1214</v>
      </c>
      <c r="B3640" s="10" t="s">
        <v>26</v>
      </c>
      <c r="C3640" s="10" t="s">
        <v>23</v>
      </c>
      <c r="D3640" s="10" t="s">
        <v>1215</v>
      </c>
      <c r="E3640" s="14">
        <v>0.08</v>
      </c>
      <c r="F3640" s="15">
        <f>ROUND(15,3)</f>
        <v>15</v>
      </c>
      <c r="G3640" s="12">
        <f t="shared" si="607"/>
        <v>1.2</v>
      </c>
    </row>
    <row r="3641" ht="15.0" customHeight="1">
      <c r="A3641" s="11"/>
      <c r="B3641" s="11"/>
      <c r="C3641" s="11"/>
      <c r="D3641" s="10" t="s">
        <v>1633</v>
      </c>
      <c r="E3641" s="14">
        <v>1.0</v>
      </c>
      <c r="F3641" s="15">
        <f>ROUND((G3637+G3638+G3639+G3640),3)</f>
        <v>2.11</v>
      </c>
      <c r="G3641" s="12">
        <f t="shared" si="607"/>
        <v>2.11</v>
      </c>
    </row>
    <row r="3642" ht="21.0" customHeight="1">
      <c r="A3642" s="10" t="s">
        <v>1641</v>
      </c>
      <c r="B3642" s="10" t="s">
        <v>18</v>
      </c>
      <c r="C3642" s="10" t="s">
        <v>222</v>
      </c>
      <c r="D3642" s="10" t="s">
        <v>1642</v>
      </c>
      <c r="E3642" s="14">
        <v>0.25</v>
      </c>
      <c r="F3642" s="15">
        <f>F3644</f>
        <v>742.5</v>
      </c>
      <c r="G3642" s="12">
        <f t="shared" si="607"/>
        <v>185.63</v>
      </c>
    </row>
    <row r="3643" ht="24.0" customHeight="1">
      <c r="A3643" s="10" t="s">
        <v>1186</v>
      </c>
      <c r="B3643" s="10" t="s">
        <v>26</v>
      </c>
      <c r="C3643" s="10" t="s">
        <v>23</v>
      </c>
      <c r="D3643" s="10" t="s">
        <v>1187</v>
      </c>
      <c r="E3643" s="14">
        <v>15.0</v>
      </c>
      <c r="F3643" s="15">
        <f>ROUND(49.5,3)</f>
        <v>49.5</v>
      </c>
      <c r="G3643" s="12">
        <f t="shared" si="607"/>
        <v>742.5</v>
      </c>
    </row>
    <row r="3644" ht="15.0" customHeight="1">
      <c r="A3644" s="11"/>
      <c r="B3644" s="11"/>
      <c r="C3644" s="11"/>
      <c r="D3644" s="10" t="s">
        <v>1641</v>
      </c>
      <c r="E3644" s="14">
        <v>0.25</v>
      </c>
      <c r="F3644" s="15">
        <f>ROUND((G3643),3)</f>
        <v>742.5</v>
      </c>
      <c r="G3644" s="12">
        <f t="shared" si="607"/>
        <v>185.63</v>
      </c>
    </row>
    <row r="3645" ht="21.0" customHeight="1">
      <c r="A3645" s="10" t="s">
        <v>1643</v>
      </c>
      <c r="B3645" s="10" t="s">
        <v>18</v>
      </c>
      <c r="C3645" s="10" t="s">
        <v>251</v>
      </c>
      <c r="D3645" s="10" t="s">
        <v>1644</v>
      </c>
      <c r="E3645" s="14">
        <v>0.4</v>
      </c>
      <c r="F3645" s="15">
        <f>F3648</f>
        <v>15.88</v>
      </c>
      <c r="G3645" s="12">
        <f t="shared" si="607"/>
        <v>6.35</v>
      </c>
    </row>
    <row r="3646" ht="30.0" customHeight="1">
      <c r="A3646" s="10" t="s">
        <v>1645</v>
      </c>
      <c r="B3646" s="10" t="s">
        <v>42</v>
      </c>
      <c r="C3646" s="10" t="s">
        <v>1207</v>
      </c>
      <c r="D3646" s="10" t="s">
        <v>1646</v>
      </c>
      <c r="E3646" s="14">
        <v>1.0</v>
      </c>
      <c r="F3646" s="15">
        <f>ROUND(3.5,3)</f>
        <v>3.5</v>
      </c>
      <c r="G3646" s="12">
        <f t="shared" si="607"/>
        <v>3.5</v>
      </c>
    </row>
    <row r="3647" ht="24.0" customHeight="1">
      <c r="A3647" s="10" t="s">
        <v>1186</v>
      </c>
      <c r="B3647" s="10" t="s">
        <v>26</v>
      </c>
      <c r="C3647" s="10" t="s">
        <v>23</v>
      </c>
      <c r="D3647" s="10" t="s">
        <v>1187</v>
      </c>
      <c r="E3647" s="14">
        <v>0.25</v>
      </c>
      <c r="F3647" s="15">
        <f>ROUND(49.5,3)</f>
        <v>49.5</v>
      </c>
      <c r="G3647" s="12">
        <f t="shared" si="607"/>
        <v>12.38</v>
      </c>
    </row>
    <row r="3648" ht="15.0" customHeight="1">
      <c r="A3648" s="11"/>
      <c r="B3648" s="11"/>
      <c r="C3648" s="11"/>
      <c r="D3648" s="10" t="s">
        <v>1643</v>
      </c>
      <c r="E3648" s="14">
        <v>0.4</v>
      </c>
      <c r="F3648" s="15">
        <f>ROUND((G3646+G3647),3)</f>
        <v>15.88</v>
      </c>
      <c r="G3648" s="12">
        <f t="shared" si="607"/>
        <v>6.35</v>
      </c>
    </row>
    <row r="3649" ht="21.0" customHeight="1">
      <c r="A3649" s="10" t="s">
        <v>1647</v>
      </c>
      <c r="B3649" s="10" t="s">
        <v>18</v>
      </c>
      <c r="C3649" s="10" t="s">
        <v>295</v>
      </c>
      <c r="D3649" s="10" t="s">
        <v>1648</v>
      </c>
      <c r="E3649" s="14">
        <v>1.0</v>
      </c>
      <c r="F3649" s="15">
        <f>F3658</f>
        <v>272.44</v>
      </c>
      <c r="G3649" s="12">
        <f t="shared" si="607"/>
        <v>272.44</v>
      </c>
    </row>
    <row r="3650" ht="21.0" customHeight="1">
      <c r="A3650" s="10" t="s">
        <v>1649</v>
      </c>
      <c r="B3650" s="10" t="s">
        <v>42</v>
      </c>
      <c r="C3650" s="10" t="s">
        <v>304</v>
      </c>
      <c r="D3650" s="10" t="s">
        <v>1650</v>
      </c>
      <c r="E3650" s="14">
        <v>1.0</v>
      </c>
      <c r="F3650" s="15">
        <f>ROUND(80,3)</f>
        <v>80</v>
      </c>
      <c r="G3650" s="12">
        <f t="shared" si="607"/>
        <v>80</v>
      </c>
    </row>
    <row r="3651" ht="15.0" customHeight="1">
      <c r="A3651" s="10" t="s">
        <v>1536</v>
      </c>
      <c r="B3651" s="10" t="s">
        <v>42</v>
      </c>
      <c r="C3651" s="10" t="s">
        <v>304</v>
      </c>
      <c r="D3651" s="10" t="s">
        <v>1537</v>
      </c>
      <c r="E3651" s="14">
        <v>8.0</v>
      </c>
      <c r="F3651" s="15">
        <f>ROUND(2,3)</f>
        <v>2</v>
      </c>
      <c r="G3651" s="12">
        <f t="shared" si="607"/>
        <v>16</v>
      </c>
    </row>
    <row r="3652" ht="21.0" customHeight="1">
      <c r="A3652" s="10" t="s">
        <v>1651</v>
      </c>
      <c r="B3652" s="10" t="s">
        <v>42</v>
      </c>
      <c r="C3652" s="10" t="s">
        <v>304</v>
      </c>
      <c r="D3652" s="10" t="s">
        <v>1652</v>
      </c>
      <c r="E3652" s="14">
        <v>1.0</v>
      </c>
      <c r="F3652" s="15">
        <f>ROUND(10,3)</f>
        <v>10</v>
      </c>
      <c r="G3652" s="12">
        <f t="shared" si="607"/>
        <v>10</v>
      </c>
    </row>
    <row r="3653" ht="21.0" customHeight="1">
      <c r="A3653" s="10" t="s">
        <v>1653</v>
      </c>
      <c r="B3653" s="10" t="s">
        <v>42</v>
      </c>
      <c r="C3653" s="10" t="s">
        <v>304</v>
      </c>
      <c r="D3653" s="10" t="s">
        <v>1654</v>
      </c>
      <c r="E3653" s="14">
        <v>0.3</v>
      </c>
      <c r="F3653" s="15">
        <f>ROUND(23,3)</f>
        <v>23</v>
      </c>
      <c r="G3653" s="12">
        <f t="shared" si="607"/>
        <v>6.9</v>
      </c>
    </row>
    <row r="3654" ht="21.0" customHeight="1">
      <c r="A3654" s="10" t="s">
        <v>1655</v>
      </c>
      <c r="B3654" s="10" t="s">
        <v>42</v>
      </c>
      <c r="C3654" s="10" t="s">
        <v>304</v>
      </c>
      <c r="D3654" s="10" t="s">
        <v>1656</v>
      </c>
      <c r="E3654" s="14">
        <v>0.09</v>
      </c>
      <c r="F3654" s="15">
        <f>ROUND(10.1,3)</f>
        <v>10.1</v>
      </c>
      <c r="G3654" s="12">
        <f t="shared" si="607"/>
        <v>0.91</v>
      </c>
    </row>
    <row r="3655" ht="15.0" customHeight="1">
      <c r="A3655" s="10" t="s">
        <v>1657</v>
      </c>
      <c r="B3655" s="10" t="s">
        <v>42</v>
      </c>
      <c r="C3655" s="10" t="s">
        <v>304</v>
      </c>
      <c r="D3655" s="10" t="s">
        <v>1658</v>
      </c>
      <c r="E3655" s="14">
        <v>0.03</v>
      </c>
      <c r="F3655" s="15">
        <f>ROUND(5.6,3)</f>
        <v>5.6</v>
      </c>
      <c r="G3655" s="12">
        <f t="shared" si="607"/>
        <v>0.17</v>
      </c>
    </row>
    <row r="3656" ht="15.0" customHeight="1">
      <c r="A3656" s="10" t="s">
        <v>1659</v>
      </c>
      <c r="B3656" s="10" t="s">
        <v>42</v>
      </c>
      <c r="C3656" s="10" t="s">
        <v>304</v>
      </c>
      <c r="D3656" s="10" t="s">
        <v>1660</v>
      </c>
      <c r="E3656" s="14">
        <v>0.03</v>
      </c>
      <c r="F3656" s="15">
        <f>ROUND(2,3)</f>
        <v>2</v>
      </c>
      <c r="G3656" s="12">
        <f t="shared" si="607"/>
        <v>0.06</v>
      </c>
    </row>
    <row r="3657" ht="24.0" customHeight="1">
      <c r="A3657" s="10" t="s">
        <v>1186</v>
      </c>
      <c r="B3657" s="10" t="s">
        <v>26</v>
      </c>
      <c r="C3657" s="10" t="s">
        <v>23</v>
      </c>
      <c r="D3657" s="10" t="s">
        <v>1187</v>
      </c>
      <c r="E3657" s="14">
        <v>3.2</v>
      </c>
      <c r="F3657" s="15">
        <f>ROUND(49.5,3)</f>
        <v>49.5</v>
      </c>
      <c r="G3657" s="12">
        <f t="shared" si="607"/>
        <v>158.4</v>
      </c>
    </row>
    <row r="3658" ht="15.0" customHeight="1">
      <c r="A3658" s="11"/>
      <c r="B3658" s="11"/>
      <c r="C3658" s="11"/>
      <c r="D3658" s="10" t="s">
        <v>1647</v>
      </c>
      <c r="E3658" s="14">
        <v>1.0</v>
      </c>
      <c r="F3658" s="15">
        <f>ROUND((G3650+G3651+G3652+G3653+G3654+G3655+G3656+G3657),3)</f>
        <v>272.44</v>
      </c>
      <c r="G3658" s="12">
        <f t="shared" si="607"/>
        <v>272.44</v>
      </c>
    </row>
    <row r="3659" ht="15.0" customHeight="1">
      <c r="A3659" s="10" t="s">
        <v>1661</v>
      </c>
      <c r="B3659" s="10" t="s">
        <v>18</v>
      </c>
      <c r="C3659" s="10" t="s">
        <v>251</v>
      </c>
      <c r="D3659" s="10" t="s">
        <v>1662</v>
      </c>
      <c r="E3659" s="14">
        <v>1.0</v>
      </c>
      <c r="F3659" s="15">
        <f>F3661</f>
        <v>14.76</v>
      </c>
      <c r="G3659" s="12">
        <f t="shared" si="607"/>
        <v>14.76</v>
      </c>
    </row>
    <row r="3660" ht="21.0" customHeight="1">
      <c r="A3660" s="10" t="s">
        <v>22</v>
      </c>
      <c r="B3660" s="10" t="s">
        <v>18</v>
      </c>
      <c r="C3660" s="10" t="s">
        <v>23</v>
      </c>
      <c r="D3660" s="10" t="s">
        <v>24</v>
      </c>
      <c r="E3660" s="14">
        <v>0.337</v>
      </c>
      <c r="F3660" s="15">
        <f>ROUND(43.8,3)</f>
        <v>43.8</v>
      </c>
      <c r="G3660" s="12">
        <f t="shared" si="607"/>
        <v>14.76</v>
      </c>
    </row>
    <row r="3661" ht="15.0" customHeight="1">
      <c r="A3661" s="11"/>
      <c r="B3661" s="11"/>
      <c r="C3661" s="11"/>
      <c r="D3661" s="10" t="s">
        <v>1661</v>
      </c>
      <c r="E3661" s="14">
        <v>1.0</v>
      </c>
      <c r="F3661" s="15">
        <f>ROUND((G3660),3)</f>
        <v>14.76</v>
      </c>
      <c r="G3661" s="12">
        <f t="shared" si="607"/>
        <v>14.76</v>
      </c>
    </row>
    <row r="3662" ht="30.0" customHeight="1">
      <c r="A3662" s="10" t="s">
        <v>795</v>
      </c>
      <c r="B3662" s="10" t="s">
        <v>18</v>
      </c>
      <c r="C3662" s="10" t="s">
        <v>251</v>
      </c>
      <c r="D3662" s="10" t="s">
        <v>796</v>
      </c>
      <c r="E3662" s="14">
        <v>0.5</v>
      </c>
      <c r="F3662" s="15">
        <f>F3665</f>
        <v>22.56</v>
      </c>
      <c r="G3662" s="12">
        <f t="shared" si="607"/>
        <v>11.28</v>
      </c>
    </row>
    <row r="3663" ht="21.0" customHeight="1">
      <c r="A3663" s="10" t="s">
        <v>22</v>
      </c>
      <c r="B3663" s="10" t="s">
        <v>18</v>
      </c>
      <c r="C3663" s="10" t="s">
        <v>23</v>
      </c>
      <c r="D3663" s="10" t="s">
        <v>24</v>
      </c>
      <c r="E3663" s="14">
        <v>0.5</v>
      </c>
      <c r="F3663" s="15">
        <f>ROUND(43.8,3)</f>
        <v>43.8</v>
      </c>
      <c r="G3663" s="12">
        <f t="shared" si="607"/>
        <v>21.9</v>
      </c>
    </row>
    <row r="3664" ht="15.0" customHeight="1">
      <c r="A3664" s="10" t="s">
        <v>32</v>
      </c>
      <c r="B3664" s="10"/>
      <c r="C3664" s="10" t="s">
        <v>33</v>
      </c>
      <c r="D3664" s="10" t="s">
        <v>34</v>
      </c>
      <c r="E3664" s="14">
        <v>3.0</v>
      </c>
      <c r="F3664" s="15">
        <f>ROUND(21.9,3)</f>
        <v>21.9</v>
      </c>
      <c r="G3664" s="12">
        <f>ROUND((E3664*F3664)/100,2)</f>
        <v>0.66</v>
      </c>
    </row>
    <row r="3665" ht="15.0" customHeight="1">
      <c r="A3665" s="11"/>
      <c r="B3665" s="11"/>
      <c r="C3665" s="11"/>
      <c r="D3665" s="10" t="s">
        <v>795</v>
      </c>
      <c r="E3665" s="14">
        <v>0.5</v>
      </c>
      <c r="F3665" s="15">
        <f>ROUND((G3663+G3664),3)</f>
        <v>22.56</v>
      </c>
      <c r="G3665" s="12">
        <f t="shared" ref="G3665:G3688" si="608">ROUND(E3665*F3665,2)</f>
        <v>11.28</v>
      </c>
    </row>
    <row r="3666" ht="15.0" customHeight="1">
      <c r="A3666" s="10" t="s">
        <v>1565</v>
      </c>
      <c r="B3666" s="10" t="s">
        <v>18</v>
      </c>
      <c r="C3666" s="10" t="s">
        <v>858</v>
      </c>
      <c r="D3666" s="10" t="s">
        <v>1566</v>
      </c>
      <c r="E3666" s="14">
        <v>0.05</v>
      </c>
      <c r="F3666" s="15">
        <f>F3671</f>
        <v>52.65</v>
      </c>
      <c r="G3666" s="12">
        <f t="shared" si="608"/>
        <v>2.63</v>
      </c>
    </row>
    <row r="3667" ht="15.0" customHeight="1">
      <c r="A3667" s="10" t="s">
        <v>365</v>
      </c>
      <c r="B3667" s="10" t="s">
        <v>42</v>
      </c>
      <c r="C3667" s="10" t="s">
        <v>184</v>
      </c>
      <c r="D3667" s="10" t="s">
        <v>366</v>
      </c>
      <c r="E3667" s="14">
        <v>1.0</v>
      </c>
      <c r="F3667" s="15">
        <f>ROUND(32,3)</f>
        <v>32</v>
      </c>
      <c r="G3667" s="12">
        <f t="shared" si="608"/>
        <v>32</v>
      </c>
    </row>
    <row r="3668" ht="30.0" customHeight="1">
      <c r="A3668" s="10" t="s">
        <v>363</v>
      </c>
      <c r="B3668" s="10" t="s">
        <v>42</v>
      </c>
      <c r="C3668" s="10" t="s">
        <v>231</v>
      </c>
      <c r="D3668" s="10" t="s">
        <v>364</v>
      </c>
      <c r="E3668" s="14">
        <v>5.0</v>
      </c>
      <c r="F3668" s="15">
        <f>ROUND(0.17,3)</f>
        <v>0.17</v>
      </c>
      <c r="G3668" s="12">
        <f t="shared" si="608"/>
        <v>0.85</v>
      </c>
    </row>
    <row r="3669" ht="15.0" customHeight="1">
      <c r="A3669" s="10" t="s">
        <v>1567</v>
      </c>
      <c r="B3669" s="10" t="s">
        <v>42</v>
      </c>
      <c r="C3669" s="10" t="s">
        <v>222</v>
      </c>
      <c r="D3669" s="10" t="s">
        <v>1568</v>
      </c>
      <c r="E3669" s="14">
        <v>0.001</v>
      </c>
      <c r="F3669" s="15">
        <f>ROUND(88,3)</f>
        <v>88</v>
      </c>
      <c r="G3669" s="12">
        <f t="shared" si="608"/>
        <v>0.09</v>
      </c>
    </row>
    <row r="3670" ht="21.0" customHeight="1">
      <c r="A3670" s="10" t="s">
        <v>22</v>
      </c>
      <c r="B3670" s="10" t="s">
        <v>18</v>
      </c>
      <c r="C3670" s="10" t="s">
        <v>23</v>
      </c>
      <c r="D3670" s="10" t="s">
        <v>24</v>
      </c>
      <c r="E3670" s="14">
        <v>0.45</v>
      </c>
      <c r="F3670" s="15">
        <f>ROUND(43.8,3)</f>
        <v>43.8</v>
      </c>
      <c r="G3670" s="12">
        <f t="shared" si="608"/>
        <v>19.71</v>
      </c>
    </row>
    <row r="3671" ht="15.0" customHeight="1">
      <c r="A3671" s="11"/>
      <c r="B3671" s="11"/>
      <c r="C3671" s="11"/>
      <c r="D3671" s="10" t="s">
        <v>1565</v>
      </c>
      <c r="E3671" s="14">
        <v>0.05</v>
      </c>
      <c r="F3671" s="15">
        <f>ROUND((G3667+G3668+G3669+G3670),3)</f>
        <v>52.65</v>
      </c>
      <c r="G3671" s="12">
        <f t="shared" si="608"/>
        <v>2.63</v>
      </c>
    </row>
    <row r="3672" ht="15.0" customHeight="1">
      <c r="A3672" s="10" t="s">
        <v>308</v>
      </c>
      <c r="B3672" s="10" t="s">
        <v>18</v>
      </c>
      <c r="C3672" s="10" t="s">
        <v>295</v>
      </c>
      <c r="D3672" s="10" t="s">
        <v>309</v>
      </c>
      <c r="E3672" s="14">
        <v>0.05</v>
      </c>
      <c r="F3672" s="15">
        <f>F3676</f>
        <v>314.9</v>
      </c>
      <c r="G3672" s="12">
        <f t="shared" si="608"/>
        <v>15.75</v>
      </c>
    </row>
    <row r="3673" ht="30.0" customHeight="1">
      <c r="A3673" s="10" t="s">
        <v>233</v>
      </c>
      <c r="B3673" s="10" t="s">
        <v>42</v>
      </c>
      <c r="C3673" s="10" t="s">
        <v>231</v>
      </c>
      <c r="D3673" s="10" t="s">
        <v>234</v>
      </c>
      <c r="E3673" s="14">
        <v>0.05</v>
      </c>
      <c r="F3673" s="15">
        <f>ROUND(23.46,3)</f>
        <v>23.46</v>
      </c>
      <c r="G3673" s="12">
        <f t="shared" si="608"/>
        <v>1.17</v>
      </c>
    </row>
    <row r="3674" ht="21.0" customHeight="1">
      <c r="A3674" s="10" t="s">
        <v>311</v>
      </c>
      <c r="B3674" s="10" t="s">
        <v>42</v>
      </c>
      <c r="C3674" s="10" t="s">
        <v>231</v>
      </c>
      <c r="D3674" s="10" t="s">
        <v>312</v>
      </c>
      <c r="E3674" s="14">
        <v>0.25</v>
      </c>
      <c r="F3674" s="15">
        <f>ROUND(28.5,3)</f>
        <v>28.5</v>
      </c>
      <c r="G3674" s="12">
        <f t="shared" si="608"/>
        <v>7.13</v>
      </c>
    </row>
    <row r="3675" ht="21.0" customHeight="1">
      <c r="A3675" s="10" t="s">
        <v>22</v>
      </c>
      <c r="B3675" s="10" t="s">
        <v>18</v>
      </c>
      <c r="C3675" s="10" t="s">
        <v>23</v>
      </c>
      <c r="D3675" s="10" t="s">
        <v>24</v>
      </c>
      <c r="E3675" s="14">
        <v>7.0</v>
      </c>
      <c r="F3675" s="15">
        <f>ROUND(43.8,3)</f>
        <v>43.8</v>
      </c>
      <c r="G3675" s="12">
        <f t="shared" si="608"/>
        <v>306.6</v>
      </c>
    </row>
    <row r="3676" ht="15.0" customHeight="1">
      <c r="A3676" s="11"/>
      <c r="B3676" s="11"/>
      <c r="C3676" s="11"/>
      <c r="D3676" s="10" t="s">
        <v>308</v>
      </c>
      <c r="E3676" s="14">
        <v>0.05</v>
      </c>
      <c r="F3676" s="15">
        <f>ROUND((G3673+G3674+G3675),3)</f>
        <v>314.9</v>
      </c>
      <c r="G3676" s="12">
        <f t="shared" si="608"/>
        <v>15.75</v>
      </c>
    </row>
    <row r="3677" ht="15.0" customHeight="1">
      <c r="A3677" s="10" t="s">
        <v>655</v>
      </c>
      <c r="B3677" s="10" t="s">
        <v>18</v>
      </c>
      <c r="C3677" s="10" t="s">
        <v>222</v>
      </c>
      <c r="D3677" s="10" t="s">
        <v>656</v>
      </c>
      <c r="E3677" s="14">
        <v>0.15</v>
      </c>
      <c r="F3677" s="15">
        <f>F3680</f>
        <v>37.03</v>
      </c>
      <c r="G3677" s="12">
        <f t="shared" si="608"/>
        <v>5.55</v>
      </c>
    </row>
    <row r="3678" ht="30.0" customHeight="1">
      <c r="A3678" s="10" t="s">
        <v>658</v>
      </c>
      <c r="B3678" s="10" t="s">
        <v>42</v>
      </c>
      <c r="C3678" s="10" t="s">
        <v>231</v>
      </c>
      <c r="D3678" s="10" t="s">
        <v>659</v>
      </c>
      <c r="E3678" s="14">
        <v>0.5</v>
      </c>
      <c r="F3678" s="15">
        <f>ROUND(30.26,3)</f>
        <v>30.26</v>
      </c>
      <c r="G3678" s="12">
        <f t="shared" si="608"/>
        <v>15.13</v>
      </c>
    </row>
    <row r="3679" ht="21.0" customHeight="1">
      <c r="A3679" s="10" t="s">
        <v>22</v>
      </c>
      <c r="B3679" s="10" t="s">
        <v>18</v>
      </c>
      <c r="C3679" s="10" t="s">
        <v>23</v>
      </c>
      <c r="D3679" s="10" t="s">
        <v>24</v>
      </c>
      <c r="E3679" s="14">
        <v>0.5</v>
      </c>
      <c r="F3679" s="15">
        <f>ROUND(43.8,3)</f>
        <v>43.8</v>
      </c>
      <c r="G3679" s="12">
        <f t="shared" si="608"/>
        <v>21.9</v>
      </c>
    </row>
    <row r="3680" ht="15.0" customHeight="1">
      <c r="A3680" s="11"/>
      <c r="B3680" s="11"/>
      <c r="C3680" s="11"/>
      <c r="D3680" s="10" t="s">
        <v>655</v>
      </c>
      <c r="E3680" s="14">
        <v>0.15</v>
      </c>
      <c r="F3680" s="15">
        <f>ROUND((G3678+G3679),3)</f>
        <v>37.03</v>
      </c>
      <c r="G3680" s="12">
        <f t="shared" si="608"/>
        <v>5.55</v>
      </c>
    </row>
    <row r="3681" ht="21.0" customHeight="1">
      <c r="A3681" s="10" t="s">
        <v>1663</v>
      </c>
      <c r="B3681" s="10" t="s">
        <v>18</v>
      </c>
      <c r="C3681" s="10" t="s">
        <v>251</v>
      </c>
      <c r="D3681" s="10" t="s">
        <v>1664</v>
      </c>
      <c r="E3681" s="14">
        <v>1.0</v>
      </c>
      <c r="F3681" s="15">
        <f>F3690</f>
        <v>11.82</v>
      </c>
      <c r="G3681" s="12">
        <f t="shared" si="608"/>
        <v>11.82</v>
      </c>
    </row>
    <row r="3682" ht="30.0" customHeight="1">
      <c r="A3682" s="10" t="s">
        <v>1665</v>
      </c>
      <c r="B3682" s="10" t="s">
        <v>42</v>
      </c>
      <c r="C3682" s="10" t="s">
        <v>295</v>
      </c>
      <c r="D3682" s="10" t="s">
        <v>1666</v>
      </c>
      <c r="E3682" s="14">
        <v>0.0214</v>
      </c>
      <c r="F3682" s="15">
        <f>ROUND(41.9,3)</f>
        <v>41.9</v>
      </c>
      <c r="G3682" s="12">
        <f t="shared" si="608"/>
        <v>0.9</v>
      </c>
    </row>
    <row r="3683" ht="24.0" customHeight="1">
      <c r="A3683" s="10" t="s">
        <v>1667</v>
      </c>
      <c r="B3683" s="10" t="s">
        <v>42</v>
      </c>
      <c r="C3683" s="10" t="s">
        <v>295</v>
      </c>
      <c r="D3683" s="10" t="s">
        <v>1668</v>
      </c>
      <c r="E3683" s="14">
        <v>0.01</v>
      </c>
      <c r="F3683" s="15">
        <f>ROUND(85.93,3)</f>
        <v>85.93</v>
      </c>
      <c r="G3683" s="12">
        <f t="shared" si="608"/>
        <v>0.86</v>
      </c>
    </row>
    <row r="3684" ht="30.0" customHeight="1">
      <c r="A3684" s="10" t="s">
        <v>1669</v>
      </c>
      <c r="B3684" s="10" t="s">
        <v>42</v>
      </c>
      <c r="C3684" s="10" t="s">
        <v>304</v>
      </c>
      <c r="D3684" s="10" t="s">
        <v>1670</v>
      </c>
      <c r="E3684" s="14">
        <v>0.011</v>
      </c>
      <c r="F3684" s="15">
        <f>ROUND(2.52,3)</f>
        <v>2.52</v>
      </c>
      <c r="G3684" s="12">
        <f t="shared" si="608"/>
        <v>0.03</v>
      </c>
    </row>
    <row r="3685" ht="24.0" customHeight="1">
      <c r="A3685" s="10" t="s">
        <v>1671</v>
      </c>
      <c r="B3685" s="10" t="s">
        <v>42</v>
      </c>
      <c r="C3685" s="10" t="s">
        <v>304</v>
      </c>
      <c r="D3685" s="10" t="s">
        <v>1672</v>
      </c>
      <c r="E3685" s="14">
        <v>0.011</v>
      </c>
      <c r="F3685" s="15">
        <f>ROUND(4.73,3)</f>
        <v>4.73</v>
      </c>
      <c r="G3685" s="12">
        <f t="shared" si="608"/>
        <v>0.05</v>
      </c>
    </row>
    <row r="3686" ht="24.0" customHeight="1">
      <c r="A3686" s="10" t="s">
        <v>1673</v>
      </c>
      <c r="B3686" s="10" t="s">
        <v>42</v>
      </c>
      <c r="C3686" s="10" t="s">
        <v>304</v>
      </c>
      <c r="D3686" s="10" t="s">
        <v>1674</v>
      </c>
      <c r="E3686" s="14">
        <v>0.015</v>
      </c>
      <c r="F3686" s="15">
        <f>ROUND(0.65,3)</f>
        <v>0.65</v>
      </c>
      <c r="G3686" s="12">
        <f t="shared" si="608"/>
        <v>0.01</v>
      </c>
    </row>
    <row r="3687" ht="24.0" customHeight="1">
      <c r="A3687" s="10" t="s">
        <v>1675</v>
      </c>
      <c r="B3687" s="10" t="s">
        <v>42</v>
      </c>
      <c r="C3687" s="10" t="s">
        <v>304</v>
      </c>
      <c r="D3687" s="10" t="s">
        <v>1676</v>
      </c>
      <c r="E3687" s="14">
        <v>0.011</v>
      </c>
      <c r="F3687" s="15">
        <f>ROUND(4.06,3)</f>
        <v>4.06</v>
      </c>
      <c r="G3687" s="12">
        <f t="shared" si="608"/>
        <v>0.04</v>
      </c>
    </row>
    <row r="3688" ht="21.0" customHeight="1">
      <c r="A3688" s="10" t="s">
        <v>22</v>
      </c>
      <c r="B3688" s="10" t="s">
        <v>18</v>
      </c>
      <c r="C3688" s="10" t="s">
        <v>23</v>
      </c>
      <c r="D3688" s="10" t="s">
        <v>24</v>
      </c>
      <c r="E3688" s="14">
        <v>0.22</v>
      </c>
      <c r="F3688" s="15">
        <f>ROUND(43.8,3)</f>
        <v>43.8</v>
      </c>
      <c r="G3688" s="12">
        <f t="shared" si="608"/>
        <v>9.64</v>
      </c>
    </row>
    <row r="3689" ht="15.0" customHeight="1">
      <c r="A3689" s="10" t="s">
        <v>32</v>
      </c>
      <c r="B3689" s="10"/>
      <c r="C3689" s="10" t="s">
        <v>33</v>
      </c>
      <c r="D3689" s="10" t="s">
        <v>34</v>
      </c>
      <c r="E3689" s="14">
        <v>3.0</v>
      </c>
      <c r="F3689" s="15">
        <f>ROUND(9.64,3)</f>
        <v>9.64</v>
      </c>
      <c r="G3689" s="12">
        <f>ROUND((E3689*F3689)/100,2)</f>
        <v>0.29</v>
      </c>
    </row>
    <row r="3690" ht="15.0" customHeight="1">
      <c r="A3690" s="11"/>
      <c r="B3690" s="11"/>
      <c r="C3690" s="11"/>
      <c r="D3690" s="10" t="s">
        <v>1663</v>
      </c>
      <c r="E3690" s="14">
        <v>1.0</v>
      </c>
      <c r="F3690" s="15">
        <f>ROUND((G3682+G3683+G3684+G3685+G3686+G3687+G3688+G3689),3)</f>
        <v>11.82</v>
      </c>
      <c r="G3690" s="12">
        <f t="shared" ref="G3690:G3696" si="609">ROUND(E3690*F3690,2)</f>
        <v>11.82</v>
      </c>
    </row>
    <row r="3691" ht="15.0" customHeight="1">
      <c r="A3691" s="10" t="s">
        <v>1677</v>
      </c>
      <c r="B3691" s="10" t="s">
        <v>18</v>
      </c>
      <c r="C3691" s="10" t="s">
        <v>251</v>
      </c>
      <c r="D3691" s="10" t="s">
        <v>1678</v>
      </c>
      <c r="E3691" s="14">
        <v>0.5</v>
      </c>
      <c r="F3691" s="15">
        <f>F3698</f>
        <v>17.24</v>
      </c>
      <c r="G3691" s="12">
        <f t="shared" si="609"/>
        <v>8.62</v>
      </c>
    </row>
    <row r="3692" ht="30.0" customHeight="1">
      <c r="A3692" s="10" t="s">
        <v>1679</v>
      </c>
      <c r="B3692" s="10" t="s">
        <v>42</v>
      </c>
      <c r="C3692" s="10" t="s">
        <v>226</v>
      </c>
      <c r="D3692" s="10" t="s">
        <v>1680</v>
      </c>
      <c r="E3692" s="14">
        <v>0.022</v>
      </c>
      <c r="F3692" s="15">
        <f>ROUND(39.5,3)</f>
        <v>39.5</v>
      </c>
      <c r="G3692" s="12">
        <f t="shared" si="609"/>
        <v>0.87</v>
      </c>
    </row>
    <row r="3693" ht="30.0" customHeight="1">
      <c r="A3693" s="10" t="s">
        <v>1681</v>
      </c>
      <c r="B3693" s="10" t="s">
        <v>42</v>
      </c>
      <c r="C3693" s="10" t="s">
        <v>184</v>
      </c>
      <c r="D3693" s="10" t="s">
        <v>1682</v>
      </c>
      <c r="E3693" s="14">
        <v>1.0</v>
      </c>
      <c r="F3693" s="15">
        <f>ROUND(1.29,3)</f>
        <v>1.29</v>
      </c>
      <c r="G3693" s="12">
        <f t="shared" si="609"/>
        <v>1.29</v>
      </c>
    </row>
    <row r="3694" ht="30.0" customHeight="1">
      <c r="A3694" s="10" t="s">
        <v>1683</v>
      </c>
      <c r="B3694" s="10" t="s">
        <v>42</v>
      </c>
      <c r="C3694" s="10" t="s">
        <v>344</v>
      </c>
      <c r="D3694" s="10" t="s">
        <v>1684</v>
      </c>
      <c r="E3694" s="14">
        <v>0.1</v>
      </c>
      <c r="F3694" s="15">
        <f>ROUND(1.19,3)</f>
        <v>1.19</v>
      </c>
      <c r="G3694" s="12">
        <f t="shared" si="609"/>
        <v>0.12</v>
      </c>
    </row>
    <row r="3695" ht="21.0" customHeight="1">
      <c r="A3695" s="10" t="s">
        <v>1685</v>
      </c>
      <c r="B3695" s="10" t="s">
        <v>42</v>
      </c>
      <c r="C3695" s="10" t="s">
        <v>351</v>
      </c>
      <c r="D3695" s="10" t="s">
        <v>1686</v>
      </c>
      <c r="E3695" s="14">
        <v>0.25</v>
      </c>
      <c r="F3695" s="15">
        <f>ROUND(0.32,3)</f>
        <v>0.32</v>
      </c>
      <c r="G3695" s="12">
        <f t="shared" si="609"/>
        <v>0.08</v>
      </c>
    </row>
    <row r="3696" ht="21.0" customHeight="1">
      <c r="A3696" s="10" t="s">
        <v>22</v>
      </c>
      <c r="B3696" s="10" t="s">
        <v>18</v>
      </c>
      <c r="C3696" s="10" t="s">
        <v>23</v>
      </c>
      <c r="D3696" s="10" t="s">
        <v>24</v>
      </c>
      <c r="E3696" s="14">
        <v>0.33</v>
      </c>
      <c r="F3696" s="15">
        <f>ROUND(43.8,3)</f>
        <v>43.8</v>
      </c>
      <c r="G3696" s="12">
        <f t="shared" si="609"/>
        <v>14.45</v>
      </c>
    </row>
    <row r="3697" ht="15.0" customHeight="1">
      <c r="A3697" s="10" t="s">
        <v>32</v>
      </c>
      <c r="B3697" s="10"/>
      <c r="C3697" s="10" t="s">
        <v>33</v>
      </c>
      <c r="D3697" s="10" t="s">
        <v>34</v>
      </c>
      <c r="E3697" s="14">
        <v>3.0</v>
      </c>
      <c r="F3697" s="15">
        <f>ROUND(14.45,3)</f>
        <v>14.45</v>
      </c>
      <c r="G3697" s="12">
        <f>ROUND((E3697*F3697)/100,2)</f>
        <v>0.43</v>
      </c>
    </row>
    <row r="3698" ht="15.0" customHeight="1">
      <c r="A3698" s="11"/>
      <c r="B3698" s="11"/>
      <c r="C3698" s="11"/>
      <c r="D3698" s="10" t="s">
        <v>1677</v>
      </c>
      <c r="E3698" s="14">
        <v>0.5</v>
      </c>
      <c r="F3698" s="15">
        <f>ROUND((G3692+G3693+G3694+G3695+G3696+G3697),3)</f>
        <v>17.24</v>
      </c>
      <c r="G3698" s="12">
        <f t="shared" ref="G3698:G3702" si="610">ROUND(E3698*F3698,2)</f>
        <v>8.62</v>
      </c>
    </row>
    <row r="3699" ht="15.0" customHeight="1">
      <c r="A3699" s="10" t="s">
        <v>1687</v>
      </c>
      <c r="B3699" s="10" t="s">
        <v>18</v>
      </c>
      <c r="C3699" s="10" t="s">
        <v>251</v>
      </c>
      <c r="D3699" s="10" t="s">
        <v>1688</v>
      </c>
      <c r="E3699" s="14">
        <v>1.0</v>
      </c>
      <c r="F3699" s="15">
        <f>F3702</f>
        <v>39.23</v>
      </c>
      <c r="G3699" s="12">
        <f t="shared" si="610"/>
        <v>39.23</v>
      </c>
    </row>
    <row r="3700" ht="24.0" customHeight="1">
      <c r="A3700" s="10" t="s">
        <v>1186</v>
      </c>
      <c r="B3700" s="10" t="s">
        <v>26</v>
      </c>
      <c r="C3700" s="10" t="s">
        <v>23</v>
      </c>
      <c r="D3700" s="10" t="s">
        <v>1187</v>
      </c>
      <c r="E3700" s="14">
        <v>0.55</v>
      </c>
      <c r="F3700" s="15">
        <f>ROUND(49.5,3)</f>
        <v>49.5</v>
      </c>
      <c r="G3700" s="12">
        <f t="shared" si="610"/>
        <v>27.23</v>
      </c>
    </row>
    <row r="3701" ht="21.0" customHeight="1">
      <c r="A3701" s="10" t="s">
        <v>1689</v>
      </c>
      <c r="B3701" s="10" t="s">
        <v>42</v>
      </c>
      <c r="C3701" s="10" t="s">
        <v>304</v>
      </c>
      <c r="D3701" s="10" t="s">
        <v>1690</v>
      </c>
      <c r="E3701" s="14">
        <v>1.0</v>
      </c>
      <c r="F3701" s="15">
        <f>ROUND(12,3)</f>
        <v>12</v>
      </c>
      <c r="G3701" s="12">
        <f t="shared" si="610"/>
        <v>12</v>
      </c>
    </row>
    <row r="3702" ht="15.0" customHeight="1">
      <c r="A3702" s="11"/>
      <c r="B3702" s="11"/>
      <c r="C3702" s="11"/>
      <c r="D3702" s="10" t="s">
        <v>1687</v>
      </c>
      <c r="E3702" s="14">
        <v>1.0</v>
      </c>
      <c r="F3702" s="15">
        <f>ROUND((G3700+G3701),3)</f>
        <v>39.23</v>
      </c>
      <c r="G3702" s="12">
        <f t="shared" si="610"/>
        <v>39.23</v>
      </c>
    </row>
    <row r="3703" ht="15.0" customHeight="1">
      <c r="A3703" s="16"/>
      <c r="B3703" s="16"/>
      <c r="C3703" s="16"/>
      <c r="D3703" s="17" t="s">
        <v>1630</v>
      </c>
      <c r="E3703" s="16"/>
      <c r="F3703" s="18">
        <f>ROUND((G3636+G3642+G3645+G3649+G3659+G3662+G3666+G3672+G3677+G3681+G3691+G3699)*(1+G2/100),2)</f>
        <v>576.17</v>
      </c>
      <c r="G3703" s="16"/>
    </row>
    <row r="3704" ht="21.0" customHeight="1">
      <c r="A3704" s="19" t="s">
        <v>1691</v>
      </c>
      <c r="B3704" s="20" t="s">
        <v>18</v>
      </c>
      <c r="C3704" s="20" t="s">
        <v>537</v>
      </c>
      <c r="D3704" s="20" t="s">
        <v>1692</v>
      </c>
      <c r="E3704" s="21"/>
      <c r="F3704" s="22">
        <f>F3764</f>
        <v>638.17</v>
      </c>
      <c r="G3704" s="21"/>
    </row>
    <row r="3705" ht="132.0" customHeight="1">
      <c r="A3705" s="11"/>
      <c r="B3705" s="11"/>
      <c r="C3705" s="11"/>
      <c r="D3705" s="10" t="s">
        <v>1632</v>
      </c>
    </row>
    <row r="3706" ht="15.0" customHeight="1">
      <c r="A3706" s="10" t="s">
        <v>1693</v>
      </c>
      <c r="B3706" s="10" t="s">
        <v>18</v>
      </c>
      <c r="C3706" s="10" t="s">
        <v>222</v>
      </c>
      <c r="D3706" s="10" t="s">
        <v>1694</v>
      </c>
      <c r="E3706" s="14">
        <v>0.05</v>
      </c>
      <c r="F3706" s="15">
        <f>F3709</f>
        <v>256.76</v>
      </c>
      <c r="G3706" s="12">
        <f t="shared" ref="G3706:G3763" si="611">ROUND(E3706*F3706,2)</f>
        <v>12.84</v>
      </c>
    </row>
    <row r="3707" ht="21.0" customHeight="1">
      <c r="A3707" s="10" t="s">
        <v>1695</v>
      </c>
      <c r="B3707" s="10" t="s">
        <v>42</v>
      </c>
      <c r="C3707" s="10" t="s">
        <v>304</v>
      </c>
      <c r="D3707" s="10" t="s">
        <v>1696</v>
      </c>
      <c r="E3707" s="14">
        <v>2.0</v>
      </c>
      <c r="F3707" s="15">
        <f>ROUND(29.38,3)</f>
        <v>29.38</v>
      </c>
      <c r="G3707" s="12">
        <f t="shared" si="611"/>
        <v>58.76</v>
      </c>
    </row>
    <row r="3708" ht="24.0" customHeight="1">
      <c r="A3708" s="10" t="s">
        <v>1186</v>
      </c>
      <c r="B3708" s="10" t="s">
        <v>26</v>
      </c>
      <c r="C3708" s="10" t="s">
        <v>23</v>
      </c>
      <c r="D3708" s="10" t="s">
        <v>1187</v>
      </c>
      <c r="E3708" s="14">
        <v>4.0</v>
      </c>
      <c r="F3708" s="15">
        <f>ROUND(49.5,3)</f>
        <v>49.5</v>
      </c>
      <c r="G3708" s="12">
        <f t="shared" si="611"/>
        <v>198</v>
      </c>
    </row>
    <row r="3709" ht="15.0" customHeight="1">
      <c r="A3709" s="11"/>
      <c r="B3709" s="11"/>
      <c r="C3709" s="11"/>
      <c r="D3709" s="10" t="s">
        <v>1693</v>
      </c>
      <c r="E3709" s="14">
        <v>0.05</v>
      </c>
      <c r="F3709" s="15">
        <f>ROUND((G3707+G3708),3)</f>
        <v>256.76</v>
      </c>
      <c r="G3709" s="12">
        <f t="shared" si="611"/>
        <v>12.84</v>
      </c>
    </row>
    <row r="3710" ht="21.0" customHeight="1">
      <c r="A3710" s="10" t="s">
        <v>1697</v>
      </c>
      <c r="B3710" s="10" t="s">
        <v>18</v>
      </c>
      <c r="C3710" s="10" t="s">
        <v>485</v>
      </c>
      <c r="D3710" s="10" t="s">
        <v>1698</v>
      </c>
      <c r="E3710" s="14">
        <v>2.0</v>
      </c>
      <c r="F3710" s="15">
        <f>F3712</f>
        <v>16.88</v>
      </c>
      <c r="G3710" s="12">
        <f t="shared" si="611"/>
        <v>33.76</v>
      </c>
    </row>
    <row r="3711" ht="24.0" customHeight="1">
      <c r="A3711" s="10" t="s">
        <v>1522</v>
      </c>
      <c r="B3711" s="10" t="s">
        <v>26</v>
      </c>
      <c r="C3711" s="10" t="s">
        <v>23</v>
      </c>
      <c r="D3711" s="10" t="s">
        <v>1523</v>
      </c>
      <c r="E3711" s="14">
        <v>0.5</v>
      </c>
      <c r="F3711" s="15">
        <f>ROUND(33.75,3)</f>
        <v>33.75</v>
      </c>
      <c r="G3711" s="12">
        <f t="shared" si="611"/>
        <v>16.88</v>
      </c>
    </row>
    <row r="3712" ht="15.0" customHeight="1">
      <c r="A3712" s="11"/>
      <c r="B3712" s="11"/>
      <c r="C3712" s="11"/>
      <c r="D3712" s="10" t="s">
        <v>1697</v>
      </c>
      <c r="E3712" s="14">
        <v>2.0</v>
      </c>
      <c r="F3712" s="15">
        <f>ROUND((G3711),3)</f>
        <v>16.88</v>
      </c>
      <c r="G3712" s="12">
        <f t="shared" si="611"/>
        <v>33.76</v>
      </c>
    </row>
    <row r="3713" ht="15.0" customHeight="1">
      <c r="A3713" s="10" t="s">
        <v>1699</v>
      </c>
      <c r="B3713" s="10" t="s">
        <v>18</v>
      </c>
      <c r="C3713" s="10" t="s">
        <v>485</v>
      </c>
      <c r="D3713" s="10" t="s">
        <v>1700</v>
      </c>
      <c r="E3713" s="14">
        <v>0.05</v>
      </c>
      <c r="F3713" s="15">
        <f>F3717</f>
        <v>404.62</v>
      </c>
      <c r="G3713" s="12">
        <f t="shared" si="611"/>
        <v>20.23</v>
      </c>
    </row>
    <row r="3714" ht="24.0" customHeight="1">
      <c r="A3714" s="10" t="s">
        <v>1186</v>
      </c>
      <c r="B3714" s="10" t="s">
        <v>26</v>
      </c>
      <c r="C3714" s="10" t="s">
        <v>23</v>
      </c>
      <c r="D3714" s="10" t="s">
        <v>1187</v>
      </c>
      <c r="E3714" s="14">
        <v>8.0</v>
      </c>
      <c r="F3714" s="15">
        <f>ROUND(49.5,3)</f>
        <v>49.5</v>
      </c>
      <c r="G3714" s="12">
        <f t="shared" si="611"/>
        <v>396</v>
      </c>
    </row>
    <row r="3715" ht="15.0" customHeight="1">
      <c r="A3715" s="10" t="s">
        <v>395</v>
      </c>
      <c r="B3715" s="10" t="s">
        <v>42</v>
      </c>
      <c r="C3715" s="10" t="s">
        <v>304</v>
      </c>
      <c r="D3715" s="10" t="s">
        <v>396</v>
      </c>
      <c r="E3715" s="14">
        <v>0.25</v>
      </c>
      <c r="F3715" s="15">
        <f>ROUND(28.5,3)</f>
        <v>28.5</v>
      </c>
      <c r="G3715" s="12">
        <f t="shared" si="611"/>
        <v>7.13</v>
      </c>
    </row>
    <row r="3716" ht="21.0" customHeight="1">
      <c r="A3716" s="10" t="s">
        <v>306</v>
      </c>
      <c r="B3716" s="10" t="s">
        <v>42</v>
      </c>
      <c r="C3716" s="10" t="s">
        <v>304</v>
      </c>
      <c r="D3716" s="10" t="s">
        <v>307</v>
      </c>
      <c r="E3716" s="14">
        <v>0.05</v>
      </c>
      <c r="F3716" s="15">
        <f>ROUND(29.8,3)</f>
        <v>29.8</v>
      </c>
      <c r="G3716" s="12">
        <f t="shared" si="611"/>
        <v>1.49</v>
      </c>
    </row>
    <row r="3717" ht="15.0" customHeight="1">
      <c r="A3717" s="11"/>
      <c r="B3717" s="11"/>
      <c r="C3717" s="11"/>
      <c r="D3717" s="10" t="s">
        <v>1699</v>
      </c>
      <c r="E3717" s="14">
        <v>0.05</v>
      </c>
      <c r="F3717" s="15">
        <f>ROUND((G3714+G3715+G3716),3)</f>
        <v>404.62</v>
      </c>
      <c r="G3717" s="12">
        <f t="shared" si="611"/>
        <v>20.23</v>
      </c>
    </row>
    <row r="3718" ht="21.0" customHeight="1">
      <c r="A3718" s="10" t="s">
        <v>1701</v>
      </c>
      <c r="B3718" s="10" t="s">
        <v>18</v>
      </c>
      <c r="C3718" s="10" t="s">
        <v>222</v>
      </c>
      <c r="D3718" s="10" t="s">
        <v>1702</v>
      </c>
      <c r="E3718" s="14">
        <v>0.125</v>
      </c>
      <c r="F3718" s="15">
        <f>F3723</f>
        <v>38.93</v>
      </c>
      <c r="G3718" s="12">
        <f t="shared" si="611"/>
        <v>4.87</v>
      </c>
    </row>
    <row r="3719" ht="21.0" customHeight="1">
      <c r="A3719" s="10" t="s">
        <v>1635</v>
      </c>
      <c r="B3719" s="10" t="s">
        <v>42</v>
      </c>
      <c r="C3719" s="10" t="s">
        <v>304</v>
      </c>
      <c r="D3719" s="10" t="s">
        <v>1636</v>
      </c>
      <c r="E3719" s="14">
        <v>1.0</v>
      </c>
      <c r="F3719" s="15">
        <f>ROUND(13.14,3)</f>
        <v>13.14</v>
      </c>
      <c r="G3719" s="12">
        <f t="shared" si="611"/>
        <v>13.14</v>
      </c>
    </row>
    <row r="3720" ht="21.0" customHeight="1">
      <c r="A3720" s="10" t="s">
        <v>1637</v>
      </c>
      <c r="B3720" s="10" t="s">
        <v>42</v>
      </c>
      <c r="C3720" s="10" t="s">
        <v>304</v>
      </c>
      <c r="D3720" s="10" t="s">
        <v>1638</v>
      </c>
      <c r="E3720" s="14">
        <v>2.0</v>
      </c>
      <c r="F3720" s="15">
        <f>ROUND(3.47,3)</f>
        <v>3.47</v>
      </c>
      <c r="G3720" s="12">
        <f t="shared" si="611"/>
        <v>6.94</v>
      </c>
    </row>
    <row r="3721" ht="21.0" customHeight="1">
      <c r="A3721" s="10" t="s">
        <v>1703</v>
      </c>
      <c r="B3721" s="10" t="s">
        <v>42</v>
      </c>
      <c r="C3721" s="10" t="s">
        <v>304</v>
      </c>
      <c r="D3721" s="10" t="s">
        <v>1704</v>
      </c>
      <c r="E3721" s="14">
        <v>5.0</v>
      </c>
      <c r="F3721" s="15">
        <f>ROUND(0.77,3)</f>
        <v>0.77</v>
      </c>
      <c r="G3721" s="12">
        <f t="shared" si="611"/>
        <v>3.85</v>
      </c>
    </row>
    <row r="3722" ht="24.0" customHeight="1">
      <c r="A3722" s="10" t="s">
        <v>1214</v>
      </c>
      <c r="B3722" s="10" t="s">
        <v>26</v>
      </c>
      <c r="C3722" s="10" t="s">
        <v>23</v>
      </c>
      <c r="D3722" s="10" t="s">
        <v>1215</v>
      </c>
      <c r="E3722" s="14">
        <v>1.0</v>
      </c>
      <c r="F3722" s="15">
        <f>ROUND(15,3)</f>
        <v>15</v>
      </c>
      <c r="G3722" s="12">
        <f t="shared" si="611"/>
        <v>15</v>
      </c>
    </row>
    <row r="3723" ht="15.0" customHeight="1">
      <c r="A3723" s="11"/>
      <c r="B3723" s="11"/>
      <c r="C3723" s="11"/>
      <c r="D3723" s="10" t="s">
        <v>1701</v>
      </c>
      <c r="E3723" s="14">
        <v>0.125</v>
      </c>
      <c r="F3723" s="15">
        <f>ROUND((G3719+G3720+G3721+G3722),3)</f>
        <v>38.93</v>
      </c>
      <c r="G3723" s="12">
        <f t="shared" si="611"/>
        <v>4.87</v>
      </c>
    </row>
    <row r="3724" ht="21.0" customHeight="1">
      <c r="A3724" s="10" t="s">
        <v>1705</v>
      </c>
      <c r="B3724" s="10" t="s">
        <v>18</v>
      </c>
      <c r="C3724" s="10" t="s">
        <v>485</v>
      </c>
      <c r="D3724" s="10" t="s">
        <v>1706</v>
      </c>
      <c r="E3724" s="14">
        <v>0.125</v>
      </c>
      <c r="F3724" s="15">
        <f>F3726</f>
        <v>99</v>
      </c>
      <c r="G3724" s="12">
        <f t="shared" si="611"/>
        <v>12.38</v>
      </c>
    </row>
    <row r="3725" ht="24.0" customHeight="1">
      <c r="A3725" s="10" t="s">
        <v>1186</v>
      </c>
      <c r="B3725" s="10" t="s">
        <v>26</v>
      </c>
      <c r="C3725" s="10" t="s">
        <v>23</v>
      </c>
      <c r="D3725" s="10" t="s">
        <v>1187</v>
      </c>
      <c r="E3725" s="14">
        <v>2.0</v>
      </c>
      <c r="F3725" s="15">
        <f>ROUND(49.5,3)</f>
        <v>49.5</v>
      </c>
      <c r="G3725" s="12">
        <f t="shared" si="611"/>
        <v>99</v>
      </c>
    </row>
    <row r="3726" ht="15.0" customHeight="1">
      <c r="A3726" s="11"/>
      <c r="B3726" s="11"/>
      <c r="C3726" s="11"/>
      <c r="D3726" s="10" t="s">
        <v>1705</v>
      </c>
      <c r="E3726" s="14">
        <v>0.125</v>
      </c>
      <c r="F3726" s="15">
        <f>ROUND((G3725),3)</f>
        <v>99</v>
      </c>
      <c r="G3726" s="12">
        <f t="shared" si="611"/>
        <v>12.38</v>
      </c>
    </row>
    <row r="3727" ht="21.0" customHeight="1">
      <c r="A3727" s="10" t="s">
        <v>1707</v>
      </c>
      <c r="B3727" s="10" t="s">
        <v>18</v>
      </c>
      <c r="C3727" s="10" t="s">
        <v>485</v>
      </c>
      <c r="D3727" s="10" t="s">
        <v>1642</v>
      </c>
      <c r="E3727" s="14">
        <v>0.25</v>
      </c>
      <c r="F3727" s="15">
        <f>F3729</f>
        <v>742.5</v>
      </c>
      <c r="G3727" s="12">
        <f t="shared" si="611"/>
        <v>185.63</v>
      </c>
    </row>
    <row r="3728" ht="24.0" customHeight="1">
      <c r="A3728" s="10" t="s">
        <v>1186</v>
      </c>
      <c r="B3728" s="10" t="s">
        <v>26</v>
      </c>
      <c r="C3728" s="10" t="s">
        <v>23</v>
      </c>
      <c r="D3728" s="10" t="s">
        <v>1187</v>
      </c>
      <c r="E3728" s="14">
        <v>15.0</v>
      </c>
      <c r="F3728" s="15">
        <f>ROUND(49.5,3)</f>
        <v>49.5</v>
      </c>
      <c r="G3728" s="12">
        <f t="shared" si="611"/>
        <v>742.5</v>
      </c>
    </row>
    <row r="3729" ht="15.0" customHeight="1">
      <c r="A3729" s="11"/>
      <c r="B3729" s="11"/>
      <c r="C3729" s="11"/>
      <c r="D3729" s="10" t="s">
        <v>1707</v>
      </c>
      <c r="E3729" s="14">
        <v>0.25</v>
      </c>
      <c r="F3729" s="15">
        <f>ROUND((G3728),3)</f>
        <v>742.5</v>
      </c>
      <c r="G3729" s="12">
        <f t="shared" si="611"/>
        <v>185.63</v>
      </c>
    </row>
    <row r="3730" ht="21.0" customHeight="1">
      <c r="A3730" s="10" t="s">
        <v>1708</v>
      </c>
      <c r="B3730" s="10" t="s">
        <v>18</v>
      </c>
      <c r="C3730" s="10" t="s">
        <v>251</v>
      </c>
      <c r="D3730" s="10" t="s">
        <v>1644</v>
      </c>
      <c r="E3730" s="14">
        <v>0.4</v>
      </c>
      <c r="F3730" s="15">
        <f>F3733</f>
        <v>15.88</v>
      </c>
      <c r="G3730" s="12">
        <f t="shared" si="611"/>
        <v>6.35</v>
      </c>
    </row>
    <row r="3731" ht="30.0" customHeight="1">
      <c r="A3731" s="10" t="s">
        <v>1645</v>
      </c>
      <c r="B3731" s="10" t="s">
        <v>42</v>
      </c>
      <c r="C3731" s="10" t="s">
        <v>1207</v>
      </c>
      <c r="D3731" s="10" t="s">
        <v>1646</v>
      </c>
      <c r="E3731" s="14">
        <v>1.0</v>
      </c>
      <c r="F3731" s="15">
        <f>ROUND(3.5,3)</f>
        <v>3.5</v>
      </c>
      <c r="G3731" s="12">
        <f t="shared" si="611"/>
        <v>3.5</v>
      </c>
    </row>
    <row r="3732" ht="24.0" customHeight="1">
      <c r="A3732" s="10" t="s">
        <v>1186</v>
      </c>
      <c r="B3732" s="10" t="s">
        <v>26</v>
      </c>
      <c r="C3732" s="10" t="s">
        <v>23</v>
      </c>
      <c r="D3732" s="10" t="s">
        <v>1187</v>
      </c>
      <c r="E3732" s="14">
        <v>0.25</v>
      </c>
      <c r="F3732" s="15">
        <f>ROUND(49.5,3)</f>
        <v>49.5</v>
      </c>
      <c r="G3732" s="12">
        <f t="shared" si="611"/>
        <v>12.38</v>
      </c>
    </row>
    <row r="3733" ht="15.0" customHeight="1">
      <c r="A3733" s="11"/>
      <c r="B3733" s="11"/>
      <c r="C3733" s="11"/>
      <c r="D3733" s="10" t="s">
        <v>1708</v>
      </c>
      <c r="E3733" s="14">
        <v>0.4</v>
      </c>
      <c r="F3733" s="15">
        <f>ROUND((G3731+G3732),3)</f>
        <v>15.88</v>
      </c>
      <c r="G3733" s="12">
        <f t="shared" si="611"/>
        <v>6.35</v>
      </c>
    </row>
    <row r="3734" ht="21.0" customHeight="1">
      <c r="A3734" s="10" t="s">
        <v>1709</v>
      </c>
      <c r="B3734" s="10" t="s">
        <v>18</v>
      </c>
      <c r="C3734" s="10" t="s">
        <v>304</v>
      </c>
      <c r="D3734" s="10" t="s">
        <v>1710</v>
      </c>
      <c r="E3734" s="14">
        <v>0.25</v>
      </c>
      <c r="F3734" s="15">
        <f>F3744</f>
        <v>960.19</v>
      </c>
      <c r="G3734" s="12">
        <f t="shared" si="611"/>
        <v>240.05</v>
      </c>
    </row>
    <row r="3735" ht="15.0" customHeight="1">
      <c r="A3735" s="10" t="s">
        <v>1589</v>
      </c>
      <c r="B3735" s="10" t="s">
        <v>42</v>
      </c>
      <c r="C3735" s="10" t="s">
        <v>304</v>
      </c>
      <c r="D3735" s="10" t="s">
        <v>1590</v>
      </c>
      <c r="E3735" s="14">
        <v>1.0</v>
      </c>
      <c r="F3735" s="15">
        <f>ROUND(403.83,3)</f>
        <v>403.83</v>
      </c>
      <c r="G3735" s="12">
        <f t="shared" si="611"/>
        <v>403.83</v>
      </c>
    </row>
    <row r="3736" ht="21.0" customHeight="1">
      <c r="A3736" s="10" t="s">
        <v>1711</v>
      </c>
      <c r="B3736" s="10" t="s">
        <v>42</v>
      </c>
      <c r="C3736" s="10" t="s">
        <v>304</v>
      </c>
      <c r="D3736" s="10" t="s">
        <v>1712</v>
      </c>
      <c r="E3736" s="14">
        <v>1.0</v>
      </c>
      <c r="F3736" s="15">
        <f>ROUND(7.4,3)</f>
        <v>7.4</v>
      </c>
      <c r="G3736" s="12">
        <f t="shared" si="611"/>
        <v>7.4</v>
      </c>
    </row>
    <row r="3737" ht="21.0" customHeight="1">
      <c r="A3737" s="10" t="s">
        <v>1577</v>
      </c>
      <c r="B3737" s="10" t="s">
        <v>42</v>
      </c>
      <c r="C3737" s="10" t="s">
        <v>304</v>
      </c>
      <c r="D3737" s="10" t="s">
        <v>1578</v>
      </c>
      <c r="E3737" s="14">
        <v>8.0</v>
      </c>
      <c r="F3737" s="15">
        <f>ROUND(2.1,3)</f>
        <v>2.1</v>
      </c>
      <c r="G3737" s="12">
        <f t="shared" si="611"/>
        <v>16.8</v>
      </c>
    </row>
    <row r="3738" ht="15.0" customHeight="1">
      <c r="A3738" s="10" t="s">
        <v>1591</v>
      </c>
      <c r="B3738" s="10" t="s">
        <v>42</v>
      </c>
      <c r="C3738" s="10" t="s">
        <v>1207</v>
      </c>
      <c r="D3738" s="10" t="s">
        <v>1592</v>
      </c>
      <c r="E3738" s="14">
        <v>33.333</v>
      </c>
      <c r="F3738" s="15">
        <f>ROUND(0.38,3)</f>
        <v>0.38</v>
      </c>
      <c r="G3738" s="12">
        <f t="shared" si="611"/>
        <v>12.67</v>
      </c>
    </row>
    <row r="3739" ht="15.0" customHeight="1">
      <c r="A3739" s="10" t="s">
        <v>1713</v>
      </c>
      <c r="B3739" s="10" t="s">
        <v>42</v>
      </c>
      <c r="C3739" s="10" t="s">
        <v>304</v>
      </c>
      <c r="D3739" s="10" t="s">
        <v>605</v>
      </c>
      <c r="E3739" s="14">
        <v>0.333</v>
      </c>
      <c r="F3739" s="15">
        <f>ROUND(100,3)</f>
        <v>100</v>
      </c>
      <c r="G3739" s="12">
        <f t="shared" si="611"/>
        <v>33.3</v>
      </c>
    </row>
    <row r="3740" ht="15.0" customHeight="1">
      <c r="A3740" s="10" t="s">
        <v>1581</v>
      </c>
      <c r="B3740" s="10" t="s">
        <v>42</v>
      </c>
      <c r="C3740" s="10" t="s">
        <v>304</v>
      </c>
      <c r="D3740" s="10" t="s">
        <v>1582</v>
      </c>
      <c r="E3740" s="14">
        <v>1.0</v>
      </c>
      <c r="F3740" s="15">
        <f>ROUND(6,3)</f>
        <v>6</v>
      </c>
      <c r="G3740" s="12">
        <f t="shared" si="611"/>
        <v>6</v>
      </c>
    </row>
    <row r="3741" ht="21.0" customHeight="1">
      <c r="A3741" s="10" t="s">
        <v>1593</v>
      </c>
      <c r="B3741" s="10" t="s">
        <v>42</v>
      </c>
      <c r="C3741" s="10" t="s">
        <v>304</v>
      </c>
      <c r="D3741" s="10" t="s">
        <v>1594</v>
      </c>
      <c r="E3741" s="14">
        <v>0.333</v>
      </c>
      <c r="F3741" s="15">
        <f>ROUND(180,3)</f>
        <v>180</v>
      </c>
      <c r="G3741" s="12">
        <f t="shared" si="611"/>
        <v>59.94</v>
      </c>
    </row>
    <row r="3742" ht="15.0" customHeight="1">
      <c r="A3742" s="10" t="s">
        <v>1587</v>
      </c>
      <c r="B3742" s="10" t="s">
        <v>42</v>
      </c>
      <c r="C3742" s="10" t="s">
        <v>1207</v>
      </c>
      <c r="D3742" s="10" t="s">
        <v>1588</v>
      </c>
      <c r="E3742" s="14">
        <v>75.0</v>
      </c>
      <c r="F3742" s="15">
        <f>ROUND(0.22,3)</f>
        <v>0.22</v>
      </c>
      <c r="G3742" s="12">
        <f t="shared" si="611"/>
        <v>16.5</v>
      </c>
    </row>
    <row r="3743" ht="24.0" customHeight="1">
      <c r="A3743" s="10" t="s">
        <v>1547</v>
      </c>
      <c r="B3743" s="10" t="s">
        <v>26</v>
      </c>
      <c r="C3743" s="10" t="s">
        <v>23</v>
      </c>
      <c r="D3743" s="10" t="s">
        <v>1548</v>
      </c>
      <c r="E3743" s="14">
        <v>8.5</v>
      </c>
      <c r="F3743" s="15">
        <f>ROUND(47.5,3)</f>
        <v>47.5</v>
      </c>
      <c r="G3743" s="12">
        <f t="shared" si="611"/>
        <v>403.75</v>
      </c>
    </row>
    <row r="3744" ht="15.0" customHeight="1">
      <c r="A3744" s="11"/>
      <c r="B3744" s="11"/>
      <c r="C3744" s="11"/>
      <c r="D3744" s="10" t="s">
        <v>1709</v>
      </c>
      <c r="E3744" s="14">
        <v>0.25</v>
      </c>
      <c r="F3744" s="15">
        <f>ROUND((G3735+G3736+G3737+G3738+G3739+G3740+G3741+G3742+G3743),3)</f>
        <v>960.19</v>
      </c>
      <c r="G3744" s="12">
        <f t="shared" si="611"/>
        <v>240.05</v>
      </c>
    </row>
    <row r="3745" ht="21.0" customHeight="1">
      <c r="A3745" s="10" t="s">
        <v>1714</v>
      </c>
      <c r="B3745" s="10" t="s">
        <v>18</v>
      </c>
      <c r="C3745" s="10" t="s">
        <v>351</v>
      </c>
      <c r="D3745" s="10" t="s">
        <v>1715</v>
      </c>
      <c r="E3745" s="14">
        <v>0.125</v>
      </c>
      <c r="F3745" s="15">
        <f>F3747</f>
        <v>432</v>
      </c>
      <c r="G3745" s="12">
        <f t="shared" si="611"/>
        <v>54</v>
      </c>
    </row>
    <row r="3746" ht="15.0" customHeight="1">
      <c r="A3746" s="10" t="s">
        <v>1716</v>
      </c>
      <c r="B3746" s="10" t="s">
        <v>42</v>
      </c>
      <c r="C3746" s="10" t="s">
        <v>19</v>
      </c>
      <c r="D3746" s="10" t="s">
        <v>1717</v>
      </c>
      <c r="E3746" s="14">
        <v>9.0</v>
      </c>
      <c r="F3746" s="15">
        <f>ROUND(48,3)</f>
        <v>48</v>
      </c>
      <c r="G3746" s="12">
        <f t="shared" si="611"/>
        <v>432</v>
      </c>
    </row>
    <row r="3747" ht="15.0" customHeight="1">
      <c r="A3747" s="11"/>
      <c r="B3747" s="11"/>
      <c r="C3747" s="11"/>
      <c r="D3747" s="10" t="s">
        <v>1714</v>
      </c>
      <c r="E3747" s="14">
        <v>0.125</v>
      </c>
      <c r="F3747" s="15">
        <f>ROUND((G3746),3)</f>
        <v>432</v>
      </c>
      <c r="G3747" s="12">
        <f t="shared" si="611"/>
        <v>54</v>
      </c>
    </row>
    <row r="3748" ht="15.0" customHeight="1">
      <c r="A3748" s="10" t="s">
        <v>1718</v>
      </c>
      <c r="B3748" s="10" t="s">
        <v>18</v>
      </c>
      <c r="C3748" s="10" t="s">
        <v>485</v>
      </c>
      <c r="D3748" s="10" t="s">
        <v>1719</v>
      </c>
      <c r="E3748" s="14">
        <v>0.125</v>
      </c>
      <c r="F3748" s="15">
        <f>F3752</f>
        <v>189.98</v>
      </c>
      <c r="G3748" s="12">
        <f t="shared" si="611"/>
        <v>23.75</v>
      </c>
    </row>
    <row r="3749" ht="15.0" customHeight="1">
      <c r="A3749" s="10" t="s">
        <v>1561</v>
      </c>
      <c r="B3749" s="10" t="s">
        <v>42</v>
      </c>
      <c r="C3749" s="10" t="s">
        <v>521</v>
      </c>
      <c r="D3749" s="10" t="s">
        <v>1562</v>
      </c>
      <c r="E3749" s="14">
        <v>4.0</v>
      </c>
      <c r="F3749" s="15">
        <f>ROUND(4.5,3)</f>
        <v>4.5</v>
      </c>
      <c r="G3749" s="12">
        <f t="shared" si="611"/>
        <v>18</v>
      </c>
    </row>
    <row r="3750" ht="15.0" customHeight="1">
      <c r="A3750" s="10" t="s">
        <v>1563</v>
      </c>
      <c r="B3750" s="10" t="s">
        <v>42</v>
      </c>
      <c r="C3750" s="10" t="s">
        <v>521</v>
      </c>
      <c r="D3750" s="10" t="s">
        <v>1564</v>
      </c>
      <c r="E3750" s="14">
        <v>4.0</v>
      </c>
      <c r="F3750" s="15">
        <f>ROUND(5.87,3)</f>
        <v>5.87</v>
      </c>
      <c r="G3750" s="12">
        <f t="shared" si="611"/>
        <v>23.48</v>
      </c>
    </row>
    <row r="3751" ht="24.0" customHeight="1">
      <c r="A3751" s="10" t="s">
        <v>1186</v>
      </c>
      <c r="B3751" s="10" t="s">
        <v>26</v>
      </c>
      <c r="C3751" s="10" t="s">
        <v>23</v>
      </c>
      <c r="D3751" s="10" t="s">
        <v>1187</v>
      </c>
      <c r="E3751" s="14">
        <v>3.0</v>
      </c>
      <c r="F3751" s="15">
        <f>ROUND(49.5,3)</f>
        <v>49.5</v>
      </c>
      <c r="G3751" s="12">
        <f t="shared" si="611"/>
        <v>148.5</v>
      </c>
    </row>
    <row r="3752" ht="15.0" customHeight="1">
      <c r="A3752" s="11"/>
      <c r="B3752" s="11"/>
      <c r="C3752" s="11"/>
      <c r="D3752" s="10" t="s">
        <v>1718</v>
      </c>
      <c r="E3752" s="14">
        <v>0.125</v>
      </c>
      <c r="F3752" s="15">
        <f>ROUND((G3749+G3750+G3751),3)</f>
        <v>189.98</v>
      </c>
      <c r="G3752" s="12">
        <f t="shared" si="611"/>
        <v>23.75</v>
      </c>
    </row>
    <row r="3753" ht="21.0" customHeight="1">
      <c r="A3753" s="10" t="s">
        <v>1720</v>
      </c>
      <c r="B3753" s="10" t="s">
        <v>18</v>
      </c>
      <c r="C3753" s="10" t="s">
        <v>485</v>
      </c>
      <c r="D3753" s="10" t="s">
        <v>1721</v>
      </c>
      <c r="E3753" s="14">
        <v>0.125</v>
      </c>
      <c r="F3753" s="15">
        <f>F3756</f>
        <v>113.5</v>
      </c>
      <c r="G3753" s="12">
        <f t="shared" si="611"/>
        <v>14.19</v>
      </c>
    </row>
    <row r="3754" ht="15.0" customHeight="1">
      <c r="A3754" s="10" t="s">
        <v>365</v>
      </c>
      <c r="B3754" s="10" t="s">
        <v>42</v>
      </c>
      <c r="C3754" s="10" t="s">
        <v>184</v>
      </c>
      <c r="D3754" s="10" t="s">
        <v>366</v>
      </c>
      <c r="E3754" s="14">
        <v>2.0</v>
      </c>
      <c r="F3754" s="15">
        <f>ROUND(32,3)</f>
        <v>32</v>
      </c>
      <c r="G3754" s="12">
        <f t="shared" si="611"/>
        <v>64</v>
      </c>
    </row>
    <row r="3755" ht="24.0" customHeight="1">
      <c r="A3755" s="10" t="s">
        <v>1186</v>
      </c>
      <c r="B3755" s="10" t="s">
        <v>26</v>
      </c>
      <c r="C3755" s="10" t="s">
        <v>23</v>
      </c>
      <c r="D3755" s="10" t="s">
        <v>1187</v>
      </c>
      <c r="E3755" s="14">
        <v>1.0</v>
      </c>
      <c r="F3755" s="15">
        <f>ROUND(49.5,3)</f>
        <v>49.5</v>
      </c>
      <c r="G3755" s="12">
        <f t="shared" si="611"/>
        <v>49.5</v>
      </c>
    </row>
    <row r="3756" ht="15.0" customHeight="1">
      <c r="A3756" s="11"/>
      <c r="B3756" s="11"/>
      <c r="C3756" s="11"/>
      <c r="D3756" s="10" t="s">
        <v>1720</v>
      </c>
      <c r="E3756" s="14">
        <v>0.125</v>
      </c>
      <c r="F3756" s="15">
        <f>ROUND((G3754+G3755),3)</f>
        <v>113.5</v>
      </c>
      <c r="G3756" s="12">
        <f t="shared" si="611"/>
        <v>14.19</v>
      </c>
    </row>
    <row r="3757" ht="15.0" customHeight="1">
      <c r="A3757" s="10" t="s">
        <v>1722</v>
      </c>
      <c r="B3757" s="10" t="s">
        <v>18</v>
      </c>
      <c r="C3757" s="10" t="s">
        <v>19</v>
      </c>
      <c r="D3757" s="10" t="s">
        <v>1678</v>
      </c>
      <c r="E3757" s="14">
        <v>1.0</v>
      </c>
      <c r="F3757" s="15">
        <f>F3762</f>
        <v>20.02</v>
      </c>
      <c r="G3757" s="12">
        <f t="shared" si="611"/>
        <v>20.02</v>
      </c>
    </row>
    <row r="3758" ht="39.75" customHeight="1">
      <c r="A3758" s="10" t="s">
        <v>1269</v>
      </c>
      <c r="B3758" s="10" t="s">
        <v>42</v>
      </c>
      <c r="C3758" s="10" t="s">
        <v>226</v>
      </c>
      <c r="D3758" s="10" t="s">
        <v>1270</v>
      </c>
      <c r="E3758" s="14">
        <v>0.022</v>
      </c>
      <c r="F3758" s="15">
        <f>ROUND(71.07,3)</f>
        <v>71.07</v>
      </c>
      <c r="G3758" s="12">
        <f t="shared" si="611"/>
        <v>1.56</v>
      </c>
    </row>
    <row r="3759" ht="30.0" customHeight="1">
      <c r="A3759" s="10" t="s">
        <v>1723</v>
      </c>
      <c r="B3759" s="10" t="s">
        <v>42</v>
      </c>
      <c r="C3759" s="10" t="s">
        <v>1207</v>
      </c>
      <c r="D3759" s="10" t="s">
        <v>1724</v>
      </c>
      <c r="E3759" s="14">
        <v>15.0</v>
      </c>
      <c r="F3759" s="15">
        <f>ROUND(0.07,3)</f>
        <v>0.07</v>
      </c>
      <c r="G3759" s="12">
        <f t="shared" si="611"/>
        <v>1.05</v>
      </c>
    </row>
    <row r="3760" ht="21.0" customHeight="1">
      <c r="A3760" s="10" t="s">
        <v>1685</v>
      </c>
      <c r="B3760" s="10" t="s">
        <v>42</v>
      </c>
      <c r="C3760" s="10" t="s">
        <v>351</v>
      </c>
      <c r="D3760" s="10" t="s">
        <v>1686</v>
      </c>
      <c r="E3760" s="14">
        <v>0.25</v>
      </c>
      <c r="F3760" s="15">
        <f>ROUND(0.32,3)</f>
        <v>0.32</v>
      </c>
      <c r="G3760" s="12">
        <f t="shared" si="611"/>
        <v>0.08</v>
      </c>
    </row>
    <row r="3761" ht="24.0" customHeight="1">
      <c r="A3761" s="10" t="s">
        <v>1186</v>
      </c>
      <c r="B3761" s="10" t="s">
        <v>26</v>
      </c>
      <c r="C3761" s="10" t="s">
        <v>23</v>
      </c>
      <c r="D3761" s="10" t="s">
        <v>1187</v>
      </c>
      <c r="E3761" s="14">
        <v>0.35</v>
      </c>
      <c r="F3761" s="15">
        <f>ROUND(49.5,3)</f>
        <v>49.5</v>
      </c>
      <c r="G3761" s="12">
        <f t="shared" si="611"/>
        <v>17.33</v>
      </c>
    </row>
    <row r="3762" ht="15.0" customHeight="1">
      <c r="A3762" s="11"/>
      <c r="B3762" s="11"/>
      <c r="C3762" s="11"/>
      <c r="D3762" s="10" t="s">
        <v>1722</v>
      </c>
      <c r="E3762" s="14">
        <v>1.0</v>
      </c>
      <c r="F3762" s="15">
        <f>ROUND((G3758+G3759+G3760+G3761),3)</f>
        <v>20.02</v>
      </c>
      <c r="G3762" s="12">
        <f t="shared" si="611"/>
        <v>20.02</v>
      </c>
    </row>
    <row r="3763" ht="15.0" customHeight="1">
      <c r="A3763" s="10" t="s">
        <v>1542</v>
      </c>
      <c r="B3763" s="10" t="s">
        <v>42</v>
      </c>
      <c r="C3763" s="10" t="s">
        <v>304</v>
      </c>
      <c r="D3763" s="10" t="s">
        <v>1543</v>
      </c>
      <c r="E3763" s="14">
        <v>0.6</v>
      </c>
      <c r="F3763" s="15">
        <f>ROUND(16.83,3)</f>
        <v>16.83</v>
      </c>
      <c r="G3763" s="12">
        <f t="shared" si="611"/>
        <v>10.1</v>
      </c>
    </row>
    <row r="3764" ht="15.0" customHeight="1">
      <c r="A3764" s="16"/>
      <c r="B3764" s="16"/>
      <c r="C3764" s="16"/>
      <c r="D3764" s="17" t="s">
        <v>1691</v>
      </c>
      <c r="E3764" s="16"/>
      <c r="F3764" s="18">
        <f>ROUND((G3706+G3710+G3713+G3718+G3724+G3727+G3730+G3734+G3745+G3748+G3753+G3757+G3763)*(1+G2/100),2)</f>
        <v>638.17</v>
      </c>
      <c r="G3764" s="16"/>
    </row>
    <row r="3765" ht="21.0" customHeight="1">
      <c r="A3765" s="19" t="s">
        <v>1725</v>
      </c>
      <c r="B3765" s="20" t="s">
        <v>18</v>
      </c>
      <c r="C3765" s="20" t="s">
        <v>295</v>
      </c>
      <c r="D3765" s="20" t="s">
        <v>1726</v>
      </c>
      <c r="E3765" s="21"/>
      <c r="F3765" s="22">
        <f>F3776</f>
        <v>680.45</v>
      </c>
      <c r="G3765" s="21"/>
    </row>
    <row r="3766" ht="12.0" customHeight="1">
      <c r="A3766" s="11"/>
      <c r="B3766" s="11"/>
      <c r="C3766" s="11"/>
      <c r="D3766" s="10" t="s">
        <v>1726</v>
      </c>
    </row>
    <row r="3767" ht="15.0" customHeight="1">
      <c r="A3767" s="10" t="s">
        <v>1727</v>
      </c>
      <c r="B3767" s="10" t="s">
        <v>42</v>
      </c>
      <c r="C3767" s="10" t="s">
        <v>304</v>
      </c>
      <c r="D3767" s="10" t="s">
        <v>1728</v>
      </c>
      <c r="E3767" s="14">
        <v>5.0</v>
      </c>
      <c r="F3767" s="15">
        <f>ROUND(69.23,3)</f>
        <v>69.23</v>
      </c>
      <c r="G3767" s="12">
        <f t="shared" ref="G3767:G3775" si="612">ROUND(E3767*F3767,2)</f>
        <v>346.15</v>
      </c>
    </row>
    <row r="3768" ht="21.0" customHeight="1">
      <c r="A3768" s="10" t="s">
        <v>1711</v>
      </c>
      <c r="B3768" s="10" t="s">
        <v>42</v>
      </c>
      <c r="C3768" s="10" t="s">
        <v>304</v>
      </c>
      <c r="D3768" s="10" t="s">
        <v>1712</v>
      </c>
      <c r="E3768" s="14">
        <v>1.0</v>
      </c>
      <c r="F3768" s="15">
        <f>ROUND(7.4,3)</f>
        <v>7.4</v>
      </c>
      <c r="G3768" s="12">
        <f t="shared" si="612"/>
        <v>7.4</v>
      </c>
    </row>
    <row r="3769" ht="21.0" customHeight="1">
      <c r="A3769" s="10" t="s">
        <v>1729</v>
      </c>
      <c r="B3769" s="10" t="s">
        <v>42</v>
      </c>
      <c r="C3769" s="10" t="s">
        <v>304</v>
      </c>
      <c r="D3769" s="10" t="s">
        <v>1730</v>
      </c>
      <c r="E3769" s="14">
        <v>11.0</v>
      </c>
      <c r="F3769" s="15">
        <f>ROUND(1.51,3)</f>
        <v>1.51</v>
      </c>
      <c r="G3769" s="12">
        <f t="shared" si="612"/>
        <v>16.61</v>
      </c>
    </row>
    <row r="3770" ht="21.0" customHeight="1">
      <c r="A3770" s="10" t="s">
        <v>1653</v>
      </c>
      <c r="B3770" s="10" t="s">
        <v>42</v>
      </c>
      <c r="C3770" s="10" t="s">
        <v>304</v>
      </c>
      <c r="D3770" s="10" t="s">
        <v>1654</v>
      </c>
      <c r="E3770" s="14">
        <v>0.222</v>
      </c>
      <c r="F3770" s="15">
        <f>ROUND(23,3)</f>
        <v>23</v>
      </c>
      <c r="G3770" s="12">
        <f t="shared" si="612"/>
        <v>5.11</v>
      </c>
    </row>
    <row r="3771" ht="15.0" customHeight="1">
      <c r="A3771" s="10" t="s">
        <v>1731</v>
      </c>
      <c r="B3771" s="10" t="s">
        <v>42</v>
      </c>
      <c r="C3771" s="10" t="s">
        <v>295</v>
      </c>
      <c r="D3771" s="10" t="s">
        <v>1732</v>
      </c>
      <c r="E3771" s="14">
        <v>0.222</v>
      </c>
      <c r="F3771" s="15">
        <f>ROUND(80,3)</f>
        <v>80</v>
      </c>
      <c r="G3771" s="12">
        <f t="shared" si="612"/>
        <v>17.76</v>
      </c>
    </row>
    <row r="3772" ht="15.0" customHeight="1">
      <c r="A3772" s="10" t="s">
        <v>1581</v>
      </c>
      <c r="B3772" s="10" t="s">
        <v>42</v>
      </c>
      <c r="C3772" s="10" t="s">
        <v>304</v>
      </c>
      <c r="D3772" s="10" t="s">
        <v>1582</v>
      </c>
      <c r="E3772" s="14">
        <v>1.222</v>
      </c>
      <c r="F3772" s="15">
        <f>ROUND(6,3)</f>
        <v>6</v>
      </c>
      <c r="G3772" s="12">
        <f t="shared" si="612"/>
        <v>7.33</v>
      </c>
    </row>
    <row r="3773" ht="21.0" customHeight="1">
      <c r="A3773" s="10" t="s">
        <v>1593</v>
      </c>
      <c r="B3773" s="10" t="s">
        <v>42</v>
      </c>
      <c r="C3773" s="10" t="s">
        <v>304</v>
      </c>
      <c r="D3773" s="10" t="s">
        <v>1594</v>
      </c>
      <c r="E3773" s="14">
        <v>0.111</v>
      </c>
      <c r="F3773" s="15">
        <f>ROUND(180,3)</f>
        <v>180</v>
      </c>
      <c r="G3773" s="12">
        <f t="shared" si="612"/>
        <v>19.98</v>
      </c>
    </row>
    <row r="3774" ht="15.0" customHeight="1">
      <c r="A3774" s="10" t="s">
        <v>1587</v>
      </c>
      <c r="B3774" s="10" t="s">
        <v>42</v>
      </c>
      <c r="C3774" s="10" t="s">
        <v>1207</v>
      </c>
      <c r="D3774" s="10" t="s">
        <v>1588</v>
      </c>
      <c r="E3774" s="14">
        <v>102.78</v>
      </c>
      <c r="F3774" s="15">
        <f>ROUND(0.22,3)</f>
        <v>0.22</v>
      </c>
      <c r="G3774" s="12">
        <f t="shared" si="612"/>
        <v>22.61</v>
      </c>
    </row>
    <row r="3775" ht="24.0" customHeight="1">
      <c r="A3775" s="10" t="s">
        <v>1547</v>
      </c>
      <c r="B3775" s="10" t="s">
        <v>26</v>
      </c>
      <c r="C3775" s="10" t="s">
        <v>23</v>
      </c>
      <c r="D3775" s="10" t="s">
        <v>1548</v>
      </c>
      <c r="E3775" s="14">
        <v>5.0</v>
      </c>
      <c r="F3775" s="15">
        <f>ROUND(47.5,3)</f>
        <v>47.5</v>
      </c>
      <c r="G3775" s="12">
        <f t="shared" si="612"/>
        <v>237.5</v>
      </c>
    </row>
    <row r="3776" ht="15.0" customHeight="1">
      <c r="A3776" s="16"/>
      <c r="B3776" s="16"/>
      <c r="C3776" s="16"/>
      <c r="D3776" s="17" t="s">
        <v>1725</v>
      </c>
      <c r="E3776" s="16"/>
      <c r="F3776" s="18">
        <f>ROUND((G3767+G3768+G3769+G3770+G3771+G3772+G3773+G3774+G3775)*(1+G2/100),2)</f>
        <v>680.45</v>
      </c>
      <c r="G3776" s="16"/>
    </row>
    <row r="3777" ht="21.0" customHeight="1">
      <c r="A3777" s="19" t="s">
        <v>1733</v>
      </c>
      <c r="B3777" s="20" t="s">
        <v>18</v>
      </c>
      <c r="C3777" s="20" t="s">
        <v>295</v>
      </c>
      <c r="D3777" s="20" t="s">
        <v>1734</v>
      </c>
      <c r="E3777" s="21"/>
      <c r="F3777" s="22">
        <f>F3786</f>
        <v>831.37</v>
      </c>
      <c r="G3777" s="21"/>
    </row>
    <row r="3778" ht="30.0" customHeight="1">
      <c r="A3778" s="11"/>
      <c r="B3778" s="11"/>
      <c r="C3778" s="11"/>
      <c r="D3778" s="10" t="s">
        <v>1735</v>
      </c>
    </row>
    <row r="3779" ht="21.0" customHeight="1">
      <c r="A3779" s="10" t="s">
        <v>1736</v>
      </c>
      <c r="B3779" s="10" t="s">
        <v>42</v>
      </c>
      <c r="C3779" s="10" t="s">
        <v>1298</v>
      </c>
      <c r="D3779" s="10" t="s">
        <v>1737</v>
      </c>
      <c r="E3779" s="14">
        <v>1.2</v>
      </c>
      <c r="F3779" s="15">
        <f>ROUND(283.61,3)</f>
        <v>283.61</v>
      </c>
      <c r="G3779" s="12">
        <f t="shared" ref="G3779:G3785" si="613">ROUND(E3779*F3779,2)</f>
        <v>340.33</v>
      </c>
    </row>
    <row r="3780" ht="21.0" customHeight="1">
      <c r="A3780" s="10" t="s">
        <v>1711</v>
      </c>
      <c r="B3780" s="10" t="s">
        <v>42</v>
      </c>
      <c r="C3780" s="10" t="s">
        <v>304</v>
      </c>
      <c r="D3780" s="10" t="s">
        <v>1712</v>
      </c>
      <c r="E3780" s="14">
        <v>1.0</v>
      </c>
      <c r="F3780" s="15">
        <f>ROUND(7.4,3)</f>
        <v>7.4</v>
      </c>
      <c r="G3780" s="12">
        <f t="shared" si="613"/>
        <v>7.4</v>
      </c>
    </row>
    <row r="3781" ht="21.0" customHeight="1">
      <c r="A3781" s="10" t="s">
        <v>1729</v>
      </c>
      <c r="B3781" s="10" t="s">
        <v>42</v>
      </c>
      <c r="C3781" s="10" t="s">
        <v>304</v>
      </c>
      <c r="D3781" s="10" t="s">
        <v>1730</v>
      </c>
      <c r="E3781" s="14">
        <v>11.0</v>
      </c>
      <c r="F3781" s="15">
        <f>ROUND(1.51,3)</f>
        <v>1.51</v>
      </c>
      <c r="G3781" s="12">
        <f t="shared" si="613"/>
        <v>16.61</v>
      </c>
    </row>
    <row r="3782" ht="24.0" customHeight="1">
      <c r="A3782" s="10" t="s">
        <v>1738</v>
      </c>
      <c r="B3782" s="10" t="s">
        <v>26</v>
      </c>
      <c r="C3782" s="10" t="s">
        <v>607</v>
      </c>
      <c r="D3782" s="10" t="s">
        <v>1739</v>
      </c>
      <c r="E3782" s="14">
        <v>6.85</v>
      </c>
      <c r="F3782" s="15">
        <f>ROUND(46,3)</f>
        <v>46</v>
      </c>
      <c r="G3782" s="12">
        <f t="shared" si="613"/>
        <v>315.1</v>
      </c>
    </row>
    <row r="3783" ht="15.0" customHeight="1">
      <c r="A3783" s="10" t="s">
        <v>1731</v>
      </c>
      <c r="B3783" s="10" t="s">
        <v>42</v>
      </c>
      <c r="C3783" s="10" t="s">
        <v>295</v>
      </c>
      <c r="D3783" s="10" t="s">
        <v>1732</v>
      </c>
      <c r="E3783" s="14">
        <v>0.25</v>
      </c>
      <c r="F3783" s="15">
        <f>ROUND(80,3)</f>
        <v>80</v>
      </c>
      <c r="G3783" s="12">
        <f t="shared" si="613"/>
        <v>20</v>
      </c>
    </row>
    <row r="3784" ht="24.0" customHeight="1">
      <c r="A3784" s="10" t="s">
        <v>1740</v>
      </c>
      <c r="B3784" s="10" t="s">
        <v>26</v>
      </c>
      <c r="C3784" s="10" t="s">
        <v>23</v>
      </c>
      <c r="D3784" s="10" t="s">
        <v>1741</v>
      </c>
      <c r="E3784" s="14">
        <v>2.3</v>
      </c>
      <c r="F3784" s="15">
        <f>ROUND(46,3)</f>
        <v>46</v>
      </c>
      <c r="G3784" s="12">
        <f t="shared" si="613"/>
        <v>105.8</v>
      </c>
    </row>
    <row r="3785" ht="15.0" customHeight="1">
      <c r="A3785" s="10" t="s">
        <v>1587</v>
      </c>
      <c r="B3785" s="10" t="s">
        <v>42</v>
      </c>
      <c r="C3785" s="10" t="s">
        <v>1207</v>
      </c>
      <c r="D3785" s="10" t="s">
        <v>1588</v>
      </c>
      <c r="E3785" s="14">
        <v>118.75</v>
      </c>
      <c r="F3785" s="15">
        <f>ROUND(0.22,3)</f>
        <v>0.22</v>
      </c>
      <c r="G3785" s="12">
        <f t="shared" si="613"/>
        <v>26.13</v>
      </c>
    </row>
    <row r="3786" ht="15.0" customHeight="1">
      <c r="A3786" s="16"/>
      <c r="B3786" s="16"/>
      <c r="C3786" s="16"/>
      <c r="D3786" s="17" t="s">
        <v>1733</v>
      </c>
      <c r="E3786" s="16"/>
      <c r="F3786" s="18">
        <f>ROUND((G3779+G3780+G3781+G3782+G3783+G3784+G3785)*(1+G2/100),2)</f>
        <v>831.37</v>
      </c>
      <c r="G3786" s="16"/>
    </row>
    <row r="3787" ht="21.0" customHeight="1">
      <c r="A3787" s="19" t="s">
        <v>1742</v>
      </c>
      <c r="B3787" s="20" t="s">
        <v>18</v>
      </c>
      <c r="C3787" s="20" t="s">
        <v>537</v>
      </c>
      <c r="D3787" s="20" t="s">
        <v>1743</v>
      </c>
      <c r="E3787" s="21"/>
      <c r="F3787" s="22">
        <f>F3812</f>
        <v>317.83</v>
      </c>
      <c r="G3787" s="21"/>
    </row>
    <row r="3788" ht="76.5" customHeight="1">
      <c r="A3788" s="11"/>
      <c r="B3788" s="11"/>
      <c r="C3788" s="11"/>
      <c r="D3788" s="10" t="s">
        <v>1744</v>
      </c>
    </row>
    <row r="3789" ht="21.0" customHeight="1">
      <c r="A3789" s="10" t="s">
        <v>22</v>
      </c>
      <c r="B3789" s="10" t="s">
        <v>18</v>
      </c>
      <c r="C3789" s="10" t="s">
        <v>23</v>
      </c>
      <c r="D3789" s="10" t="s">
        <v>24</v>
      </c>
      <c r="E3789" s="14">
        <v>2.0</v>
      </c>
      <c r="F3789" s="15">
        <f>F3793</f>
        <v>43.8</v>
      </c>
      <c r="G3789" s="12">
        <f t="shared" ref="G3789:G3808" si="614">ROUND(E3789*F3789,2)</f>
        <v>87.6</v>
      </c>
    </row>
    <row r="3790" ht="24.0" customHeight="1">
      <c r="A3790" s="10" t="s">
        <v>25</v>
      </c>
      <c r="B3790" s="10" t="s">
        <v>26</v>
      </c>
      <c r="C3790" s="10" t="s">
        <v>23</v>
      </c>
      <c r="D3790" s="10" t="s">
        <v>27</v>
      </c>
      <c r="E3790" s="14">
        <v>1.0</v>
      </c>
      <c r="F3790" s="15">
        <f>ROUND(21,3)</f>
        <v>21</v>
      </c>
      <c r="G3790" s="12">
        <f t="shared" si="614"/>
        <v>21</v>
      </c>
    </row>
    <row r="3791" ht="24.0" customHeight="1">
      <c r="A3791" s="10" t="s">
        <v>28</v>
      </c>
      <c r="B3791" s="10" t="s">
        <v>26</v>
      </c>
      <c r="C3791" s="10" t="s">
        <v>23</v>
      </c>
      <c r="D3791" s="10" t="s">
        <v>29</v>
      </c>
      <c r="E3791" s="14">
        <v>1.0</v>
      </c>
      <c r="F3791" s="15">
        <f t="shared" ref="F3791:F3792" si="615">ROUND(19,3)</f>
        <v>19</v>
      </c>
      <c r="G3791" s="12">
        <f t="shared" si="614"/>
        <v>19</v>
      </c>
    </row>
    <row r="3792" ht="24.0" customHeight="1">
      <c r="A3792" s="10" t="s">
        <v>30</v>
      </c>
      <c r="B3792" s="10" t="s">
        <v>26</v>
      </c>
      <c r="C3792" s="10" t="s">
        <v>23</v>
      </c>
      <c r="D3792" s="10" t="s">
        <v>31</v>
      </c>
      <c r="E3792" s="14">
        <v>0.2</v>
      </c>
      <c r="F3792" s="15">
        <f t="shared" si="615"/>
        <v>19</v>
      </c>
      <c r="G3792" s="12">
        <f t="shared" si="614"/>
        <v>3.8</v>
      </c>
    </row>
    <row r="3793" ht="15.0" customHeight="1">
      <c r="A3793" s="11"/>
      <c r="B3793" s="11"/>
      <c r="C3793" s="11"/>
      <c r="D3793" s="10" t="s">
        <v>22</v>
      </c>
      <c r="E3793" s="14">
        <v>2.0</v>
      </c>
      <c r="F3793" s="15">
        <f>ROUND((G3790+G3791+G3792),3)</f>
        <v>43.8</v>
      </c>
      <c r="G3793" s="12">
        <f t="shared" si="614"/>
        <v>87.6</v>
      </c>
    </row>
    <row r="3794" ht="15.0" customHeight="1">
      <c r="A3794" s="10" t="s">
        <v>308</v>
      </c>
      <c r="B3794" s="10" t="s">
        <v>18</v>
      </c>
      <c r="C3794" s="10" t="s">
        <v>295</v>
      </c>
      <c r="D3794" s="10" t="s">
        <v>309</v>
      </c>
      <c r="E3794" s="14">
        <v>0.25</v>
      </c>
      <c r="F3794" s="15">
        <f>F3798</f>
        <v>314.9</v>
      </c>
      <c r="G3794" s="12">
        <f t="shared" si="614"/>
        <v>78.73</v>
      </c>
    </row>
    <row r="3795" ht="30.0" customHeight="1">
      <c r="A3795" s="10" t="s">
        <v>233</v>
      </c>
      <c r="B3795" s="10" t="s">
        <v>42</v>
      </c>
      <c r="C3795" s="10" t="s">
        <v>231</v>
      </c>
      <c r="D3795" s="10" t="s">
        <v>234</v>
      </c>
      <c r="E3795" s="14">
        <v>0.05</v>
      </c>
      <c r="F3795" s="15">
        <f>ROUND(23.46,3)</f>
        <v>23.46</v>
      </c>
      <c r="G3795" s="12">
        <f t="shared" si="614"/>
        <v>1.17</v>
      </c>
    </row>
    <row r="3796" ht="21.0" customHeight="1">
      <c r="A3796" s="10" t="s">
        <v>311</v>
      </c>
      <c r="B3796" s="10" t="s">
        <v>42</v>
      </c>
      <c r="C3796" s="10" t="s">
        <v>231</v>
      </c>
      <c r="D3796" s="10" t="s">
        <v>312</v>
      </c>
      <c r="E3796" s="14">
        <v>0.25</v>
      </c>
      <c r="F3796" s="15">
        <f>ROUND(28.5,3)</f>
        <v>28.5</v>
      </c>
      <c r="G3796" s="12">
        <f t="shared" si="614"/>
        <v>7.13</v>
      </c>
    </row>
    <row r="3797" ht="21.0" customHeight="1">
      <c r="A3797" s="10" t="s">
        <v>22</v>
      </c>
      <c r="B3797" s="10" t="s">
        <v>18</v>
      </c>
      <c r="C3797" s="10" t="s">
        <v>23</v>
      </c>
      <c r="D3797" s="10" t="s">
        <v>24</v>
      </c>
      <c r="E3797" s="14">
        <v>7.0</v>
      </c>
      <c r="F3797" s="15">
        <f>ROUND(43.8,3)</f>
        <v>43.8</v>
      </c>
      <c r="G3797" s="12">
        <f t="shared" si="614"/>
        <v>306.6</v>
      </c>
    </row>
    <row r="3798" ht="15.0" customHeight="1">
      <c r="A3798" s="11"/>
      <c r="B3798" s="11"/>
      <c r="C3798" s="11"/>
      <c r="D3798" s="10" t="s">
        <v>308</v>
      </c>
      <c r="E3798" s="14">
        <v>0.25</v>
      </c>
      <c r="F3798" s="15">
        <f>ROUND((G3795+G3796+G3797),3)</f>
        <v>314.9</v>
      </c>
      <c r="G3798" s="12">
        <f t="shared" si="614"/>
        <v>78.73</v>
      </c>
    </row>
    <row r="3799" ht="30.0" customHeight="1">
      <c r="A3799" s="10" t="s">
        <v>1745</v>
      </c>
      <c r="B3799" s="10" t="s">
        <v>42</v>
      </c>
      <c r="C3799" s="10" t="s">
        <v>330</v>
      </c>
      <c r="D3799" s="10" t="s">
        <v>1746</v>
      </c>
      <c r="E3799" s="14">
        <v>0.5</v>
      </c>
      <c r="F3799" s="15">
        <f>ROUND(7.93,3)</f>
        <v>7.93</v>
      </c>
      <c r="G3799" s="12">
        <f t="shared" si="614"/>
        <v>3.97</v>
      </c>
    </row>
    <row r="3800" ht="39.75" customHeight="1">
      <c r="A3800" s="10" t="s">
        <v>1340</v>
      </c>
      <c r="B3800" s="10" t="s">
        <v>42</v>
      </c>
      <c r="C3800" s="10" t="s">
        <v>1245</v>
      </c>
      <c r="D3800" s="10" t="s">
        <v>1341</v>
      </c>
      <c r="E3800" s="14">
        <v>0.25</v>
      </c>
      <c r="F3800" s="15">
        <f>ROUND(7.37,3)</f>
        <v>7.37</v>
      </c>
      <c r="G3800" s="12">
        <f t="shared" si="614"/>
        <v>1.84</v>
      </c>
    </row>
    <row r="3801" ht="48.75" customHeight="1">
      <c r="A3801" s="10" t="s">
        <v>1747</v>
      </c>
      <c r="B3801" s="10" t="s">
        <v>42</v>
      </c>
      <c r="C3801" s="10" t="s">
        <v>344</v>
      </c>
      <c r="D3801" s="10" t="s">
        <v>1748</v>
      </c>
      <c r="E3801" s="14">
        <v>0.1</v>
      </c>
      <c r="F3801" s="15">
        <f>ROUND(52.89,3)</f>
        <v>52.89</v>
      </c>
      <c r="G3801" s="12">
        <f t="shared" si="614"/>
        <v>5.29</v>
      </c>
    </row>
    <row r="3802" ht="30.0" customHeight="1">
      <c r="A3802" s="10" t="s">
        <v>1607</v>
      </c>
      <c r="B3802" s="10" t="s">
        <v>18</v>
      </c>
      <c r="C3802" s="10" t="s">
        <v>1201</v>
      </c>
      <c r="D3802" s="10" t="s">
        <v>1608</v>
      </c>
      <c r="E3802" s="14">
        <v>18.0</v>
      </c>
      <c r="F3802" s="15">
        <f>F3811</f>
        <v>7.8</v>
      </c>
      <c r="G3802" s="12">
        <f t="shared" si="614"/>
        <v>140.4</v>
      </c>
    </row>
    <row r="3803" ht="15.0" customHeight="1">
      <c r="A3803" s="10" t="s">
        <v>1610</v>
      </c>
      <c r="B3803" s="10" t="s">
        <v>42</v>
      </c>
      <c r="C3803" s="10" t="s">
        <v>1207</v>
      </c>
      <c r="D3803" s="10" t="s">
        <v>1611</v>
      </c>
      <c r="E3803" s="14">
        <v>1.0</v>
      </c>
      <c r="F3803" s="15">
        <f>ROUND(3,3)</f>
        <v>3</v>
      </c>
      <c r="G3803" s="12">
        <f t="shared" si="614"/>
        <v>3</v>
      </c>
    </row>
    <row r="3804" ht="15.0" customHeight="1">
      <c r="A3804" s="10" t="s">
        <v>1612</v>
      </c>
      <c r="B3804" s="10" t="s">
        <v>42</v>
      </c>
      <c r="C3804" s="10" t="s">
        <v>23</v>
      </c>
      <c r="D3804" s="10" t="s">
        <v>1613</v>
      </c>
      <c r="E3804" s="14">
        <v>0.06</v>
      </c>
      <c r="F3804" s="15">
        <f>ROUND(6.25,3)</f>
        <v>6.25</v>
      </c>
      <c r="G3804" s="12">
        <f t="shared" si="614"/>
        <v>0.38</v>
      </c>
    </row>
    <row r="3805" ht="21.0" customHeight="1">
      <c r="A3805" s="10" t="s">
        <v>1614</v>
      </c>
      <c r="B3805" s="10" t="s">
        <v>42</v>
      </c>
      <c r="C3805" s="10" t="s">
        <v>304</v>
      </c>
      <c r="D3805" s="10" t="s">
        <v>1615</v>
      </c>
      <c r="E3805" s="14">
        <v>0.001</v>
      </c>
      <c r="F3805" s="15">
        <f>ROUND(23.83,3)</f>
        <v>23.83</v>
      </c>
      <c r="G3805" s="12">
        <f t="shared" si="614"/>
        <v>0.02</v>
      </c>
    </row>
    <row r="3806" ht="30.0" customHeight="1">
      <c r="A3806" s="10" t="s">
        <v>1616</v>
      </c>
      <c r="B3806" s="10" t="s">
        <v>42</v>
      </c>
      <c r="C3806" s="10" t="s">
        <v>304</v>
      </c>
      <c r="D3806" s="10" t="s">
        <v>1617</v>
      </c>
      <c r="E3806" s="14">
        <v>0.001</v>
      </c>
      <c r="F3806" s="15">
        <f>ROUND(6.64,3)</f>
        <v>6.64</v>
      </c>
      <c r="G3806" s="12">
        <f t="shared" si="614"/>
        <v>0.01</v>
      </c>
    </row>
    <row r="3807" ht="21.0" customHeight="1">
      <c r="A3807" s="10" t="s">
        <v>1618</v>
      </c>
      <c r="B3807" s="10" t="s">
        <v>42</v>
      </c>
      <c r="C3807" s="10" t="s">
        <v>304</v>
      </c>
      <c r="D3807" s="10" t="s">
        <v>1619</v>
      </c>
      <c r="E3807" s="14">
        <v>0.001</v>
      </c>
      <c r="F3807" s="15">
        <f>ROUND(10.87,3)</f>
        <v>10.87</v>
      </c>
      <c r="G3807" s="12">
        <f t="shared" si="614"/>
        <v>0.01</v>
      </c>
    </row>
    <row r="3808" ht="21.0" customHeight="1">
      <c r="A3808" s="10" t="s">
        <v>1577</v>
      </c>
      <c r="B3808" s="10" t="s">
        <v>42</v>
      </c>
      <c r="C3808" s="10" t="s">
        <v>304</v>
      </c>
      <c r="D3808" s="10" t="s">
        <v>1578</v>
      </c>
      <c r="E3808" s="14">
        <v>0.001</v>
      </c>
      <c r="F3808" s="15">
        <f>ROUND(2.1,3)</f>
        <v>2.1</v>
      </c>
      <c r="G3808" s="12">
        <f t="shared" si="614"/>
        <v>0</v>
      </c>
    </row>
    <row r="3809" ht="15.0" customHeight="1">
      <c r="A3809" s="10" t="s">
        <v>32</v>
      </c>
      <c r="B3809" s="10"/>
      <c r="C3809" s="10" t="s">
        <v>33</v>
      </c>
      <c r="D3809" s="10" t="s">
        <v>34</v>
      </c>
      <c r="E3809" s="14">
        <v>3.0</v>
      </c>
      <c r="F3809" s="15">
        <f>ROUND(0,3)</f>
        <v>0</v>
      </c>
      <c r="G3809" s="12">
        <f>ROUND((E3809*F3809)/100,2)</f>
        <v>0</v>
      </c>
    </row>
    <row r="3810" ht="21.0" customHeight="1">
      <c r="A3810" s="10" t="s">
        <v>22</v>
      </c>
      <c r="B3810" s="10" t="s">
        <v>18</v>
      </c>
      <c r="C3810" s="10" t="s">
        <v>23</v>
      </c>
      <c r="D3810" s="10" t="s">
        <v>24</v>
      </c>
      <c r="E3810" s="14">
        <v>0.1</v>
      </c>
      <c r="F3810" s="15">
        <f>ROUND(43.8,3)</f>
        <v>43.8</v>
      </c>
      <c r="G3810" s="12">
        <f t="shared" ref="G3810:G3811" si="616">ROUND(E3810*F3810,2)</f>
        <v>4.38</v>
      </c>
    </row>
    <row r="3811" ht="15.0" customHeight="1">
      <c r="A3811" s="11"/>
      <c r="B3811" s="11"/>
      <c r="C3811" s="11"/>
      <c r="D3811" s="10" t="s">
        <v>1607</v>
      </c>
      <c r="E3811" s="14">
        <v>18.0</v>
      </c>
      <c r="F3811" s="15">
        <f>ROUND((G3803+G3804+G3805+G3806+G3807+G3808+G3809+G3810),3)</f>
        <v>7.8</v>
      </c>
      <c r="G3811" s="12">
        <f t="shared" si="616"/>
        <v>140.4</v>
      </c>
    </row>
    <row r="3812" ht="15.0" customHeight="1">
      <c r="A3812" s="16"/>
      <c r="B3812" s="16"/>
      <c r="C3812" s="16"/>
      <c r="D3812" s="17" t="s">
        <v>1742</v>
      </c>
      <c r="E3812" s="16"/>
      <c r="F3812" s="18">
        <f>ROUND((G3789+G3794+G3799+G3800+G3801+G3802)*(1+G2/100),2)</f>
        <v>317.83</v>
      </c>
      <c r="G3812" s="16"/>
    </row>
    <row r="3813" ht="15.0" customHeight="1">
      <c r="A3813" s="23"/>
      <c r="B3813" s="23"/>
      <c r="C3813" s="23"/>
      <c r="D3813" s="32" t="s">
        <v>1620</v>
      </c>
      <c r="E3813" s="33"/>
      <c r="F3813" s="33"/>
      <c r="G3813" s="33"/>
    </row>
    <row r="3814" ht="15.0" customHeight="1">
      <c r="A3814" s="23"/>
      <c r="B3814" s="23"/>
      <c r="C3814" s="23"/>
      <c r="D3814" s="36" t="s">
        <v>1218</v>
      </c>
      <c r="E3814" s="37"/>
      <c r="F3814" s="37"/>
      <c r="G3814" s="37"/>
    </row>
    <row r="3815" ht="15.0" customHeight="1">
      <c r="A3815" s="38" t="s">
        <v>1749</v>
      </c>
      <c r="B3815" s="38" t="s">
        <v>10</v>
      </c>
      <c r="C3815" s="39"/>
      <c r="D3815" s="38" t="s">
        <v>1750</v>
      </c>
      <c r="E3815" s="39"/>
      <c r="F3815" s="39"/>
      <c r="G3815" s="39"/>
    </row>
    <row r="3816" ht="21.0" customHeight="1">
      <c r="A3816" s="13" t="s">
        <v>1751</v>
      </c>
      <c r="B3816" s="10" t="s">
        <v>18</v>
      </c>
      <c r="C3816" s="10" t="s">
        <v>1752</v>
      </c>
      <c r="D3816" s="10" t="s">
        <v>1753</v>
      </c>
      <c r="E3816" s="11"/>
      <c r="F3816" s="12">
        <f>F3828</f>
        <v>82.25</v>
      </c>
      <c r="G3816" s="11"/>
    </row>
    <row r="3817" ht="113.25" customHeight="1">
      <c r="A3817" s="11"/>
      <c r="B3817" s="11"/>
      <c r="C3817" s="11"/>
      <c r="D3817" s="10" t="s">
        <v>1754</v>
      </c>
    </row>
    <row r="3818" ht="21.0" customHeight="1">
      <c r="A3818" s="10" t="s">
        <v>1755</v>
      </c>
      <c r="B3818" s="10" t="s">
        <v>18</v>
      </c>
      <c r="C3818" s="10" t="s">
        <v>351</v>
      </c>
      <c r="D3818" s="10" t="s">
        <v>1756</v>
      </c>
      <c r="E3818" s="14">
        <v>1.0</v>
      </c>
      <c r="F3818" s="15">
        <f>F3827</f>
        <v>82.25</v>
      </c>
      <c r="G3818" s="12">
        <f t="shared" ref="G3818:G3825" si="617">ROUND(E3818*F3818,2)</f>
        <v>82.25</v>
      </c>
    </row>
    <row r="3819" ht="30.0" customHeight="1">
      <c r="A3819" s="10" t="s">
        <v>1757</v>
      </c>
      <c r="B3819" s="10" t="s">
        <v>42</v>
      </c>
      <c r="C3819" s="10" t="s">
        <v>351</v>
      </c>
      <c r="D3819" s="10" t="s">
        <v>1758</v>
      </c>
      <c r="E3819" s="14">
        <v>1.0</v>
      </c>
      <c r="F3819" s="15">
        <f>ROUND(63,3)</f>
        <v>63</v>
      </c>
      <c r="G3819" s="12">
        <f t="shared" si="617"/>
        <v>63</v>
      </c>
    </row>
    <row r="3820" ht="30.0" customHeight="1">
      <c r="A3820" s="10" t="s">
        <v>1759</v>
      </c>
      <c r="B3820" s="10" t="s">
        <v>42</v>
      </c>
      <c r="C3820" s="10" t="s">
        <v>325</v>
      </c>
      <c r="D3820" s="10" t="s">
        <v>1760</v>
      </c>
      <c r="E3820" s="14">
        <v>0.04</v>
      </c>
      <c r="F3820" s="15">
        <f>ROUND(82.11,3)</f>
        <v>82.11</v>
      </c>
      <c r="G3820" s="12">
        <f t="shared" si="617"/>
        <v>3.28</v>
      </c>
    </row>
    <row r="3821" ht="39.75" customHeight="1">
      <c r="A3821" s="10" t="s">
        <v>1761</v>
      </c>
      <c r="B3821" s="10" t="s">
        <v>42</v>
      </c>
      <c r="C3821" s="10" t="s">
        <v>1245</v>
      </c>
      <c r="D3821" s="10" t="s">
        <v>1762</v>
      </c>
      <c r="E3821" s="14">
        <v>0.25</v>
      </c>
      <c r="F3821" s="15">
        <f>ROUND(8.97,3)</f>
        <v>8.97</v>
      </c>
      <c r="G3821" s="12">
        <f t="shared" si="617"/>
        <v>2.24</v>
      </c>
    </row>
    <row r="3822" ht="30.0" customHeight="1">
      <c r="A3822" s="10" t="s">
        <v>1763</v>
      </c>
      <c r="B3822" s="10" t="s">
        <v>42</v>
      </c>
      <c r="C3822" s="10" t="s">
        <v>1245</v>
      </c>
      <c r="D3822" s="10" t="s">
        <v>1764</v>
      </c>
      <c r="E3822" s="14">
        <v>0.25</v>
      </c>
      <c r="F3822" s="15">
        <f>ROUND(6.32,3)</f>
        <v>6.32</v>
      </c>
      <c r="G3822" s="12">
        <f t="shared" si="617"/>
        <v>1.58</v>
      </c>
    </row>
    <row r="3823" ht="21.0" customHeight="1">
      <c r="A3823" s="10" t="s">
        <v>969</v>
      </c>
      <c r="B3823" s="10" t="s">
        <v>112</v>
      </c>
      <c r="C3823" s="10" t="s">
        <v>23</v>
      </c>
      <c r="D3823" s="10" t="s">
        <v>970</v>
      </c>
      <c r="E3823" s="14">
        <v>0.25</v>
      </c>
      <c r="F3823" s="15">
        <f>ROUND(2,3)</f>
        <v>2</v>
      </c>
      <c r="G3823" s="12">
        <f t="shared" si="617"/>
        <v>0.5</v>
      </c>
    </row>
    <row r="3824" ht="30.0" customHeight="1">
      <c r="A3824" s="10" t="s">
        <v>971</v>
      </c>
      <c r="B3824" s="10" t="s">
        <v>42</v>
      </c>
      <c r="C3824" s="10" t="s">
        <v>231</v>
      </c>
      <c r="D3824" s="10" t="s">
        <v>972</v>
      </c>
      <c r="E3824" s="14">
        <v>0.1</v>
      </c>
      <c r="F3824" s="15">
        <f>ROUND(4.92,3)</f>
        <v>4.92</v>
      </c>
      <c r="G3824" s="12">
        <f t="shared" si="617"/>
        <v>0.49</v>
      </c>
    </row>
    <row r="3825" ht="21.0" customHeight="1">
      <c r="A3825" s="10" t="s">
        <v>22</v>
      </c>
      <c r="B3825" s="10" t="s">
        <v>18</v>
      </c>
      <c r="C3825" s="10" t="s">
        <v>23</v>
      </c>
      <c r="D3825" s="10" t="s">
        <v>24</v>
      </c>
      <c r="E3825" s="14">
        <v>0.2</v>
      </c>
      <c r="F3825" s="15">
        <f>ROUND(43.8,3)</f>
        <v>43.8</v>
      </c>
      <c r="G3825" s="12">
        <f t="shared" si="617"/>
        <v>8.76</v>
      </c>
    </row>
    <row r="3826" ht="15.0" customHeight="1">
      <c r="A3826" s="10" t="s">
        <v>33</v>
      </c>
      <c r="B3826" s="10"/>
      <c r="C3826" s="10" t="s">
        <v>33</v>
      </c>
      <c r="D3826" s="10" t="s">
        <v>424</v>
      </c>
      <c r="E3826" s="14">
        <v>3.0</v>
      </c>
      <c r="F3826" s="15">
        <f>ROUND(79.85,3)</f>
        <v>79.85</v>
      </c>
      <c r="G3826" s="12">
        <f>ROUND((E3826*F3826)/100,2)</f>
        <v>2.4</v>
      </c>
    </row>
    <row r="3827" ht="15.0" customHeight="1">
      <c r="A3827" s="11"/>
      <c r="B3827" s="11"/>
      <c r="C3827" s="11"/>
      <c r="D3827" s="10" t="s">
        <v>1755</v>
      </c>
      <c r="E3827" s="14">
        <v>1.0</v>
      </c>
      <c r="F3827" s="15">
        <f>ROUND((G3819+G3820+G3821+G3822+G3823+G3824+G3825+G3826),3)</f>
        <v>82.25</v>
      </c>
      <c r="G3827" s="12">
        <f>ROUND(E3827*F3827,2)</f>
        <v>82.25</v>
      </c>
    </row>
    <row r="3828" ht="15.0" customHeight="1">
      <c r="A3828" s="16"/>
      <c r="B3828" s="16"/>
      <c r="C3828" s="16"/>
      <c r="D3828" s="17" t="s">
        <v>1751</v>
      </c>
      <c r="E3828" s="16"/>
      <c r="F3828" s="18">
        <f>ROUND((G3818)*(1+G2/100),2)</f>
        <v>82.25</v>
      </c>
      <c r="G3828" s="16"/>
    </row>
    <row r="3829" ht="15.0" customHeight="1">
      <c r="A3829" s="34" t="s">
        <v>1765</v>
      </c>
      <c r="B3829" s="34" t="s">
        <v>10</v>
      </c>
      <c r="C3829" s="35"/>
      <c r="D3829" s="34" t="s">
        <v>1766</v>
      </c>
      <c r="E3829" s="35"/>
      <c r="F3829" s="35"/>
      <c r="G3829" s="35"/>
    </row>
    <row r="3830" ht="21.0" customHeight="1">
      <c r="A3830" s="13" t="s">
        <v>1767</v>
      </c>
      <c r="B3830" s="10" t="s">
        <v>18</v>
      </c>
      <c r="C3830" s="10" t="s">
        <v>295</v>
      </c>
      <c r="D3830" s="10" t="s">
        <v>1768</v>
      </c>
      <c r="E3830" s="11"/>
      <c r="F3830" s="12">
        <f>F3842</f>
        <v>26.49</v>
      </c>
      <c r="G3830" s="11"/>
    </row>
    <row r="3831" ht="39.75" customHeight="1">
      <c r="A3831" s="11"/>
      <c r="B3831" s="11"/>
      <c r="C3831" s="11"/>
      <c r="D3831" s="10" t="s">
        <v>1769</v>
      </c>
    </row>
    <row r="3832" ht="30.0" customHeight="1">
      <c r="A3832" s="10" t="s">
        <v>1770</v>
      </c>
      <c r="B3832" s="10" t="s">
        <v>42</v>
      </c>
      <c r="C3832" s="10" t="s">
        <v>344</v>
      </c>
      <c r="D3832" s="10" t="s">
        <v>1771</v>
      </c>
      <c r="E3832" s="14">
        <v>1.0</v>
      </c>
      <c r="F3832" s="15">
        <f>ROUND(4.96,3)</f>
        <v>4.96</v>
      </c>
      <c r="G3832" s="12">
        <f t="shared" ref="G3832:G3840" si="618">ROUND(E3832*F3832,2)</f>
        <v>4.96</v>
      </c>
    </row>
    <row r="3833" ht="39.75" customHeight="1">
      <c r="A3833" s="10" t="s">
        <v>1303</v>
      </c>
      <c r="B3833" s="10" t="s">
        <v>42</v>
      </c>
      <c r="C3833" s="10" t="s">
        <v>184</v>
      </c>
      <c r="D3833" s="10" t="s">
        <v>1304</v>
      </c>
      <c r="E3833" s="14">
        <v>0.085</v>
      </c>
      <c r="F3833" s="15">
        <f>ROUND(24.84,3)</f>
        <v>24.84</v>
      </c>
      <c r="G3833" s="12">
        <f t="shared" si="618"/>
        <v>2.11</v>
      </c>
    </row>
    <row r="3834" ht="30.0" customHeight="1">
      <c r="A3834" s="10" t="s">
        <v>1244</v>
      </c>
      <c r="B3834" s="10" t="s">
        <v>42</v>
      </c>
      <c r="C3834" s="10" t="s">
        <v>1245</v>
      </c>
      <c r="D3834" s="10" t="s">
        <v>1246</v>
      </c>
      <c r="E3834" s="14">
        <v>0.0667</v>
      </c>
      <c r="F3834" s="15">
        <f>ROUND(12.31,3)</f>
        <v>12.31</v>
      </c>
      <c r="G3834" s="12">
        <f t="shared" si="618"/>
        <v>0.82</v>
      </c>
    </row>
    <row r="3835" ht="30.0" customHeight="1">
      <c r="A3835" s="10" t="s">
        <v>1227</v>
      </c>
      <c r="B3835" s="10" t="s">
        <v>42</v>
      </c>
      <c r="C3835" s="10" t="s">
        <v>226</v>
      </c>
      <c r="D3835" s="10" t="s">
        <v>1228</v>
      </c>
      <c r="E3835" s="14">
        <v>0.02</v>
      </c>
      <c r="F3835" s="15">
        <f>ROUND(27.5,3)</f>
        <v>27.5</v>
      </c>
      <c r="G3835" s="12">
        <f t="shared" si="618"/>
        <v>0.55</v>
      </c>
    </row>
    <row r="3836" ht="21.0" customHeight="1">
      <c r="A3836" s="10" t="s">
        <v>22</v>
      </c>
      <c r="B3836" s="10" t="s">
        <v>18</v>
      </c>
      <c r="C3836" s="10" t="s">
        <v>23</v>
      </c>
      <c r="D3836" s="10" t="s">
        <v>24</v>
      </c>
      <c r="E3836" s="14">
        <v>0.4</v>
      </c>
      <c r="F3836" s="15">
        <f>F3840</f>
        <v>43.8</v>
      </c>
      <c r="G3836" s="12">
        <f t="shared" si="618"/>
        <v>17.52</v>
      </c>
    </row>
    <row r="3837" ht="24.0" customHeight="1">
      <c r="A3837" s="10" t="s">
        <v>25</v>
      </c>
      <c r="B3837" s="10" t="s">
        <v>26</v>
      </c>
      <c r="C3837" s="10" t="s">
        <v>23</v>
      </c>
      <c r="D3837" s="10" t="s">
        <v>27</v>
      </c>
      <c r="E3837" s="14">
        <v>1.0</v>
      </c>
      <c r="F3837" s="15">
        <f>ROUND(21,3)</f>
        <v>21</v>
      </c>
      <c r="G3837" s="12">
        <f t="shared" si="618"/>
        <v>21</v>
      </c>
    </row>
    <row r="3838" ht="24.0" customHeight="1">
      <c r="A3838" s="10" t="s">
        <v>28</v>
      </c>
      <c r="B3838" s="10" t="s">
        <v>26</v>
      </c>
      <c r="C3838" s="10" t="s">
        <v>23</v>
      </c>
      <c r="D3838" s="10" t="s">
        <v>29</v>
      </c>
      <c r="E3838" s="14">
        <v>1.0</v>
      </c>
      <c r="F3838" s="15">
        <f t="shared" ref="F3838:F3839" si="619">ROUND(19,3)</f>
        <v>19</v>
      </c>
      <c r="G3838" s="12">
        <f t="shared" si="618"/>
        <v>19</v>
      </c>
    </row>
    <row r="3839" ht="24.0" customHeight="1">
      <c r="A3839" s="10" t="s">
        <v>30</v>
      </c>
      <c r="B3839" s="10" t="s">
        <v>26</v>
      </c>
      <c r="C3839" s="10" t="s">
        <v>23</v>
      </c>
      <c r="D3839" s="10" t="s">
        <v>31</v>
      </c>
      <c r="E3839" s="14">
        <v>0.2</v>
      </c>
      <c r="F3839" s="15">
        <f t="shared" si="619"/>
        <v>19</v>
      </c>
      <c r="G3839" s="12">
        <f t="shared" si="618"/>
        <v>3.8</v>
      </c>
    </row>
    <row r="3840" ht="15.0" customHeight="1">
      <c r="A3840" s="11"/>
      <c r="B3840" s="11"/>
      <c r="C3840" s="11"/>
      <c r="D3840" s="10" t="s">
        <v>22</v>
      </c>
      <c r="E3840" s="14">
        <v>0.4</v>
      </c>
      <c r="F3840" s="15">
        <f>ROUND((G3837+G3838+G3839),3)</f>
        <v>43.8</v>
      </c>
      <c r="G3840" s="12">
        <f t="shared" si="618"/>
        <v>17.52</v>
      </c>
    </row>
    <row r="3841" ht="15.0" customHeight="1">
      <c r="A3841" s="10" t="s">
        <v>32</v>
      </c>
      <c r="B3841" s="10"/>
      <c r="C3841" s="10" t="s">
        <v>33</v>
      </c>
      <c r="D3841" s="10" t="s">
        <v>34</v>
      </c>
      <c r="E3841" s="14">
        <v>3.0</v>
      </c>
      <c r="F3841" s="15">
        <f>ROUND(17.52,3)</f>
        <v>17.52</v>
      </c>
      <c r="G3841" s="12">
        <f>ROUND((E3841*F3841)/100,2)</f>
        <v>0.53</v>
      </c>
    </row>
    <row r="3842" ht="15.0" customHeight="1">
      <c r="A3842" s="16"/>
      <c r="B3842" s="16"/>
      <c r="C3842" s="16"/>
      <c r="D3842" s="17" t="s">
        <v>1767</v>
      </c>
      <c r="E3842" s="16"/>
      <c r="F3842" s="18">
        <f>ROUND((G3832+G3833+G3834+G3835+G3836+G3841)*(1+G2/100),2)</f>
        <v>26.49</v>
      </c>
      <c r="G3842" s="16"/>
    </row>
    <row r="3843" ht="30.0" customHeight="1">
      <c r="A3843" s="19" t="s">
        <v>1772</v>
      </c>
      <c r="B3843" s="20" t="s">
        <v>18</v>
      </c>
      <c r="C3843" s="20" t="s">
        <v>295</v>
      </c>
      <c r="D3843" s="20" t="s">
        <v>1773</v>
      </c>
      <c r="E3843" s="21"/>
      <c r="F3843" s="22">
        <f>F3855</f>
        <v>39.9</v>
      </c>
      <c r="G3843" s="21"/>
    </row>
    <row r="3844" ht="39.75" customHeight="1">
      <c r="A3844" s="11"/>
      <c r="B3844" s="11"/>
      <c r="C3844" s="11"/>
      <c r="D3844" s="10" t="s">
        <v>1769</v>
      </c>
    </row>
    <row r="3845" ht="30.0" customHeight="1">
      <c r="A3845" s="10" t="s">
        <v>1770</v>
      </c>
      <c r="B3845" s="10" t="s">
        <v>42</v>
      </c>
      <c r="C3845" s="10" t="s">
        <v>344</v>
      </c>
      <c r="D3845" s="10" t="s">
        <v>1771</v>
      </c>
      <c r="E3845" s="14">
        <v>1.0</v>
      </c>
      <c r="F3845" s="15">
        <f>ROUND(4.96,3)</f>
        <v>4.96</v>
      </c>
      <c r="G3845" s="12">
        <f t="shared" ref="G3845:G3853" si="620">ROUND(E3845*F3845,2)</f>
        <v>4.96</v>
      </c>
    </row>
    <row r="3846" ht="39.75" customHeight="1">
      <c r="A3846" s="10" t="s">
        <v>1303</v>
      </c>
      <c r="B3846" s="10" t="s">
        <v>42</v>
      </c>
      <c r="C3846" s="10" t="s">
        <v>184</v>
      </c>
      <c r="D3846" s="10" t="s">
        <v>1304</v>
      </c>
      <c r="E3846" s="14">
        <v>0.12</v>
      </c>
      <c r="F3846" s="15">
        <f>ROUND(24.84,3)</f>
        <v>24.84</v>
      </c>
      <c r="G3846" s="12">
        <f t="shared" si="620"/>
        <v>2.98</v>
      </c>
    </row>
    <row r="3847" ht="30.0" customHeight="1">
      <c r="A3847" s="10" t="s">
        <v>1244</v>
      </c>
      <c r="B3847" s="10" t="s">
        <v>42</v>
      </c>
      <c r="C3847" s="10" t="s">
        <v>1245</v>
      </c>
      <c r="D3847" s="10" t="s">
        <v>1246</v>
      </c>
      <c r="E3847" s="14">
        <v>0.0667</v>
      </c>
      <c r="F3847" s="15">
        <f>ROUND(12.31,3)</f>
        <v>12.31</v>
      </c>
      <c r="G3847" s="12">
        <f t="shared" si="620"/>
        <v>0.82</v>
      </c>
    </row>
    <row r="3848" ht="30.0" customHeight="1">
      <c r="A3848" s="10" t="s">
        <v>1227</v>
      </c>
      <c r="B3848" s="10" t="s">
        <v>42</v>
      </c>
      <c r="C3848" s="10" t="s">
        <v>226</v>
      </c>
      <c r="D3848" s="10" t="s">
        <v>1228</v>
      </c>
      <c r="E3848" s="14">
        <v>0.02</v>
      </c>
      <c r="F3848" s="15">
        <f>ROUND(27.5,3)</f>
        <v>27.5</v>
      </c>
      <c r="G3848" s="12">
        <f t="shared" si="620"/>
        <v>0.55</v>
      </c>
    </row>
    <row r="3849" ht="24.0" customHeight="1">
      <c r="A3849" s="10" t="s">
        <v>286</v>
      </c>
      <c r="B3849" s="10" t="s">
        <v>18</v>
      </c>
      <c r="C3849" s="10" t="s">
        <v>23</v>
      </c>
      <c r="D3849" s="10" t="s">
        <v>287</v>
      </c>
      <c r="E3849" s="14">
        <v>0.6</v>
      </c>
      <c r="F3849" s="15">
        <f>F3853</f>
        <v>49.5</v>
      </c>
      <c r="G3849" s="12">
        <f t="shared" si="620"/>
        <v>29.7</v>
      </c>
    </row>
    <row r="3850" ht="24.0" customHeight="1">
      <c r="A3850" s="10" t="s">
        <v>288</v>
      </c>
      <c r="B3850" s="10" t="s">
        <v>26</v>
      </c>
      <c r="C3850" s="10" t="s">
        <v>23</v>
      </c>
      <c r="D3850" s="10" t="s">
        <v>289</v>
      </c>
      <c r="E3850" s="14">
        <v>1.0</v>
      </c>
      <c r="F3850" s="15">
        <f>ROUND(21,3)</f>
        <v>21</v>
      </c>
      <c r="G3850" s="12">
        <f t="shared" si="620"/>
        <v>21</v>
      </c>
    </row>
    <row r="3851" ht="24.0" customHeight="1">
      <c r="A3851" s="10" t="s">
        <v>290</v>
      </c>
      <c r="B3851" s="10" t="s">
        <v>26</v>
      </c>
      <c r="C3851" s="10" t="s">
        <v>23</v>
      </c>
      <c r="D3851" s="10" t="s">
        <v>291</v>
      </c>
      <c r="E3851" s="14">
        <v>1.0</v>
      </c>
      <c r="F3851" s="15">
        <f t="shared" ref="F3851:F3852" si="621">ROUND(19,3)</f>
        <v>19</v>
      </c>
      <c r="G3851" s="12">
        <f t="shared" si="620"/>
        <v>19</v>
      </c>
    </row>
    <row r="3852" ht="24.0" customHeight="1">
      <c r="A3852" s="10" t="s">
        <v>292</v>
      </c>
      <c r="B3852" s="10" t="s">
        <v>26</v>
      </c>
      <c r="C3852" s="10" t="s">
        <v>23</v>
      </c>
      <c r="D3852" s="10" t="s">
        <v>293</v>
      </c>
      <c r="E3852" s="14">
        <v>0.5</v>
      </c>
      <c r="F3852" s="15">
        <f t="shared" si="621"/>
        <v>19</v>
      </c>
      <c r="G3852" s="12">
        <f t="shared" si="620"/>
        <v>9.5</v>
      </c>
    </row>
    <row r="3853" ht="15.0" customHeight="1">
      <c r="A3853" s="11"/>
      <c r="B3853" s="11"/>
      <c r="C3853" s="11"/>
      <c r="D3853" s="10" t="s">
        <v>286</v>
      </c>
      <c r="E3853" s="14">
        <v>0.6</v>
      </c>
      <c r="F3853" s="15">
        <f>ROUND((G3850+G3851+G3852),3)</f>
        <v>49.5</v>
      </c>
      <c r="G3853" s="12">
        <f t="shared" si="620"/>
        <v>29.7</v>
      </c>
    </row>
    <row r="3854" ht="15.0" customHeight="1">
      <c r="A3854" s="10" t="s">
        <v>32</v>
      </c>
      <c r="B3854" s="10"/>
      <c r="C3854" s="10" t="s">
        <v>33</v>
      </c>
      <c r="D3854" s="10" t="s">
        <v>34</v>
      </c>
      <c r="E3854" s="14">
        <v>3.0</v>
      </c>
      <c r="F3854" s="15">
        <f>ROUND(29.7,3)</f>
        <v>29.7</v>
      </c>
      <c r="G3854" s="12">
        <f>ROUND((E3854*F3854)/100,2)</f>
        <v>0.89</v>
      </c>
    </row>
    <row r="3855" ht="15.0" customHeight="1">
      <c r="A3855" s="16"/>
      <c r="B3855" s="16"/>
      <c r="C3855" s="16"/>
      <c r="D3855" s="17" t="s">
        <v>1772</v>
      </c>
      <c r="E3855" s="16"/>
      <c r="F3855" s="18">
        <f>ROUND((G3845+G3846+G3847+G3848+G3849+G3854)*(1+G2/100),2)</f>
        <v>39.9</v>
      </c>
      <c r="G3855" s="16"/>
    </row>
    <row r="3856" ht="21.0" customHeight="1">
      <c r="A3856" s="19" t="s">
        <v>1774</v>
      </c>
      <c r="B3856" s="20" t="s">
        <v>18</v>
      </c>
      <c r="C3856" s="20" t="s">
        <v>321</v>
      </c>
      <c r="D3856" s="20" t="s">
        <v>1775</v>
      </c>
      <c r="E3856" s="21"/>
      <c r="F3856" s="22">
        <f>F3868</f>
        <v>53.9</v>
      </c>
      <c r="G3856" s="21"/>
    </row>
    <row r="3857" ht="39.75" customHeight="1">
      <c r="A3857" s="11"/>
      <c r="B3857" s="11"/>
      <c r="C3857" s="11"/>
      <c r="D3857" s="10" t="s">
        <v>1776</v>
      </c>
    </row>
    <row r="3858" ht="30.0" customHeight="1">
      <c r="A3858" s="10" t="s">
        <v>1770</v>
      </c>
      <c r="B3858" s="10" t="s">
        <v>42</v>
      </c>
      <c r="C3858" s="10" t="s">
        <v>344</v>
      </c>
      <c r="D3858" s="10" t="s">
        <v>1771</v>
      </c>
      <c r="E3858" s="14">
        <v>3.333</v>
      </c>
      <c r="F3858" s="15">
        <f>ROUND(4.96,3)</f>
        <v>4.96</v>
      </c>
      <c r="G3858" s="12">
        <f t="shared" ref="G3858:G3866" si="622">ROUND(E3858*F3858,2)</f>
        <v>16.53</v>
      </c>
    </row>
    <row r="3859" ht="39.75" customHeight="1">
      <c r="A3859" s="10" t="s">
        <v>1303</v>
      </c>
      <c r="B3859" s="10" t="s">
        <v>42</v>
      </c>
      <c r="C3859" s="10" t="s">
        <v>184</v>
      </c>
      <c r="D3859" s="10" t="s">
        <v>1304</v>
      </c>
      <c r="E3859" s="14">
        <v>0.25</v>
      </c>
      <c r="F3859" s="15">
        <f>ROUND(24.84,3)</f>
        <v>24.84</v>
      </c>
      <c r="G3859" s="12">
        <f t="shared" si="622"/>
        <v>6.21</v>
      </c>
    </row>
    <row r="3860" ht="30.0" customHeight="1">
      <c r="A3860" s="10" t="s">
        <v>1244</v>
      </c>
      <c r="B3860" s="10" t="s">
        <v>42</v>
      </c>
      <c r="C3860" s="10" t="s">
        <v>1245</v>
      </c>
      <c r="D3860" s="10" t="s">
        <v>1246</v>
      </c>
      <c r="E3860" s="14">
        <v>0.198</v>
      </c>
      <c r="F3860" s="15">
        <f>ROUND(12.31,3)</f>
        <v>12.31</v>
      </c>
      <c r="G3860" s="12">
        <f t="shared" si="622"/>
        <v>2.44</v>
      </c>
    </row>
    <row r="3861" ht="30.0" customHeight="1">
      <c r="A3861" s="10" t="s">
        <v>1227</v>
      </c>
      <c r="B3861" s="10" t="s">
        <v>42</v>
      </c>
      <c r="C3861" s="10" t="s">
        <v>226</v>
      </c>
      <c r="D3861" s="10" t="s">
        <v>1228</v>
      </c>
      <c r="E3861" s="14">
        <v>0.06</v>
      </c>
      <c r="F3861" s="15">
        <f>ROUND(27.5,3)</f>
        <v>27.5</v>
      </c>
      <c r="G3861" s="12">
        <f t="shared" si="622"/>
        <v>1.65</v>
      </c>
    </row>
    <row r="3862" ht="21.0" customHeight="1">
      <c r="A3862" s="10" t="s">
        <v>22</v>
      </c>
      <c r="B3862" s="10" t="s">
        <v>18</v>
      </c>
      <c r="C3862" s="10" t="s">
        <v>23</v>
      </c>
      <c r="D3862" s="10" t="s">
        <v>24</v>
      </c>
      <c r="E3862" s="14">
        <v>0.6</v>
      </c>
      <c r="F3862" s="15">
        <f>F3866</f>
        <v>43.8</v>
      </c>
      <c r="G3862" s="12">
        <f t="shared" si="622"/>
        <v>26.28</v>
      </c>
    </row>
    <row r="3863" ht="24.0" customHeight="1">
      <c r="A3863" s="10" t="s">
        <v>25</v>
      </c>
      <c r="B3863" s="10" t="s">
        <v>26</v>
      </c>
      <c r="C3863" s="10" t="s">
        <v>23</v>
      </c>
      <c r="D3863" s="10" t="s">
        <v>27</v>
      </c>
      <c r="E3863" s="14">
        <v>1.0</v>
      </c>
      <c r="F3863" s="15">
        <f>ROUND(21,3)</f>
        <v>21</v>
      </c>
      <c r="G3863" s="12">
        <f t="shared" si="622"/>
        <v>21</v>
      </c>
    </row>
    <row r="3864" ht="24.0" customHeight="1">
      <c r="A3864" s="10" t="s">
        <v>28</v>
      </c>
      <c r="B3864" s="10" t="s">
        <v>26</v>
      </c>
      <c r="C3864" s="10" t="s">
        <v>23</v>
      </c>
      <c r="D3864" s="10" t="s">
        <v>29</v>
      </c>
      <c r="E3864" s="14">
        <v>1.0</v>
      </c>
      <c r="F3864" s="15">
        <f t="shared" ref="F3864:F3865" si="623">ROUND(19,3)</f>
        <v>19</v>
      </c>
      <c r="G3864" s="12">
        <f t="shared" si="622"/>
        <v>19</v>
      </c>
    </row>
    <row r="3865" ht="24.0" customHeight="1">
      <c r="A3865" s="10" t="s">
        <v>30</v>
      </c>
      <c r="B3865" s="10" t="s">
        <v>26</v>
      </c>
      <c r="C3865" s="10" t="s">
        <v>23</v>
      </c>
      <c r="D3865" s="10" t="s">
        <v>31</v>
      </c>
      <c r="E3865" s="14">
        <v>0.2</v>
      </c>
      <c r="F3865" s="15">
        <f t="shared" si="623"/>
        <v>19</v>
      </c>
      <c r="G3865" s="12">
        <f t="shared" si="622"/>
        <v>3.8</v>
      </c>
    </row>
    <row r="3866" ht="15.0" customHeight="1">
      <c r="A3866" s="11"/>
      <c r="B3866" s="11"/>
      <c r="C3866" s="11"/>
      <c r="D3866" s="10" t="s">
        <v>22</v>
      </c>
      <c r="E3866" s="14">
        <v>0.6</v>
      </c>
      <c r="F3866" s="15">
        <f>ROUND((G3863+G3864+G3865),3)</f>
        <v>43.8</v>
      </c>
      <c r="G3866" s="12">
        <f t="shared" si="622"/>
        <v>26.28</v>
      </c>
    </row>
    <row r="3867" ht="15.0" customHeight="1">
      <c r="A3867" s="10" t="s">
        <v>32</v>
      </c>
      <c r="B3867" s="10"/>
      <c r="C3867" s="10" t="s">
        <v>33</v>
      </c>
      <c r="D3867" s="10" t="s">
        <v>34</v>
      </c>
      <c r="E3867" s="14">
        <v>3.0</v>
      </c>
      <c r="F3867" s="15">
        <f>ROUND(26.28,3)</f>
        <v>26.28</v>
      </c>
      <c r="G3867" s="12">
        <f>ROUND((E3867*F3867)/100,2)</f>
        <v>0.79</v>
      </c>
    </row>
    <row r="3868" ht="15.0" customHeight="1">
      <c r="A3868" s="16"/>
      <c r="B3868" s="16"/>
      <c r="C3868" s="16"/>
      <c r="D3868" s="17" t="s">
        <v>1774</v>
      </c>
      <c r="E3868" s="16"/>
      <c r="F3868" s="18">
        <f>ROUND((G3858+G3859+G3860+G3861+G3862+G3867)*(1+G2/100),2)</f>
        <v>53.9</v>
      </c>
      <c r="G3868" s="16"/>
    </row>
    <row r="3869" ht="30.0" customHeight="1">
      <c r="A3869" s="19" t="s">
        <v>1777</v>
      </c>
      <c r="B3869" s="20" t="s">
        <v>18</v>
      </c>
      <c r="C3869" s="20" t="s">
        <v>321</v>
      </c>
      <c r="D3869" s="20" t="s">
        <v>1778</v>
      </c>
      <c r="E3869" s="21"/>
      <c r="F3869" s="22">
        <f>F3881</f>
        <v>72.72</v>
      </c>
      <c r="G3869" s="21"/>
    </row>
    <row r="3870" ht="48.75" customHeight="1">
      <c r="A3870" s="11"/>
      <c r="B3870" s="11"/>
      <c r="C3870" s="11"/>
      <c r="D3870" s="10" t="s">
        <v>1779</v>
      </c>
    </row>
    <row r="3871" ht="30.0" customHeight="1">
      <c r="A3871" s="10" t="s">
        <v>1770</v>
      </c>
      <c r="B3871" s="10" t="s">
        <v>42</v>
      </c>
      <c r="C3871" s="10" t="s">
        <v>344</v>
      </c>
      <c r="D3871" s="10" t="s">
        <v>1771</v>
      </c>
      <c r="E3871" s="14">
        <v>3.333</v>
      </c>
      <c r="F3871" s="15">
        <f>ROUND(4.96,3)</f>
        <v>4.96</v>
      </c>
      <c r="G3871" s="12">
        <f t="shared" ref="G3871:G3879" si="624">ROUND(E3871*F3871,2)</f>
        <v>16.53</v>
      </c>
    </row>
    <row r="3872" ht="39.75" customHeight="1">
      <c r="A3872" s="10" t="s">
        <v>1303</v>
      </c>
      <c r="B3872" s="10" t="s">
        <v>42</v>
      </c>
      <c r="C3872" s="10" t="s">
        <v>184</v>
      </c>
      <c r="D3872" s="10" t="s">
        <v>1304</v>
      </c>
      <c r="E3872" s="14">
        <v>0.25</v>
      </c>
      <c r="F3872" s="15">
        <f>ROUND(24.84,3)</f>
        <v>24.84</v>
      </c>
      <c r="G3872" s="12">
        <f t="shared" si="624"/>
        <v>6.21</v>
      </c>
    </row>
    <row r="3873" ht="30.0" customHeight="1">
      <c r="A3873" s="10" t="s">
        <v>1244</v>
      </c>
      <c r="B3873" s="10" t="s">
        <v>42</v>
      </c>
      <c r="C3873" s="10" t="s">
        <v>1245</v>
      </c>
      <c r="D3873" s="10" t="s">
        <v>1246</v>
      </c>
      <c r="E3873" s="14">
        <v>0.198</v>
      </c>
      <c r="F3873" s="15">
        <f>ROUND(12.31,3)</f>
        <v>12.31</v>
      </c>
      <c r="G3873" s="12">
        <f t="shared" si="624"/>
        <v>2.44</v>
      </c>
    </row>
    <row r="3874" ht="30.0" customHeight="1">
      <c r="A3874" s="10" t="s">
        <v>1227</v>
      </c>
      <c r="B3874" s="10" t="s">
        <v>42</v>
      </c>
      <c r="C3874" s="10" t="s">
        <v>226</v>
      </c>
      <c r="D3874" s="10" t="s">
        <v>1228</v>
      </c>
      <c r="E3874" s="14">
        <v>0.06</v>
      </c>
      <c r="F3874" s="15">
        <f>ROUND(27.5,3)</f>
        <v>27.5</v>
      </c>
      <c r="G3874" s="12">
        <f t="shared" si="624"/>
        <v>1.65</v>
      </c>
    </row>
    <row r="3875" ht="24.0" customHeight="1">
      <c r="A3875" s="10" t="s">
        <v>286</v>
      </c>
      <c r="B3875" s="10" t="s">
        <v>18</v>
      </c>
      <c r="C3875" s="10" t="s">
        <v>23</v>
      </c>
      <c r="D3875" s="10" t="s">
        <v>287</v>
      </c>
      <c r="E3875" s="14">
        <v>0.9</v>
      </c>
      <c r="F3875" s="15">
        <f>F3879</f>
        <v>49.5</v>
      </c>
      <c r="G3875" s="12">
        <f t="shared" si="624"/>
        <v>44.55</v>
      </c>
    </row>
    <row r="3876" ht="24.0" customHeight="1">
      <c r="A3876" s="10" t="s">
        <v>288</v>
      </c>
      <c r="B3876" s="10" t="s">
        <v>26</v>
      </c>
      <c r="C3876" s="10" t="s">
        <v>23</v>
      </c>
      <c r="D3876" s="10" t="s">
        <v>289</v>
      </c>
      <c r="E3876" s="14">
        <v>1.0</v>
      </c>
      <c r="F3876" s="15">
        <f>ROUND(21,3)</f>
        <v>21</v>
      </c>
      <c r="G3876" s="12">
        <f t="shared" si="624"/>
        <v>21</v>
      </c>
    </row>
    <row r="3877" ht="24.0" customHeight="1">
      <c r="A3877" s="10" t="s">
        <v>290</v>
      </c>
      <c r="B3877" s="10" t="s">
        <v>26</v>
      </c>
      <c r="C3877" s="10" t="s">
        <v>23</v>
      </c>
      <c r="D3877" s="10" t="s">
        <v>291</v>
      </c>
      <c r="E3877" s="14">
        <v>1.0</v>
      </c>
      <c r="F3877" s="15">
        <f t="shared" ref="F3877:F3878" si="625">ROUND(19,3)</f>
        <v>19</v>
      </c>
      <c r="G3877" s="12">
        <f t="shared" si="624"/>
        <v>19</v>
      </c>
    </row>
    <row r="3878" ht="24.0" customHeight="1">
      <c r="A3878" s="10" t="s">
        <v>292</v>
      </c>
      <c r="B3878" s="10" t="s">
        <v>26</v>
      </c>
      <c r="C3878" s="10" t="s">
        <v>23</v>
      </c>
      <c r="D3878" s="10" t="s">
        <v>293</v>
      </c>
      <c r="E3878" s="14">
        <v>0.5</v>
      </c>
      <c r="F3878" s="15">
        <f t="shared" si="625"/>
        <v>19</v>
      </c>
      <c r="G3878" s="12">
        <f t="shared" si="624"/>
        <v>9.5</v>
      </c>
    </row>
    <row r="3879" ht="15.0" customHeight="1">
      <c r="A3879" s="11"/>
      <c r="B3879" s="11"/>
      <c r="C3879" s="11"/>
      <c r="D3879" s="10" t="s">
        <v>286</v>
      </c>
      <c r="E3879" s="14">
        <v>0.9</v>
      </c>
      <c r="F3879" s="15">
        <f>ROUND((G3876+G3877+G3878),3)</f>
        <v>49.5</v>
      </c>
      <c r="G3879" s="12">
        <f t="shared" si="624"/>
        <v>44.55</v>
      </c>
    </row>
    <row r="3880" ht="15.0" customHeight="1">
      <c r="A3880" s="10" t="s">
        <v>32</v>
      </c>
      <c r="B3880" s="10"/>
      <c r="C3880" s="10" t="s">
        <v>33</v>
      </c>
      <c r="D3880" s="10" t="s">
        <v>34</v>
      </c>
      <c r="E3880" s="14">
        <v>3.0</v>
      </c>
      <c r="F3880" s="15">
        <f>ROUND(44.55,3)</f>
        <v>44.55</v>
      </c>
      <c r="G3880" s="12">
        <f>ROUND((E3880*F3880)/100,2)</f>
        <v>1.34</v>
      </c>
    </row>
    <row r="3881" ht="15.0" customHeight="1">
      <c r="A3881" s="16"/>
      <c r="B3881" s="16"/>
      <c r="C3881" s="16"/>
      <c r="D3881" s="17" t="s">
        <v>1777</v>
      </c>
      <c r="E3881" s="16"/>
      <c r="F3881" s="18">
        <f>ROUND((G3871+G3872+G3873+G3874+G3875+G3880)*(1+G2/100),2)</f>
        <v>72.72</v>
      </c>
      <c r="G3881" s="16"/>
    </row>
    <row r="3882" ht="30.0" customHeight="1">
      <c r="A3882" s="19" t="s">
        <v>1780</v>
      </c>
      <c r="B3882" s="20" t="s">
        <v>18</v>
      </c>
      <c r="C3882" s="20" t="s">
        <v>19</v>
      </c>
      <c r="D3882" s="20" t="s">
        <v>1781</v>
      </c>
      <c r="E3882" s="21"/>
      <c r="F3882" s="22">
        <f>F3894</f>
        <v>96.12</v>
      </c>
      <c r="G3882" s="21"/>
    </row>
    <row r="3883" ht="21.0" customHeight="1">
      <c r="A3883" s="11"/>
      <c r="B3883" s="11"/>
      <c r="C3883" s="11"/>
      <c r="D3883" s="10" t="s">
        <v>1782</v>
      </c>
    </row>
    <row r="3884" ht="21.0" customHeight="1">
      <c r="A3884" s="10" t="s">
        <v>1783</v>
      </c>
      <c r="B3884" s="10" t="s">
        <v>42</v>
      </c>
      <c r="C3884" s="10" t="s">
        <v>344</v>
      </c>
      <c r="D3884" s="10" t="s">
        <v>1784</v>
      </c>
      <c r="E3884" s="14">
        <v>66.89</v>
      </c>
      <c r="F3884" s="15">
        <f>ROUND(0.66,3)</f>
        <v>0.66</v>
      </c>
      <c r="G3884" s="12">
        <f t="shared" ref="G3884:G3892" si="626">ROUND(E3884*F3884,2)</f>
        <v>44.15</v>
      </c>
    </row>
    <row r="3885" ht="57.75" customHeight="1">
      <c r="A3885" s="10" t="s">
        <v>1785</v>
      </c>
      <c r="B3885" s="10" t="s">
        <v>42</v>
      </c>
      <c r="C3885" s="10" t="s">
        <v>584</v>
      </c>
      <c r="D3885" s="10" t="s">
        <v>1786</v>
      </c>
      <c r="E3885" s="14">
        <v>0.05</v>
      </c>
      <c r="F3885" s="15">
        <f>ROUND(123.14,3)</f>
        <v>123.14</v>
      </c>
      <c r="G3885" s="12">
        <f t="shared" si="626"/>
        <v>6.16</v>
      </c>
    </row>
    <row r="3886" ht="39.75" customHeight="1">
      <c r="A3886" s="10" t="s">
        <v>1303</v>
      </c>
      <c r="B3886" s="10" t="s">
        <v>42</v>
      </c>
      <c r="C3886" s="10" t="s">
        <v>184</v>
      </c>
      <c r="D3886" s="10" t="s">
        <v>1304</v>
      </c>
      <c r="E3886" s="14">
        <v>1.0</v>
      </c>
      <c r="F3886" s="15">
        <f>ROUND(24.84,3)</f>
        <v>24.84</v>
      </c>
      <c r="G3886" s="12">
        <f t="shared" si="626"/>
        <v>24.84</v>
      </c>
    </row>
    <row r="3887" ht="30.0" customHeight="1">
      <c r="A3887" s="10" t="s">
        <v>1787</v>
      </c>
      <c r="B3887" s="10" t="s">
        <v>42</v>
      </c>
      <c r="C3887" s="10" t="s">
        <v>226</v>
      </c>
      <c r="D3887" s="10" t="s">
        <v>1788</v>
      </c>
      <c r="E3887" s="14">
        <v>0.022</v>
      </c>
      <c r="F3887" s="15">
        <f>ROUND(30.51,3)</f>
        <v>30.51</v>
      </c>
      <c r="G3887" s="12">
        <f t="shared" si="626"/>
        <v>0.67</v>
      </c>
    </row>
    <row r="3888" ht="21.0" customHeight="1">
      <c r="A3888" s="10" t="s">
        <v>22</v>
      </c>
      <c r="B3888" s="10" t="s">
        <v>18</v>
      </c>
      <c r="C3888" s="10" t="s">
        <v>23</v>
      </c>
      <c r="D3888" s="10" t="s">
        <v>24</v>
      </c>
      <c r="E3888" s="14">
        <v>0.45</v>
      </c>
      <c r="F3888" s="15">
        <f>F3892</f>
        <v>43.8</v>
      </c>
      <c r="G3888" s="12">
        <f t="shared" si="626"/>
        <v>19.71</v>
      </c>
    </row>
    <row r="3889" ht="24.0" customHeight="1">
      <c r="A3889" s="10" t="s">
        <v>25</v>
      </c>
      <c r="B3889" s="10" t="s">
        <v>26</v>
      </c>
      <c r="C3889" s="10" t="s">
        <v>23</v>
      </c>
      <c r="D3889" s="10" t="s">
        <v>27</v>
      </c>
      <c r="E3889" s="14">
        <v>1.0</v>
      </c>
      <c r="F3889" s="15">
        <f>ROUND(21,3)</f>
        <v>21</v>
      </c>
      <c r="G3889" s="12">
        <f t="shared" si="626"/>
        <v>21</v>
      </c>
    </row>
    <row r="3890" ht="24.0" customHeight="1">
      <c r="A3890" s="10" t="s">
        <v>28</v>
      </c>
      <c r="B3890" s="10" t="s">
        <v>26</v>
      </c>
      <c r="C3890" s="10" t="s">
        <v>23</v>
      </c>
      <c r="D3890" s="10" t="s">
        <v>29</v>
      </c>
      <c r="E3890" s="14">
        <v>1.0</v>
      </c>
      <c r="F3890" s="15">
        <f t="shared" ref="F3890:F3891" si="627">ROUND(19,3)</f>
        <v>19</v>
      </c>
      <c r="G3890" s="12">
        <f t="shared" si="626"/>
        <v>19</v>
      </c>
    </row>
    <row r="3891" ht="24.0" customHeight="1">
      <c r="A3891" s="10" t="s">
        <v>30</v>
      </c>
      <c r="B3891" s="10" t="s">
        <v>26</v>
      </c>
      <c r="C3891" s="10" t="s">
        <v>23</v>
      </c>
      <c r="D3891" s="10" t="s">
        <v>31</v>
      </c>
      <c r="E3891" s="14">
        <v>0.2</v>
      </c>
      <c r="F3891" s="15">
        <f t="shared" si="627"/>
        <v>19</v>
      </c>
      <c r="G3891" s="12">
        <f t="shared" si="626"/>
        <v>3.8</v>
      </c>
    </row>
    <row r="3892" ht="15.0" customHeight="1">
      <c r="A3892" s="11"/>
      <c r="B3892" s="11"/>
      <c r="C3892" s="11"/>
      <c r="D3892" s="10" t="s">
        <v>22</v>
      </c>
      <c r="E3892" s="14">
        <v>0.45</v>
      </c>
      <c r="F3892" s="15">
        <f>ROUND((G3889+G3890+G3891),3)</f>
        <v>43.8</v>
      </c>
      <c r="G3892" s="12">
        <f t="shared" si="626"/>
        <v>19.71</v>
      </c>
    </row>
    <row r="3893" ht="15.0" customHeight="1">
      <c r="A3893" s="10" t="s">
        <v>32</v>
      </c>
      <c r="B3893" s="10"/>
      <c r="C3893" s="10" t="s">
        <v>33</v>
      </c>
      <c r="D3893" s="10" t="s">
        <v>34</v>
      </c>
      <c r="E3893" s="14">
        <v>3.0</v>
      </c>
      <c r="F3893" s="15">
        <f>ROUND(19.71,3)</f>
        <v>19.71</v>
      </c>
      <c r="G3893" s="12">
        <f>ROUND((E3893*F3893)/100,2)</f>
        <v>0.59</v>
      </c>
    </row>
    <row r="3894" ht="15.0" customHeight="1">
      <c r="A3894" s="16"/>
      <c r="B3894" s="16"/>
      <c r="C3894" s="16"/>
      <c r="D3894" s="17" t="s">
        <v>1780</v>
      </c>
      <c r="E3894" s="16"/>
      <c r="F3894" s="18">
        <f>ROUND((G3884+G3885+G3886+G3887+G3888+G3893)*(1+G2/100),2)</f>
        <v>96.12</v>
      </c>
      <c r="G3894" s="16"/>
    </row>
    <row r="3895" ht="30.0" customHeight="1">
      <c r="A3895" s="19" t="s">
        <v>1789</v>
      </c>
      <c r="B3895" s="20" t="s">
        <v>18</v>
      </c>
      <c r="C3895" s="20" t="s">
        <v>351</v>
      </c>
      <c r="D3895" s="20" t="s">
        <v>1781</v>
      </c>
      <c r="E3895" s="21"/>
      <c r="F3895" s="22">
        <f>F3907</f>
        <v>48.08</v>
      </c>
      <c r="G3895" s="21"/>
    </row>
    <row r="3896" ht="21.0" customHeight="1">
      <c r="A3896" s="11"/>
      <c r="B3896" s="11"/>
      <c r="C3896" s="11"/>
      <c r="D3896" s="10" t="s">
        <v>1782</v>
      </c>
    </row>
    <row r="3897" ht="21.0" customHeight="1">
      <c r="A3897" s="10" t="s">
        <v>1783</v>
      </c>
      <c r="B3897" s="10" t="s">
        <v>42</v>
      </c>
      <c r="C3897" s="10" t="s">
        <v>344</v>
      </c>
      <c r="D3897" s="10" t="s">
        <v>1784</v>
      </c>
      <c r="E3897" s="14">
        <v>33.45</v>
      </c>
      <c r="F3897" s="15">
        <f>ROUND(0.66,3)</f>
        <v>0.66</v>
      </c>
      <c r="G3897" s="12">
        <f t="shared" ref="G3897:G3905" si="628">ROUND(E3897*F3897,2)</f>
        <v>22.08</v>
      </c>
    </row>
    <row r="3898" ht="57.75" customHeight="1">
      <c r="A3898" s="10" t="s">
        <v>1785</v>
      </c>
      <c r="B3898" s="10" t="s">
        <v>42</v>
      </c>
      <c r="C3898" s="10" t="s">
        <v>584</v>
      </c>
      <c r="D3898" s="10" t="s">
        <v>1786</v>
      </c>
      <c r="E3898" s="14">
        <v>0.025</v>
      </c>
      <c r="F3898" s="15">
        <f>ROUND(123.14,3)</f>
        <v>123.14</v>
      </c>
      <c r="G3898" s="12">
        <f t="shared" si="628"/>
        <v>3.08</v>
      </c>
    </row>
    <row r="3899" ht="39.75" customHeight="1">
      <c r="A3899" s="10" t="s">
        <v>1303</v>
      </c>
      <c r="B3899" s="10" t="s">
        <v>42</v>
      </c>
      <c r="C3899" s="10" t="s">
        <v>184</v>
      </c>
      <c r="D3899" s="10" t="s">
        <v>1304</v>
      </c>
      <c r="E3899" s="14">
        <v>0.5</v>
      </c>
      <c r="F3899" s="15">
        <f>ROUND(24.84,3)</f>
        <v>24.84</v>
      </c>
      <c r="G3899" s="12">
        <f t="shared" si="628"/>
        <v>12.42</v>
      </c>
    </row>
    <row r="3900" ht="30.0" customHeight="1">
      <c r="A3900" s="10" t="s">
        <v>1787</v>
      </c>
      <c r="B3900" s="10" t="s">
        <v>42</v>
      </c>
      <c r="C3900" s="10" t="s">
        <v>226</v>
      </c>
      <c r="D3900" s="10" t="s">
        <v>1788</v>
      </c>
      <c r="E3900" s="14">
        <v>0.011</v>
      </c>
      <c r="F3900" s="15">
        <f>ROUND(30.51,3)</f>
        <v>30.51</v>
      </c>
      <c r="G3900" s="12">
        <f t="shared" si="628"/>
        <v>0.34</v>
      </c>
    </row>
    <row r="3901" ht="21.0" customHeight="1">
      <c r="A3901" s="10" t="s">
        <v>22</v>
      </c>
      <c r="B3901" s="10" t="s">
        <v>18</v>
      </c>
      <c r="C3901" s="10" t="s">
        <v>23</v>
      </c>
      <c r="D3901" s="10" t="s">
        <v>24</v>
      </c>
      <c r="E3901" s="14">
        <v>0.225</v>
      </c>
      <c r="F3901" s="15">
        <f>F3905</f>
        <v>43.8</v>
      </c>
      <c r="G3901" s="12">
        <f t="shared" si="628"/>
        <v>9.86</v>
      </c>
    </row>
    <row r="3902" ht="24.0" customHeight="1">
      <c r="A3902" s="10" t="s">
        <v>25</v>
      </c>
      <c r="B3902" s="10" t="s">
        <v>26</v>
      </c>
      <c r="C3902" s="10" t="s">
        <v>23</v>
      </c>
      <c r="D3902" s="10" t="s">
        <v>27</v>
      </c>
      <c r="E3902" s="14">
        <v>1.0</v>
      </c>
      <c r="F3902" s="15">
        <f>ROUND(21,3)</f>
        <v>21</v>
      </c>
      <c r="G3902" s="12">
        <f t="shared" si="628"/>
        <v>21</v>
      </c>
    </row>
    <row r="3903" ht="24.0" customHeight="1">
      <c r="A3903" s="10" t="s">
        <v>28</v>
      </c>
      <c r="B3903" s="10" t="s">
        <v>26</v>
      </c>
      <c r="C3903" s="10" t="s">
        <v>23</v>
      </c>
      <c r="D3903" s="10" t="s">
        <v>29</v>
      </c>
      <c r="E3903" s="14">
        <v>1.0</v>
      </c>
      <c r="F3903" s="15">
        <f t="shared" ref="F3903:F3904" si="629">ROUND(19,3)</f>
        <v>19</v>
      </c>
      <c r="G3903" s="12">
        <f t="shared" si="628"/>
        <v>19</v>
      </c>
    </row>
    <row r="3904" ht="24.0" customHeight="1">
      <c r="A3904" s="10" t="s">
        <v>30</v>
      </c>
      <c r="B3904" s="10" t="s">
        <v>26</v>
      </c>
      <c r="C3904" s="10" t="s">
        <v>23</v>
      </c>
      <c r="D3904" s="10" t="s">
        <v>31</v>
      </c>
      <c r="E3904" s="14">
        <v>0.2</v>
      </c>
      <c r="F3904" s="15">
        <f t="shared" si="629"/>
        <v>19</v>
      </c>
      <c r="G3904" s="12">
        <f t="shared" si="628"/>
        <v>3.8</v>
      </c>
    </row>
    <row r="3905" ht="15.0" customHeight="1">
      <c r="A3905" s="11"/>
      <c r="B3905" s="11"/>
      <c r="C3905" s="11"/>
      <c r="D3905" s="10" t="s">
        <v>22</v>
      </c>
      <c r="E3905" s="14">
        <v>0.225</v>
      </c>
      <c r="F3905" s="15">
        <f>ROUND((G3902+G3903+G3904),3)</f>
        <v>43.8</v>
      </c>
      <c r="G3905" s="12">
        <f t="shared" si="628"/>
        <v>9.86</v>
      </c>
    </row>
    <row r="3906" ht="15.0" customHeight="1">
      <c r="A3906" s="10" t="s">
        <v>32</v>
      </c>
      <c r="B3906" s="10"/>
      <c r="C3906" s="10" t="s">
        <v>33</v>
      </c>
      <c r="D3906" s="10" t="s">
        <v>34</v>
      </c>
      <c r="E3906" s="14">
        <v>3.0</v>
      </c>
      <c r="F3906" s="15">
        <f>ROUND(9.86,3)</f>
        <v>9.86</v>
      </c>
      <c r="G3906" s="12">
        <f>ROUND((E3906*F3906)/100,2)</f>
        <v>0.3</v>
      </c>
    </row>
    <row r="3907" ht="15.0" customHeight="1">
      <c r="A3907" s="16"/>
      <c r="B3907" s="16"/>
      <c r="C3907" s="16"/>
      <c r="D3907" s="17" t="s">
        <v>1789</v>
      </c>
      <c r="E3907" s="16"/>
      <c r="F3907" s="18">
        <f>ROUND((G3897+G3898+G3899+G3900+G3901+G3906)*(1+G2/100),2)</f>
        <v>48.08</v>
      </c>
      <c r="G3907" s="16"/>
    </row>
    <row r="3908" ht="21.0" customHeight="1">
      <c r="A3908" s="19" t="s">
        <v>1790</v>
      </c>
      <c r="B3908" s="20" t="s">
        <v>18</v>
      </c>
      <c r="C3908" s="20" t="s">
        <v>295</v>
      </c>
      <c r="D3908" s="20" t="s">
        <v>1791</v>
      </c>
      <c r="E3908" s="21"/>
      <c r="F3908" s="22">
        <f>F3924</f>
        <v>24.93</v>
      </c>
      <c r="G3908" s="21"/>
    </row>
    <row r="3909" ht="21.0" customHeight="1">
      <c r="A3909" s="11"/>
      <c r="B3909" s="11"/>
      <c r="C3909" s="11"/>
      <c r="D3909" s="10" t="s">
        <v>1792</v>
      </c>
    </row>
    <row r="3910" ht="30.0" customHeight="1">
      <c r="A3910" s="10" t="s">
        <v>971</v>
      </c>
      <c r="B3910" s="10" t="s">
        <v>42</v>
      </c>
      <c r="C3910" s="10" t="s">
        <v>231</v>
      </c>
      <c r="D3910" s="10" t="s">
        <v>972</v>
      </c>
      <c r="E3910" s="14">
        <v>0.05</v>
      </c>
      <c r="F3910" s="15">
        <f>ROUND(4.92,3)</f>
        <v>4.92</v>
      </c>
      <c r="G3910" s="12">
        <f t="shared" ref="G3910:G3922" si="630">ROUND(E3910*F3910,2)</f>
        <v>0.25</v>
      </c>
    </row>
    <row r="3911" ht="30.0" customHeight="1">
      <c r="A3911" s="10" t="s">
        <v>1793</v>
      </c>
      <c r="B3911" s="10" t="s">
        <v>42</v>
      </c>
      <c r="C3911" s="10" t="s">
        <v>956</v>
      </c>
      <c r="D3911" s="10" t="s">
        <v>1794</v>
      </c>
      <c r="E3911" s="14">
        <v>0.0125</v>
      </c>
      <c r="F3911" s="15">
        <f>ROUND(8.81,3)</f>
        <v>8.81</v>
      </c>
      <c r="G3911" s="12">
        <f t="shared" si="630"/>
        <v>0.11</v>
      </c>
    </row>
    <row r="3912" ht="30.0" customHeight="1">
      <c r="A3912" s="10" t="s">
        <v>1378</v>
      </c>
      <c r="B3912" s="10" t="s">
        <v>42</v>
      </c>
      <c r="C3912" s="10" t="s">
        <v>330</v>
      </c>
      <c r="D3912" s="10" t="s">
        <v>1379</v>
      </c>
      <c r="E3912" s="14">
        <v>0.15</v>
      </c>
      <c r="F3912" s="15">
        <f>ROUND(6.14,3)</f>
        <v>6.14</v>
      </c>
      <c r="G3912" s="12">
        <f t="shared" si="630"/>
        <v>0.92</v>
      </c>
    </row>
    <row r="3913" ht="39.75" customHeight="1">
      <c r="A3913" s="10" t="s">
        <v>1340</v>
      </c>
      <c r="B3913" s="10" t="s">
        <v>42</v>
      </c>
      <c r="C3913" s="10" t="s">
        <v>1245</v>
      </c>
      <c r="D3913" s="10" t="s">
        <v>1341</v>
      </c>
      <c r="E3913" s="14">
        <v>0.1665</v>
      </c>
      <c r="F3913" s="15">
        <f>ROUND(7.37,3)</f>
        <v>7.37</v>
      </c>
      <c r="G3913" s="12">
        <f t="shared" si="630"/>
        <v>1.23</v>
      </c>
    </row>
    <row r="3914" ht="30.0" customHeight="1">
      <c r="A3914" s="10" t="s">
        <v>1770</v>
      </c>
      <c r="B3914" s="10" t="s">
        <v>42</v>
      </c>
      <c r="C3914" s="10" t="s">
        <v>344</v>
      </c>
      <c r="D3914" s="10" t="s">
        <v>1771</v>
      </c>
      <c r="E3914" s="14">
        <v>1.665</v>
      </c>
      <c r="F3914" s="15">
        <f>ROUND(4.96,3)</f>
        <v>4.96</v>
      </c>
      <c r="G3914" s="12">
        <f t="shared" si="630"/>
        <v>8.26</v>
      </c>
    </row>
    <row r="3915" ht="48.75" customHeight="1">
      <c r="A3915" s="10" t="s">
        <v>1276</v>
      </c>
      <c r="B3915" s="10" t="s">
        <v>42</v>
      </c>
      <c r="C3915" s="10" t="s">
        <v>43</v>
      </c>
      <c r="D3915" s="10" t="s">
        <v>1277</v>
      </c>
      <c r="E3915" s="14">
        <v>0.0072</v>
      </c>
      <c r="F3915" s="15">
        <f>ROUND(45.57,3)</f>
        <v>45.57</v>
      </c>
      <c r="G3915" s="12">
        <f t="shared" si="630"/>
        <v>0.33</v>
      </c>
    </row>
    <row r="3916" ht="30.0" customHeight="1">
      <c r="A3916" s="10" t="s">
        <v>1225</v>
      </c>
      <c r="B3916" s="10" t="s">
        <v>42</v>
      </c>
      <c r="C3916" s="10" t="s">
        <v>184</v>
      </c>
      <c r="D3916" s="10" t="s">
        <v>1226</v>
      </c>
      <c r="E3916" s="14">
        <v>0.08</v>
      </c>
      <c r="F3916" s="15">
        <f>ROUND(17.45,3)</f>
        <v>17.45</v>
      </c>
      <c r="G3916" s="12">
        <f t="shared" si="630"/>
        <v>1.4</v>
      </c>
    </row>
    <row r="3917" ht="21.0" customHeight="1">
      <c r="A3917" s="10" t="s">
        <v>1204</v>
      </c>
      <c r="B3917" s="10" t="s">
        <v>42</v>
      </c>
      <c r="C3917" s="10" t="s">
        <v>344</v>
      </c>
      <c r="D3917" s="10" t="s">
        <v>1205</v>
      </c>
      <c r="E3917" s="14">
        <v>0.5</v>
      </c>
      <c r="F3917" s="15">
        <f>ROUND(2.29,3)</f>
        <v>2.29</v>
      </c>
      <c r="G3917" s="12">
        <f t="shared" si="630"/>
        <v>1.15</v>
      </c>
    </row>
    <row r="3918" ht="21.0" customHeight="1">
      <c r="A3918" s="10" t="s">
        <v>22</v>
      </c>
      <c r="B3918" s="10" t="s">
        <v>18</v>
      </c>
      <c r="C3918" s="10" t="s">
        <v>23</v>
      </c>
      <c r="D3918" s="10" t="s">
        <v>24</v>
      </c>
      <c r="E3918" s="14">
        <v>0.25</v>
      </c>
      <c r="F3918" s="15">
        <f>F3922</f>
        <v>43.8</v>
      </c>
      <c r="G3918" s="12">
        <f t="shared" si="630"/>
        <v>10.95</v>
      </c>
    </row>
    <row r="3919" ht="24.0" customHeight="1">
      <c r="A3919" s="10" t="s">
        <v>25</v>
      </c>
      <c r="B3919" s="10" t="s">
        <v>26</v>
      </c>
      <c r="C3919" s="10" t="s">
        <v>23</v>
      </c>
      <c r="D3919" s="10" t="s">
        <v>27</v>
      </c>
      <c r="E3919" s="14">
        <v>1.0</v>
      </c>
      <c r="F3919" s="15">
        <f>ROUND(21,3)</f>
        <v>21</v>
      </c>
      <c r="G3919" s="12">
        <f t="shared" si="630"/>
        <v>21</v>
      </c>
    </row>
    <row r="3920" ht="24.0" customHeight="1">
      <c r="A3920" s="10" t="s">
        <v>28</v>
      </c>
      <c r="B3920" s="10" t="s">
        <v>26</v>
      </c>
      <c r="C3920" s="10" t="s">
        <v>23</v>
      </c>
      <c r="D3920" s="10" t="s">
        <v>29</v>
      </c>
      <c r="E3920" s="14">
        <v>1.0</v>
      </c>
      <c r="F3920" s="15">
        <f t="shared" ref="F3920:F3921" si="631">ROUND(19,3)</f>
        <v>19</v>
      </c>
      <c r="G3920" s="12">
        <f t="shared" si="630"/>
        <v>19</v>
      </c>
    </row>
    <row r="3921" ht="24.0" customHeight="1">
      <c r="A3921" s="10" t="s">
        <v>30</v>
      </c>
      <c r="B3921" s="10" t="s">
        <v>26</v>
      </c>
      <c r="C3921" s="10" t="s">
        <v>23</v>
      </c>
      <c r="D3921" s="10" t="s">
        <v>31</v>
      </c>
      <c r="E3921" s="14">
        <v>0.2</v>
      </c>
      <c r="F3921" s="15">
        <f t="shared" si="631"/>
        <v>19</v>
      </c>
      <c r="G3921" s="12">
        <f t="shared" si="630"/>
        <v>3.8</v>
      </c>
    </row>
    <row r="3922" ht="15.0" customHeight="1">
      <c r="A3922" s="11"/>
      <c r="B3922" s="11"/>
      <c r="C3922" s="11"/>
      <c r="D3922" s="10" t="s">
        <v>22</v>
      </c>
      <c r="E3922" s="14">
        <v>0.25</v>
      </c>
      <c r="F3922" s="15">
        <f>ROUND((G3919+G3920+G3921),3)</f>
        <v>43.8</v>
      </c>
      <c r="G3922" s="12">
        <f t="shared" si="630"/>
        <v>10.95</v>
      </c>
    </row>
    <row r="3923" ht="15.0" customHeight="1">
      <c r="A3923" s="10" t="s">
        <v>32</v>
      </c>
      <c r="B3923" s="10"/>
      <c r="C3923" s="10" t="s">
        <v>33</v>
      </c>
      <c r="D3923" s="10" t="s">
        <v>34</v>
      </c>
      <c r="E3923" s="14">
        <v>3.0</v>
      </c>
      <c r="F3923" s="15">
        <f>ROUND(10.95,3)</f>
        <v>10.95</v>
      </c>
      <c r="G3923" s="12">
        <f>ROUND((E3923*F3923)/100,2)</f>
        <v>0.33</v>
      </c>
    </row>
    <row r="3924" ht="15.0" customHeight="1">
      <c r="A3924" s="16"/>
      <c r="B3924" s="16"/>
      <c r="C3924" s="16"/>
      <c r="D3924" s="17" t="s">
        <v>1790</v>
      </c>
      <c r="E3924" s="16"/>
      <c r="F3924" s="18">
        <f>ROUND((G3910+G3911+G3912+G3913+G3914+G3915+G3916+G3917+G3918+G3923)*(1+G2/100),2)</f>
        <v>24.93</v>
      </c>
      <c r="G3924" s="16"/>
    </row>
    <row r="3925" ht="30.0" customHeight="1">
      <c r="A3925" s="19" t="s">
        <v>1795</v>
      </c>
      <c r="B3925" s="20" t="s">
        <v>18</v>
      </c>
      <c r="C3925" s="20" t="s">
        <v>19</v>
      </c>
      <c r="D3925" s="20" t="s">
        <v>1796</v>
      </c>
      <c r="E3925" s="21"/>
      <c r="F3925" s="22">
        <f>F3935</f>
        <v>40.04</v>
      </c>
      <c r="G3925" s="21"/>
    </row>
    <row r="3926" ht="12.0" customHeight="1">
      <c r="A3926" s="11"/>
      <c r="B3926" s="11"/>
      <c r="C3926" s="11"/>
      <c r="D3926" s="10" t="s">
        <v>1796</v>
      </c>
    </row>
    <row r="3927" ht="48.75" customHeight="1">
      <c r="A3927" s="10" t="s">
        <v>1797</v>
      </c>
      <c r="B3927" s="10" t="s">
        <v>42</v>
      </c>
      <c r="C3927" s="10" t="s">
        <v>184</v>
      </c>
      <c r="D3927" s="10" t="s">
        <v>1798</v>
      </c>
      <c r="E3927" s="14">
        <v>2.016</v>
      </c>
      <c r="F3927" s="15">
        <f>ROUND(4.35,3)</f>
        <v>4.35</v>
      </c>
      <c r="G3927" s="12">
        <f t="shared" ref="G3927:G3933" si="632">ROUND(E3927*F3927,2)</f>
        <v>8.77</v>
      </c>
    </row>
    <row r="3928" ht="30.0" customHeight="1">
      <c r="A3928" s="10" t="s">
        <v>1227</v>
      </c>
      <c r="B3928" s="10" t="s">
        <v>42</v>
      </c>
      <c r="C3928" s="10" t="s">
        <v>226</v>
      </c>
      <c r="D3928" s="10" t="s">
        <v>1228</v>
      </c>
      <c r="E3928" s="14">
        <v>0.022</v>
      </c>
      <c r="F3928" s="15">
        <f>ROUND(27.5,3)</f>
        <v>27.5</v>
      </c>
      <c r="G3928" s="12">
        <f t="shared" si="632"/>
        <v>0.61</v>
      </c>
    </row>
    <row r="3929" ht="21.0" customHeight="1">
      <c r="A3929" s="10" t="s">
        <v>22</v>
      </c>
      <c r="B3929" s="10" t="s">
        <v>18</v>
      </c>
      <c r="C3929" s="10" t="s">
        <v>23</v>
      </c>
      <c r="D3929" s="10" t="s">
        <v>24</v>
      </c>
      <c r="E3929" s="14">
        <v>0.66667</v>
      </c>
      <c r="F3929" s="15">
        <f>F3933</f>
        <v>43.8</v>
      </c>
      <c r="G3929" s="12">
        <f t="shared" si="632"/>
        <v>29.2</v>
      </c>
    </row>
    <row r="3930" ht="24.0" customHeight="1">
      <c r="A3930" s="10" t="s">
        <v>25</v>
      </c>
      <c r="B3930" s="10" t="s">
        <v>26</v>
      </c>
      <c r="C3930" s="10" t="s">
        <v>23</v>
      </c>
      <c r="D3930" s="10" t="s">
        <v>27</v>
      </c>
      <c r="E3930" s="14">
        <v>1.0</v>
      </c>
      <c r="F3930" s="15">
        <f>ROUND(21,3)</f>
        <v>21</v>
      </c>
      <c r="G3930" s="12">
        <f t="shared" si="632"/>
        <v>21</v>
      </c>
    </row>
    <row r="3931" ht="24.0" customHeight="1">
      <c r="A3931" s="10" t="s">
        <v>28</v>
      </c>
      <c r="B3931" s="10" t="s">
        <v>26</v>
      </c>
      <c r="C3931" s="10" t="s">
        <v>23</v>
      </c>
      <c r="D3931" s="10" t="s">
        <v>29</v>
      </c>
      <c r="E3931" s="14">
        <v>1.0</v>
      </c>
      <c r="F3931" s="15">
        <f t="shared" ref="F3931:F3932" si="633">ROUND(19,3)</f>
        <v>19</v>
      </c>
      <c r="G3931" s="12">
        <f t="shared" si="632"/>
        <v>19</v>
      </c>
    </row>
    <row r="3932" ht="24.0" customHeight="1">
      <c r="A3932" s="10" t="s">
        <v>30</v>
      </c>
      <c r="B3932" s="10" t="s">
        <v>26</v>
      </c>
      <c r="C3932" s="10" t="s">
        <v>23</v>
      </c>
      <c r="D3932" s="10" t="s">
        <v>31</v>
      </c>
      <c r="E3932" s="14">
        <v>0.2</v>
      </c>
      <c r="F3932" s="15">
        <f t="shared" si="633"/>
        <v>19</v>
      </c>
      <c r="G3932" s="12">
        <f t="shared" si="632"/>
        <v>3.8</v>
      </c>
    </row>
    <row r="3933" ht="15.0" customHeight="1">
      <c r="A3933" s="11"/>
      <c r="B3933" s="11"/>
      <c r="C3933" s="11"/>
      <c r="D3933" s="10" t="s">
        <v>22</v>
      </c>
      <c r="E3933" s="14">
        <v>0.66667</v>
      </c>
      <c r="F3933" s="15">
        <f>ROUND((G3930+G3931+G3932),3)</f>
        <v>43.8</v>
      </c>
      <c r="G3933" s="12">
        <f t="shared" si="632"/>
        <v>29.2</v>
      </c>
    </row>
    <row r="3934" ht="15.0" customHeight="1">
      <c r="A3934" s="10" t="s">
        <v>32</v>
      </c>
      <c r="B3934" s="10"/>
      <c r="C3934" s="10" t="s">
        <v>33</v>
      </c>
      <c r="D3934" s="10" t="s">
        <v>34</v>
      </c>
      <c r="E3934" s="14">
        <v>5.0</v>
      </c>
      <c r="F3934" s="15">
        <f>ROUND(29.2,3)</f>
        <v>29.2</v>
      </c>
      <c r="G3934" s="12">
        <f>ROUND((E3934*F3934)/100,2)</f>
        <v>1.46</v>
      </c>
    </row>
    <row r="3935" ht="15.0" customHeight="1">
      <c r="A3935" s="16"/>
      <c r="B3935" s="16"/>
      <c r="C3935" s="16"/>
      <c r="D3935" s="17" t="s">
        <v>1795</v>
      </c>
      <c r="E3935" s="16"/>
      <c r="F3935" s="18">
        <f>ROUND((G3927+G3928+G3929+G3934)*(1+G2/100),2)</f>
        <v>40.04</v>
      </c>
      <c r="G3935" s="16"/>
    </row>
    <row r="3936" ht="21.0" customHeight="1">
      <c r="A3936" s="19" t="s">
        <v>1799</v>
      </c>
      <c r="B3936" s="20" t="s">
        <v>18</v>
      </c>
      <c r="C3936" s="20" t="s">
        <v>295</v>
      </c>
      <c r="D3936" s="20" t="s">
        <v>1800</v>
      </c>
      <c r="E3936" s="21"/>
      <c r="F3936" s="22">
        <f>F3948</f>
        <v>24.05</v>
      </c>
      <c r="G3936" s="21"/>
    </row>
    <row r="3937" ht="39.75" customHeight="1">
      <c r="A3937" s="11"/>
      <c r="B3937" s="11"/>
      <c r="C3937" s="11"/>
      <c r="D3937" s="10" t="s">
        <v>1801</v>
      </c>
    </row>
    <row r="3938" ht="30.0" customHeight="1">
      <c r="A3938" s="10" t="s">
        <v>1802</v>
      </c>
      <c r="B3938" s="10" t="s">
        <v>42</v>
      </c>
      <c r="C3938" s="10" t="s">
        <v>1207</v>
      </c>
      <c r="D3938" s="10" t="s">
        <v>1803</v>
      </c>
      <c r="E3938" s="14">
        <v>0.3</v>
      </c>
      <c r="F3938" s="15">
        <f>ROUND(0.5,3)</f>
        <v>0.5</v>
      </c>
      <c r="G3938" s="12">
        <f t="shared" ref="G3938:G3946" si="634">ROUND(E3938*F3938,2)</f>
        <v>0.15</v>
      </c>
    </row>
    <row r="3939" ht="39.75" customHeight="1">
      <c r="A3939" s="10" t="s">
        <v>1804</v>
      </c>
      <c r="B3939" s="10" t="s">
        <v>42</v>
      </c>
      <c r="C3939" s="10" t="s">
        <v>5</v>
      </c>
      <c r="D3939" s="10" t="s">
        <v>1805</v>
      </c>
      <c r="E3939" s="14">
        <v>1.0</v>
      </c>
      <c r="F3939" s="15">
        <f>ROUND(14.55,3)</f>
        <v>14.55</v>
      </c>
      <c r="G3939" s="12">
        <f t="shared" si="634"/>
        <v>14.55</v>
      </c>
    </row>
    <row r="3940" ht="21.0" customHeight="1">
      <c r="A3940" s="10" t="s">
        <v>1806</v>
      </c>
      <c r="B3940" s="10" t="s">
        <v>42</v>
      </c>
      <c r="C3940" s="10" t="s">
        <v>5</v>
      </c>
      <c r="D3940" s="10" t="s">
        <v>1807</v>
      </c>
      <c r="E3940" s="14">
        <v>0.016</v>
      </c>
      <c r="F3940" s="15">
        <f>ROUND(5.4,3)</f>
        <v>5.4</v>
      </c>
      <c r="G3940" s="12">
        <f t="shared" si="634"/>
        <v>0.09</v>
      </c>
    </row>
    <row r="3941" ht="21.0" customHeight="1">
      <c r="A3941" s="10" t="s">
        <v>1808</v>
      </c>
      <c r="B3941" s="10" t="s">
        <v>42</v>
      </c>
      <c r="C3941" s="10" t="s">
        <v>5</v>
      </c>
      <c r="D3941" s="10" t="s">
        <v>1809</v>
      </c>
      <c r="E3941" s="14">
        <v>0.032</v>
      </c>
      <c r="F3941" s="15">
        <f>ROUND(7.39,3)</f>
        <v>7.39</v>
      </c>
      <c r="G3941" s="12">
        <f t="shared" si="634"/>
        <v>0.24</v>
      </c>
    </row>
    <row r="3942" ht="21.0" customHeight="1">
      <c r="A3942" s="10" t="s">
        <v>22</v>
      </c>
      <c r="B3942" s="10" t="s">
        <v>18</v>
      </c>
      <c r="C3942" s="10" t="s">
        <v>23</v>
      </c>
      <c r="D3942" s="10" t="s">
        <v>24</v>
      </c>
      <c r="E3942" s="14">
        <v>0.2</v>
      </c>
      <c r="F3942" s="15">
        <f>F3946</f>
        <v>43.8</v>
      </c>
      <c r="G3942" s="12">
        <f t="shared" si="634"/>
        <v>8.76</v>
      </c>
    </row>
    <row r="3943" ht="24.0" customHeight="1">
      <c r="A3943" s="10" t="s">
        <v>25</v>
      </c>
      <c r="B3943" s="10" t="s">
        <v>26</v>
      </c>
      <c r="C3943" s="10" t="s">
        <v>23</v>
      </c>
      <c r="D3943" s="10" t="s">
        <v>27</v>
      </c>
      <c r="E3943" s="14">
        <v>1.0</v>
      </c>
      <c r="F3943" s="15">
        <f>ROUND(21,3)</f>
        <v>21</v>
      </c>
      <c r="G3943" s="12">
        <f t="shared" si="634"/>
        <v>21</v>
      </c>
    </row>
    <row r="3944" ht="24.0" customHeight="1">
      <c r="A3944" s="10" t="s">
        <v>28</v>
      </c>
      <c r="B3944" s="10" t="s">
        <v>26</v>
      </c>
      <c r="C3944" s="10" t="s">
        <v>23</v>
      </c>
      <c r="D3944" s="10" t="s">
        <v>29</v>
      </c>
      <c r="E3944" s="14">
        <v>1.0</v>
      </c>
      <c r="F3944" s="15">
        <f t="shared" ref="F3944:F3945" si="635">ROUND(19,3)</f>
        <v>19</v>
      </c>
      <c r="G3944" s="12">
        <f t="shared" si="634"/>
        <v>19</v>
      </c>
    </row>
    <row r="3945" ht="24.0" customHeight="1">
      <c r="A3945" s="10" t="s">
        <v>30</v>
      </c>
      <c r="B3945" s="10" t="s">
        <v>26</v>
      </c>
      <c r="C3945" s="10" t="s">
        <v>23</v>
      </c>
      <c r="D3945" s="10" t="s">
        <v>31</v>
      </c>
      <c r="E3945" s="14">
        <v>0.2</v>
      </c>
      <c r="F3945" s="15">
        <f t="shared" si="635"/>
        <v>19</v>
      </c>
      <c r="G3945" s="12">
        <f t="shared" si="634"/>
        <v>3.8</v>
      </c>
    </row>
    <row r="3946" ht="15.0" customHeight="1">
      <c r="A3946" s="11"/>
      <c r="B3946" s="11"/>
      <c r="C3946" s="11"/>
      <c r="D3946" s="10" t="s">
        <v>22</v>
      </c>
      <c r="E3946" s="14">
        <v>0.2</v>
      </c>
      <c r="F3946" s="15">
        <f>ROUND((G3943+G3944+G3945),3)</f>
        <v>43.8</v>
      </c>
      <c r="G3946" s="12">
        <f t="shared" si="634"/>
        <v>8.76</v>
      </c>
    </row>
    <row r="3947" ht="15.0" customHeight="1">
      <c r="A3947" s="10" t="s">
        <v>32</v>
      </c>
      <c r="B3947" s="10"/>
      <c r="C3947" s="10" t="s">
        <v>33</v>
      </c>
      <c r="D3947" s="10" t="s">
        <v>34</v>
      </c>
      <c r="E3947" s="14">
        <v>3.0</v>
      </c>
      <c r="F3947" s="15">
        <f>ROUND(8.76,3)</f>
        <v>8.76</v>
      </c>
      <c r="G3947" s="12">
        <f>ROUND((E3947*F3947)/100,2)</f>
        <v>0.26</v>
      </c>
    </row>
    <row r="3948" ht="15.0" customHeight="1">
      <c r="A3948" s="16"/>
      <c r="B3948" s="16"/>
      <c r="C3948" s="16"/>
      <c r="D3948" s="17" t="s">
        <v>1799</v>
      </c>
      <c r="E3948" s="16"/>
      <c r="F3948" s="18">
        <f>ROUND((G3938+G3939+G3940+G3941+G3942+G3947)*(1+G2/100),2)</f>
        <v>24.05</v>
      </c>
      <c r="G3948" s="16"/>
    </row>
    <row r="3949" ht="21.0" customHeight="1">
      <c r="A3949" s="19" t="s">
        <v>1810</v>
      </c>
      <c r="B3949" s="20" t="s">
        <v>18</v>
      </c>
      <c r="C3949" s="20" t="s">
        <v>321</v>
      </c>
      <c r="D3949" s="20" t="s">
        <v>1811</v>
      </c>
      <c r="E3949" s="21"/>
      <c r="F3949" s="22">
        <f>F3958</f>
        <v>7.39</v>
      </c>
      <c r="G3949" s="21"/>
    </row>
    <row r="3950" ht="30.0" customHeight="1">
      <c r="A3950" s="11"/>
      <c r="B3950" s="11"/>
      <c r="C3950" s="11"/>
      <c r="D3950" s="10" t="s">
        <v>1812</v>
      </c>
    </row>
    <row r="3951" ht="30.0" customHeight="1">
      <c r="A3951" s="10" t="s">
        <v>1813</v>
      </c>
      <c r="B3951" s="10" t="s">
        <v>42</v>
      </c>
      <c r="C3951" s="10" t="s">
        <v>43</v>
      </c>
      <c r="D3951" s="10" t="s">
        <v>1814</v>
      </c>
      <c r="E3951" s="14">
        <v>0.1</v>
      </c>
      <c r="F3951" s="15">
        <f>ROUND(6.19,3)</f>
        <v>6.19</v>
      </c>
      <c r="G3951" s="12">
        <f t="shared" ref="G3951:G3956" si="636">ROUND(E3951*F3951,2)</f>
        <v>0.62</v>
      </c>
    </row>
    <row r="3952" ht="21.0" customHeight="1">
      <c r="A3952" s="10" t="s">
        <v>22</v>
      </c>
      <c r="B3952" s="10" t="s">
        <v>18</v>
      </c>
      <c r="C3952" s="10" t="s">
        <v>23</v>
      </c>
      <c r="D3952" s="10" t="s">
        <v>24</v>
      </c>
      <c r="E3952" s="14">
        <v>0.15</v>
      </c>
      <c r="F3952" s="15">
        <f>F3956</f>
        <v>43.8</v>
      </c>
      <c r="G3952" s="12">
        <f t="shared" si="636"/>
        <v>6.57</v>
      </c>
    </row>
    <row r="3953" ht="24.0" customHeight="1">
      <c r="A3953" s="10" t="s">
        <v>25</v>
      </c>
      <c r="B3953" s="10" t="s">
        <v>26</v>
      </c>
      <c r="C3953" s="10" t="s">
        <v>23</v>
      </c>
      <c r="D3953" s="10" t="s">
        <v>27</v>
      </c>
      <c r="E3953" s="14">
        <v>1.0</v>
      </c>
      <c r="F3953" s="15">
        <f>ROUND(21,3)</f>
        <v>21</v>
      </c>
      <c r="G3953" s="12">
        <f t="shared" si="636"/>
        <v>21</v>
      </c>
    </row>
    <row r="3954" ht="24.0" customHeight="1">
      <c r="A3954" s="10" t="s">
        <v>28</v>
      </c>
      <c r="B3954" s="10" t="s">
        <v>26</v>
      </c>
      <c r="C3954" s="10" t="s">
        <v>23</v>
      </c>
      <c r="D3954" s="10" t="s">
        <v>29</v>
      </c>
      <c r="E3954" s="14">
        <v>1.0</v>
      </c>
      <c r="F3954" s="15">
        <f t="shared" ref="F3954:F3955" si="637">ROUND(19,3)</f>
        <v>19</v>
      </c>
      <c r="G3954" s="12">
        <f t="shared" si="636"/>
        <v>19</v>
      </c>
    </row>
    <row r="3955" ht="24.0" customHeight="1">
      <c r="A3955" s="10" t="s">
        <v>30</v>
      </c>
      <c r="B3955" s="10" t="s">
        <v>26</v>
      </c>
      <c r="C3955" s="10" t="s">
        <v>23</v>
      </c>
      <c r="D3955" s="10" t="s">
        <v>31</v>
      </c>
      <c r="E3955" s="14">
        <v>0.2</v>
      </c>
      <c r="F3955" s="15">
        <f t="shared" si="637"/>
        <v>19</v>
      </c>
      <c r="G3955" s="12">
        <f t="shared" si="636"/>
        <v>3.8</v>
      </c>
    </row>
    <row r="3956" ht="15.0" customHeight="1">
      <c r="A3956" s="11"/>
      <c r="B3956" s="11"/>
      <c r="C3956" s="11"/>
      <c r="D3956" s="10" t="s">
        <v>22</v>
      </c>
      <c r="E3956" s="14">
        <v>0.15</v>
      </c>
      <c r="F3956" s="15">
        <f>ROUND((G3953+G3954+G3955),3)</f>
        <v>43.8</v>
      </c>
      <c r="G3956" s="12">
        <f t="shared" si="636"/>
        <v>6.57</v>
      </c>
    </row>
    <row r="3957" ht="15.0" customHeight="1">
      <c r="A3957" s="10" t="s">
        <v>32</v>
      </c>
      <c r="B3957" s="10"/>
      <c r="C3957" s="10" t="s">
        <v>33</v>
      </c>
      <c r="D3957" s="10" t="s">
        <v>34</v>
      </c>
      <c r="E3957" s="14">
        <v>3.0</v>
      </c>
      <c r="F3957" s="15">
        <f>ROUND(6.57,3)</f>
        <v>6.57</v>
      </c>
      <c r="G3957" s="12">
        <f>ROUND((E3957*F3957)/100,2)</f>
        <v>0.2</v>
      </c>
    </row>
    <row r="3958" ht="15.0" customHeight="1">
      <c r="A3958" s="16"/>
      <c r="B3958" s="16"/>
      <c r="C3958" s="16"/>
      <c r="D3958" s="17" t="s">
        <v>1810</v>
      </c>
      <c r="E3958" s="16"/>
      <c r="F3958" s="18">
        <f>ROUND((G3951+G3952+G3957)*(1+G2/100),2)</f>
        <v>7.39</v>
      </c>
      <c r="G3958" s="16"/>
    </row>
    <row r="3959" ht="57.75" customHeight="1">
      <c r="A3959" s="19" t="s">
        <v>1815</v>
      </c>
      <c r="B3959" s="20" t="s">
        <v>18</v>
      </c>
      <c r="C3959" s="20" t="s">
        <v>351</v>
      </c>
      <c r="D3959" s="20" t="s">
        <v>1816</v>
      </c>
      <c r="E3959" s="21"/>
      <c r="F3959" s="22">
        <f>F3978</f>
        <v>64.92</v>
      </c>
      <c r="G3959" s="21"/>
    </row>
    <row r="3960" ht="39.75" customHeight="1">
      <c r="A3960" s="11"/>
      <c r="B3960" s="11"/>
      <c r="C3960" s="11"/>
      <c r="D3960" s="10" t="s">
        <v>1817</v>
      </c>
    </row>
    <row r="3961" ht="30.0" customHeight="1">
      <c r="A3961" s="10" t="s">
        <v>971</v>
      </c>
      <c r="B3961" s="10" t="s">
        <v>42</v>
      </c>
      <c r="C3961" s="10" t="s">
        <v>231</v>
      </c>
      <c r="D3961" s="10" t="s">
        <v>972</v>
      </c>
      <c r="E3961" s="14">
        <v>0.3</v>
      </c>
      <c r="F3961" s="15">
        <f>ROUND(4.92,3)</f>
        <v>4.92</v>
      </c>
      <c r="G3961" s="12">
        <f t="shared" ref="G3961:G3976" si="638">ROUND(E3961*F3961,2)</f>
        <v>1.48</v>
      </c>
    </row>
    <row r="3962" ht="21.0" customHeight="1">
      <c r="A3962" s="10" t="s">
        <v>969</v>
      </c>
      <c r="B3962" s="10" t="s">
        <v>112</v>
      </c>
      <c r="C3962" s="10" t="s">
        <v>23</v>
      </c>
      <c r="D3962" s="10" t="s">
        <v>970</v>
      </c>
      <c r="E3962" s="14">
        <v>0.33333</v>
      </c>
      <c r="F3962" s="15">
        <f>ROUND(2,3)</f>
        <v>2</v>
      </c>
      <c r="G3962" s="12">
        <f t="shared" si="638"/>
        <v>0.67</v>
      </c>
    </row>
    <row r="3963" ht="30.0" customHeight="1">
      <c r="A3963" s="10" t="s">
        <v>1793</v>
      </c>
      <c r="B3963" s="10" t="s">
        <v>42</v>
      </c>
      <c r="C3963" s="10" t="s">
        <v>956</v>
      </c>
      <c r="D3963" s="10" t="s">
        <v>1794</v>
      </c>
      <c r="E3963" s="14">
        <v>0.05</v>
      </c>
      <c r="F3963" s="15">
        <f>ROUND(8.81,3)</f>
        <v>8.81</v>
      </c>
      <c r="G3963" s="12">
        <f t="shared" si="638"/>
        <v>0.44</v>
      </c>
    </row>
    <row r="3964" ht="39.75" customHeight="1">
      <c r="A3964" s="10" t="s">
        <v>953</v>
      </c>
      <c r="B3964" s="10" t="s">
        <v>112</v>
      </c>
      <c r="C3964" s="10" t="s">
        <v>23</v>
      </c>
      <c r="D3964" s="10" t="s">
        <v>954</v>
      </c>
      <c r="E3964" s="14">
        <v>0.33333</v>
      </c>
      <c r="F3964" s="15">
        <f>ROUND(1.75,3)</f>
        <v>1.75</v>
      </c>
      <c r="G3964" s="12">
        <f t="shared" si="638"/>
        <v>0.58</v>
      </c>
    </row>
    <row r="3965" ht="30.0" customHeight="1">
      <c r="A3965" s="10" t="s">
        <v>748</v>
      </c>
      <c r="B3965" s="10" t="s">
        <v>112</v>
      </c>
      <c r="C3965" s="10" t="s">
        <v>23</v>
      </c>
      <c r="D3965" s="10" t="s">
        <v>749</v>
      </c>
      <c r="E3965" s="14">
        <v>0.2</v>
      </c>
      <c r="F3965" s="15">
        <f>ROUND(3.74,3)</f>
        <v>3.74</v>
      </c>
      <c r="G3965" s="12">
        <f t="shared" si="638"/>
        <v>0.75</v>
      </c>
    </row>
    <row r="3966" ht="30.0" customHeight="1">
      <c r="A3966" s="10" t="s">
        <v>1378</v>
      </c>
      <c r="B3966" s="10" t="s">
        <v>42</v>
      </c>
      <c r="C3966" s="10" t="s">
        <v>330</v>
      </c>
      <c r="D3966" s="10" t="s">
        <v>1379</v>
      </c>
      <c r="E3966" s="14">
        <v>0.33</v>
      </c>
      <c r="F3966" s="15">
        <f>ROUND(6.14,3)</f>
        <v>6.14</v>
      </c>
      <c r="G3966" s="12">
        <f t="shared" si="638"/>
        <v>2.03</v>
      </c>
    </row>
    <row r="3967" ht="39.75" customHeight="1">
      <c r="A3967" s="10" t="s">
        <v>1340</v>
      </c>
      <c r="B3967" s="10" t="s">
        <v>42</v>
      </c>
      <c r="C3967" s="10" t="s">
        <v>1245</v>
      </c>
      <c r="D3967" s="10" t="s">
        <v>1341</v>
      </c>
      <c r="E3967" s="14">
        <v>0.22987</v>
      </c>
      <c r="F3967" s="15">
        <f>ROUND(7.37,3)</f>
        <v>7.37</v>
      </c>
      <c r="G3967" s="12">
        <f t="shared" si="638"/>
        <v>1.69</v>
      </c>
    </row>
    <row r="3968" ht="30.0" customHeight="1">
      <c r="A3968" s="10" t="s">
        <v>1770</v>
      </c>
      <c r="B3968" s="10" t="s">
        <v>42</v>
      </c>
      <c r="C3968" s="10" t="s">
        <v>344</v>
      </c>
      <c r="D3968" s="10" t="s">
        <v>1771</v>
      </c>
      <c r="E3968" s="14">
        <v>3.0</v>
      </c>
      <c r="F3968" s="15">
        <f>ROUND(4.96,3)</f>
        <v>4.96</v>
      </c>
      <c r="G3968" s="12">
        <f t="shared" si="638"/>
        <v>14.88</v>
      </c>
    </row>
    <row r="3969" ht="48.75" customHeight="1">
      <c r="A3969" s="10" t="s">
        <v>1276</v>
      </c>
      <c r="B3969" s="10" t="s">
        <v>42</v>
      </c>
      <c r="C3969" s="10" t="s">
        <v>43</v>
      </c>
      <c r="D3969" s="10" t="s">
        <v>1277</v>
      </c>
      <c r="E3969" s="14">
        <v>0.025</v>
      </c>
      <c r="F3969" s="15">
        <f>ROUND(45.57,3)</f>
        <v>45.57</v>
      </c>
      <c r="G3969" s="12">
        <f t="shared" si="638"/>
        <v>1.14</v>
      </c>
    </row>
    <row r="3970" ht="30.0" customHeight="1">
      <c r="A3970" s="10" t="s">
        <v>1225</v>
      </c>
      <c r="B3970" s="10" t="s">
        <v>42</v>
      </c>
      <c r="C3970" s="10" t="s">
        <v>184</v>
      </c>
      <c r="D3970" s="10" t="s">
        <v>1226</v>
      </c>
      <c r="E3970" s="14">
        <v>0.25</v>
      </c>
      <c r="F3970" s="15">
        <f>ROUND(17.45,3)</f>
        <v>17.45</v>
      </c>
      <c r="G3970" s="12">
        <f t="shared" si="638"/>
        <v>4.36</v>
      </c>
    </row>
    <row r="3971" ht="30.0" customHeight="1">
      <c r="A3971" s="10" t="s">
        <v>1227</v>
      </c>
      <c r="B3971" s="10" t="s">
        <v>42</v>
      </c>
      <c r="C3971" s="10" t="s">
        <v>226</v>
      </c>
      <c r="D3971" s="10" t="s">
        <v>1228</v>
      </c>
      <c r="E3971" s="14">
        <v>0.004</v>
      </c>
      <c r="F3971" s="15">
        <f>ROUND(27.5,3)</f>
        <v>27.5</v>
      </c>
      <c r="G3971" s="12">
        <f t="shared" si="638"/>
        <v>0.11</v>
      </c>
    </row>
    <row r="3972" ht="21.0" customHeight="1">
      <c r="A3972" s="10" t="s">
        <v>22</v>
      </c>
      <c r="B3972" s="10" t="s">
        <v>18</v>
      </c>
      <c r="C3972" s="10" t="s">
        <v>23</v>
      </c>
      <c r="D3972" s="10" t="s">
        <v>24</v>
      </c>
      <c r="E3972" s="14">
        <v>0.8</v>
      </c>
      <c r="F3972" s="15">
        <f>F3976</f>
        <v>43.8</v>
      </c>
      <c r="G3972" s="12">
        <f t="shared" si="638"/>
        <v>35.04</v>
      </c>
    </row>
    <row r="3973" ht="24.0" customHeight="1">
      <c r="A3973" s="10" t="s">
        <v>25</v>
      </c>
      <c r="B3973" s="10" t="s">
        <v>26</v>
      </c>
      <c r="C3973" s="10" t="s">
        <v>23</v>
      </c>
      <c r="D3973" s="10" t="s">
        <v>27</v>
      </c>
      <c r="E3973" s="14">
        <v>1.0</v>
      </c>
      <c r="F3973" s="15">
        <f>ROUND(21,3)</f>
        <v>21</v>
      </c>
      <c r="G3973" s="12">
        <f t="shared" si="638"/>
        <v>21</v>
      </c>
    </row>
    <row r="3974" ht="24.0" customHeight="1">
      <c r="A3974" s="10" t="s">
        <v>28</v>
      </c>
      <c r="B3974" s="10" t="s">
        <v>26</v>
      </c>
      <c r="C3974" s="10" t="s">
        <v>23</v>
      </c>
      <c r="D3974" s="10" t="s">
        <v>29</v>
      </c>
      <c r="E3974" s="14">
        <v>1.0</v>
      </c>
      <c r="F3974" s="15">
        <f t="shared" ref="F3974:F3975" si="639">ROUND(19,3)</f>
        <v>19</v>
      </c>
      <c r="G3974" s="12">
        <f t="shared" si="638"/>
        <v>19</v>
      </c>
    </row>
    <row r="3975" ht="24.0" customHeight="1">
      <c r="A3975" s="10" t="s">
        <v>30</v>
      </c>
      <c r="B3975" s="10" t="s">
        <v>26</v>
      </c>
      <c r="C3975" s="10" t="s">
        <v>23</v>
      </c>
      <c r="D3975" s="10" t="s">
        <v>31</v>
      </c>
      <c r="E3975" s="14">
        <v>0.2</v>
      </c>
      <c r="F3975" s="15">
        <f t="shared" si="639"/>
        <v>19</v>
      </c>
      <c r="G3975" s="12">
        <f t="shared" si="638"/>
        <v>3.8</v>
      </c>
    </row>
    <row r="3976" ht="15.0" customHeight="1">
      <c r="A3976" s="11"/>
      <c r="B3976" s="11"/>
      <c r="C3976" s="11"/>
      <c r="D3976" s="10" t="s">
        <v>22</v>
      </c>
      <c r="E3976" s="14">
        <v>0.8</v>
      </c>
      <c r="F3976" s="15">
        <f>ROUND((G3973+G3974+G3975),3)</f>
        <v>43.8</v>
      </c>
      <c r="G3976" s="12">
        <f t="shared" si="638"/>
        <v>35.04</v>
      </c>
    </row>
    <row r="3977" ht="15.0" customHeight="1">
      <c r="A3977" s="10" t="s">
        <v>32</v>
      </c>
      <c r="B3977" s="10"/>
      <c r="C3977" s="10" t="s">
        <v>33</v>
      </c>
      <c r="D3977" s="10" t="s">
        <v>34</v>
      </c>
      <c r="E3977" s="14">
        <v>5.0</v>
      </c>
      <c r="F3977" s="15">
        <f>ROUND(35.04,3)</f>
        <v>35.04</v>
      </c>
      <c r="G3977" s="12">
        <f>ROUND((E3977*F3977)/100,2)</f>
        <v>1.75</v>
      </c>
    </row>
    <row r="3978" ht="15.0" customHeight="1">
      <c r="A3978" s="16"/>
      <c r="B3978" s="16"/>
      <c r="C3978" s="16"/>
      <c r="D3978" s="17" t="s">
        <v>1815</v>
      </c>
      <c r="E3978" s="16"/>
      <c r="F3978" s="18">
        <f>ROUND((G3961+G3962+G3963+G3964+G3965+G3966+G3967+G3968+G3969+G3970+G3971+G3972+G3977)*(1+G2/100),2)</f>
        <v>64.92</v>
      </c>
      <c r="G3978" s="16"/>
    </row>
    <row r="3979" ht="57.75" customHeight="1">
      <c r="A3979" s="19" t="s">
        <v>1818</v>
      </c>
      <c r="B3979" s="20" t="s">
        <v>18</v>
      </c>
      <c r="C3979" s="20" t="s">
        <v>351</v>
      </c>
      <c r="D3979" s="20" t="s">
        <v>1819</v>
      </c>
      <c r="E3979" s="21"/>
      <c r="F3979" s="22">
        <f>F3998</f>
        <v>72.52</v>
      </c>
      <c r="G3979" s="21"/>
    </row>
    <row r="3980" ht="39.75" customHeight="1">
      <c r="A3980" s="11"/>
      <c r="B3980" s="11"/>
      <c r="C3980" s="11"/>
      <c r="D3980" s="10" t="s">
        <v>1820</v>
      </c>
    </row>
    <row r="3981" ht="30.0" customHeight="1">
      <c r="A3981" s="10" t="s">
        <v>971</v>
      </c>
      <c r="B3981" s="10" t="s">
        <v>42</v>
      </c>
      <c r="C3981" s="10" t="s">
        <v>231</v>
      </c>
      <c r="D3981" s="10" t="s">
        <v>972</v>
      </c>
      <c r="E3981" s="14">
        <v>0.2</v>
      </c>
      <c r="F3981" s="15">
        <f>ROUND(4.92,3)</f>
        <v>4.92</v>
      </c>
      <c r="G3981" s="12">
        <f t="shared" ref="G3981:G3996" si="640">ROUND(E3981*F3981,2)</f>
        <v>0.98</v>
      </c>
    </row>
    <row r="3982" ht="21.0" customHeight="1">
      <c r="A3982" s="10" t="s">
        <v>969</v>
      </c>
      <c r="B3982" s="10" t="s">
        <v>112</v>
      </c>
      <c r="C3982" s="10" t="s">
        <v>23</v>
      </c>
      <c r="D3982" s="10" t="s">
        <v>970</v>
      </c>
      <c r="E3982" s="14">
        <v>0.15</v>
      </c>
      <c r="F3982" s="15">
        <f>ROUND(2,3)</f>
        <v>2</v>
      </c>
      <c r="G3982" s="12">
        <f t="shared" si="640"/>
        <v>0.3</v>
      </c>
    </row>
    <row r="3983" ht="30.0" customHeight="1">
      <c r="A3983" s="10" t="s">
        <v>1793</v>
      </c>
      <c r="B3983" s="10" t="s">
        <v>42</v>
      </c>
      <c r="C3983" s="10" t="s">
        <v>956</v>
      </c>
      <c r="D3983" s="10" t="s">
        <v>1794</v>
      </c>
      <c r="E3983" s="14">
        <v>0.025</v>
      </c>
      <c r="F3983" s="15">
        <f>ROUND(8.81,3)</f>
        <v>8.81</v>
      </c>
      <c r="G3983" s="12">
        <f t="shared" si="640"/>
        <v>0.22</v>
      </c>
    </row>
    <row r="3984" ht="39.75" customHeight="1">
      <c r="A3984" s="10" t="s">
        <v>953</v>
      </c>
      <c r="B3984" s="10" t="s">
        <v>112</v>
      </c>
      <c r="C3984" s="10" t="s">
        <v>23</v>
      </c>
      <c r="D3984" s="10" t="s">
        <v>954</v>
      </c>
      <c r="E3984" s="14">
        <v>0.15</v>
      </c>
      <c r="F3984" s="15">
        <f>ROUND(1.75,3)</f>
        <v>1.75</v>
      </c>
      <c r="G3984" s="12">
        <f t="shared" si="640"/>
        <v>0.26</v>
      </c>
    </row>
    <row r="3985" ht="30.0" customHeight="1">
      <c r="A3985" s="10" t="s">
        <v>748</v>
      </c>
      <c r="B3985" s="10" t="s">
        <v>112</v>
      </c>
      <c r="C3985" s="10" t="s">
        <v>23</v>
      </c>
      <c r="D3985" s="10" t="s">
        <v>749</v>
      </c>
      <c r="E3985" s="14">
        <v>0.2</v>
      </c>
      <c r="F3985" s="15">
        <f>ROUND(3.74,3)</f>
        <v>3.74</v>
      </c>
      <c r="G3985" s="12">
        <f t="shared" si="640"/>
        <v>0.75</v>
      </c>
    </row>
    <row r="3986" ht="30.0" customHeight="1">
      <c r="A3986" s="10" t="s">
        <v>1378</v>
      </c>
      <c r="B3986" s="10" t="s">
        <v>42</v>
      </c>
      <c r="C3986" s="10" t="s">
        <v>330</v>
      </c>
      <c r="D3986" s="10" t="s">
        <v>1379</v>
      </c>
      <c r="E3986" s="14">
        <v>0.3</v>
      </c>
      <c r="F3986" s="15">
        <f>ROUND(6.14,3)</f>
        <v>6.14</v>
      </c>
      <c r="G3986" s="12">
        <f t="shared" si="640"/>
        <v>1.84</v>
      </c>
    </row>
    <row r="3987" ht="39.75" customHeight="1">
      <c r="A3987" s="10" t="s">
        <v>1340</v>
      </c>
      <c r="B3987" s="10" t="s">
        <v>42</v>
      </c>
      <c r="C3987" s="10" t="s">
        <v>1245</v>
      </c>
      <c r="D3987" s="10" t="s">
        <v>1341</v>
      </c>
      <c r="E3987" s="14">
        <v>0.22987</v>
      </c>
      <c r="F3987" s="15">
        <f>ROUND(7.37,3)</f>
        <v>7.37</v>
      </c>
      <c r="G3987" s="12">
        <f t="shared" si="640"/>
        <v>1.69</v>
      </c>
    </row>
    <row r="3988" ht="30.0" customHeight="1">
      <c r="A3988" s="10" t="s">
        <v>1770</v>
      </c>
      <c r="B3988" s="10" t="s">
        <v>42</v>
      </c>
      <c r="C3988" s="10" t="s">
        <v>344</v>
      </c>
      <c r="D3988" s="10" t="s">
        <v>1771</v>
      </c>
      <c r="E3988" s="14">
        <v>3.0</v>
      </c>
      <c r="F3988" s="15">
        <f>ROUND(4.96,3)</f>
        <v>4.96</v>
      </c>
      <c r="G3988" s="12">
        <f t="shared" si="640"/>
        <v>14.88</v>
      </c>
    </row>
    <row r="3989" ht="48.75" customHeight="1">
      <c r="A3989" s="10" t="s">
        <v>1276</v>
      </c>
      <c r="B3989" s="10" t="s">
        <v>42</v>
      </c>
      <c r="C3989" s="10" t="s">
        <v>43</v>
      </c>
      <c r="D3989" s="10" t="s">
        <v>1277</v>
      </c>
      <c r="E3989" s="14">
        <v>0.025</v>
      </c>
      <c r="F3989" s="15">
        <f>ROUND(45.57,3)</f>
        <v>45.57</v>
      </c>
      <c r="G3989" s="12">
        <f t="shared" si="640"/>
        <v>1.14</v>
      </c>
    </row>
    <row r="3990" ht="30.0" customHeight="1">
      <c r="A3990" s="10" t="s">
        <v>1225</v>
      </c>
      <c r="B3990" s="10" t="s">
        <v>42</v>
      </c>
      <c r="C3990" s="10" t="s">
        <v>184</v>
      </c>
      <c r="D3990" s="10" t="s">
        <v>1226</v>
      </c>
      <c r="E3990" s="14">
        <v>0.25</v>
      </c>
      <c r="F3990" s="15">
        <f>ROUND(17.45,3)</f>
        <v>17.45</v>
      </c>
      <c r="G3990" s="12">
        <f t="shared" si="640"/>
        <v>4.36</v>
      </c>
    </row>
    <row r="3991" ht="30.0" customHeight="1">
      <c r="A3991" s="10" t="s">
        <v>1227</v>
      </c>
      <c r="B3991" s="10" t="s">
        <v>42</v>
      </c>
      <c r="C3991" s="10" t="s">
        <v>226</v>
      </c>
      <c r="D3991" s="10" t="s">
        <v>1228</v>
      </c>
      <c r="E3991" s="14">
        <v>0.004</v>
      </c>
      <c r="F3991" s="15">
        <f>ROUND(27.5,3)</f>
        <v>27.5</v>
      </c>
      <c r="G3991" s="12">
        <f t="shared" si="640"/>
        <v>0.11</v>
      </c>
    </row>
    <row r="3992" ht="21.0" customHeight="1">
      <c r="A3992" s="10" t="s">
        <v>22</v>
      </c>
      <c r="B3992" s="10" t="s">
        <v>18</v>
      </c>
      <c r="C3992" s="10" t="s">
        <v>23</v>
      </c>
      <c r="D3992" s="10" t="s">
        <v>24</v>
      </c>
      <c r="E3992" s="14">
        <v>1.0</v>
      </c>
      <c r="F3992" s="15">
        <f>F3996</f>
        <v>43.8</v>
      </c>
      <c r="G3992" s="12">
        <f t="shared" si="640"/>
        <v>43.8</v>
      </c>
    </row>
    <row r="3993" ht="24.0" customHeight="1">
      <c r="A3993" s="10" t="s">
        <v>25</v>
      </c>
      <c r="B3993" s="10" t="s">
        <v>26</v>
      </c>
      <c r="C3993" s="10" t="s">
        <v>23</v>
      </c>
      <c r="D3993" s="10" t="s">
        <v>27</v>
      </c>
      <c r="E3993" s="14">
        <v>1.0</v>
      </c>
      <c r="F3993" s="15">
        <f>ROUND(21,3)</f>
        <v>21</v>
      </c>
      <c r="G3993" s="12">
        <f t="shared" si="640"/>
        <v>21</v>
      </c>
    </row>
    <row r="3994" ht="24.0" customHeight="1">
      <c r="A3994" s="10" t="s">
        <v>28</v>
      </c>
      <c r="B3994" s="10" t="s">
        <v>26</v>
      </c>
      <c r="C3994" s="10" t="s">
        <v>23</v>
      </c>
      <c r="D3994" s="10" t="s">
        <v>29</v>
      </c>
      <c r="E3994" s="14">
        <v>1.0</v>
      </c>
      <c r="F3994" s="15">
        <f t="shared" ref="F3994:F3995" si="641">ROUND(19,3)</f>
        <v>19</v>
      </c>
      <c r="G3994" s="12">
        <f t="shared" si="640"/>
        <v>19</v>
      </c>
    </row>
    <row r="3995" ht="24.0" customHeight="1">
      <c r="A3995" s="10" t="s">
        <v>30</v>
      </c>
      <c r="B3995" s="10" t="s">
        <v>26</v>
      </c>
      <c r="C3995" s="10" t="s">
        <v>23</v>
      </c>
      <c r="D3995" s="10" t="s">
        <v>31</v>
      </c>
      <c r="E3995" s="14">
        <v>0.2</v>
      </c>
      <c r="F3995" s="15">
        <f t="shared" si="641"/>
        <v>19</v>
      </c>
      <c r="G3995" s="12">
        <f t="shared" si="640"/>
        <v>3.8</v>
      </c>
    </row>
    <row r="3996" ht="15.0" customHeight="1">
      <c r="A3996" s="11"/>
      <c r="B3996" s="11"/>
      <c r="C3996" s="11"/>
      <c r="D3996" s="10" t="s">
        <v>22</v>
      </c>
      <c r="E3996" s="14">
        <v>1.0</v>
      </c>
      <c r="F3996" s="15">
        <f>ROUND((G3993+G3994+G3995),3)</f>
        <v>43.8</v>
      </c>
      <c r="G3996" s="12">
        <f t="shared" si="640"/>
        <v>43.8</v>
      </c>
    </row>
    <row r="3997" ht="15.0" customHeight="1">
      <c r="A3997" s="10" t="s">
        <v>32</v>
      </c>
      <c r="B3997" s="10"/>
      <c r="C3997" s="10" t="s">
        <v>33</v>
      </c>
      <c r="D3997" s="10" t="s">
        <v>34</v>
      </c>
      <c r="E3997" s="14">
        <v>5.0</v>
      </c>
      <c r="F3997" s="15">
        <f>ROUND(43.8,3)</f>
        <v>43.8</v>
      </c>
      <c r="G3997" s="12">
        <f>ROUND((E3997*F3997)/100,2)</f>
        <v>2.19</v>
      </c>
    </row>
    <row r="3998" ht="15.0" customHeight="1">
      <c r="A3998" s="16"/>
      <c r="B3998" s="16"/>
      <c r="C3998" s="16"/>
      <c r="D3998" s="17" t="s">
        <v>1818</v>
      </c>
      <c r="E3998" s="16"/>
      <c r="F3998" s="18">
        <f>ROUND((G3981+G3982+G3983+G3984+G3985+G3986+G3987+G3988+G3989+G3990+G3991+G3992+G3997)*(1+G2/100),2)</f>
        <v>72.52</v>
      </c>
      <c r="G3998" s="16"/>
    </row>
    <row r="3999" ht="67.5" customHeight="1">
      <c r="A3999" s="19" t="s">
        <v>1821</v>
      </c>
      <c r="B3999" s="20" t="s">
        <v>18</v>
      </c>
      <c r="C3999" s="20" t="s">
        <v>351</v>
      </c>
      <c r="D3999" s="20" t="s">
        <v>1822</v>
      </c>
      <c r="E3999" s="21"/>
      <c r="F3999" s="22">
        <f>F4017</f>
        <v>51.72</v>
      </c>
      <c r="G3999" s="21"/>
    </row>
    <row r="4000" ht="21.0" customHeight="1">
      <c r="A4000" s="11"/>
      <c r="B4000" s="11"/>
      <c r="C4000" s="11"/>
      <c r="D4000" s="10" t="s">
        <v>1823</v>
      </c>
    </row>
    <row r="4001" ht="30.0" customHeight="1">
      <c r="A4001" s="10" t="s">
        <v>971</v>
      </c>
      <c r="B4001" s="10" t="s">
        <v>42</v>
      </c>
      <c r="C4001" s="10" t="s">
        <v>231</v>
      </c>
      <c r="D4001" s="10" t="s">
        <v>972</v>
      </c>
      <c r="E4001" s="14">
        <v>0.3</v>
      </c>
      <c r="F4001" s="15">
        <f>ROUND(4.92,3)</f>
        <v>4.92</v>
      </c>
      <c r="G4001" s="12">
        <f t="shared" ref="G4001:G4015" si="642">ROUND(E4001*F4001,2)</f>
        <v>1.48</v>
      </c>
    </row>
    <row r="4002" ht="21.0" customHeight="1">
      <c r="A4002" s="10" t="s">
        <v>969</v>
      </c>
      <c r="B4002" s="10" t="s">
        <v>112</v>
      </c>
      <c r="C4002" s="10" t="s">
        <v>23</v>
      </c>
      <c r="D4002" s="10" t="s">
        <v>970</v>
      </c>
      <c r="E4002" s="14">
        <v>0.33333</v>
      </c>
      <c r="F4002" s="15">
        <f>ROUND(2,3)</f>
        <v>2</v>
      </c>
      <c r="G4002" s="12">
        <f t="shared" si="642"/>
        <v>0.67</v>
      </c>
    </row>
    <row r="4003" ht="30.0" customHeight="1">
      <c r="A4003" s="10" t="s">
        <v>1793</v>
      </c>
      <c r="B4003" s="10" t="s">
        <v>42</v>
      </c>
      <c r="C4003" s="10" t="s">
        <v>956</v>
      </c>
      <c r="D4003" s="10" t="s">
        <v>1794</v>
      </c>
      <c r="E4003" s="14">
        <v>0.05</v>
      </c>
      <c r="F4003" s="15">
        <f>ROUND(8.81,3)</f>
        <v>8.81</v>
      </c>
      <c r="G4003" s="12">
        <f t="shared" si="642"/>
        <v>0.44</v>
      </c>
    </row>
    <row r="4004" ht="39.75" customHeight="1">
      <c r="A4004" s="10" t="s">
        <v>953</v>
      </c>
      <c r="B4004" s="10" t="s">
        <v>112</v>
      </c>
      <c r="C4004" s="10" t="s">
        <v>23</v>
      </c>
      <c r="D4004" s="10" t="s">
        <v>954</v>
      </c>
      <c r="E4004" s="14">
        <v>0.33333</v>
      </c>
      <c r="F4004" s="15">
        <f>ROUND(1.75,3)</f>
        <v>1.75</v>
      </c>
      <c r="G4004" s="12">
        <f t="shared" si="642"/>
        <v>0.58</v>
      </c>
    </row>
    <row r="4005" ht="30.0" customHeight="1">
      <c r="A4005" s="10" t="s">
        <v>1824</v>
      </c>
      <c r="B4005" s="10" t="s">
        <v>42</v>
      </c>
      <c r="C4005" s="10" t="s">
        <v>1825</v>
      </c>
      <c r="D4005" s="10" t="s">
        <v>1826</v>
      </c>
      <c r="E4005" s="14">
        <v>0.1</v>
      </c>
      <c r="F4005" s="15">
        <f>ROUND(24.3,3)</f>
        <v>24.3</v>
      </c>
      <c r="G4005" s="12">
        <f t="shared" si="642"/>
        <v>2.43</v>
      </c>
    </row>
    <row r="4006" ht="48.75" customHeight="1">
      <c r="A4006" s="10" t="s">
        <v>1276</v>
      </c>
      <c r="B4006" s="10" t="s">
        <v>42</v>
      </c>
      <c r="C4006" s="10" t="s">
        <v>43</v>
      </c>
      <c r="D4006" s="10" t="s">
        <v>1277</v>
      </c>
      <c r="E4006" s="14">
        <v>0.025</v>
      </c>
      <c r="F4006" s="15">
        <f>ROUND(45.57,3)</f>
        <v>45.57</v>
      </c>
      <c r="G4006" s="12">
        <f t="shared" si="642"/>
        <v>1.14</v>
      </c>
    </row>
    <row r="4007" ht="30.0" customHeight="1">
      <c r="A4007" s="10" t="s">
        <v>1378</v>
      </c>
      <c r="B4007" s="10" t="s">
        <v>42</v>
      </c>
      <c r="C4007" s="10" t="s">
        <v>330</v>
      </c>
      <c r="D4007" s="10" t="s">
        <v>1379</v>
      </c>
      <c r="E4007" s="14">
        <v>0.33</v>
      </c>
      <c r="F4007" s="15">
        <f>ROUND(6.14,3)</f>
        <v>6.14</v>
      </c>
      <c r="G4007" s="12">
        <f t="shared" si="642"/>
        <v>2.03</v>
      </c>
    </row>
    <row r="4008" ht="39.75" customHeight="1">
      <c r="A4008" s="10" t="s">
        <v>1340</v>
      </c>
      <c r="B4008" s="10" t="s">
        <v>42</v>
      </c>
      <c r="C4008" s="10" t="s">
        <v>1245</v>
      </c>
      <c r="D4008" s="10" t="s">
        <v>1341</v>
      </c>
      <c r="E4008" s="14">
        <v>0.22987</v>
      </c>
      <c r="F4008" s="15">
        <f>ROUND(7.37,3)</f>
        <v>7.37</v>
      </c>
      <c r="G4008" s="12">
        <f t="shared" si="642"/>
        <v>1.69</v>
      </c>
    </row>
    <row r="4009" ht="30.0" customHeight="1">
      <c r="A4009" s="10" t="s">
        <v>1225</v>
      </c>
      <c r="B4009" s="10" t="s">
        <v>42</v>
      </c>
      <c r="C4009" s="10" t="s">
        <v>184</v>
      </c>
      <c r="D4009" s="10" t="s">
        <v>1226</v>
      </c>
      <c r="E4009" s="14">
        <v>0.25</v>
      </c>
      <c r="F4009" s="15">
        <f>ROUND(17.45,3)</f>
        <v>17.45</v>
      </c>
      <c r="G4009" s="12">
        <f t="shared" si="642"/>
        <v>4.36</v>
      </c>
    </row>
    <row r="4010" ht="30.0" customHeight="1">
      <c r="A4010" s="10" t="s">
        <v>1227</v>
      </c>
      <c r="B4010" s="10" t="s">
        <v>42</v>
      </c>
      <c r="C4010" s="10" t="s">
        <v>226</v>
      </c>
      <c r="D4010" s="10" t="s">
        <v>1228</v>
      </c>
      <c r="E4010" s="14">
        <v>0.004</v>
      </c>
      <c r="F4010" s="15">
        <f>ROUND(27.5,3)</f>
        <v>27.5</v>
      </c>
      <c r="G4010" s="12">
        <f t="shared" si="642"/>
        <v>0.11</v>
      </c>
    </row>
    <row r="4011" ht="21.0" customHeight="1">
      <c r="A4011" s="10" t="s">
        <v>22</v>
      </c>
      <c r="B4011" s="10" t="s">
        <v>18</v>
      </c>
      <c r="C4011" s="10" t="s">
        <v>23</v>
      </c>
      <c r="D4011" s="10" t="s">
        <v>24</v>
      </c>
      <c r="E4011" s="14">
        <v>0.8</v>
      </c>
      <c r="F4011" s="15">
        <f>F4015</f>
        <v>43.8</v>
      </c>
      <c r="G4011" s="12">
        <f t="shared" si="642"/>
        <v>35.04</v>
      </c>
    </row>
    <row r="4012" ht="24.0" customHeight="1">
      <c r="A4012" s="10" t="s">
        <v>25</v>
      </c>
      <c r="B4012" s="10" t="s">
        <v>26</v>
      </c>
      <c r="C4012" s="10" t="s">
        <v>23</v>
      </c>
      <c r="D4012" s="10" t="s">
        <v>27</v>
      </c>
      <c r="E4012" s="14">
        <v>1.0</v>
      </c>
      <c r="F4012" s="15">
        <f>ROUND(21,3)</f>
        <v>21</v>
      </c>
      <c r="G4012" s="12">
        <f t="shared" si="642"/>
        <v>21</v>
      </c>
    </row>
    <row r="4013" ht="24.0" customHeight="1">
      <c r="A4013" s="10" t="s">
        <v>28</v>
      </c>
      <c r="B4013" s="10" t="s">
        <v>26</v>
      </c>
      <c r="C4013" s="10" t="s">
        <v>23</v>
      </c>
      <c r="D4013" s="10" t="s">
        <v>29</v>
      </c>
      <c r="E4013" s="14">
        <v>1.0</v>
      </c>
      <c r="F4013" s="15">
        <f t="shared" ref="F4013:F4014" si="643">ROUND(19,3)</f>
        <v>19</v>
      </c>
      <c r="G4013" s="12">
        <f t="shared" si="642"/>
        <v>19</v>
      </c>
    </row>
    <row r="4014" ht="24.0" customHeight="1">
      <c r="A4014" s="10" t="s">
        <v>30</v>
      </c>
      <c r="B4014" s="10" t="s">
        <v>26</v>
      </c>
      <c r="C4014" s="10" t="s">
        <v>23</v>
      </c>
      <c r="D4014" s="10" t="s">
        <v>31</v>
      </c>
      <c r="E4014" s="14">
        <v>0.2</v>
      </c>
      <c r="F4014" s="15">
        <f t="shared" si="643"/>
        <v>19</v>
      </c>
      <c r="G4014" s="12">
        <f t="shared" si="642"/>
        <v>3.8</v>
      </c>
    </row>
    <row r="4015" ht="15.0" customHeight="1">
      <c r="A4015" s="11"/>
      <c r="B4015" s="11"/>
      <c r="C4015" s="11"/>
      <c r="D4015" s="10" t="s">
        <v>22</v>
      </c>
      <c r="E4015" s="14">
        <v>0.8</v>
      </c>
      <c r="F4015" s="15">
        <f>ROUND((G4012+G4013+G4014),3)</f>
        <v>43.8</v>
      </c>
      <c r="G4015" s="12">
        <f t="shared" si="642"/>
        <v>35.04</v>
      </c>
    </row>
    <row r="4016" ht="15.0" customHeight="1">
      <c r="A4016" s="10" t="s">
        <v>32</v>
      </c>
      <c r="B4016" s="10"/>
      <c r="C4016" s="10" t="s">
        <v>33</v>
      </c>
      <c r="D4016" s="10" t="s">
        <v>34</v>
      </c>
      <c r="E4016" s="14">
        <v>5.0</v>
      </c>
      <c r="F4016" s="15">
        <f>ROUND(35.04,3)</f>
        <v>35.04</v>
      </c>
      <c r="G4016" s="12">
        <f>ROUND((E4016*F4016)/100,2)</f>
        <v>1.75</v>
      </c>
    </row>
    <row r="4017" ht="15.0" customHeight="1">
      <c r="A4017" s="16"/>
      <c r="B4017" s="16"/>
      <c r="C4017" s="16"/>
      <c r="D4017" s="17" t="s">
        <v>1821</v>
      </c>
      <c r="E4017" s="16"/>
      <c r="F4017" s="18">
        <f>ROUND((G4001+G4002+G4003+G4004+G4005+G4006+G4007+G4008+G4009+G4010+G4011+G4016)*(1+G2/100),2)</f>
        <v>51.72</v>
      </c>
      <c r="G4017" s="16"/>
    </row>
    <row r="4018" ht="57.75" customHeight="1">
      <c r="A4018" s="19" t="s">
        <v>1827</v>
      </c>
      <c r="B4018" s="20" t="s">
        <v>18</v>
      </c>
      <c r="C4018" s="20" t="s">
        <v>351</v>
      </c>
      <c r="D4018" s="20" t="s">
        <v>1828</v>
      </c>
      <c r="E4018" s="21"/>
      <c r="F4018" s="22">
        <f>F4042</f>
        <v>54.47</v>
      </c>
      <c r="G4018" s="21"/>
    </row>
    <row r="4019" ht="39.75" customHeight="1">
      <c r="A4019" s="11"/>
      <c r="B4019" s="11"/>
      <c r="C4019" s="11"/>
      <c r="D4019" s="10" t="s">
        <v>1829</v>
      </c>
    </row>
    <row r="4020" ht="30.0" customHeight="1">
      <c r="A4020" s="10" t="s">
        <v>971</v>
      </c>
      <c r="B4020" s="10" t="s">
        <v>42</v>
      </c>
      <c r="C4020" s="10" t="s">
        <v>231</v>
      </c>
      <c r="D4020" s="10" t="s">
        <v>972</v>
      </c>
      <c r="E4020" s="14">
        <v>0.2</v>
      </c>
      <c r="F4020" s="15">
        <f>ROUND(4.92,3)</f>
        <v>4.92</v>
      </c>
      <c r="G4020" s="12">
        <f t="shared" ref="G4020:G4030" si="644">ROUND(E4020*F4020,2)</f>
        <v>0.98</v>
      </c>
    </row>
    <row r="4021" ht="21.0" customHeight="1">
      <c r="A4021" s="10" t="s">
        <v>969</v>
      </c>
      <c r="B4021" s="10" t="s">
        <v>112</v>
      </c>
      <c r="C4021" s="10" t="s">
        <v>23</v>
      </c>
      <c r="D4021" s="10" t="s">
        <v>970</v>
      </c>
      <c r="E4021" s="14">
        <v>0.15</v>
      </c>
      <c r="F4021" s="15">
        <f>ROUND(2,3)</f>
        <v>2</v>
      </c>
      <c r="G4021" s="12">
        <f t="shared" si="644"/>
        <v>0.3</v>
      </c>
    </row>
    <row r="4022" ht="30.0" customHeight="1">
      <c r="A4022" s="10" t="s">
        <v>1793</v>
      </c>
      <c r="B4022" s="10" t="s">
        <v>42</v>
      </c>
      <c r="C4022" s="10" t="s">
        <v>956</v>
      </c>
      <c r="D4022" s="10" t="s">
        <v>1794</v>
      </c>
      <c r="E4022" s="14">
        <v>0.025</v>
      </c>
      <c r="F4022" s="15">
        <f>ROUND(8.81,3)</f>
        <v>8.81</v>
      </c>
      <c r="G4022" s="12">
        <f t="shared" si="644"/>
        <v>0.22</v>
      </c>
    </row>
    <row r="4023" ht="39.75" customHeight="1">
      <c r="A4023" s="10" t="s">
        <v>953</v>
      </c>
      <c r="B4023" s="10" t="s">
        <v>112</v>
      </c>
      <c r="C4023" s="10" t="s">
        <v>23</v>
      </c>
      <c r="D4023" s="10" t="s">
        <v>954</v>
      </c>
      <c r="E4023" s="14">
        <v>0.15</v>
      </c>
      <c r="F4023" s="15">
        <f>ROUND(1.75,3)</f>
        <v>1.75</v>
      </c>
      <c r="G4023" s="12">
        <f t="shared" si="644"/>
        <v>0.26</v>
      </c>
    </row>
    <row r="4024" ht="30.0" customHeight="1">
      <c r="A4024" s="10" t="s">
        <v>748</v>
      </c>
      <c r="B4024" s="10" t="s">
        <v>112</v>
      </c>
      <c r="C4024" s="10" t="s">
        <v>23</v>
      </c>
      <c r="D4024" s="10" t="s">
        <v>749</v>
      </c>
      <c r="E4024" s="14">
        <v>0.2</v>
      </c>
      <c r="F4024" s="15">
        <f>ROUND(3.74,3)</f>
        <v>3.74</v>
      </c>
      <c r="G4024" s="12">
        <f t="shared" si="644"/>
        <v>0.75</v>
      </c>
    </row>
    <row r="4025" ht="30.0" customHeight="1">
      <c r="A4025" s="10" t="s">
        <v>1378</v>
      </c>
      <c r="B4025" s="10" t="s">
        <v>42</v>
      </c>
      <c r="C4025" s="10" t="s">
        <v>330</v>
      </c>
      <c r="D4025" s="10" t="s">
        <v>1379</v>
      </c>
      <c r="E4025" s="14">
        <v>0.3</v>
      </c>
      <c r="F4025" s="15">
        <f>ROUND(6.14,3)</f>
        <v>6.14</v>
      </c>
      <c r="G4025" s="12">
        <f t="shared" si="644"/>
        <v>1.84</v>
      </c>
    </row>
    <row r="4026" ht="39.75" customHeight="1">
      <c r="A4026" s="10" t="s">
        <v>1340</v>
      </c>
      <c r="B4026" s="10" t="s">
        <v>42</v>
      </c>
      <c r="C4026" s="10" t="s">
        <v>1245</v>
      </c>
      <c r="D4026" s="10" t="s">
        <v>1341</v>
      </c>
      <c r="E4026" s="14">
        <v>0.22987</v>
      </c>
      <c r="F4026" s="15">
        <f>ROUND(7.37,3)</f>
        <v>7.37</v>
      </c>
      <c r="G4026" s="12">
        <f t="shared" si="644"/>
        <v>1.69</v>
      </c>
    </row>
    <row r="4027" ht="39.75" customHeight="1">
      <c r="A4027" s="10" t="s">
        <v>1830</v>
      </c>
      <c r="B4027" s="10" t="s">
        <v>18</v>
      </c>
      <c r="C4027" s="10" t="s">
        <v>344</v>
      </c>
      <c r="D4027" s="10" t="s">
        <v>1831</v>
      </c>
      <c r="E4027" s="14">
        <v>3.0</v>
      </c>
      <c r="F4027" s="15">
        <f>F4032</f>
        <v>2.01</v>
      </c>
      <c r="G4027" s="12">
        <f t="shared" si="644"/>
        <v>6.03</v>
      </c>
    </row>
    <row r="4028" ht="21.0" customHeight="1">
      <c r="A4028" s="10" t="s">
        <v>1239</v>
      </c>
      <c r="B4028" s="10" t="s">
        <v>42</v>
      </c>
      <c r="C4028" s="10" t="s">
        <v>344</v>
      </c>
      <c r="D4028" s="10" t="s">
        <v>1240</v>
      </c>
      <c r="E4028" s="14">
        <v>0.2</v>
      </c>
      <c r="F4028" s="15">
        <f>ROUND(3.54,3)</f>
        <v>3.54</v>
      </c>
      <c r="G4028" s="12">
        <f t="shared" si="644"/>
        <v>0.71</v>
      </c>
    </row>
    <row r="4029" ht="24.0" customHeight="1">
      <c r="A4029" s="10" t="s">
        <v>1832</v>
      </c>
      <c r="B4029" s="10" t="s">
        <v>112</v>
      </c>
      <c r="C4029" s="10" t="s">
        <v>23</v>
      </c>
      <c r="D4029" s="10" t="s">
        <v>1833</v>
      </c>
      <c r="E4029" s="14">
        <v>0.05333</v>
      </c>
      <c r="F4029" s="15">
        <f>ROUND(4.88,3)</f>
        <v>4.88</v>
      </c>
      <c r="G4029" s="12">
        <f t="shared" si="644"/>
        <v>0.26</v>
      </c>
    </row>
    <row r="4030" ht="24.0" customHeight="1">
      <c r="A4030" s="10" t="s">
        <v>28</v>
      </c>
      <c r="B4030" s="10" t="s">
        <v>26</v>
      </c>
      <c r="C4030" s="10" t="s">
        <v>23</v>
      </c>
      <c r="D4030" s="10" t="s">
        <v>29</v>
      </c>
      <c r="E4030" s="14">
        <v>0.05333</v>
      </c>
      <c r="F4030" s="15">
        <f>ROUND(19,3)</f>
        <v>19</v>
      </c>
      <c r="G4030" s="12">
        <f t="shared" si="644"/>
        <v>1.01</v>
      </c>
    </row>
    <row r="4031" ht="15.0" customHeight="1">
      <c r="A4031" s="10" t="s">
        <v>32</v>
      </c>
      <c r="B4031" s="10"/>
      <c r="C4031" s="10" t="s">
        <v>33</v>
      </c>
      <c r="D4031" s="10" t="s">
        <v>34</v>
      </c>
      <c r="E4031" s="14">
        <v>3.0</v>
      </c>
      <c r="F4031" s="15">
        <f>ROUND(1.01,3)</f>
        <v>1.01</v>
      </c>
      <c r="G4031" s="12">
        <f>ROUND((E4031*F4031)/100,2)</f>
        <v>0.03</v>
      </c>
    </row>
    <row r="4032" ht="15.0" customHeight="1">
      <c r="A4032" s="11"/>
      <c r="B4032" s="11"/>
      <c r="C4032" s="11"/>
      <c r="D4032" s="10" t="s">
        <v>1830</v>
      </c>
      <c r="E4032" s="14">
        <v>3.0</v>
      </c>
      <c r="F4032" s="15">
        <f>ROUND((G4028+G4029+G4030+G4031),3)</f>
        <v>2.01</v>
      </c>
      <c r="G4032" s="12">
        <f t="shared" ref="G4032:G4040" si="645">ROUND(E4032*F4032,2)</f>
        <v>6.03</v>
      </c>
    </row>
    <row r="4033" ht="48.75" customHeight="1">
      <c r="A4033" s="10" t="s">
        <v>1276</v>
      </c>
      <c r="B4033" s="10" t="s">
        <v>42</v>
      </c>
      <c r="C4033" s="10" t="s">
        <v>43</v>
      </c>
      <c r="D4033" s="10" t="s">
        <v>1277</v>
      </c>
      <c r="E4033" s="14">
        <v>0.025</v>
      </c>
      <c r="F4033" s="15">
        <f>ROUND(45.57,3)</f>
        <v>45.57</v>
      </c>
      <c r="G4033" s="12">
        <f t="shared" si="645"/>
        <v>1.14</v>
      </c>
    </row>
    <row r="4034" ht="30.0" customHeight="1">
      <c r="A4034" s="10" t="s">
        <v>1225</v>
      </c>
      <c r="B4034" s="10" t="s">
        <v>42</v>
      </c>
      <c r="C4034" s="10" t="s">
        <v>184</v>
      </c>
      <c r="D4034" s="10" t="s">
        <v>1226</v>
      </c>
      <c r="E4034" s="14">
        <v>0.25</v>
      </c>
      <c r="F4034" s="15">
        <f>ROUND(17.45,3)</f>
        <v>17.45</v>
      </c>
      <c r="G4034" s="12">
        <f t="shared" si="645"/>
        <v>4.36</v>
      </c>
    </row>
    <row r="4035" ht="30.0" customHeight="1">
      <c r="A4035" s="10" t="s">
        <v>1227</v>
      </c>
      <c r="B4035" s="10" t="s">
        <v>42</v>
      </c>
      <c r="C4035" s="10" t="s">
        <v>226</v>
      </c>
      <c r="D4035" s="10" t="s">
        <v>1228</v>
      </c>
      <c r="E4035" s="14">
        <v>0.004</v>
      </c>
      <c r="F4035" s="15">
        <f>ROUND(27.5,3)</f>
        <v>27.5</v>
      </c>
      <c r="G4035" s="12">
        <f t="shared" si="645"/>
        <v>0.11</v>
      </c>
    </row>
    <row r="4036" ht="21.0" customHeight="1">
      <c r="A4036" s="10" t="s">
        <v>22</v>
      </c>
      <c r="B4036" s="10" t="s">
        <v>18</v>
      </c>
      <c r="C4036" s="10" t="s">
        <v>23</v>
      </c>
      <c r="D4036" s="10" t="s">
        <v>24</v>
      </c>
      <c r="E4036" s="14">
        <v>0.8</v>
      </c>
      <c r="F4036" s="15">
        <f>F4040</f>
        <v>43.8</v>
      </c>
      <c r="G4036" s="12">
        <f t="shared" si="645"/>
        <v>35.04</v>
      </c>
    </row>
    <row r="4037" ht="24.0" customHeight="1">
      <c r="A4037" s="10" t="s">
        <v>25</v>
      </c>
      <c r="B4037" s="10" t="s">
        <v>26</v>
      </c>
      <c r="C4037" s="10" t="s">
        <v>23</v>
      </c>
      <c r="D4037" s="10" t="s">
        <v>27</v>
      </c>
      <c r="E4037" s="14">
        <v>1.0</v>
      </c>
      <c r="F4037" s="15">
        <f>ROUND(21,3)</f>
        <v>21</v>
      </c>
      <c r="G4037" s="12">
        <f t="shared" si="645"/>
        <v>21</v>
      </c>
    </row>
    <row r="4038" ht="24.0" customHeight="1">
      <c r="A4038" s="10" t="s">
        <v>28</v>
      </c>
      <c r="B4038" s="10" t="s">
        <v>26</v>
      </c>
      <c r="C4038" s="10" t="s">
        <v>23</v>
      </c>
      <c r="D4038" s="10" t="s">
        <v>29</v>
      </c>
      <c r="E4038" s="14">
        <v>1.0</v>
      </c>
      <c r="F4038" s="15">
        <f t="shared" ref="F4038:F4039" si="646">ROUND(19,3)</f>
        <v>19</v>
      </c>
      <c r="G4038" s="12">
        <f t="shared" si="645"/>
        <v>19</v>
      </c>
    </row>
    <row r="4039" ht="24.0" customHeight="1">
      <c r="A4039" s="10" t="s">
        <v>30</v>
      </c>
      <c r="B4039" s="10" t="s">
        <v>26</v>
      </c>
      <c r="C4039" s="10" t="s">
        <v>23</v>
      </c>
      <c r="D4039" s="10" t="s">
        <v>31</v>
      </c>
      <c r="E4039" s="14">
        <v>0.2</v>
      </c>
      <c r="F4039" s="15">
        <f t="shared" si="646"/>
        <v>19</v>
      </c>
      <c r="G4039" s="12">
        <f t="shared" si="645"/>
        <v>3.8</v>
      </c>
    </row>
    <row r="4040" ht="15.0" customHeight="1">
      <c r="A4040" s="11"/>
      <c r="B4040" s="11"/>
      <c r="C4040" s="11"/>
      <c r="D4040" s="10" t="s">
        <v>22</v>
      </c>
      <c r="E4040" s="14">
        <v>0.8</v>
      </c>
      <c r="F4040" s="15">
        <f>ROUND((G4037+G4038+G4039),3)</f>
        <v>43.8</v>
      </c>
      <c r="G4040" s="12">
        <f t="shared" si="645"/>
        <v>35.04</v>
      </c>
    </row>
    <row r="4041" ht="15.0" customHeight="1">
      <c r="A4041" s="10" t="s">
        <v>32</v>
      </c>
      <c r="B4041" s="10"/>
      <c r="C4041" s="10" t="s">
        <v>33</v>
      </c>
      <c r="D4041" s="10" t="s">
        <v>34</v>
      </c>
      <c r="E4041" s="14">
        <v>5.0</v>
      </c>
      <c r="F4041" s="15">
        <f>ROUND(35.04,3)</f>
        <v>35.04</v>
      </c>
      <c r="G4041" s="12">
        <f>ROUND((E4041*F4041)/100,2)</f>
        <v>1.75</v>
      </c>
    </row>
    <row r="4042" ht="15.0" customHeight="1">
      <c r="A4042" s="16"/>
      <c r="B4042" s="16"/>
      <c r="C4042" s="16"/>
      <c r="D4042" s="17" t="s">
        <v>1827</v>
      </c>
      <c r="E4042" s="16"/>
      <c r="F4042" s="18">
        <f>ROUND((G4020+G4021+G4022+G4023+G4024+G4025+G4026+G4027+G4033+G4034+G4035+G4036+G4041)*(1+G2/100),2)</f>
        <v>54.47</v>
      </c>
      <c r="G4042" s="16"/>
    </row>
    <row r="4043" ht="57.75" customHeight="1">
      <c r="A4043" s="19" t="s">
        <v>1834</v>
      </c>
      <c r="B4043" s="20" t="s">
        <v>18</v>
      </c>
      <c r="C4043" s="20" t="s">
        <v>351</v>
      </c>
      <c r="D4043" s="20" t="s">
        <v>1828</v>
      </c>
      <c r="E4043" s="21"/>
      <c r="F4043" s="22">
        <f>F4067</f>
        <v>48.34</v>
      </c>
      <c r="G4043" s="21"/>
    </row>
    <row r="4044" ht="39.75" customHeight="1">
      <c r="A4044" s="11"/>
      <c r="B4044" s="11"/>
      <c r="C4044" s="11"/>
      <c r="D4044" s="10" t="s">
        <v>1835</v>
      </c>
    </row>
    <row r="4045" ht="30.0" customHeight="1">
      <c r="A4045" s="10" t="s">
        <v>971</v>
      </c>
      <c r="B4045" s="10" t="s">
        <v>42</v>
      </c>
      <c r="C4045" s="10" t="s">
        <v>231</v>
      </c>
      <c r="D4045" s="10" t="s">
        <v>972</v>
      </c>
      <c r="E4045" s="14">
        <v>0.2</v>
      </c>
      <c r="F4045" s="15">
        <f>ROUND(4.92,3)</f>
        <v>4.92</v>
      </c>
      <c r="G4045" s="12">
        <f t="shared" ref="G4045:G4055" si="647">ROUND(E4045*F4045,2)</f>
        <v>0.98</v>
      </c>
    </row>
    <row r="4046" ht="21.0" customHeight="1">
      <c r="A4046" s="10" t="s">
        <v>969</v>
      </c>
      <c r="B4046" s="10" t="s">
        <v>112</v>
      </c>
      <c r="C4046" s="10" t="s">
        <v>23</v>
      </c>
      <c r="D4046" s="10" t="s">
        <v>970</v>
      </c>
      <c r="E4046" s="14">
        <v>0.15</v>
      </c>
      <c r="F4046" s="15">
        <f>ROUND(2,3)</f>
        <v>2</v>
      </c>
      <c r="G4046" s="12">
        <f t="shared" si="647"/>
        <v>0.3</v>
      </c>
    </row>
    <row r="4047" ht="30.0" customHeight="1">
      <c r="A4047" s="10" t="s">
        <v>1793</v>
      </c>
      <c r="B4047" s="10" t="s">
        <v>42</v>
      </c>
      <c r="C4047" s="10" t="s">
        <v>956</v>
      </c>
      <c r="D4047" s="10" t="s">
        <v>1794</v>
      </c>
      <c r="E4047" s="14">
        <v>0.025</v>
      </c>
      <c r="F4047" s="15">
        <f>ROUND(8.81,3)</f>
        <v>8.81</v>
      </c>
      <c r="G4047" s="12">
        <f t="shared" si="647"/>
        <v>0.22</v>
      </c>
    </row>
    <row r="4048" ht="39.75" customHeight="1">
      <c r="A4048" s="10" t="s">
        <v>953</v>
      </c>
      <c r="B4048" s="10" t="s">
        <v>112</v>
      </c>
      <c r="C4048" s="10" t="s">
        <v>23</v>
      </c>
      <c r="D4048" s="10" t="s">
        <v>954</v>
      </c>
      <c r="E4048" s="14">
        <v>0.15</v>
      </c>
      <c r="F4048" s="15">
        <f>ROUND(1.75,3)</f>
        <v>1.75</v>
      </c>
      <c r="G4048" s="12">
        <f t="shared" si="647"/>
        <v>0.26</v>
      </c>
    </row>
    <row r="4049" ht="30.0" customHeight="1">
      <c r="A4049" s="10" t="s">
        <v>748</v>
      </c>
      <c r="B4049" s="10" t="s">
        <v>112</v>
      </c>
      <c r="C4049" s="10" t="s">
        <v>23</v>
      </c>
      <c r="D4049" s="10" t="s">
        <v>749</v>
      </c>
      <c r="E4049" s="14">
        <v>0.2</v>
      </c>
      <c r="F4049" s="15">
        <f>ROUND(3.74,3)</f>
        <v>3.74</v>
      </c>
      <c r="G4049" s="12">
        <f t="shared" si="647"/>
        <v>0.75</v>
      </c>
    </row>
    <row r="4050" ht="30.0" customHeight="1">
      <c r="A4050" s="10" t="s">
        <v>1378</v>
      </c>
      <c r="B4050" s="10" t="s">
        <v>42</v>
      </c>
      <c r="C4050" s="10" t="s">
        <v>330</v>
      </c>
      <c r="D4050" s="10" t="s">
        <v>1379</v>
      </c>
      <c r="E4050" s="14">
        <v>0.3</v>
      </c>
      <c r="F4050" s="15">
        <f>ROUND(6.14,3)</f>
        <v>6.14</v>
      </c>
      <c r="G4050" s="12">
        <f t="shared" si="647"/>
        <v>1.84</v>
      </c>
    </row>
    <row r="4051" ht="39.75" customHeight="1">
      <c r="A4051" s="10" t="s">
        <v>1340</v>
      </c>
      <c r="B4051" s="10" t="s">
        <v>42</v>
      </c>
      <c r="C4051" s="10" t="s">
        <v>1245</v>
      </c>
      <c r="D4051" s="10" t="s">
        <v>1341</v>
      </c>
      <c r="E4051" s="14">
        <v>0.22987</v>
      </c>
      <c r="F4051" s="15">
        <f>ROUND(7.37,3)</f>
        <v>7.37</v>
      </c>
      <c r="G4051" s="12">
        <f t="shared" si="647"/>
        <v>1.69</v>
      </c>
    </row>
    <row r="4052" ht="39.75" customHeight="1">
      <c r="A4052" s="10" t="s">
        <v>1830</v>
      </c>
      <c r="B4052" s="10" t="s">
        <v>18</v>
      </c>
      <c r="C4052" s="10" t="s">
        <v>344</v>
      </c>
      <c r="D4052" s="10" t="s">
        <v>1831</v>
      </c>
      <c r="E4052" s="14">
        <v>3.0</v>
      </c>
      <c r="F4052" s="15">
        <f>F4057</f>
        <v>2.01</v>
      </c>
      <c r="G4052" s="12">
        <f t="shared" si="647"/>
        <v>6.03</v>
      </c>
    </row>
    <row r="4053" ht="21.0" customHeight="1">
      <c r="A4053" s="10" t="s">
        <v>1239</v>
      </c>
      <c r="B4053" s="10" t="s">
        <v>42</v>
      </c>
      <c r="C4053" s="10" t="s">
        <v>344</v>
      </c>
      <c r="D4053" s="10" t="s">
        <v>1240</v>
      </c>
      <c r="E4053" s="14">
        <v>0.2</v>
      </c>
      <c r="F4053" s="15">
        <f>ROUND(3.54,3)</f>
        <v>3.54</v>
      </c>
      <c r="G4053" s="12">
        <f t="shared" si="647"/>
        <v>0.71</v>
      </c>
    </row>
    <row r="4054" ht="24.0" customHeight="1">
      <c r="A4054" s="10" t="s">
        <v>1832</v>
      </c>
      <c r="B4054" s="10" t="s">
        <v>112</v>
      </c>
      <c r="C4054" s="10" t="s">
        <v>23</v>
      </c>
      <c r="D4054" s="10" t="s">
        <v>1833</v>
      </c>
      <c r="E4054" s="14">
        <v>0.05333</v>
      </c>
      <c r="F4054" s="15">
        <f>ROUND(4.88,3)</f>
        <v>4.88</v>
      </c>
      <c r="G4054" s="12">
        <f t="shared" si="647"/>
        <v>0.26</v>
      </c>
    </row>
    <row r="4055" ht="24.0" customHeight="1">
      <c r="A4055" s="10" t="s">
        <v>28</v>
      </c>
      <c r="B4055" s="10" t="s">
        <v>26</v>
      </c>
      <c r="C4055" s="10" t="s">
        <v>23</v>
      </c>
      <c r="D4055" s="10" t="s">
        <v>29</v>
      </c>
      <c r="E4055" s="14">
        <v>0.05333</v>
      </c>
      <c r="F4055" s="15">
        <f>ROUND(19,3)</f>
        <v>19</v>
      </c>
      <c r="G4055" s="12">
        <f t="shared" si="647"/>
        <v>1.01</v>
      </c>
    </row>
    <row r="4056" ht="15.0" customHeight="1">
      <c r="A4056" s="10" t="s">
        <v>32</v>
      </c>
      <c r="B4056" s="10"/>
      <c r="C4056" s="10" t="s">
        <v>33</v>
      </c>
      <c r="D4056" s="10" t="s">
        <v>34</v>
      </c>
      <c r="E4056" s="14">
        <v>3.0</v>
      </c>
      <c r="F4056" s="15">
        <f>ROUND(1.01,3)</f>
        <v>1.01</v>
      </c>
      <c r="G4056" s="12">
        <f>ROUND((E4056*F4056)/100,2)</f>
        <v>0.03</v>
      </c>
    </row>
    <row r="4057" ht="15.0" customHeight="1">
      <c r="A4057" s="11"/>
      <c r="B4057" s="11"/>
      <c r="C4057" s="11"/>
      <c r="D4057" s="10" t="s">
        <v>1830</v>
      </c>
      <c r="E4057" s="14">
        <v>3.0</v>
      </c>
      <c r="F4057" s="15">
        <f>ROUND((G4053+G4054+G4055+G4056),3)</f>
        <v>2.01</v>
      </c>
      <c r="G4057" s="12">
        <f t="shared" ref="G4057:G4065" si="648">ROUND(E4057*F4057,2)</f>
        <v>6.03</v>
      </c>
    </row>
    <row r="4058" ht="48.75" customHeight="1">
      <c r="A4058" s="10" t="s">
        <v>1276</v>
      </c>
      <c r="B4058" s="10" t="s">
        <v>42</v>
      </c>
      <c r="C4058" s="10" t="s">
        <v>43</v>
      </c>
      <c r="D4058" s="10" t="s">
        <v>1277</v>
      </c>
      <c r="E4058" s="14">
        <v>0.025</v>
      </c>
      <c r="F4058" s="15">
        <f>ROUND(45.57,3)</f>
        <v>45.57</v>
      </c>
      <c r="G4058" s="12">
        <f t="shared" si="648"/>
        <v>1.14</v>
      </c>
    </row>
    <row r="4059" ht="30.0" customHeight="1">
      <c r="A4059" s="10" t="s">
        <v>1225</v>
      </c>
      <c r="B4059" s="10" t="s">
        <v>42</v>
      </c>
      <c r="C4059" s="10" t="s">
        <v>184</v>
      </c>
      <c r="D4059" s="10" t="s">
        <v>1226</v>
      </c>
      <c r="E4059" s="14">
        <v>0.25</v>
      </c>
      <c r="F4059" s="15">
        <f>ROUND(17.45,3)</f>
        <v>17.45</v>
      </c>
      <c r="G4059" s="12">
        <f t="shared" si="648"/>
        <v>4.36</v>
      </c>
    </row>
    <row r="4060" ht="30.0" customHeight="1">
      <c r="A4060" s="10" t="s">
        <v>1227</v>
      </c>
      <c r="B4060" s="10" t="s">
        <v>42</v>
      </c>
      <c r="C4060" s="10" t="s">
        <v>226</v>
      </c>
      <c r="D4060" s="10" t="s">
        <v>1228</v>
      </c>
      <c r="E4060" s="14">
        <v>0.004</v>
      </c>
      <c r="F4060" s="15">
        <f>ROUND(27.5,3)</f>
        <v>27.5</v>
      </c>
      <c r="G4060" s="12">
        <f t="shared" si="648"/>
        <v>0.11</v>
      </c>
    </row>
    <row r="4061" ht="21.0" customHeight="1">
      <c r="A4061" s="10" t="s">
        <v>22</v>
      </c>
      <c r="B4061" s="10" t="s">
        <v>18</v>
      </c>
      <c r="C4061" s="10" t="s">
        <v>23</v>
      </c>
      <c r="D4061" s="10" t="s">
        <v>24</v>
      </c>
      <c r="E4061" s="14">
        <v>0.66667</v>
      </c>
      <c r="F4061" s="15">
        <f>F4065</f>
        <v>43.8</v>
      </c>
      <c r="G4061" s="12">
        <f t="shared" si="648"/>
        <v>29.2</v>
      </c>
    </row>
    <row r="4062" ht="24.0" customHeight="1">
      <c r="A4062" s="10" t="s">
        <v>25</v>
      </c>
      <c r="B4062" s="10" t="s">
        <v>26</v>
      </c>
      <c r="C4062" s="10" t="s">
        <v>23</v>
      </c>
      <c r="D4062" s="10" t="s">
        <v>27</v>
      </c>
      <c r="E4062" s="14">
        <v>1.0</v>
      </c>
      <c r="F4062" s="15">
        <f>ROUND(21,3)</f>
        <v>21</v>
      </c>
      <c r="G4062" s="12">
        <f t="shared" si="648"/>
        <v>21</v>
      </c>
    </row>
    <row r="4063" ht="24.0" customHeight="1">
      <c r="A4063" s="10" t="s">
        <v>28</v>
      </c>
      <c r="B4063" s="10" t="s">
        <v>26</v>
      </c>
      <c r="C4063" s="10" t="s">
        <v>23</v>
      </c>
      <c r="D4063" s="10" t="s">
        <v>29</v>
      </c>
      <c r="E4063" s="14">
        <v>1.0</v>
      </c>
      <c r="F4063" s="15">
        <f t="shared" ref="F4063:F4064" si="649">ROUND(19,3)</f>
        <v>19</v>
      </c>
      <c r="G4063" s="12">
        <f t="shared" si="648"/>
        <v>19</v>
      </c>
    </row>
    <row r="4064" ht="24.0" customHeight="1">
      <c r="A4064" s="10" t="s">
        <v>30</v>
      </c>
      <c r="B4064" s="10" t="s">
        <v>26</v>
      </c>
      <c r="C4064" s="10" t="s">
        <v>23</v>
      </c>
      <c r="D4064" s="10" t="s">
        <v>31</v>
      </c>
      <c r="E4064" s="14">
        <v>0.2</v>
      </c>
      <c r="F4064" s="15">
        <f t="shared" si="649"/>
        <v>19</v>
      </c>
      <c r="G4064" s="12">
        <f t="shared" si="648"/>
        <v>3.8</v>
      </c>
    </row>
    <row r="4065" ht="15.0" customHeight="1">
      <c r="A4065" s="11"/>
      <c r="B4065" s="11"/>
      <c r="C4065" s="11"/>
      <c r="D4065" s="10" t="s">
        <v>22</v>
      </c>
      <c r="E4065" s="14">
        <v>0.66667</v>
      </c>
      <c r="F4065" s="15">
        <f>ROUND((G4062+G4063+G4064),3)</f>
        <v>43.8</v>
      </c>
      <c r="G4065" s="12">
        <f t="shared" si="648"/>
        <v>29.2</v>
      </c>
    </row>
    <row r="4066" ht="15.0" customHeight="1">
      <c r="A4066" s="10" t="s">
        <v>32</v>
      </c>
      <c r="B4066" s="10"/>
      <c r="C4066" s="10" t="s">
        <v>33</v>
      </c>
      <c r="D4066" s="10" t="s">
        <v>34</v>
      </c>
      <c r="E4066" s="14">
        <v>5.0</v>
      </c>
      <c r="F4066" s="15">
        <f>ROUND(29.2,3)</f>
        <v>29.2</v>
      </c>
      <c r="G4066" s="12">
        <f>ROUND((E4066*F4066)/100,2)</f>
        <v>1.46</v>
      </c>
    </row>
    <row r="4067" ht="15.0" customHeight="1">
      <c r="A4067" s="16"/>
      <c r="B4067" s="16"/>
      <c r="C4067" s="16"/>
      <c r="D4067" s="17" t="s">
        <v>1834</v>
      </c>
      <c r="E4067" s="16"/>
      <c r="F4067" s="18">
        <f>ROUND((G4045+G4046+G4047+G4048+G4049+G4050+G4051+G4052+G4058+G4059+G4060+G4061+G4066)*(1+G2/100),2)</f>
        <v>48.34</v>
      </c>
      <c r="G4067" s="16"/>
    </row>
    <row r="4068" ht="57.75" customHeight="1">
      <c r="A4068" s="19" t="s">
        <v>1836</v>
      </c>
      <c r="B4068" s="20" t="s">
        <v>18</v>
      </c>
      <c r="C4068" s="20" t="s">
        <v>351</v>
      </c>
      <c r="D4068" s="20" t="s">
        <v>1837</v>
      </c>
      <c r="E4068" s="21"/>
      <c r="F4068" s="22">
        <f>F4092</f>
        <v>79.77</v>
      </c>
      <c r="G4068" s="21"/>
    </row>
    <row r="4069" ht="39.75" customHeight="1">
      <c r="A4069" s="11"/>
      <c r="B4069" s="11"/>
      <c r="C4069" s="11"/>
      <c r="D4069" s="10" t="s">
        <v>1838</v>
      </c>
    </row>
    <row r="4070" ht="30.0" customHeight="1">
      <c r="A4070" s="10" t="s">
        <v>971</v>
      </c>
      <c r="B4070" s="10" t="s">
        <v>42</v>
      </c>
      <c r="C4070" s="10" t="s">
        <v>231</v>
      </c>
      <c r="D4070" s="10" t="s">
        <v>972</v>
      </c>
      <c r="E4070" s="14">
        <v>0.2</v>
      </c>
      <c r="F4070" s="15">
        <f>ROUND(4.92,3)</f>
        <v>4.92</v>
      </c>
      <c r="G4070" s="12">
        <f t="shared" ref="G4070:G4080" si="650">ROUND(E4070*F4070,2)</f>
        <v>0.98</v>
      </c>
    </row>
    <row r="4071" ht="21.0" customHeight="1">
      <c r="A4071" s="10" t="s">
        <v>969</v>
      </c>
      <c r="B4071" s="10" t="s">
        <v>112</v>
      </c>
      <c r="C4071" s="10" t="s">
        <v>23</v>
      </c>
      <c r="D4071" s="10" t="s">
        <v>970</v>
      </c>
      <c r="E4071" s="14">
        <v>0.15</v>
      </c>
      <c r="F4071" s="15">
        <f>ROUND(2,3)</f>
        <v>2</v>
      </c>
      <c r="G4071" s="12">
        <f t="shared" si="650"/>
        <v>0.3</v>
      </c>
    </row>
    <row r="4072" ht="30.0" customHeight="1">
      <c r="A4072" s="10" t="s">
        <v>1793</v>
      </c>
      <c r="B4072" s="10" t="s">
        <v>42</v>
      </c>
      <c r="C4072" s="10" t="s">
        <v>956</v>
      </c>
      <c r="D4072" s="10" t="s">
        <v>1794</v>
      </c>
      <c r="E4072" s="14">
        <v>0.025</v>
      </c>
      <c r="F4072" s="15">
        <f>ROUND(8.81,3)</f>
        <v>8.81</v>
      </c>
      <c r="G4072" s="12">
        <f t="shared" si="650"/>
        <v>0.22</v>
      </c>
    </row>
    <row r="4073" ht="39.75" customHeight="1">
      <c r="A4073" s="10" t="s">
        <v>953</v>
      </c>
      <c r="B4073" s="10" t="s">
        <v>112</v>
      </c>
      <c r="C4073" s="10" t="s">
        <v>23</v>
      </c>
      <c r="D4073" s="10" t="s">
        <v>954</v>
      </c>
      <c r="E4073" s="14">
        <v>0.15</v>
      </c>
      <c r="F4073" s="15">
        <f>ROUND(1.75,3)</f>
        <v>1.75</v>
      </c>
      <c r="G4073" s="12">
        <f t="shared" si="650"/>
        <v>0.26</v>
      </c>
    </row>
    <row r="4074" ht="30.0" customHeight="1">
      <c r="A4074" s="10" t="s">
        <v>748</v>
      </c>
      <c r="B4074" s="10" t="s">
        <v>112</v>
      </c>
      <c r="C4074" s="10" t="s">
        <v>23</v>
      </c>
      <c r="D4074" s="10" t="s">
        <v>749</v>
      </c>
      <c r="E4074" s="14">
        <v>0.2</v>
      </c>
      <c r="F4074" s="15">
        <f>ROUND(3.74,3)</f>
        <v>3.74</v>
      </c>
      <c r="G4074" s="12">
        <f t="shared" si="650"/>
        <v>0.75</v>
      </c>
    </row>
    <row r="4075" ht="30.0" customHeight="1">
      <c r="A4075" s="10" t="s">
        <v>1378</v>
      </c>
      <c r="B4075" s="10" t="s">
        <v>42</v>
      </c>
      <c r="C4075" s="10" t="s">
        <v>330</v>
      </c>
      <c r="D4075" s="10" t="s">
        <v>1379</v>
      </c>
      <c r="E4075" s="14">
        <v>0.3</v>
      </c>
      <c r="F4075" s="15">
        <f>ROUND(6.14,3)</f>
        <v>6.14</v>
      </c>
      <c r="G4075" s="12">
        <f t="shared" si="650"/>
        <v>1.84</v>
      </c>
    </row>
    <row r="4076" ht="39.75" customHeight="1">
      <c r="A4076" s="10" t="s">
        <v>1340</v>
      </c>
      <c r="B4076" s="10" t="s">
        <v>42</v>
      </c>
      <c r="C4076" s="10" t="s">
        <v>1245</v>
      </c>
      <c r="D4076" s="10" t="s">
        <v>1341</v>
      </c>
      <c r="E4076" s="14">
        <v>0.22987</v>
      </c>
      <c r="F4076" s="15">
        <f>ROUND(7.37,3)</f>
        <v>7.37</v>
      </c>
      <c r="G4076" s="12">
        <f t="shared" si="650"/>
        <v>1.69</v>
      </c>
    </row>
    <row r="4077" ht="39.75" customHeight="1">
      <c r="A4077" s="10" t="s">
        <v>1830</v>
      </c>
      <c r="B4077" s="10" t="s">
        <v>18</v>
      </c>
      <c r="C4077" s="10" t="s">
        <v>344</v>
      </c>
      <c r="D4077" s="10" t="s">
        <v>1831</v>
      </c>
      <c r="E4077" s="14">
        <v>3.0</v>
      </c>
      <c r="F4077" s="15">
        <f>F4082</f>
        <v>2.01</v>
      </c>
      <c r="G4077" s="12">
        <f t="shared" si="650"/>
        <v>6.03</v>
      </c>
    </row>
    <row r="4078" ht="21.0" customHeight="1">
      <c r="A4078" s="10" t="s">
        <v>1239</v>
      </c>
      <c r="B4078" s="10" t="s">
        <v>42</v>
      </c>
      <c r="C4078" s="10" t="s">
        <v>344</v>
      </c>
      <c r="D4078" s="10" t="s">
        <v>1240</v>
      </c>
      <c r="E4078" s="14">
        <v>0.2</v>
      </c>
      <c r="F4078" s="15">
        <f>ROUND(3.54,3)</f>
        <v>3.54</v>
      </c>
      <c r="G4078" s="12">
        <f t="shared" si="650"/>
        <v>0.71</v>
      </c>
    </row>
    <row r="4079" ht="24.0" customHeight="1">
      <c r="A4079" s="10" t="s">
        <v>1832</v>
      </c>
      <c r="B4079" s="10" t="s">
        <v>112</v>
      </c>
      <c r="C4079" s="10" t="s">
        <v>23</v>
      </c>
      <c r="D4079" s="10" t="s">
        <v>1833</v>
      </c>
      <c r="E4079" s="14">
        <v>0.05333</v>
      </c>
      <c r="F4079" s="15">
        <f>ROUND(4.88,3)</f>
        <v>4.88</v>
      </c>
      <c r="G4079" s="12">
        <f t="shared" si="650"/>
        <v>0.26</v>
      </c>
    </row>
    <row r="4080" ht="24.0" customHeight="1">
      <c r="A4080" s="10" t="s">
        <v>28</v>
      </c>
      <c r="B4080" s="10" t="s">
        <v>26</v>
      </c>
      <c r="C4080" s="10" t="s">
        <v>23</v>
      </c>
      <c r="D4080" s="10" t="s">
        <v>29</v>
      </c>
      <c r="E4080" s="14">
        <v>0.05333</v>
      </c>
      <c r="F4080" s="15">
        <f>ROUND(19,3)</f>
        <v>19</v>
      </c>
      <c r="G4080" s="12">
        <f t="shared" si="650"/>
        <v>1.01</v>
      </c>
    </row>
    <row r="4081" ht="15.0" customHeight="1">
      <c r="A4081" s="10" t="s">
        <v>32</v>
      </c>
      <c r="B4081" s="10"/>
      <c r="C4081" s="10" t="s">
        <v>33</v>
      </c>
      <c r="D4081" s="10" t="s">
        <v>34</v>
      </c>
      <c r="E4081" s="14">
        <v>3.0</v>
      </c>
      <c r="F4081" s="15">
        <f>ROUND(1.01,3)</f>
        <v>1.01</v>
      </c>
      <c r="G4081" s="12">
        <f>ROUND((E4081*F4081)/100,2)</f>
        <v>0.03</v>
      </c>
    </row>
    <row r="4082" ht="15.0" customHeight="1">
      <c r="A4082" s="11"/>
      <c r="B4082" s="11"/>
      <c r="C4082" s="11"/>
      <c r="D4082" s="10" t="s">
        <v>1830</v>
      </c>
      <c r="E4082" s="14">
        <v>3.0</v>
      </c>
      <c r="F4082" s="15">
        <f>ROUND((G4078+G4079+G4080+G4081),3)</f>
        <v>2.01</v>
      </c>
      <c r="G4082" s="12">
        <f t="shared" ref="G4082:G4090" si="651">ROUND(E4082*F4082,2)</f>
        <v>6.03</v>
      </c>
    </row>
    <row r="4083" ht="48.75" customHeight="1">
      <c r="A4083" s="10" t="s">
        <v>1276</v>
      </c>
      <c r="B4083" s="10" t="s">
        <v>42</v>
      </c>
      <c r="C4083" s="10" t="s">
        <v>43</v>
      </c>
      <c r="D4083" s="10" t="s">
        <v>1277</v>
      </c>
      <c r="E4083" s="14">
        <v>0.025</v>
      </c>
      <c r="F4083" s="15">
        <f>ROUND(45.57,3)</f>
        <v>45.57</v>
      </c>
      <c r="G4083" s="12">
        <f t="shared" si="651"/>
        <v>1.14</v>
      </c>
    </row>
    <row r="4084" ht="30.0" customHeight="1">
      <c r="A4084" s="10" t="s">
        <v>1225</v>
      </c>
      <c r="B4084" s="10" t="s">
        <v>42</v>
      </c>
      <c r="C4084" s="10" t="s">
        <v>184</v>
      </c>
      <c r="D4084" s="10" t="s">
        <v>1226</v>
      </c>
      <c r="E4084" s="14">
        <v>0.25</v>
      </c>
      <c r="F4084" s="15">
        <f>ROUND(17.45,3)</f>
        <v>17.45</v>
      </c>
      <c r="G4084" s="12">
        <f t="shared" si="651"/>
        <v>4.36</v>
      </c>
    </row>
    <row r="4085" ht="30.0" customHeight="1">
      <c r="A4085" s="10" t="s">
        <v>1227</v>
      </c>
      <c r="B4085" s="10" t="s">
        <v>42</v>
      </c>
      <c r="C4085" s="10" t="s">
        <v>226</v>
      </c>
      <c r="D4085" s="10" t="s">
        <v>1228</v>
      </c>
      <c r="E4085" s="14">
        <v>0.004</v>
      </c>
      <c r="F4085" s="15">
        <f>ROUND(27.5,3)</f>
        <v>27.5</v>
      </c>
      <c r="G4085" s="12">
        <f t="shared" si="651"/>
        <v>0.11</v>
      </c>
    </row>
    <row r="4086" ht="21.0" customHeight="1">
      <c r="A4086" s="10" t="s">
        <v>22</v>
      </c>
      <c r="B4086" s="10" t="s">
        <v>18</v>
      </c>
      <c r="C4086" s="10" t="s">
        <v>23</v>
      </c>
      <c r="D4086" s="10" t="s">
        <v>24</v>
      </c>
      <c r="E4086" s="14">
        <v>1.35</v>
      </c>
      <c r="F4086" s="15">
        <f>F4090</f>
        <v>43.8</v>
      </c>
      <c r="G4086" s="12">
        <f t="shared" si="651"/>
        <v>59.13</v>
      </c>
    </row>
    <row r="4087" ht="24.0" customHeight="1">
      <c r="A4087" s="10" t="s">
        <v>25</v>
      </c>
      <c r="B4087" s="10" t="s">
        <v>26</v>
      </c>
      <c r="C4087" s="10" t="s">
        <v>23</v>
      </c>
      <c r="D4087" s="10" t="s">
        <v>27</v>
      </c>
      <c r="E4087" s="14">
        <v>1.0</v>
      </c>
      <c r="F4087" s="15">
        <f>ROUND(21,3)</f>
        <v>21</v>
      </c>
      <c r="G4087" s="12">
        <f t="shared" si="651"/>
        <v>21</v>
      </c>
    </row>
    <row r="4088" ht="24.0" customHeight="1">
      <c r="A4088" s="10" t="s">
        <v>28</v>
      </c>
      <c r="B4088" s="10" t="s">
        <v>26</v>
      </c>
      <c r="C4088" s="10" t="s">
        <v>23</v>
      </c>
      <c r="D4088" s="10" t="s">
        <v>29</v>
      </c>
      <c r="E4088" s="14">
        <v>1.0</v>
      </c>
      <c r="F4088" s="15">
        <f t="shared" ref="F4088:F4089" si="652">ROUND(19,3)</f>
        <v>19</v>
      </c>
      <c r="G4088" s="12">
        <f t="shared" si="651"/>
        <v>19</v>
      </c>
    </row>
    <row r="4089" ht="24.0" customHeight="1">
      <c r="A4089" s="10" t="s">
        <v>30</v>
      </c>
      <c r="B4089" s="10" t="s">
        <v>26</v>
      </c>
      <c r="C4089" s="10" t="s">
        <v>23</v>
      </c>
      <c r="D4089" s="10" t="s">
        <v>31</v>
      </c>
      <c r="E4089" s="14">
        <v>0.2</v>
      </c>
      <c r="F4089" s="15">
        <f t="shared" si="652"/>
        <v>19</v>
      </c>
      <c r="G4089" s="12">
        <f t="shared" si="651"/>
        <v>3.8</v>
      </c>
    </row>
    <row r="4090" ht="15.0" customHeight="1">
      <c r="A4090" s="11"/>
      <c r="B4090" s="11"/>
      <c r="C4090" s="11"/>
      <c r="D4090" s="10" t="s">
        <v>22</v>
      </c>
      <c r="E4090" s="14">
        <v>1.35</v>
      </c>
      <c r="F4090" s="15">
        <f>ROUND((G4087+G4088+G4089),3)</f>
        <v>43.8</v>
      </c>
      <c r="G4090" s="12">
        <f t="shared" si="651"/>
        <v>59.13</v>
      </c>
    </row>
    <row r="4091" ht="15.0" customHeight="1">
      <c r="A4091" s="10" t="s">
        <v>32</v>
      </c>
      <c r="B4091" s="10"/>
      <c r="C4091" s="10" t="s">
        <v>33</v>
      </c>
      <c r="D4091" s="10" t="s">
        <v>34</v>
      </c>
      <c r="E4091" s="14">
        <v>5.0</v>
      </c>
      <c r="F4091" s="15">
        <f>ROUND(59.13,3)</f>
        <v>59.13</v>
      </c>
      <c r="G4091" s="12">
        <f>ROUND((E4091*F4091)/100,2)</f>
        <v>2.96</v>
      </c>
    </row>
    <row r="4092" ht="15.0" customHeight="1">
      <c r="A4092" s="16"/>
      <c r="B4092" s="16"/>
      <c r="C4092" s="16"/>
      <c r="D4092" s="17" t="s">
        <v>1836</v>
      </c>
      <c r="E4092" s="16"/>
      <c r="F4092" s="18">
        <f>ROUND((G4070+G4071+G4072+G4073+G4074+G4075+G4076+G4077+G4083+G4084+G4085+G4086+G4091)*(1+G2/100),2)</f>
        <v>79.77</v>
      </c>
      <c r="G4092" s="16"/>
    </row>
    <row r="4093" ht="57.75" customHeight="1">
      <c r="A4093" s="19" t="s">
        <v>1839</v>
      </c>
      <c r="B4093" s="20" t="s">
        <v>18</v>
      </c>
      <c r="C4093" s="20" t="s">
        <v>351</v>
      </c>
      <c r="D4093" s="20" t="s">
        <v>1840</v>
      </c>
      <c r="E4093" s="21"/>
      <c r="F4093" s="22">
        <f>F4117</f>
        <v>63.67</v>
      </c>
      <c r="G4093" s="21"/>
    </row>
    <row r="4094" ht="39.75" customHeight="1">
      <c r="A4094" s="11"/>
      <c r="B4094" s="11"/>
      <c r="C4094" s="11"/>
      <c r="D4094" s="10" t="s">
        <v>1841</v>
      </c>
    </row>
    <row r="4095" ht="30.0" customHeight="1">
      <c r="A4095" s="10" t="s">
        <v>971</v>
      </c>
      <c r="B4095" s="10" t="s">
        <v>42</v>
      </c>
      <c r="C4095" s="10" t="s">
        <v>231</v>
      </c>
      <c r="D4095" s="10" t="s">
        <v>972</v>
      </c>
      <c r="E4095" s="14">
        <v>0.2</v>
      </c>
      <c r="F4095" s="15">
        <f>ROUND(4.92,3)</f>
        <v>4.92</v>
      </c>
      <c r="G4095" s="12">
        <f t="shared" ref="G4095:G4105" si="653">ROUND(E4095*F4095,2)</f>
        <v>0.98</v>
      </c>
    </row>
    <row r="4096" ht="21.0" customHeight="1">
      <c r="A4096" s="10" t="s">
        <v>969</v>
      </c>
      <c r="B4096" s="10" t="s">
        <v>112</v>
      </c>
      <c r="C4096" s="10" t="s">
        <v>23</v>
      </c>
      <c r="D4096" s="10" t="s">
        <v>970</v>
      </c>
      <c r="E4096" s="14">
        <v>0.15</v>
      </c>
      <c r="F4096" s="15">
        <f>ROUND(2,3)</f>
        <v>2</v>
      </c>
      <c r="G4096" s="12">
        <f t="shared" si="653"/>
        <v>0.3</v>
      </c>
    </row>
    <row r="4097" ht="30.0" customHeight="1">
      <c r="A4097" s="10" t="s">
        <v>1793</v>
      </c>
      <c r="B4097" s="10" t="s">
        <v>42</v>
      </c>
      <c r="C4097" s="10" t="s">
        <v>956</v>
      </c>
      <c r="D4097" s="10" t="s">
        <v>1794</v>
      </c>
      <c r="E4097" s="14">
        <v>0.025</v>
      </c>
      <c r="F4097" s="15">
        <f>ROUND(8.81,3)</f>
        <v>8.81</v>
      </c>
      <c r="G4097" s="12">
        <f t="shared" si="653"/>
        <v>0.22</v>
      </c>
    </row>
    <row r="4098" ht="39.75" customHeight="1">
      <c r="A4098" s="10" t="s">
        <v>953</v>
      </c>
      <c r="B4098" s="10" t="s">
        <v>112</v>
      </c>
      <c r="C4098" s="10" t="s">
        <v>23</v>
      </c>
      <c r="D4098" s="10" t="s">
        <v>954</v>
      </c>
      <c r="E4098" s="14">
        <v>0.15</v>
      </c>
      <c r="F4098" s="15">
        <f>ROUND(1.75,3)</f>
        <v>1.75</v>
      </c>
      <c r="G4098" s="12">
        <f t="shared" si="653"/>
        <v>0.26</v>
      </c>
    </row>
    <row r="4099" ht="30.0" customHeight="1">
      <c r="A4099" s="10" t="s">
        <v>748</v>
      </c>
      <c r="B4099" s="10" t="s">
        <v>112</v>
      </c>
      <c r="C4099" s="10" t="s">
        <v>23</v>
      </c>
      <c r="D4099" s="10" t="s">
        <v>749</v>
      </c>
      <c r="E4099" s="14">
        <v>0.2</v>
      </c>
      <c r="F4099" s="15">
        <f>ROUND(3.74,3)</f>
        <v>3.74</v>
      </c>
      <c r="G4099" s="12">
        <f t="shared" si="653"/>
        <v>0.75</v>
      </c>
    </row>
    <row r="4100" ht="30.0" customHeight="1">
      <c r="A4100" s="10" t="s">
        <v>1378</v>
      </c>
      <c r="B4100" s="10" t="s">
        <v>42</v>
      </c>
      <c r="C4100" s="10" t="s">
        <v>330</v>
      </c>
      <c r="D4100" s="10" t="s">
        <v>1379</v>
      </c>
      <c r="E4100" s="14">
        <v>0.3</v>
      </c>
      <c r="F4100" s="15">
        <f>ROUND(6.14,3)</f>
        <v>6.14</v>
      </c>
      <c r="G4100" s="12">
        <f t="shared" si="653"/>
        <v>1.84</v>
      </c>
    </row>
    <row r="4101" ht="39.75" customHeight="1">
      <c r="A4101" s="10" t="s">
        <v>1340</v>
      </c>
      <c r="B4101" s="10" t="s">
        <v>42</v>
      </c>
      <c r="C4101" s="10" t="s">
        <v>1245</v>
      </c>
      <c r="D4101" s="10" t="s">
        <v>1341</v>
      </c>
      <c r="E4101" s="14">
        <v>0.22987</v>
      </c>
      <c r="F4101" s="15">
        <f>ROUND(7.37,3)</f>
        <v>7.37</v>
      </c>
      <c r="G4101" s="12">
        <f t="shared" si="653"/>
        <v>1.69</v>
      </c>
    </row>
    <row r="4102" ht="39.75" customHeight="1">
      <c r="A4102" s="10" t="s">
        <v>1830</v>
      </c>
      <c r="B4102" s="10" t="s">
        <v>18</v>
      </c>
      <c r="C4102" s="10" t="s">
        <v>344</v>
      </c>
      <c r="D4102" s="10" t="s">
        <v>1831</v>
      </c>
      <c r="E4102" s="14">
        <v>3.0</v>
      </c>
      <c r="F4102" s="15">
        <f>F4107</f>
        <v>2.01</v>
      </c>
      <c r="G4102" s="12">
        <f t="shared" si="653"/>
        <v>6.03</v>
      </c>
    </row>
    <row r="4103" ht="21.0" customHeight="1">
      <c r="A4103" s="10" t="s">
        <v>1239</v>
      </c>
      <c r="B4103" s="10" t="s">
        <v>42</v>
      </c>
      <c r="C4103" s="10" t="s">
        <v>344</v>
      </c>
      <c r="D4103" s="10" t="s">
        <v>1240</v>
      </c>
      <c r="E4103" s="14">
        <v>0.2</v>
      </c>
      <c r="F4103" s="15">
        <f>ROUND(3.54,3)</f>
        <v>3.54</v>
      </c>
      <c r="G4103" s="12">
        <f t="shared" si="653"/>
        <v>0.71</v>
      </c>
    </row>
    <row r="4104" ht="24.0" customHeight="1">
      <c r="A4104" s="10" t="s">
        <v>1832</v>
      </c>
      <c r="B4104" s="10" t="s">
        <v>112</v>
      </c>
      <c r="C4104" s="10" t="s">
        <v>23</v>
      </c>
      <c r="D4104" s="10" t="s">
        <v>1833</v>
      </c>
      <c r="E4104" s="14">
        <v>0.05333</v>
      </c>
      <c r="F4104" s="15">
        <f>ROUND(4.88,3)</f>
        <v>4.88</v>
      </c>
      <c r="G4104" s="12">
        <f t="shared" si="653"/>
        <v>0.26</v>
      </c>
    </row>
    <row r="4105" ht="24.0" customHeight="1">
      <c r="A4105" s="10" t="s">
        <v>28</v>
      </c>
      <c r="B4105" s="10" t="s">
        <v>26</v>
      </c>
      <c r="C4105" s="10" t="s">
        <v>23</v>
      </c>
      <c r="D4105" s="10" t="s">
        <v>29</v>
      </c>
      <c r="E4105" s="14">
        <v>0.05333</v>
      </c>
      <c r="F4105" s="15">
        <f>ROUND(19,3)</f>
        <v>19</v>
      </c>
      <c r="G4105" s="12">
        <f t="shared" si="653"/>
        <v>1.01</v>
      </c>
    </row>
    <row r="4106" ht="15.0" customHeight="1">
      <c r="A4106" s="10" t="s">
        <v>32</v>
      </c>
      <c r="B4106" s="10"/>
      <c r="C4106" s="10" t="s">
        <v>33</v>
      </c>
      <c r="D4106" s="10" t="s">
        <v>34</v>
      </c>
      <c r="E4106" s="14">
        <v>3.0</v>
      </c>
      <c r="F4106" s="15">
        <f>ROUND(1.01,3)</f>
        <v>1.01</v>
      </c>
      <c r="G4106" s="12">
        <f>ROUND((E4106*F4106)/100,2)</f>
        <v>0.03</v>
      </c>
    </row>
    <row r="4107" ht="15.0" customHeight="1">
      <c r="A4107" s="11"/>
      <c r="B4107" s="11"/>
      <c r="C4107" s="11"/>
      <c r="D4107" s="10" t="s">
        <v>1830</v>
      </c>
      <c r="E4107" s="14">
        <v>3.0</v>
      </c>
      <c r="F4107" s="15">
        <f>ROUND((G4103+G4104+G4105+G4106),3)</f>
        <v>2.01</v>
      </c>
      <c r="G4107" s="12">
        <f t="shared" ref="G4107:G4115" si="654">ROUND(E4107*F4107,2)</f>
        <v>6.03</v>
      </c>
    </row>
    <row r="4108" ht="48.75" customHeight="1">
      <c r="A4108" s="10" t="s">
        <v>1276</v>
      </c>
      <c r="B4108" s="10" t="s">
        <v>42</v>
      </c>
      <c r="C4108" s="10" t="s">
        <v>43</v>
      </c>
      <c r="D4108" s="10" t="s">
        <v>1277</v>
      </c>
      <c r="E4108" s="14">
        <v>0.025</v>
      </c>
      <c r="F4108" s="15">
        <f>ROUND(45.57,3)</f>
        <v>45.57</v>
      </c>
      <c r="G4108" s="12">
        <f t="shared" si="654"/>
        <v>1.14</v>
      </c>
    </row>
    <row r="4109" ht="30.0" customHeight="1">
      <c r="A4109" s="10" t="s">
        <v>1225</v>
      </c>
      <c r="B4109" s="10" t="s">
        <v>42</v>
      </c>
      <c r="C4109" s="10" t="s">
        <v>184</v>
      </c>
      <c r="D4109" s="10" t="s">
        <v>1226</v>
      </c>
      <c r="E4109" s="14">
        <v>0.25</v>
      </c>
      <c r="F4109" s="15">
        <f>ROUND(17.45,3)</f>
        <v>17.45</v>
      </c>
      <c r="G4109" s="12">
        <f t="shared" si="654"/>
        <v>4.36</v>
      </c>
    </row>
    <row r="4110" ht="30.0" customHeight="1">
      <c r="A4110" s="10" t="s">
        <v>1227</v>
      </c>
      <c r="B4110" s="10" t="s">
        <v>42</v>
      </c>
      <c r="C4110" s="10" t="s">
        <v>226</v>
      </c>
      <c r="D4110" s="10" t="s">
        <v>1228</v>
      </c>
      <c r="E4110" s="14">
        <v>0.004</v>
      </c>
      <c r="F4110" s="15">
        <f>ROUND(27.5,3)</f>
        <v>27.5</v>
      </c>
      <c r="G4110" s="12">
        <f t="shared" si="654"/>
        <v>0.11</v>
      </c>
    </row>
    <row r="4111" ht="21.0" customHeight="1">
      <c r="A4111" s="10" t="s">
        <v>22</v>
      </c>
      <c r="B4111" s="10" t="s">
        <v>18</v>
      </c>
      <c r="C4111" s="10" t="s">
        <v>23</v>
      </c>
      <c r="D4111" s="10" t="s">
        <v>24</v>
      </c>
      <c r="E4111" s="14">
        <v>1.0</v>
      </c>
      <c r="F4111" s="15">
        <f>F4115</f>
        <v>43.8</v>
      </c>
      <c r="G4111" s="12">
        <f t="shared" si="654"/>
        <v>43.8</v>
      </c>
    </row>
    <row r="4112" ht="24.0" customHeight="1">
      <c r="A4112" s="10" t="s">
        <v>25</v>
      </c>
      <c r="B4112" s="10" t="s">
        <v>26</v>
      </c>
      <c r="C4112" s="10" t="s">
        <v>23</v>
      </c>
      <c r="D4112" s="10" t="s">
        <v>27</v>
      </c>
      <c r="E4112" s="14">
        <v>1.0</v>
      </c>
      <c r="F4112" s="15">
        <f>ROUND(21,3)</f>
        <v>21</v>
      </c>
      <c r="G4112" s="12">
        <f t="shared" si="654"/>
        <v>21</v>
      </c>
    </row>
    <row r="4113" ht="24.0" customHeight="1">
      <c r="A4113" s="10" t="s">
        <v>28</v>
      </c>
      <c r="B4113" s="10" t="s">
        <v>26</v>
      </c>
      <c r="C4113" s="10" t="s">
        <v>23</v>
      </c>
      <c r="D4113" s="10" t="s">
        <v>29</v>
      </c>
      <c r="E4113" s="14">
        <v>1.0</v>
      </c>
      <c r="F4113" s="15">
        <f t="shared" ref="F4113:F4114" si="655">ROUND(19,3)</f>
        <v>19</v>
      </c>
      <c r="G4113" s="12">
        <f t="shared" si="654"/>
        <v>19</v>
      </c>
    </row>
    <row r="4114" ht="24.0" customHeight="1">
      <c r="A4114" s="10" t="s">
        <v>30</v>
      </c>
      <c r="B4114" s="10" t="s">
        <v>26</v>
      </c>
      <c r="C4114" s="10" t="s">
        <v>23</v>
      </c>
      <c r="D4114" s="10" t="s">
        <v>31</v>
      </c>
      <c r="E4114" s="14">
        <v>0.2</v>
      </c>
      <c r="F4114" s="15">
        <f t="shared" si="655"/>
        <v>19</v>
      </c>
      <c r="G4114" s="12">
        <f t="shared" si="654"/>
        <v>3.8</v>
      </c>
    </row>
    <row r="4115" ht="15.0" customHeight="1">
      <c r="A4115" s="11"/>
      <c r="B4115" s="11"/>
      <c r="C4115" s="11"/>
      <c r="D4115" s="10" t="s">
        <v>22</v>
      </c>
      <c r="E4115" s="14">
        <v>1.0</v>
      </c>
      <c r="F4115" s="15">
        <f>ROUND((G4112+G4113+G4114),3)</f>
        <v>43.8</v>
      </c>
      <c r="G4115" s="12">
        <f t="shared" si="654"/>
        <v>43.8</v>
      </c>
    </row>
    <row r="4116" ht="15.0" customHeight="1">
      <c r="A4116" s="10" t="s">
        <v>32</v>
      </c>
      <c r="B4116" s="10"/>
      <c r="C4116" s="10" t="s">
        <v>33</v>
      </c>
      <c r="D4116" s="10" t="s">
        <v>34</v>
      </c>
      <c r="E4116" s="14">
        <v>5.0</v>
      </c>
      <c r="F4116" s="15">
        <f>ROUND(43.8,3)</f>
        <v>43.8</v>
      </c>
      <c r="G4116" s="12">
        <f>ROUND((E4116*F4116)/100,2)</f>
        <v>2.19</v>
      </c>
    </row>
    <row r="4117" ht="15.0" customHeight="1">
      <c r="A4117" s="16"/>
      <c r="B4117" s="16"/>
      <c r="C4117" s="16"/>
      <c r="D4117" s="17" t="s">
        <v>1839</v>
      </c>
      <c r="E4117" s="16"/>
      <c r="F4117" s="18">
        <f>ROUND((G4095+G4096+G4097+G4098+G4099+G4100+G4101+G4102+G4108+G4109+G4110+G4111+G4116)*(1+G2/100),2)</f>
        <v>63.67</v>
      </c>
      <c r="G4117" s="16"/>
    </row>
    <row r="4118" ht="15.0" customHeight="1">
      <c r="A4118" s="19" t="s">
        <v>1842</v>
      </c>
      <c r="B4118" s="20" t="s">
        <v>18</v>
      </c>
      <c r="C4118" s="20" t="s">
        <v>222</v>
      </c>
      <c r="D4118" s="20" t="s">
        <v>1843</v>
      </c>
      <c r="E4118" s="21"/>
      <c r="F4118" s="22">
        <f>F4140</f>
        <v>0</v>
      </c>
      <c r="G4118" s="21"/>
    </row>
    <row r="4119" ht="12.0" customHeight="1">
      <c r="A4119" s="11"/>
      <c r="B4119" s="11"/>
      <c r="C4119" s="11"/>
      <c r="D4119" s="10" t="s">
        <v>1843</v>
      </c>
    </row>
    <row r="4120" ht="15.0" customHeight="1">
      <c r="A4120" s="10" t="s">
        <v>1844</v>
      </c>
      <c r="B4120" s="10" t="s">
        <v>18</v>
      </c>
      <c r="C4120" s="10" t="s">
        <v>251</v>
      </c>
      <c r="D4120" s="10" t="s">
        <v>1845</v>
      </c>
      <c r="E4120" s="14">
        <v>0.0</v>
      </c>
      <c r="F4120" s="15">
        <f>F4124</f>
        <v>16.64</v>
      </c>
      <c r="G4120" s="12">
        <f t="shared" ref="G4120:G4139" si="656">ROUND(E4120*F4120,2)</f>
        <v>0</v>
      </c>
    </row>
    <row r="4121" ht="24.0" customHeight="1">
      <c r="A4121" s="10" t="s">
        <v>1186</v>
      </c>
      <c r="B4121" s="10" t="s">
        <v>26</v>
      </c>
      <c r="C4121" s="10" t="s">
        <v>23</v>
      </c>
      <c r="D4121" s="10" t="s">
        <v>1187</v>
      </c>
      <c r="E4121" s="14">
        <v>0.32</v>
      </c>
      <c r="F4121" s="15">
        <f>ROUND(49.5,3)</f>
        <v>49.5</v>
      </c>
      <c r="G4121" s="12">
        <f t="shared" si="656"/>
        <v>15.84</v>
      </c>
    </row>
    <row r="4122" ht="15.0" customHeight="1">
      <c r="A4122" s="10" t="s">
        <v>365</v>
      </c>
      <c r="B4122" s="10" t="s">
        <v>42</v>
      </c>
      <c r="C4122" s="10" t="s">
        <v>184</v>
      </c>
      <c r="D4122" s="10" t="s">
        <v>366</v>
      </c>
      <c r="E4122" s="14">
        <v>0.002</v>
      </c>
      <c r="F4122" s="15">
        <f>ROUND(32,3)</f>
        <v>32</v>
      </c>
      <c r="G4122" s="12">
        <f t="shared" si="656"/>
        <v>0.06</v>
      </c>
    </row>
    <row r="4123" ht="24.0" customHeight="1">
      <c r="A4123" s="10" t="s">
        <v>1522</v>
      </c>
      <c r="B4123" s="10" t="s">
        <v>26</v>
      </c>
      <c r="C4123" s="10" t="s">
        <v>23</v>
      </c>
      <c r="D4123" s="10" t="s">
        <v>1523</v>
      </c>
      <c r="E4123" s="14">
        <v>0.022</v>
      </c>
      <c r="F4123" s="15">
        <f>ROUND(33.75,3)</f>
        <v>33.75</v>
      </c>
      <c r="G4123" s="12">
        <f t="shared" si="656"/>
        <v>0.74</v>
      </c>
    </row>
    <row r="4124" ht="15.0" customHeight="1">
      <c r="A4124" s="11"/>
      <c r="B4124" s="11"/>
      <c r="C4124" s="11"/>
      <c r="D4124" s="10" t="s">
        <v>1844</v>
      </c>
      <c r="E4124" s="14">
        <v>0.0</v>
      </c>
      <c r="F4124" s="15">
        <f>ROUND((G4121+G4122+G4123),3)</f>
        <v>16.64</v>
      </c>
      <c r="G4124" s="12">
        <f t="shared" si="656"/>
        <v>0</v>
      </c>
    </row>
    <row r="4125" ht="15.0" customHeight="1">
      <c r="A4125" s="10" t="s">
        <v>1846</v>
      </c>
      <c r="B4125" s="10" t="s">
        <v>18</v>
      </c>
      <c r="C4125" s="10" t="s">
        <v>251</v>
      </c>
      <c r="D4125" s="10" t="s">
        <v>1847</v>
      </c>
      <c r="E4125" s="14">
        <v>0.0</v>
      </c>
      <c r="F4125" s="15">
        <f>F4129</f>
        <v>14.12</v>
      </c>
      <c r="G4125" s="12">
        <f t="shared" si="656"/>
        <v>0</v>
      </c>
    </row>
    <row r="4126" ht="24.0" customHeight="1">
      <c r="A4126" s="10" t="s">
        <v>1186</v>
      </c>
      <c r="B4126" s="10" t="s">
        <v>26</v>
      </c>
      <c r="C4126" s="10" t="s">
        <v>23</v>
      </c>
      <c r="D4126" s="10" t="s">
        <v>1187</v>
      </c>
      <c r="E4126" s="14">
        <v>0.267</v>
      </c>
      <c r="F4126" s="15">
        <f>ROUND(49.5,3)</f>
        <v>49.5</v>
      </c>
      <c r="G4126" s="12">
        <f t="shared" si="656"/>
        <v>13.22</v>
      </c>
    </row>
    <row r="4127" ht="15.0" customHeight="1">
      <c r="A4127" s="10" t="s">
        <v>365</v>
      </c>
      <c r="B4127" s="10" t="s">
        <v>42</v>
      </c>
      <c r="C4127" s="10" t="s">
        <v>184</v>
      </c>
      <c r="D4127" s="10" t="s">
        <v>366</v>
      </c>
      <c r="E4127" s="14">
        <v>0.005</v>
      </c>
      <c r="F4127" s="15">
        <f>ROUND(32,3)</f>
        <v>32</v>
      </c>
      <c r="G4127" s="12">
        <f t="shared" si="656"/>
        <v>0.16</v>
      </c>
    </row>
    <row r="4128" ht="24.0" customHeight="1">
      <c r="A4128" s="10" t="s">
        <v>1522</v>
      </c>
      <c r="B4128" s="10" t="s">
        <v>26</v>
      </c>
      <c r="C4128" s="10" t="s">
        <v>23</v>
      </c>
      <c r="D4128" s="10" t="s">
        <v>1523</v>
      </c>
      <c r="E4128" s="14">
        <v>0.022</v>
      </c>
      <c r="F4128" s="15">
        <f>ROUND(33.75,3)</f>
        <v>33.75</v>
      </c>
      <c r="G4128" s="12">
        <f t="shared" si="656"/>
        <v>0.74</v>
      </c>
    </row>
    <row r="4129" ht="15.0" customHeight="1">
      <c r="A4129" s="11"/>
      <c r="B4129" s="11"/>
      <c r="C4129" s="11"/>
      <c r="D4129" s="10" t="s">
        <v>1846</v>
      </c>
      <c r="E4129" s="14">
        <v>0.0</v>
      </c>
      <c r="F4129" s="15">
        <f>ROUND((G4126+G4127+G4128),3)</f>
        <v>14.12</v>
      </c>
      <c r="G4129" s="12">
        <f t="shared" si="656"/>
        <v>0</v>
      </c>
    </row>
    <row r="4130" ht="15.0" customHeight="1">
      <c r="A4130" s="10" t="s">
        <v>1848</v>
      </c>
      <c r="B4130" s="10" t="s">
        <v>18</v>
      </c>
      <c r="C4130" s="10" t="s">
        <v>251</v>
      </c>
      <c r="D4130" s="10" t="s">
        <v>1849</v>
      </c>
      <c r="E4130" s="14">
        <v>0.0</v>
      </c>
      <c r="F4130" s="15">
        <f>F4134</f>
        <v>16.64</v>
      </c>
      <c r="G4130" s="12">
        <f t="shared" si="656"/>
        <v>0</v>
      </c>
    </row>
    <row r="4131" ht="24.0" customHeight="1">
      <c r="A4131" s="10" t="s">
        <v>1186</v>
      </c>
      <c r="B4131" s="10" t="s">
        <v>26</v>
      </c>
      <c r="C4131" s="10" t="s">
        <v>23</v>
      </c>
      <c r="D4131" s="10" t="s">
        <v>1187</v>
      </c>
      <c r="E4131" s="14">
        <v>0.32</v>
      </c>
      <c r="F4131" s="15">
        <f>ROUND(49.5,3)</f>
        <v>49.5</v>
      </c>
      <c r="G4131" s="12">
        <f t="shared" si="656"/>
        <v>15.84</v>
      </c>
    </row>
    <row r="4132" ht="15.0" customHeight="1">
      <c r="A4132" s="10" t="s">
        <v>365</v>
      </c>
      <c r="B4132" s="10" t="s">
        <v>42</v>
      </c>
      <c r="C4132" s="10" t="s">
        <v>184</v>
      </c>
      <c r="D4132" s="10" t="s">
        <v>366</v>
      </c>
      <c r="E4132" s="14">
        <v>0.002</v>
      </c>
      <c r="F4132" s="15">
        <f>ROUND(32,3)</f>
        <v>32</v>
      </c>
      <c r="G4132" s="12">
        <f t="shared" si="656"/>
        <v>0.06</v>
      </c>
    </row>
    <row r="4133" ht="24.0" customHeight="1">
      <c r="A4133" s="10" t="s">
        <v>1522</v>
      </c>
      <c r="B4133" s="10" t="s">
        <v>26</v>
      </c>
      <c r="C4133" s="10" t="s">
        <v>23</v>
      </c>
      <c r="D4133" s="10" t="s">
        <v>1523</v>
      </c>
      <c r="E4133" s="14">
        <v>0.022</v>
      </c>
      <c r="F4133" s="15">
        <f>ROUND(33.75,3)</f>
        <v>33.75</v>
      </c>
      <c r="G4133" s="12">
        <f t="shared" si="656"/>
        <v>0.74</v>
      </c>
    </row>
    <row r="4134" ht="15.0" customHeight="1">
      <c r="A4134" s="11"/>
      <c r="B4134" s="11"/>
      <c r="C4134" s="11"/>
      <c r="D4134" s="10" t="s">
        <v>1848</v>
      </c>
      <c r="E4134" s="14">
        <v>0.0</v>
      </c>
      <c r="F4134" s="15">
        <f>ROUND((G4131+G4132+G4133),3)</f>
        <v>16.64</v>
      </c>
      <c r="G4134" s="12">
        <f t="shared" si="656"/>
        <v>0</v>
      </c>
    </row>
    <row r="4135" ht="21.0" customHeight="1">
      <c r="A4135" s="10" t="s">
        <v>1850</v>
      </c>
      <c r="B4135" s="10" t="s">
        <v>18</v>
      </c>
      <c r="C4135" s="10" t="s">
        <v>251</v>
      </c>
      <c r="D4135" s="10" t="s">
        <v>1851</v>
      </c>
      <c r="E4135" s="14">
        <v>0.0</v>
      </c>
      <c r="F4135" s="15">
        <f>F4139</f>
        <v>16.64</v>
      </c>
      <c r="G4135" s="12">
        <f t="shared" si="656"/>
        <v>0</v>
      </c>
    </row>
    <row r="4136" ht="24.0" customHeight="1">
      <c r="A4136" s="10" t="s">
        <v>1186</v>
      </c>
      <c r="B4136" s="10" t="s">
        <v>26</v>
      </c>
      <c r="C4136" s="10" t="s">
        <v>23</v>
      </c>
      <c r="D4136" s="10" t="s">
        <v>1187</v>
      </c>
      <c r="E4136" s="14">
        <v>0.32</v>
      </c>
      <c r="F4136" s="15">
        <f>ROUND(49.5,3)</f>
        <v>49.5</v>
      </c>
      <c r="G4136" s="12">
        <f t="shared" si="656"/>
        <v>15.84</v>
      </c>
    </row>
    <row r="4137" ht="15.0" customHeight="1">
      <c r="A4137" s="10" t="s">
        <v>365</v>
      </c>
      <c r="B4137" s="10" t="s">
        <v>42</v>
      </c>
      <c r="C4137" s="10" t="s">
        <v>184</v>
      </c>
      <c r="D4137" s="10" t="s">
        <v>366</v>
      </c>
      <c r="E4137" s="14">
        <v>0.002</v>
      </c>
      <c r="F4137" s="15">
        <f>ROUND(32,3)</f>
        <v>32</v>
      </c>
      <c r="G4137" s="12">
        <f t="shared" si="656"/>
        <v>0.06</v>
      </c>
    </row>
    <row r="4138" ht="24.0" customHeight="1">
      <c r="A4138" s="10" t="s">
        <v>1522</v>
      </c>
      <c r="B4138" s="10" t="s">
        <v>26</v>
      </c>
      <c r="C4138" s="10" t="s">
        <v>23</v>
      </c>
      <c r="D4138" s="10" t="s">
        <v>1523</v>
      </c>
      <c r="E4138" s="14">
        <v>0.022</v>
      </c>
      <c r="F4138" s="15">
        <f>ROUND(33.75,3)</f>
        <v>33.75</v>
      </c>
      <c r="G4138" s="12">
        <f t="shared" si="656"/>
        <v>0.74</v>
      </c>
    </row>
    <row r="4139" ht="15.0" customHeight="1">
      <c r="A4139" s="11"/>
      <c r="B4139" s="11"/>
      <c r="C4139" s="11"/>
      <c r="D4139" s="10" t="s">
        <v>1850</v>
      </c>
      <c r="E4139" s="14">
        <v>0.0</v>
      </c>
      <c r="F4139" s="15">
        <f>ROUND((G4136+G4137+G4138),3)</f>
        <v>16.64</v>
      </c>
      <c r="G4139" s="12">
        <f t="shared" si="656"/>
        <v>0</v>
      </c>
    </row>
    <row r="4140" ht="15.0" customHeight="1">
      <c r="A4140" s="16"/>
      <c r="B4140" s="16"/>
      <c r="C4140" s="16"/>
      <c r="D4140" s="17" t="s">
        <v>1842</v>
      </c>
      <c r="E4140" s="16"/>
      <c r="F4140" s="18">
        <f>ROUND((G4120+G4125+G4130+G4135)*(1+G2/100),2)</f>
        <v>0</v>
      </c>
      <c r="G4140" s="16"/>
    </row>
    <row r="4141" ht="39.75" customHeight="1">
      <c r="A4141" s="19" t="s">
        <v>1852</v>
      </c>
      <c r="B4141" s="20" t="s">
        <v>18</v>
      </c>
      <c r="C4141" s="20" t="s">
        <v>19</v>
      </c>
      <c r="D4141" s="20" t="s">
        <v>1853</v>
      </c>
      <c r="E4141" s="21"/>
      <c r="F4141" s="22">
        <f>F4153</f>
        <v>37.47</v>
      </c>
      <c r="G4141" s="21"/>
    </row>
    <row r="4142" ht="30.0" customHeight="1">
      <c r="A4142" s="11"/>
      <c r="B4142" s="11"/>
      <c r="C4142" s="11"/>
      <c r="D4142" s="10" t="s">
        <v>1854</v>
      </c>
    </row>
    <row r="4143" ht="30.0" customHeight="1">
      <c r="A4143" s="10" t="s">
        <v>1855</v>
      </c>
      <c r="B4143" s="10" t="s">
        <v>42</v>
      </c>
      <c r="C4143" s="10" t="s">
        <v>184</v>
      </c>
      <c r="D4143" s="10" t="s">
        <v>1856</v>
      </c>
      <c r="E4143" s="14">
        <v>1.5</v>
      </c>
      <c r="F4143" s="15">
        <f>ROUND(3.85,3)</f>
        <v>3.85</v>
      </c>
      <c r="G4143" s="12">
        <f t="shared" ref="G4143:G4151" si="657">ROUND(E4143*F4143,2)</f>
        <v>5.78</v>
      </c>
    </row>
    <row r="4144" ht="30.0" customHeight="1">
      <c r="A4144" s="10" t="s">
        <v>1227</v>
      </c>
      <c r="B4144" s="10" t="s">
        <v>42</v>
      </c>
      <c r="C4144" s="10" t="s">
        <v>226</v>
      </c>
      <c r="D4144" s="10" t="s">
        <v>1228</v>
      </c>
      <c r="E4144" s="14">
        <v>0.022</v>
      </c>
      <c r="F4144" s="15">
        <f>ROUND(27.5,3)</f>
        <v>27.5</v>
      </c>
      <c r="G4144" s="12">
        <f t="shared" si="657"/>
        <v>0.61</v>
      </c>
    </row>
    <row r="4145" ht="21.0" customHeight="1">
      <c r="A4145" s="10" t="s">
        <v>1857</v>
      </c>
      <c r="B4145" s="10" t="s">
        <v>42</v>
      </c>
      <c r="C4145" s="10" t="s">
        <v>231</v>
      </c>
      <c r="D4145" s="10" t="s">
        <v>1858</v>
      </c>
      <c r="E4145" s="14">
        <v>0.375</v>
      </c>
      <c r="F4145" s="15">
        <f>ROUND(1.05,3)</f>
        <v>1.05</v>
      </c>
      <c r="G4145" s="12">
        <f t="shared" si="657"/>
        <v>0.39</v>
      </c>
    </row>
    <row r="4146" ht="39.75" customHeight="1">
      <c r="A4146" s="10" t="s">
        <v>1349</v>
      </c>
      <c r="B4146" s="10" t="s">
        <v>42</v>
      </c>
      <c r="C4146" s="10" t="s">
        <v>231</v>
      </c>
      <c r="D4146" s="10" t="s">
        <v>1350</v>
      </c>
      <c r="E4146" s="14">
        <v>0.15</v>
      </c>
      <c r="F4146" s="15">
        <f>ROUND(4.05,3)</f>
        <v>4.05</v>
      </c>
      <c r="G4146" s="12">
        <f t="shared" si="657"/>
        <v>0.61</v>
      </c>
    </row>
    <row r="4147" ht="21.0" customHeight="1">
      <c r="A4147" s="10" t="s">
        <v>22</v>
      </c>
      <c r="B4147" s="10" t="s">
        <v>18</v>
      </c>
      <c r="C4147" s="10" t="s">
        <v>23</v>
      </c>
      <c r="D4147" s="10" t="s">
        <v>24</v>
      </c>
      <c r="E4147" s="14">
        <v>0.66667</v>
      </c>
      <c r="F4147" s="15">
        <f>F4151</f>
        <v>43.8</v>
      </c>
      <c r="G4147" s="12">
        <f t="shared" si="657"/>
        <v>29.2</v>
      </c>
    </row>
    <row r="4148" ht="24.0" customHeight="1">
      <c r="A4148" s="10" t="s">
        <v>25</v>
      </c>
      <c r="B4148" s="10" t="s">
        <v>26</v>
      </c>
      <c r="C4148" s="10" t="s">
        <v>23</v>
      </c>
      <c r="D4148" s="10" t="s">
        <v>27</v>
      </c>
      <c r="E4148" s="14">
        <v>1.0</v>
      </c>
      <c r="F4148" s="15">
        <f>ROUND(21,3)</f>
        <v>21</v>
      </c>
      <c r="G4148" s="12">
        <f t="shared" si="657"/>
        <v>21</v>
      </c>
    </row>
    <row r="4149" ht="24.0" customHeight="1">
      <c r="A4149" s="10" t="s">
        <v>28</v>
      </c>
      <c r="B4149" s="10" t="s">
        <v>26</v>
      </c>
      <c r="C4149" s="10" t="s">
        <v>23</v>
      </c>
      <c r="D4149" s="10" t="s">
        <v>29</v>
      </c>
      <c r="E4149" s="14">
        <v>1.0</v>
      </c>
      <c r="F4149" s="15">
        <f t="shared" ref="F4149:F4150" si="658">ROUND(19,3)</f>
        <v>19</v>
      </c>
      <c r="G4149" s="12">
        <f t="shared" si="657"/>
        <v>19</v>
      </c>
    </row>
    <row r="4150" ht="24.0" customHeight="1">
      <c r="A4150" s="10" t="s">
        <v>30</v>
      </c>
      <c r="B4150" s="10" t="s">
        <v>26</v>
      </c>
      <c r="C4150" s="10" t="s">
        <v>23</v>
      </c>
      <c r="D4150" s="10" t="s">
        <v>31</v>
      </c>
      <c r="E4150" s="14">
        <v>0.2</v>
      </c>
      <c r="F4150" s="15">
        <f t="shared" si="658"/>
        <v>19</v>
      </c>
      <c r="G4150" s="12">
        <f t="shared" si="657"/>
        <v>3.8</v>
      </c>
    </row>
    <row r="4151" ht="15.0" customHeight="1">
      <c r="A4151" s="11"/>
      <c r="B4151" s="11"/>
      <c r="C4151" s="11"/>
      <c r="D4151" s="10" t="s">
        <v>22</v>
      </c>
      <c r="E4151" s="14">
        <v>0.66667</v>
      </c>
      <c r="F4151" s="15">
        <f>ROUND((G4148+G4149+G4150),3)</f>
        <v>43.8</v>
      </c>
      <c r="G4151" s="12">
        <f t="shared" si="657"/>
        <v>29.2</v>
      </c>
    </row>
    <row r="4152" ht="15.0" customHeight="1">
      <c r="A4152" s="10" t="s">
        <v>32</v>
      </c>
      <c r="B4152" s="10"/>
      <c r="C4152" s="10" t="s">
        <v>33</v>
      </c>
      <c r="D4152" s="10" t="s">
        <v>34</v>
      </c>
      <c r="E4152" s="14">
        <v>3.0</v>
      </c>
      <c r="F4152" s="15">
        <f>ROUND(29.2,3)</f>
        <v>29.2</v>
      </c>
      <c r="G4152" s="12">
        <f>ROUND((E4152*F4152)/100,2)</f>
        <v>0.88</v>
      </c>
    </row>
    <row r="4153" ht="24.75" customHeight="1">
      <c r="A4153" s="16"/>
      <c r="B4153" s="16"/>
      <c r="C4153" s="16"/>
      <c r="D4153" s="17" t="s">
        <v>1852</v>
      </c>
      <c r="E4153" s="16"/>
      <c r="F4153" s="18">
        <f>ROUND((G4143+G4144+G4145+G4146+G4147+G4152)*(1+G2/100),2)</f>
        <v>37.47</v>
      </c>
      <c r="G4153" s="16"/>
    </row>
    <row r="4154" ht="21.0" customHeight="1">
      <c r="A4154" s="19" t="s">
        <v>1859</v>
      </c>
      <c r="B4154" s="20" t="s">
        <v>18</v>
      </c>
      <c r="C4154" s="20" t="s">
        <v>537</v>
      </c>
      <c r="D4154" s="20" t="s">
        <v>1860</v>
      </c>
      <c r="E4154" s="21"/>
      <c r="F4154" s="22">
        <f>F4159</f>
        <v>10.12</v>
      </c>
      <c r="G4154" s="21"/>
    </row>
    <row r="4155" ht="21.0" customHeight="1">
      <c r="A4155" s="11"/>
      <c r="B4155" s="11"/>
      <c r="C4155" s="11"/>
      <c r="D4155" s="10" t="s">
        <v>1861</v>
      </c>
    </row>
    <row r="4156" ht="30.0" customHeight="1">
      <c r="A4156" s="10" t="s">
        <v>1862</v>
      </c>
      <c r="B4156" s="10" t="s">
        <v>42</v>
      </c>
      <c r="C4156" s="10" t="s">
        <v>1245</v>
      </c>
      <c r="D4156" s="10" t="s">
        <v>1863</v>
      </c>
      <c r="E4156" s="14">
        <v>0.45</v>
      </c>
      <c r="F4156" s="15">
        <f>ROUND(6.32,3)</f>
        <v>6.32</v>
      </c>
      <c r="G4156" s="12">
        <f t="shared" ref="G4156:G4158" si="659">ROUND(E4156*F4156,2)</f>
        <v>2.84</v>
      </c>
    </row>
    <row r="4157" ht="30.0" customHeight="1">
      <c r="A4157" s="10" t="s">
        <v>1864</v>
      </c>
      <c r="B4157" s="10" t="s">
        <v>42</v>
      </c>
      <c r="C4157" s="10" t="s">
        <v>351</v>
      </c>
      <c r="D4157" s="10" t="s">
        <v>1865</v>
      </c>
      <c r="E4157" s="14">
        <v>1.0</v>
      </c>
      <c r="F4157" s="15">
        <f>ROUND(0.63,3)</f>
        <v>0.63</v>
      </c>
      <c r="G4157" s="12">
        <f t="shared" si="659"/>
        <v>0.63</v>
      </c>
    </row>
    <row r="4158" ht="24.0" customHeight="1">
      <c r="A4158" s="10" t="s">
        <v>28</v>
      </c>
      <c r="B4158" s="10" t="s">
        <v>26</v>
      </c>
      <c r="C4158" s="10" t="s">
        <v>23</v>
      </c>
      <c r="D4158" s="10" t="s">
        <v>29</v>
      </c>
      <c r="E4158" s="14">
        <v>0.35</v>
      </c>
      <c r="F4158" s="15">
        <f>ROUND(19,3)</f>
        <v>19</v>
      </c>
      <c r="G4158" s="12">
        <f t="shared" si="659"/>
        <v>6.65</v>
      </c>
    </row>
    <row r="4159" ht="15.0" customHeight="1">
      <c r="A4159" s="16"/>
      <c r="B4159" s="16"/>
      <c r="C4159" s="16"/>
      <c r="D4159" s="17" t="s">
        <v>1859</v>
      </c>
      <c r="E4159" s="16"/>
      <c r="F4159" s="18">
        <f>ROUND((G4156+G4157+G4158)*(1+G2/100),2)</f>
        <v>10.12</v>
      </c>
      <c r="G4159" s="16"/>
    </row>
    <row r="4160" ht="24.75" customHeight="1">
      <c r="A4160" s="19" t="s">
        <v>1866</v>
      </c>
      <c r="B4160" s="20" t="s">
        <v>18</v>
      </c>
      <c r="C4160" s="20" t="s">
        <v>251</v>
      </c>
      <c r="D4160" s="20" t="s">
        <v>1867</v>
      </c>
      <c r="E4160" s="21"/>
      <c r="F4160" s="22">
        <f>F4170</f>
        <v>36.76</v>
      </c>
      <c r="G4160" s="21"/>
    </row>
    <row r="4161" ht="12.0" customHeight="1">
      <c r="A4161" s="11"/>
      <c r="B4161" s="11"/>
      <c r="C4161" s="11"/>
      <c r="D4161" s="10" t="s">
        <v>1868</v>
      </c>
    </row>
    <row r="4162" ht="30.0" customHeight="1">
      <c r="A4162" s="10" t="s">
        <v>1869</v>
      </c>
      <c r="B4162" s="10" t="s">
        <v>42</v>
      </c>
      <c r="C4162" s="10" t="s">
        <v>184</v>
      </c>
      <c r="D4162" s="10" t="s">
        <v>1870</v>
      </c>
      <c r="E4162" s="14">
        <v>0.588</v>
      </c>
      <c r="F4162" s="15">
        <f>ROUND(8.65,3)</f>
        <v>8.65</v>
      </c>
      <c r="G4162" s="12">
        <f t="shared" ref="G4162:G4169" si="660">ROUND(E4162*F4162,2)</f>
        <v>5.09</v>
      </c>
    </row>
    <row r="4163" ht="30.0" customHeight="1">
      <c r="A4163" s="10" t="s">
        <v>1227</v>
      </c>
      <c r="B4163" s="10" t="s">
        <v>42</v>
      </c>
      <c r="C4163" s="10" t="s">
        <v>226</v>
      </c>
      <c r="D4163" s="10" t="s">
        <v>1228</v>
      </c>
      <c r="E4163" s="14">
        <v>0.022</v>
      </c>
      <c r="F4163" s="15">
        <f>ROUND(27.5,3)</f>
        <v>27.5</v>
      </c>
      <c r="G4163" s="12">
        <f t="shared" si="660"/>
        <v>0.61</v>
      </c>
    </row>
    <row r="4164" ht="21.0" customHeight="1">
      <c r="A4164" s="10" t="s">
        <v>1857</v>
      </c>
      <c r="B4164" s="10" t="s">
        <v>42</v>
      </c>
      <c r="C4164" s="10" t="s">
        <v>231</v>
      </c>
      <c r="D4164" s="10" t="s">
        <v>1858</v>
      </c>
      <c r="E4164" s="14">
        <v>0.38</v>
      </c>
      <c r="F4164" s="15">
        <f>ROUND(1.05,3)</f>
        <v>1.05</v>
      </c>
      <c r="G4164" s="12">
        <f t="shared" si="660"/>
        <v>0.4</v>
      </c>
    </row>
    <row r="4165" ht="21.0" customHeight="1">
      <c r="A4165" s="10" t="s">
        <v>22</v>
      </c>
      <c r="B4165" s="10" t="s">
        <v>18</v>
      </c>
      <c r="C4165" s="10" t="s">
        <v>23</v>
      </c>
      <c r="D4165" s="10" t="s">
        <v>24</v>
      </c>
      <c r="E4165" s="14">
        <v>0.7</v>
      </c>
      <c r="F4165" s="15">
        <f>F4169</f>
        <v>43.8</v>
      </c>
      <c r="G4165" s="12">
        <f t="shared" si="660"/>
        <v>30.66</v>
      </c>
    </row>
    <row r="4166" ht="24.0" customHeight="1">
      <c r="A4166" s="10" t="s">
        <v>25</v>
      </c>
      <c r="B4166" s="10" t="s">
        <v>26</v>
      </c>
      <c r="C4166" s="10" t="s">
        <v>23</v>
      </c>
      <c r="D4166" s="10" t="s">
        <v>27</v>
      </c>
      <c r="E4166" s="14">
        <v>1.0</v>
      </c>
      <c r="F4166" s="15">
        <f>ROUND(21,3)</f>
        <v>21</v>
      </c>
      <c r="G4166" s="12">
        <f t="shared" si="660"/>
        <v>21</v>
      </c>
    </row>
    <row r="4167" ht="24.0" customHeight="1">
      <c r="A4167" s="10" t="s">
        <v>28</v>
      </c>
      <c r="B4167" s="10" t="s">
        <v>26</v>
      </c>
      <c r="C4167" s="10" t="s">
        <v>23</v>
      </c>
      <c r="D4167" s="10" t="s">
        <v>29</v>
      </c>
      <c r="E4167" s="14">
        <v>1.0</v>
      </c>
      <c r="F4167" s="15">
        <f t="shared" ref="F4167:F4168" si="661">ROUND(19,3)</f>
        <v>19</v>
      </c>
      <c r="G4167" s="12">
        <f t="shared" si="660"/>
        <v>19</v>
      </c>
    </row>
    <row r="4168" ht="24.0" customHeight="1">
      <c r="A4168" s="10" t="s">
        <v>30</v>
      </c>
      <c r="B4168" s="10" t="s">
        <v>26</v>
      </c>
      <c r="C4168" s="10" t="s">
        <v>23</v>
      </c>
      <c r="D4168" s="10" t="s">
        <v>31</v>
      </c>
      <c r="E4168" s="14">
        <v>0.2</v>
      </c>
      <c r="F4168" s="15">
        <f t="shared" si="661"/>
        <v>19</v>
      </c>
      <c r="G4168" s="12">
        <f t="shared" si="660"/>
        <v>3.8</v>
      </c>
    </row>
    <row r="4169" ht="15.0" customHeight="1">
      <c r="A4169" s="11"/>
      <c r="B4169" s="11"/>
      <c r="C4169" s="11"/>
      <c r="D4169" s="10" t="s">
        <v>22</v>
      </c>
      <c r="E4169" s="14">
        <v>0.7</v>
      </c>
      <c r="F4169" s="15">
        <f>ROUND((G4166+G4167+G4168),3)</f>
        <v>43.8</v>
      </c>
      <c r="G4169" s="12">
        <f t="shared" si="660"/>
        <v>30.66</v>
      </c>
    </row>
    <row r="4170" ht="15.0" customHeight="1">
      <c r="A4170" s="16"/>
      <c r="B4170" s="16"/>
      <c r="C4170" s="16"/>
      <c r="D4170" s="17" t="s">
        <v>1866</v>
      </c>
      <c r="E4170" s="16"/>
      <c r="F4170" s="18">
        <f>ROUND((G4162+G4163+G4164+G4165)*(1+G2/100),2)</f>
        <v>36.76</v>
      </c>
      <c r="G4170" s="16"/>
    </row>
    <row r="4171" ht="24.75" customHeight="1">
      <c r="A4171" s="19" t="s">
        <v>1871</v>
      </c>
      <c r="B4171" s="20" t="s">
        <v>18</v>
      </c>
      <c r="C4171" s="20" t="s">
        <v>19</v>
      </c>
      <c r="D4171" s="20" t="s">
        <v>1872</v>
      </c>
      <c r="E4171" s="21"/>
      <c r="F4171" s="22">
        <f>F4181</f>
        <v>42.88</v>
      </c>
      <c r="G4171" s="21"/>
    </row>
    <row r="4172" ht="12.0" customHeight="1">
      <c r="A4172" s="11"/>
      <c r="B4172" s="11"/>
      <c r="C4172" s="11"/>
      <c r="D4172" s="10" t="s">
        <v>1872</v>
      </c>
    </row>
    <row r="4173" ht="39.75" customHeight="1">
      <c r="A4173" s="10" t="s">
        <v>1873</v>
      </c>
      <c r="B4173" s="10" t="s">
        <v>42</v>
      </c>
      <c r="C4173" s="10" t="s">
        <v>184</v>
      </c>
      <c r="D4173" s="10" t="s">
        <v>1874</v>
      </c>
      <c r="E4173" s="14">
        <v>0.56</v>
      </c>
      <c r="F4173" s="15">
        <f>ROUND(20.04,3)</f>
        <v>20.04</v>
      </c>
      <c r="G4173" s="12">
        <f t="shared" ref="G4173:G4180" si="662">ROUND(E4173*F4173,2)</f>
        <v>11.22</v>
      </c>
    </row>
    <row r="4174" ht="30.0" customHeight="1">
      <c r="A4174" s="10" t="s">
        <v>1227</v>
      </c>
      <c r="B4174" s="10" t="s">
        <v>42</v>
      </c>
      <c r="C4174" s="10" t="s">
        <v>226</v>
      </c>
      <c r="D4174" s="10" t="s">
        <v>1228</v>
      </c>
      <c r="E4174" s="14">
        <v>0.022</v>
      </c>
      <c r="F4174" s="15">
        <f>ROUND(27.5,3)</f>
        <v>27.5</v>
      </c>
      <c r="G4174" s="12">
        <f t="shared" si="662"/>
        <v>0.61</v>
      </c>
    </row>
    <row r="4175" ht="21.0" customHeight="1">
      <c r="A4175" s="10" t="s">
        <v>1857</v>
      </c>
      <c r="B4175" s="10" t="s">
        <v>42</v>
      </c>
      <c r="C4175" s="10" t="s">
        <v>231</v>
      </c>
      <c r="D4175" s="10" t="s">
        <v>1858</v>
      </c>
      <c r="E4175" s="14">
        <v>0.375</v>
      </c>
      <c r="F4175" s="15">
        <f>ROUND(1.05,3)</f>
        <v>1.05</v>
      </c>
      <c r="G4175" s="12">
        <f t="shared" si="662"/>
        <v>0.39</v>
      </c>
    </row>
    <row r="4176" ht="21.0" customHeight="1">
      <c r="A4176" s="10" t="s">
        <v>22</v>
      </c>
      <c r="B4176" s="10" t="s">
        <v>18</v>
      </c>
      <c r="C4176" s="10" t="s">
        <v>23</v>
      </c>
      <c r="D4176" s="10" t="s">
        <v>24</v>
      </c>
      <c r="E4176" s="14">
        <v>0.7</v>
      </c>
      <c r="F4176" s="15">
        <f>F4180</f>
        <v>43.8</v>
      </c>
      <c r="G4176" s="12">
        <f t="shared" si="662"/>
        <v>30.66</v>
      </c>
    </row>
    <row r="4177" ht="24.0" customHeight="1">
      <c r="A4177" s="10" t="s">
        <v>25</v>
      </c>
      <c r="B4177" s="10" t="s">
        <v>26</v>
      </c>
      <c r="C4177" s="10" t="s">
        <v>23</v>
      </c>
      <c r="D4177" s="10" t="s">
        <v>27</v>
      </c>
      <c r="E4177" s="14">
        <v>1.0</v>
      </c>
      <c r="F4177" s="15">
        <f>ROUND(21,3)</f>
        <v>21</v>
      </c>
      <c r="G4177" s="12">
        <f t="shared" si="662"/>
        <v>21</v>
      </c>
    </row>
    <row r="4178" ht="24.0" customHeight="1">
      <c r="A4178" s="10" t="s">
        <v>28</v>
      </c>
      <c r="B4178" s="10" t="s">
        <v>26</v>
      </c>
      <c r="C4178" s="10" t="s">
        <v>23</v>
      </c>
      <c r="D4178" s="10" t="s">
        <v>29</v>
      </c>
      <c r="E4178" s="14">
        <v>1.0</v>
      </c>
      <c r="F4178" s="15">
        <f t="shared" ref="F4178:F4179" si="663">ROUND(19,3)</f>
        <v>19</v>
      </c>
      <c r="G4178" s="12">
        <f t="shared" si="662"/>
        <v>19</v>
      </c>
    </row>
    <row r="4179" ht="24.0" customHeight="1">
      <c r="A4179" s="10" t="s">
        <v>30</v>
      </c>
      <c r="B4179" s="10" t="s">
        <v>26</v>
      </c>
      <c r="C4179" s="10" t="s">
        <v>23</v>
      </c>
      <c r="D4179" s="10" t="s">
        <v>31</v>
      </c>
      <c r="E4179" s="14">
        <v>0.2</v>
      </c>
      <c r="F4179" s="15">
        <f t="shared" si="663"/>
        <v>19</v>
      </c>
      <c r="G4179" s="12">
        <f t="shared" si="662"/>
        <v>3.8</v>
      </c>
    </row>
    <row r="4180" ht="15.0" customHeight="1">
      <c r="A4180" s="11"/>
      <c r="B4180" s="11"/>
      <c r="C4180" s="11"/>
      <c r="D4180" s="10" t="s">
        <v>22</v>
      </c>
      <c r="E4180" s="14">
        <v>0.7</v>
      </c>
      <c r="F4180" s="15">
        <f>ROUND((G4177+G4178+G4179),3)</f>
        <v>43.8</v>
      </c>
      <c r="G4180" s="12">
        <f t="shared" si="662"/>
        <v>30.66</v>
      </c>
    </row>
    <row r="4181" ht="15.0" customHeight="1">
      <c r="A4181" s="16"/>
      <c r="B4181" s="16"/>
      <c r="C4181" s="16"/>
      <c r="D4181" s="17" t="s">
        <v>1871</v>
      </c>
      <c r="E4181" s="16"/>
      <c r="F4181" s="18">
        <f>ROUND((G4173+G4174+G4175+G4176)*(1+G2/100),2)</f>
        <v>42.88</v>
      </c>
      <c r="G4181" s="16"/>
    </row>
    <row r="4182" ht="30.0" customHeight="1">
      <c r="A4182" s="19" t="s">
        <v>1875</v>
      </c>
      <c r="B4182" s="20" t="s">
        <v>18</v>
      </c>
      <c r="C4182" s="20" t="s">
        <v>251</v>
      </c>
      <c r="D4182" s="20" t="s">
        <v>1876</v>
      </c>
      <c r="E4182" s="21"/>
      <c r="F4182" s="22">
        <f>F4193</f>
        <v>14.18</v>
      </c>
      <c r="G4182" s="21"/>
    </row>
    <row r="4183" ht="48.75" customHeight="1">
      <c r="A4183" s="11"/>
      <c r="B4183" s="11"/>
      <c r="C4183" s="11"/>
      <c r="D4183" s="10" t="s">
        <v>1877</v>
      </c>
    </row>
    <row r="4184" ht="39.75" customHeight="1">
      <c r="A4184" s="10" t="s">
        <v>1878</v>
      </c>
      <c r="B4184" s="10" t="s">
        <v>42</v>
      </c>
      <c r="C4184" s="10" t="s">
        <v>184</v>
      </c>
      <c r="D4184" s="10" t="s">
        <v>1879</v>
      </c>
      <c r="E4184" s="14">
        <v>0.132</v>
      </c>
      <c r="F4184" s="15">
        <f>ROUND(13.45,3)</f>
        <v>13.45</v>
      </c>
      <c r="G4184" s="12">
        <f t="shared" ref="G4184:G4192" si="664">ROUND(E4184*F4184,2)</f>
        <v>1.78</v>
      </c>
    </row>
    <row r="4185" ht="30.0" customHeight="1">
      <c r="A4185" s="10" t="s">
        <v>1880</v>
      </c>
      <c r="B4185" s="10" t="s">
        <v>42</v>
      </c>
      <c r="C4185" s="10" t="s">
        <v>1881</v>
      </c>
      <c r="D4185" s="10" t="s">
        <v>1882</v>
      </c>
      <c r="E4185" s="14">
        <v>1.1</v>
      </c>
      <c r="F4185" s="15">
        <f>ROUND(2.34,3)</f>
        <v>2.34</v>
      </c>
      <c r="G4185" s="12">
        <f t="shared" si="664"/>
        <v>2.57</v>
      </c>
    </row>
    <row r="4186" ht="30.0" customHeight="1">
      <c r="A4186" s="10" t="s">
        <v>1883</v>
      </c>
      <c r="B4186" s="10" t="s">
        <v>42</v>
      </c>
      <c r="C4186" s="10" t="s">
        <v>1881</v>
      </c>
      <c r="D4186" s="10" t="s">
        <v>1884</v>
      </c>
      <c r="E4186" s="14">
        <v>0.001</v>
      </c>
      <c r="F4186" s="15">
        <f>ROUND(4.68,3)</f>
        <v>4.68</v>
      </c>
      <c r="G4186" s="12">
        <f t="shared" si="664"/>
        <v>0</v>
      </c>
    </row>
    <row r="4187" ht="48.75" customHeight="1">
      <c r="A4187" s="10" t="s">
        <v>1885</v>
      </c>
      <c r="B4187" s="10" t="s">
        <v>42</v>
      </c>
      <c r="C4187" s="10" t="s">
        <v>325</v>
      </c>
      <c r="D4187" s="10" t="s">
        <v>1886</v>
      </c>
      <c r="E4187" s="14">
        <v>0.03</v>
      </c>
      <c r="F4187" s="15">
        <f>ROUND(35.69,3)</f>
        <v>35.69</v>
      </c>
      <c r="G4187" s="12">
        <f t="shared" si="664"/>
        <v>1.07</v>
      </c>
    </row>
    <row r="4188" ht="21.0" customHeight="1">
      <c r="A4188" s="10" t="s">
        <v>22</v>
      </c>
      <c r="B4188" s="10" t="s">
        <v>18</v>
      </c>
      <c r="C4188" s="10" t="s">
        <v>23</v>
      </c>
      <c r="D4188" s="10" t="s">
        <v>24</v>
      </c>
      <c r="E4188" s="14">
        <v>0.2</v>
      </c>
      <c r="F4188" s="15">
        <f>F4192</f>
        <v>43.8</v>
      </c>
      <c r="G4188" s="12">
        <f t="shared" si="664"/>
        <v>8.76</v>
      </c>
    </row>
    <row r="4189" ht="24.0" customHeight="1">
      <c r="A4189" s="10" t="s">
        <v>25</v>
      </c>
      <c r="B4189" s="10" t="s">
        <v>26</v>
      </c>
      <c r="C4189" s="10" t="s">
        <v>23</v>
      </c>
      <c r="D4189" s="10" t="s">
        <v>27</v>
      </c>
      <c r="E4189" s="14">
        <v>1.0</v>
      </c>
      <c r="F4189" s="15">
        <f>ROUND(21,3)</f>
        <v>21</v>
      </c>
      <c r="G4189" s="12">
        <f t="shared" si="664"/>
        <v>21</v>
      </c>
    </row>
    <row r="4190" ht="24.0" customHeight="1">
      <c r="A4190" s="10" t="s">
        <v>28</v>
      </c>
      <c r="B4190" s="10" t="s">
        <v>26</v>
      </c>
      <c r="C4190" s="10" t="s">
        <v>23</v>
      </c>
      <c r="D4190" s="10" t="s">
        <v>29</v>
      </c>
      <c r="E4190" s="14">
        <v>1.0</v>
      </c>
      <c r="F4190" s="15">
        <f t="shared" ref="F4190:F4191" si="665">ROUND(19,3)</f>
        <v>19</v>
      </c>
      <c r="G4190" s="12">
        <f t="shared" si="664"/>
        <v>19</v>
      </c>
    </row>
    <row r="4191" ht="24.0" customHeight="1">
      <c r="A4191" s="10" t="s">
        <v>30</v>
      </c>
      <c r="B4191" s="10" t="s">
        <v>26</v>
      </c>
      <c r="C4191" s="10" t="s">
        <v>23</v>
      </c>
      <c r="D4191" s="10" t="s">
        <v>31</v>
      </c>
      <c r="E4191" s="14">
        <v>0.2</v>
      </c>
      <c r="F4191" s="15">
        <f t="shared" si="665"/>
        <v>19</v>
      </c>
      <c r="G4191" s="12">
        <f t="shared" si="664"/>
        <v>3.8</v>
      </c>
    </row>
    <row r="4192" ht="15.0" customHeight="1">
      <c r="A4192" s="11"/>
      <c r="B4192" s="11"/>
      <c r="C4192" s="11"/>
      <c r="D4192" s="10" t="s">
        <v>22</v>
      </c>
      <c r="E4192" s="14">
        <v>0.2</v>
      </c>
      <c r="F4192" s="15">
        <f>ROUND((G4189+G4190+G4191),3)</f>
        <v>43.8</v>
      </c>
      <c r="G4192" s="12">
        <f t="shared" si="664"/>
        <v>8.76</v>
      </c>
    </row>
    <row r="4193" ht="15.0" customHeight="1">
      <c r="A4193" s="16"/>
      <c r="B4193" s="16"/>
      <c r="C4193" s="16"/>
      <c r="D4193" s="17" t="s">
        <v>1875</v>
      </c>
      <c r="E4193" s="16"/>
      <c r="F4193" s="18">
        <f>ROUND((G4184+G4185+G4186+G4187+G4188)*(1+G2/100),2)</f>
        <v>14.18</v>
      </c>
      <c r="G4193" s="16"/>
    </row>
    <row r="4194" ht="21.0" customHeight="1">
      <c r="A4194" s="19" t="s">
        <v>1887</v>
      </c>
      <c r="B4194" s="20" t="s">
        <v>18</v>
      </c>
      <c r="C4194" s="20" t="s">
        <v>251</v>
      </c>
      <c r="D4194" s="20" t="s">
        <v>1888</v>
      </c>
      <c r="E4194" s="21"/>
      <c r="F4194" s="22">
        <f>F4205</f>
        <v>41.43</v>
      </c>
      <c r="G4194" s="21"/>
    </row>
    <row r="4195" ht="12.0" customHeight="1">
      <c r="A4195" s="11"/>
      <c r="B4195" s="11"/>
      <c r="C4195" s="11"/>
      <c r="D4195" s="10" t="s">
        <v>1888</v>
      </c>
    </row>
    <row r="4196" ht="21.0" customHeight="1">
      <c r="A4196" s="10" t="s">
        <v>1889</v>
      </c>
      <c r="B4196" s="10" t="s">
        <v>42</v>
      </c>
      <c r="C4196" s="10" t="s">
        <v>19</v>
      </c>
      <c r="D4196" s="10" t="s">
        <v>1890</v>
      </c>
      <c r="E4196" s="14">
        <v>1.1</v>
      </c>
      <c r="F4196" s="15">
        <f>ROUND(16,3)</f>
        <v>16</v>
      </c>
      <c r="G4196" s="12">
        <f t="shared" ref="G4196:G4204" si="666">ROUND(E4196*F4196,2)</f>
        <v>17.6</v>
      </c>
    </row>
    <row r="4197" ht="21.0" customHeight="1">
      <c r="A4197" s="10" t="s">
        <v>548</v>
      </c>
      <c r="B4197" s="10" t="s">
        <v>42</v>
      </c>
      <c r="C4197" s="10" t="s">
        <v>304</v>
      </c>
      <c r="D4197" s="10" t="s">
        <v>549</v>
      </c>
      <c r="E4197" s="14">
        <v>6.0</v>
      </c>
      <c r="F4197" s="15">
        <f>ROUND(0.15,3)</f>
        <v>0.15</v>
      </c>
      <c r="G4197" s="12">
        <f t="shared" si="666"/>
        <v>0.9</v>
      </c>
    </row>
    <row r="4198" ht="30.0" customHeight="1">
      <c r="A4198" s="10" t="s">
        <v>1891</v>
      </c>
      <c r="B4198" s="10" t="s">
        <v>42</v>
      </c>
      <c r="C4198" s="10" t="s">
        <v>351</v>
      </c>
      <c r="D4198" s="10" t="s">
        <v>1892</v>
      </c>
      <c r="E4198" s="14">
        <v>0.5</v>
      </c>
      <c r="F4198" s="15">
        <f>ROUND(2,3)</f>
        <v>2</v>
      </c>
      <c r="G4198" s="12">
        <f t="shared" si="666"/>
        <v>1</v>
      </c>
    </row>
    <row r="4199" ht="21.0" customHeight="1">
      <c r="A4199" s="10" t="s">
        <v>22</v>
      </c>
      <c r="B4199" s="10" t="s">
        <v>18</v>
      </c>
      <c r="C4199" s="10" t="s">
        <v>23</v>
      </c>
      <c r="D4199" s="10" t="s">
        <v>24</v>
      </c>
      <c r="E4199" s="14">
        <v>0.2</v>
      </c>
      <c r="F4199" s="15">
        <f>F4203</f>
        <v>43.8</v>
      </c>
      <c r="G4199" s="12">
        <f t="shared" si="666"/>
        <v>8.76</v>
      </c>
    </row>
    <row r="4200" ht="24.0" customHeight="1">
      <c r="A4200" s="10" t="s">
        <v>25</v>
      </c>
      <c r="B4200" s="10" t="s">
        <v>26</v>
      </c>
      <c r="C4200" s="10" t="s">
        <v>23</v>
      </c>
      <c r="D4200" s="10" t="s">
        <v>27</v>
      </c>
      <c r="E4200" s="14">
        <v>1.0</v>
      </c>
      <c r="F4200" s="15">
        <f>ROUND(21,3)</f>
        <v>21</v>
      </c>
      <c r="G4200" s="12">
        <f t="shared" si="666"/>
        <v>21</v>
      </c>
    </row>
    <row r="4201" ht="24.0" customHeight="1">
      <c r="A4201" s="10" t="s">
        <v>28</v>
      </c>
      <c r="B4201" s="10" t="s">
        <v>26</v>
      </c>
      <c r="C4201" s="10" t="s">
        <v>23</v>
      </c>
      <c r="D4201" s="10" t="s">
        <v>29</v>
      </c>
      <c r="E4201" s="14">
        <v>1.0</v>
      </c>
      <c r="F4201" s="15">
        <f t="shared" ref="F4201:F4202" si="667">ROUND(19,3)</f>
        <v>19</v>
      </c>
      <c r="G4201" s="12">
        <f t="shared" si="666"/>
        <v>19</v>
      </c>
    </row>
    <row r="4202" ht="24.0" customHeight="1">
      <c r="A4202" s="10" t="s">
        <v>30</v>
      </c>
      <c r="B4202" s="10" t="s">
        <v>26</v>
      </c>
      <c r="C4202" s="10" t="s">
        <v>23</v>
      </c>
      <c r="D4202" s="10" t="s">
        <v>31</v>
      </c>
      <c r="E4202" s="14">
        <v>0.2</v>
      </c>
      <c r="F4202" s="15">
        <f t="shared" si="667"/>
        <v>19</v>
      </c>
      <c r="G4202" s="12">
        <f t="shared" si="666"/>
        <v>3.8</v>
      </c>
    </row>
    <row r="4203" ht="15.0" customHeight="1">
      <c r="A4203" s="11"/>
      <c r="B4203" s="11"/>
      <c r="C4203" s="11"/>
      <c r="D4203" s="10" t="s">
        <v>22</v>
      </c>
      <c r="E4203" s="14">
        <v>0.2</v>
      </c>
      <c r="F4203" s="15">
        <f>ROUND((G4200+G4201+G4202),3)</f>
        <v>43.8</v>
      </c>
      <c r="G4203" s="12">
        <f t="shared" si="666"/>
        <v>8.76</v>
      </c>
    </row>
    <row r="4204" ht="24.0" customHeight="1">
      <c r="A4204" s="10" t="s">
        <v>1186</v>
      </c>
      <c r="B4204" s="10" t="s">
        <v>26</v>
      </c>
      <c r="C4204" s="10" t="s">
        <v>23</v>
      </c>
      <c r="D4204" s="10" t="s">
        <v>1187</v>
      </c>
      <c r="E4204" s="14">
        <v>0.266</v>
      </c>
      <c r="F4204" s="15">
        <f>ROUND(49.5,3)</f>
        <v>49.5</v>
      </c>
      <c r="G4204" s="12">
        <f t="shared" si="666"/>
        <v>13.17</v>
      </c>
    </row>
    <row r="4205" ht="15.0" customHeight="1">
      <c r="A4205" s="16"/>
      <c r="B4205" s="16"/>
      <c r="C4205" s="16"/>
      <c r="D4205" s="17" t="s">
        <v>1887</v>
      </c>
      <c r="E4205" s="16"/>
      <c r="F4205" s="18">
        <f>ROUND((G4196+G4197+G4198+G4199+G4204)*(1+G2/100),2)</f>
        <v>41.43</v>
      </c>
      <c r="G4205" s="16"/>
    </row>
    <row r="4206" ht="30.0" customHeight="1">
      <c r="A4206" s="19" t="s">
        <v>1893</v>
      </c>
      <c r="B4206" s="20" t="s">
        <v>18</v>
      </c>
      <c r="C4206" s="20" t="s">
        <v>251</v>
      </c>
      <c r="D4206" s="20" t="s">
        <v>1894</v>
      </c>
      <c r="E4206" s="21"/>
      <c r="F4206" s="22">
        <f>F4224</f>
        <v>110.92</v>
      </c>
      <c r="G4206" s="21"/>
    </row>
    <row r="4207" ht="21.0" customHeight="1">
      <c r="A4207" s="11"/>
      <c r="B4207" s="11"/>
      <c r="C4207" s="11"/>
      <c r="D4207" s="10" t="s">
        <v>1894</v>
      </c>
    </row>
    <row r="4208" ht="30.0" customHeight="1">
      <c r="A4208" s="10" t="s">
        <v>1895</v>
      </c>
      <c r="B4208" s="10" t="s">
        <v>42</v>
      </c>
      <c r="C4208" s="10" t="s">
        <v>184</v>
      </c>
      <c r="D4208" s="10" t="s">
        <v>1896</v>
      </c>
      <c r="E4208" s="14">
        <v>0.66</v>
      </c>
      <c r="F4208" s="15">
        <f>ROUND(28,3)</f>
        <v>28</v>
      </c>
      <c r="G4208" s="12">
        <f t="shared" ref="G4208:G4223" si="668">ROUND(E4208*F4208,2)</f>
        <v>18.48</v>
      </c>
    </row>
    <row r="4209" ht="30.0" customHeight="1">
      <c r="A4209" s="10" t="s">
        <v>1883</v>
      </c>
      <c r="B4209" s="10" t="s">
        <v>42</v>
      </c>
      <c r="C4209" s="10" t="s">
        <v>1881</v>
      </c>
      <c r="D4209" s="10" t="s">
        <v>1884</v>
      </c>
      <c r="E4209" s="14">
        <v>2.1</v>
      </c>
      <c r="F4209" s="15">
        <f>ROUND(4.68,3)</f>
        <v>4.68</v>
      </c>
      <c r="G4209" s="12">
        <f t="shared" si="668"/>
        <v>9.83</v>
      </c>
    </row>
    <row r="4210" ht="48.75" customHeight="1">
      <c r="A4210" s="10" t="s">
        <v>1897</v>
      </c>
      <c r="B4210" s="10" t="s">
        <v>42</v>
      </c>
      <c r="C4210" s="10" t="s">
        <v>325</v>
      </c>
      <c r="D4210" s="10" t="s">
        <v>1898</v>
      </c>
      <c r="E4210" s="14">
        <v>0.035</v>
      </c>
      <c r="F4210" s="15">
        <f>ROUND(72.45,3)</f>
        <v>72.45</v>
      </c>
      <c r="G4210" s="12">
        <f t="shared" si="668"/>
        <v>2.54</v>
      </c>
    </row>
    <row r="4211" ht="30.0" customHeight="1">
      <c r="A4211" s="10" t="s">
        <v>1899</v>
      </c>
      <c r="B4211" s="10" t="s">
        <v>42</v>
      </c>
      <c r="C4211" s="10" t="s">
        <v>226</v>
      </c>
      <c r="D4211" s="10" t="s">
        <v>1900</v>
      </c>
      <c r="E4211" s="14">
        <v>0.022</v>
      </c>
      <c r="F4211" s="15">
        <f>ROUND(75.52,3)</f>
        <v>75.52</v>
      </c>
      <c r="G4211" s="12">
        <f t="shared" si="668"/>
        <v>1.66</v>
      </c>
    </row>
    <row r="4212" ht="39.75" customHeight="1">
      <c r="A4212" s="10" t="s">
        <v>1901</v>
      </c>
      <c r="B4212" s="10" t="s">
        <v>42</v>
      </c>
      <c r="C4212" s="10" t="s">
        <v>276</v>
      </c>
      <c r="D4212" s="10" t="s">
        <v>1902</v>
      </c>
      <c r="E4212" s="14">
        <v>0.3</v>
      </c>
      <c r="F4212" s="15">
        <f>ROUND(94.92,3)</f>
        <v>94.92</v>
      </c>
      <c r="G4212" s="12">
        <f t="shared" si="668"/>
        <v>28.48</v>
      </c>
    </row>
    <row r="4213" ht="48.75" customHeight="1">
      <c r="A4213" s="10" t="s">
        <v>1903</v>
      </c>
      <c r="B4213" s="10" t="s">
        <v>42</v>
      </c>
      <c r="C4213" s="10" t="s">
        <v>276</v>
      </c>
      <c r="D4213" s="10" t="s">
        <v>1904</v>
      </c>
      <c r="E4213" s="14">
        <v>0.12</v>
      </c>
      <c r="F4213" s="15">
        <f>ROUND(123.34,3)</f>
        <v>123.34</v>
      </c>
      <c r="G4213" s="12">
        <f t="shared" si="668"/>
        <v>14.8</v>
      </c>
    </row>
    <row r="4214" ht="39.75" customHeight="1">
      <c r="A4214" s="10" t="s">
        <v>1905</v>
      </c>
      <c r="B4214" s="10" t="s">
        <v>42</v>
      </c>
      <c r="C4214" s="10" t="s">
        <v>1207</v>
      </c>
      <c r="D4214" s="10" t="s">
        <v>1906</v>
      </c>
      <c r="E4214" s="14">
        <v>0.001</v>
      </c>
      <c r="F4214" s="15">
        <f>ROUND(2.85,3)</f>
        <v>2.85</v>
      </c>
      <c r="G4214" s="12">
        <f t="shared" si="668"/>
        <v>0</v>
      </c>
    </row>
    <row r="4215" ht="30.0" customHeight="1">
      <c r="A4215" s="10" t="s">
        <v>1907</v>
      </c>
      <c r="B4215" s="10" t="s">
        <v>42</v>
      </c>
      <c r="C4215" s="10" t="s">
        <v>1207</v>
      </c>
      <c r="D4215" s="10" t="s">
        <v>1908</v>
      </c>
      <c r="E4215" s="14">
        <v>0.001</v>
      </c>
      <c r="F4215" s="15">
        <f>ROUND(2.62,3)</f>
        <v>2.62</v>
      </c>
      <c r="G4215" s="12">
        <f t="shared" si="668"/>
        <v>0</v>
      </c>
    </row>
    <row r="4216" ht="30.0" customHeight="1">
      <c r="A4216" s="10" t="s">
        <v>1880</v>
      </c>
      <c r="B4216" s="10" t="s">
        <v>42</v>
      </c>
      <c r="C4216" s="10" t="s">
        <v>1881</v>
      </c>
      <c r="D4216" s="10" t="s">
        <v>1882</v>
      </c>
      <c r="E4216" s="14">
        <v>0.001</v>
      </c>
      <c r="F4216" s="15">
        <f>ROUND(2.34,3)</f>
        <v>2.34</v>
      </c>
      <c r="G4216" s="12">
        <f t="shared" si="668"/>
        <v>0</v>
      </c>
    </row>
    <row r="4217" ht="30.0" customHeight="1">
      <c r="A4217" s="10" t="s">
        <v>1909</v>
      </c>
      <c r="B4217" s="10" t="s">
        <v>42</v>
      </c>
      <c r="C4217" s="10" t="s">
        <v>276</v>
      </c>
      <c r="D4217" s="10" t="s">
        <v>1910</v>
      </c>
      <c r="E4217" s="14">
        <v>0.001</v>
      </c>
      <c r="F4217" s="15">
        <f>ROUND(44.2,3)</f>
        <v>44.2</v>
      </c>
      <c r="G4217" s="12">
        <f t="shared" si="668"/>
        <v>0.04</v>
      </c>
    </row>
    <row r="4218" ht="30.0" customHeight="1">
      <c r="A4218" s="10" t="s">
        <v>1911</v>
      </c>
      <c r="B4218" s="10" t="s">
        <v>42</v>
      </c>
      <c r="C4218" s="10" t="s">
        <v>226</v>
      </c>
      <c r="D4218" s="10" t="s">
        <v>1912</v>
      </c>
      <c r="E4218" s="14">
        <v>0.001</v>
      </c>
      <c r="F4218" s="15">
        <f>ROUND(52.25,3)</f>
        <v>52.25</v>
      </c>
      <c r="G4218" s="12">
        <f t="shared" si="668"/>
        <v>0.05</v>
      </c>
    </row>
    <row r="4219" ht="21.0" customHeight="1">
      <c r="A4219" s="10" t="s">
        <v>22</v>
      </c>
      <c r="B4219" s="10" t="s">
        <v>18</v>
      </c>
      <c r="C4219" s="10" t="s">
        <v>23</v>
      </c>
      <c r="D4219" s="10" t="s">
        <v>24</v>
      </c>
      <c r="E4219" s="14">
        <v>0.8</v>
      </c>
      <c r="F4219" s="15">
        <f>F4223</f>
        <v>43.8</v>
      </c>
      <c r="G4219" s="12">
        <f t="shared" si="668"/>
        <v>35.04</v>
      </c>
    </row>
    <row r="4220" ht="24.0" customHeight="1">
      <c r="A4220" s="10" t="s">
        <v>25</v>
      </c>
      <c r="B4220" s="10" t="s">
        <v>26</v>
      </c>
      <c r="C4220" s="10" t="s">
        <v>23</v>
      </c>
      <c r="D4220" s="10" t="s">
        <v>27</v>
      </c>
      <c r="E4220" s="14">
        <v>1.0</v>
      </c>
      <c r="F4220" s="15">
        <f>ROUND(21,3)</f>
        <v>21</v>
      </c>
      <c r="G4220" s="12">
        <f t="shared" si="668"/>
        <v>21</v>
      </c>
    </row>
    <row r="4221" ht="24.0" customHeight="1">
      <c r="A4221" s="10" t="s">
        <v>28</v>
      </c>
      <c r="B4221" s="10" t="s">
        <v>26</v>
      </c>
      <c r="C4221" s="10" t="s">
        <v>23</v>
      </c>
      <c r="D4221" s="10" t="s">
        <v>29</v>
      </c>
      <c r="E4221" s="14">
        <v>1.0</v>
      </c>
      <c r="F4221" s="15">
        <f t="shared" ref="F4221:F4222" si="669">ROUND(19,3)</f>
        <v>19</v>
      </c>
      <c r="G4221" s="12">
        <f t="shared" si="668"/>
        <v>19</v>
      </c>
    </row>
    <row r="4222" ht="24.0" customHeight="1">
      <c r="A4222" s="10" t="s">
        <v>30</v>
      </c>
      <c r="B4222" s="10" t="s">
        <v>26</v>
      </c>
      <c r="C4222" s="10" t="s">
        <v>23</v>
      </c>
      <c r="D4222" s="10" t="s">
        <v>31</v>
      </c>
      <c r="E4222" s="14">
        <v>0.2</v>
      </c>
      <c r="F4222" s="15">
        <f t="shared" si="669"/>
        <v>19</v>
      </c>
      <c r="G4222" s="12">
        <f t="shared" si="668"/>
        <v>3.8</v>
      </c>
    </row>
    <row r="4223" ht="15.0" customHeight="1">
      <c r="A4223" s="11"/>
      <c r="B4223" s="11"/>
      <c r="C4223" s="11"/>
      <c r="D4223" s="10" t="s">
        <v>22</v>
      </c>
      <c r="E4223" s="14">
        <v>0.8</v>
      </c>
      <c r="F4223" s="15">
        <f>ROUND((G4220+G4221+G4222),3)</f>
        <v>43.8</v>
      </c>
      <c r="G4223" s="12">
        <f t="shared" si="668"/>
        <v>35.04</v>
      </c>
    </row>
    <row r="4224" ht="15.0" customHeight="1">
      <c r="A4224" s="16"/>
      <c r="B4224" s="16"/>
      <c r="C4224" s="16"/>
      <c r="D4224" s="17" t="s">
        <v>1893</v>
      </c>
      <c r="E4224" s="16"/>
      <c r="F4224" s="18">
        <f>ROUND((G4208+G4209+G4210+G4211+G4212+G4213+G4214+G4215+G4216+G4217+G4218+G4219)*(1+G2/100),2)</f>
        <v>110.92</v>
      </c>
      <c r="G4224" s="16"/>
    </row>
    <row r="4225" ht="24.75" customHeight="1">
      <c r="A4225" s="19" t="s">
        <v>1913</v>
      </c>
      <c r="B4225" s="20" t="s">
        <v>18</v>
      </c>
      <c r="C4225" s="20" t="s">
        <v>251</v>
      </c>
      <c r="D4225" s="20" t="s">
        <v>1914</v>
      </c>
      <c r="E4225" s="21"/>
      <c r="F4225" s="22">
        <f>F4235</f>
        <v>44.03</v>
      </c>
      <c r="G4225" s="21"/>
    </row>
    <row r="4226" ht="30.0" customHeight="1">
      <c r="A4226" s="11"/>
      <c r="B4226" s="11"/>
      <c r="C4226" s="11"/>
      <c r="D4226" s="10" t="s">
        <v>1915</v>
      </c>
    </row>
    <row r="4227" ht="30.0" customHeight="1">
      <c r="A4227" s="10" t="s">
        <v>1869</v>
      </c>
      <c r="B4227" s="10" t="s">
        <v>42</v>
      </c>
      <c r="C4227" s="10" t="s">
        <v>184</v>
      </c>
      <c r="D4227" s="10" t="s">
        <v>1870</v>
      </c>
      <c r="E4227" s="14">
        <v>1.176</v>
      </c>
      <c r="F4227" s="15">
        <f>ROUND(8.65,3)</f>
        <v>8.65</v>
      </c>
      <c r="G4227" s="12">
        <f t="shared" ref="G4227:G4234" si="670">ROUND(E4227*F4227,2)</f>
        <v>10.17</v>
      </c>
    </row>
    <row r="4228" ht="30.0" customHeight="1">
      <c r="A4228" s="10" t="s">
        <v>1227</v>
      </c>
      <c r="B4228" s="10" t="s">
        <v>42</v>
      </c>
      <c r="C4228" s="10" t="s">
        <v>226</v>
      </c>
      <c r="D4228" s="10" t="s">
        <v>1228</v>
      </c>
      <c r="E4228" s="14">
        <v>0.022</v>
      </c>
      <c r="F4228" s="15">
        <f>ROUND(27.5,3)</f>
        <v>27.5</v>
      </c>
      <c r="G4228" s="12">
        <f t="shared" si="670"/>
        <v>0.61</v>
      </c>
    </row>
    <row r="4229" ht="21.0" customHeight="1">
      <c r="A4229" s="10" t="s">
        <v>1857</v>
      </c>
      <c r="B4229" s="10" t="s">
        <v>42</v>
      </c>
      <c r="C4229" s="10" t="s">
        <v>231</v>
      </c>
      <c r="D4229" s="10" t="s">
        <v>1858</v>
      </c>
      <c r="E4229" s="14">
        <v>0.38</v>
      </c>
      <c r="F4229" s="15">
        <f>ROUND(1.05,3)</f>
        <v>1.05</v>
      </c>
      <c r="G4229" s="12">
        <f t="shared" si="670"/>
        <v>0.4</v>
      </c>
    </row>
    <row r="4230" ht="21.0" customHeight="1">
      <c r="A4230" s="10" t="s">
        <v>22</v>
      </c>
      <c r="B4230" s="10" t="s">
        <v>18</v>
      </c>
      <c r="C4230" s="10" t="s">
        <v>23</v>
      </c>
      <c r="D4230" s="10" t="s">
        <v>24</v>
      </c>
      <c r="E4230" s="14">
        <v>0.75</v>
      </c>
      <c r="F4230" s="15">
        <f>F4234</f>
        <v>43.8</v>
      </c>
      <c r="G4230" s="12">
        <f t="shared" si="670"/>
        <v>32.85</v>
      </c>
    </row>
    <row r="4231" ht="24.0" customHeight="1">
      <c r="A4231" s="10" t="s">
        <v>25</v>
      </c>
      <c r="B4231" s="10" t="s">
        <v>26</v>
      </c>
      <c r="C4231" s="10" t="s">
        <v>23</v>
      </c>
      <c r="D4231" s="10" t="s">
        <v>27</v>
      </c>
      <c r="E4231" s="14">
        <v>1.0</v>
      </c>
      <c r="F4231" s="15">
        <f>ROUND(21,3)</f>
        <v>21</v>
      </c>
      <c r="G4231" s="12">
        <f t="shared" si="670"/>
        <v>21</v>
      </c>
    </row>
    <row r="4232" ht="24.0" customHeight="1">
      <c r="A4232" s="10" t="s">
        <v>28</v>
      </c>
      <c r="B4232" s="10" t="s">
        <v>26</v>
      </c>
      <c r="C4232" s="10" t="s">
        <v>23</v>
      </c>
      <c r="D4232" s="10" t="s">
        <v>29</v>
      </c>
      <c r="E4232" s="14">
        <v>1.0</v>
      </c>
      <c r="F4232" s="15">
        <f t="shared" ref="F4232:F4233" si="671">ROUND(19,3)</f>
        <v>19</v>
      </c>
      <c r="G4232" s="12">
        <f t="shared" si="670"/>
        <v>19</v>
      </c>
    </row>
    <row r="4233" ht="24.0" customHeight="1">
      <c r="A4233" s="10" t="s">
        <v>30</v>
      </c>
      <c r="B4233" s="10" t="s">
        <v>26</v>
      </c>
      <c r="C4233" s="10" t="s">
        <v>23</v>
      </c>
      <c r="D4233" s="10" t="s">
        <v>31</v>
      </c>
      <c r="E4233" s="14">
        <v>0.2</v>
      </c>
      <c r="F4233" s="15">
        <f t="shared" si="671"/>
        <v>19</v>
      </c>
      <c r="G4233" s="12">
        <f t="shared" si="670"/>
        <v>3.8</v>
      </c>
    </row>
    <row r="4234" ht="15.0" customHeight="1">
      <c r="A4234" s="11"/>
      <c r="B4234" s="11"/>
      <c r="C4234" s="11"/>
      <c r="D4234" s="10" t="s">
        <v>22</v>
      </c>
      <c r="E4234" s="14">
        <v>0.75</v>
      </c>
      <c r="F4234" s="15">
        <f>ROUND((G4231+G4232+G4233),3)</f>
        <v>43.8</v>
      </c>
      <c r="G4234" s="12">
        <f t="shared" si="670"/>
        <v>32.85</v>
      </c>
    </row>
    <row r="4235" ht="15.0" customHeight="1">
      <c r="A4235" s="16"/>
      <c r="B4235" s="16"/>
      <c r="C4235" s="16"/>
      <c r="D4235" s="17" t="s">
        <v>1913</v>
      </c>
      <c r="E4235" s="16"/>
      <c r="F4235" s="18">
        <f>ROUND((G4227+G4228+G4229+G4230)*(1+G2/100),2)</f>
        <v>44.03</v>
      </c>
      <c r="G4235" s="16"/>
    </row>
    <row r="4236" ht="24.75" customHeight="1">
      <c r="A4236" s="19" t="s">
        <v>1916</v>
      </c>
      <c r="B4236" s="20" t="s">
        <v>18</v>
      </c>
      <c r="C4236" s="20" t="s">
        <v>19</v>
      </c>
      <c r="D4236" s="20" t="s">
        <v>1872</v>
      </c>
      <c r="E4236" s="21"/>
      <c r="F4236" s="22">
        <f>F4246</f>
        <v>45.07</v>
      </c>
      <c r="G4236" s="21"/>
    </row>
    <row r="4237" ht="12.0" customHeight="1">
      <c r="A4237" s="11"/>
      <c r="B4237" s="11"/>
      <c r="C4237" s="11"/>
      <c r="D4237" s="10" t="s">
        <v>1872</v>
      </c>
    </row>
    <row r="4238" ht="39.75" customHeight="1">
      <c r="A4238" s="10" t="s">
        <v>1873</v>
      </c>
      <c r="B4238" s="10" t="s">
        <v>42</v>
      </c>
      <c r="C4238" s="10" t="s">
        <v>184</v>
      </c>
      <c r="D4238" s="10" t="s">
        <v>1874</v>
      </c>
      <c r="E4238" s="14">
        <v>0.56</v>
      </c>
      <c r="F4238" s="15">
        <f>ROUND(20.04,3)</f>
        <v>20.04</v>
      </c>
      <c r="G4238" s="12">
        <f t="shared" ref="G4238:G4245" si="672">ROUND(E4238*F4238,2)</f>
        <v>11.22</v>
      </c>
    </row>
    <row r="4239" ht="30.0" customHeight="1">
      <c r="A4239" s="10" t="s">
        <v>1227</v>
      </c>
      <c r="B4239" s="10" t="s">
        <v>42</v>
      </c>
      <c r="C4239" s="10" t="s">
        <v>226</v>
      </c>
      <c r="D4239" s="10" t="s">
        <v>1228</v>
      </c>
      <c r="E4239" s="14">
        <v>0.022</v>
      </c>
      <c r="F4239" s="15">
        <f>ROUND(27.5,3)</f>
        <v>27.5</v>
      </c>
      <c r="G4239" s="12">
        <f t="shared" si="672"/>
        <v>0.61</v>
      </c>
    </row>
    <row r="4240" ht="21.0" customHeight="1">
      <c r="A4240" s="10" t="s">
        <v>1857</v>
      </c>
      <c r="B4240" s="10" t="s">
        <v>42</v>
      </c>
      <c r="C4240" s="10" t="s">
        <v>231</v>
      </c>
      <c r="D4240" s="10" t="s">
        <v>1858</v>
      </c>
      <c r="E4240" s="14">
        <v>0.375</v>
      </c>
      <c r="F4240" s="15">
        <f>ROUND(1.05,3)</f>
        <v>1.05</v>
      </c>
      <c r="G4240" s="12">
        <f t="shared" si="672"/>
        <v>0.39</v>
      </c>
    </row>
    <row r="4241" ht="21.0" customHeight="1">
      <c r="A4241" s="10" t="s">
        <v>22</v>
      </c>
      <c r="B4241" s="10" t="s">
        <v>18</v>
      </c>
      <c r="C4241" s="10" t="s">
        <v>23</v>
      </c>
      <c r="D4241" s="10" t="s">
        <v>24</v>
      </c>
      <c r="E4241" s="14">
        <v>0.75</v>
      </c>
      <c r="F4241" s="15">
        <f>F4245</f>
        <v>43.8</v>
      </c>
      <c r="G4241" s="12">
        <f t="shared" si="672"/>
        <v>32.85</v>
      </c>
    </row>
    <row r="4242" ht="24.0" customHeight="1">
      <c r="A4242" s="10" t="s">
        <v>25</v>
      </c>
      <c r="B4242" s="10" t="s">
        <v>26</v>
      </c>
      <c r="C4242" s="10" t="s">
        <v>23</v>
      </c>
      <c r="D4242" s="10" t="s">
        <v>27</v>
      </c>
      <c r="E4242" s="14">
        <v>1.0</v>
      </c>
      <c r="F4242" s="15">
        <f>ROUND(21,3)</f>
        <v>21</v>
      </c>
      <c r="G4242" s="12">
        <f t="shared" si="672"/>
        <v>21</v>
      </c>
    </row>
    <row r="4243" ht="24.0" customHeight="1">
      <c r="A4243" s="10" t="s">
        <v>28</v>
      </c>
      <c r="B4243" s="10" t="s">
        <v>26</v>
      </c>
      <c r="C4243" s="10" t="s">
        <v>23</v>
      </c>
      <c r="D4243" s="10" t="s">
        <v>29</v>
      </c>
      <c r="E4243" s="14">
        <v>1.0</v>
      </c>
      <c r="F4243" s="15">
        <f t="shared" ref="F4243:F4244" si="673">ROUND(19,3)</f>
        <v>19</v>
      </c>
      <c r="G4243" s="12">
        <f t="shared" si="672"/>
        <v>19</v>
      </c>
    </row>
    <row r="4244" ht="24.0" customHeight="1">
      <c r="A4244" s="10" t="s">
        <v>30</v>
      </c>
      <c r="B4244" s="10" t="s">
        <v>26</v>
      </c>
      <c r="C4244" s="10" t="s">
        <v>23</v>
      </c>
      <c r="D4244" s="10" t="s">
        <v>31</v>
      </c>
      <c r="E4244" s="14">
        <v>0.2</v>
      </c>
      <c r="F4244" s="15">
        <f t="shared" si="673"/>
        <v>19</v>
      </c>
      <c r="G4244" s="12">
        <f t="shared" si="672"/>
        <v>3.8</v>
      </c>
    </row>
    <row r="4245" ht="15.0" customHeight="1">
      <c r="A4245" s="11"/>
      <c r="B4245" s="11"/>
      <c r="C4245" s="11"/>
      <c r="D4245" s="10" t="s">
        <v>22</v>
      </c>
      <c r="E4245" s="14">
        <v>0.75</v>
      </c>
      <c r="F4245" s="15">
        <f>ROUND((G4242+G4243+G4244),3)</f>
        <v>43.8</v>
      </c>
      <c r="G4245" s="12">
        <f t="shared" si="672"/>
        <v>32.85</v>
      </c>
    </row>
    <row r="4246" ht="15.0" customHeight="1">
      <c r="A4246" s="16"/>
      <c r="B4246" s="16"/>
      <c r="C4246" s="16"/>
      <c r="D4246" s="17" t="s">
        <v>1916</v>
      </c>
      <c r="E4246" s="16"/>
      <c r="F4246" s="18">
        <f>ROUND((G4238+G4239+G4240+G4241)*(1+G2/100),2)</f>
        <v>45.07</v>
      </c>
      <c r="G4246" s="16"/>
    </row>
    <row r="4247" ht="30.0" customHeight="1">
      <c r="A4247" s="19" t="s">
        <v>1917</v>
      </c>
      <c r="B4247" s="20" t="s">
        <v>18</v>
      </c>
      <c r="C4247" s="20" t="s">
        <v>251</v>
      </c>
      <c r="D4247" s="20" t="s">
        <v>1918</v>
      </c>
      <c r="E4247" s="21"/>
      <c r="F4247" s="22">
        <f>F4258</f>
        <v>41.79</v>
      </c>
      <c r="G4247" s="21"/>
    </row>
    <row r="4248" ht="21.0" customHeight="1">
      <c r="A4248" s="11"/>
      <c r="B4248" s="11"/>
      <c r="C4248" s="11"/>
      <c r="D4248" s="10" t="s">
        <v>1918</v>
      </c>
    </row>
    <row r="4249" ht="30.0" customHeight="1">
      <c r="A4249" s="10" t="s">
        <v>1869</v>
      </c>
      <c r="B4249" s="10" t="s">
        <v>42</v>
      </c>
      <c r="C4249" s="10" t="s">
        <v>184</v>
      </c>
      <c r="D4249" s="10" t="s">
        <v>1870</v>
      </c>
      <c r="E4249" s="14">
        <v>0.882</v>
      </c>
      <c r="F4249" s="15">
        <f>ROUND(8.65,3)</f>
        <v>8.65</v>
      </c>
      <c r="G4249" s="12">
        <f t="shared" ref="G4249:G4257" si="674">ROUND(E4249*F4249,2)</f>
        <v>7.63</v>
      </c>
    </row>
    <row r="4250" ht="30.0" customHeight="1">
      <c r="A4250" s="10" t="s">
        <v>1919</v>
      </c>
      <c r="B4250" s="10" t="s">
        <v>42</v>
      </c>
      <c r="C4250" s="10" t="s">
        <v>341</v>
      </c>
      <c r="D4250" s="10" t="s">
        <v>1920</v>
      </c>
      <c r="E4250" s="14">
        <v>0.3</v>
      </c>
      <c r="F4250" s="15">
        <f>ROUND(17.77,3)</f>
        <v>17.77</v>
      </c>
      <c r="G4250" s="12">
        <f t="shared" si="674"/>
        <v>5.33</v>
      </c>
    </row>
    <row r="4251" ht="30.0" customHeight="1">
      <c r="A4251" s="10" t="s">
        <v>1921</v>
      </c>
      <c r="B4251" s="10" t="s">
        <v>42</v>
      </c>
      <c r="C4251" s="10" t="s">
        <v>184</v>
      </c>
      <c r="D4251" s="10" t="s">
        <v>1922</v>
      </c>
      <c r="E4251" s="14">
        <v>0.25</v>
      </c>
      <c r="F4251" s="15">
        <f>ROUND(6.72,3)</f>
        <v>6.72</v>
      </c>
      <c r="G4251" s="12">
        <f t="shared" si="674"/>
        <v>1.68</v>
      </c>
    </row>
    <row r="4252" ht="30.0" customHeight="1">
      <c r="A4252" s="10" t="s">
        <v>1679</v>
      </c>
      <c r="B4252" s="10" t="s">
        <v>42</v>
      </c>
      <c r="C4252" s="10" t="s">
        <v>226</v>
      </c>
      <c r="D4252" s="10" t="s">
        <v>1680</v>
      </c>
      <c r="E4252" s="14">
        <v>0.022</v>
      </c>
      <c r="F4252" s="15">
        <f>ROUND(39.5,3)</f>
        <v>39.5</v>
      </c>
      <c r="G4252" s="12">
        <f t="shared" si="674"/>
        <v>0.87</v>
      </c>
    </row>
    <row r="4253" ht="21.0" customHeight="1">
      <c r="A4253" s="10" t="s">
        <v>22</v>
      </c>
      <c r="B4253" s="10" t="s">
        <v>18</v>
      </c>
      <c r="C4253" s="10" t="s">
        <v>23</v>
      </c>
      <c r="D4253" s="10" t="s">
        <v>24</v>
      </c>
      <c r="E4253" s="14">
        <v>0.6</v>
      </c>
      <c r="F4253" s="15">
        <f>F4257</f>
        <v>43.8</v>
      </c>
      <c r="G4253" s="12">
        <f t="shared" si="674"/>
        <v>26.28</v>
      </c>
    </row>
    <row r="4254" ht="24.0" customHeight="1">
      <c r="A4254" s="10" t="s">
        <v>25</v>
      </c>
      <c r="B4254" s="10" t="s">
        <v>26</v>
      </c>
      <c r="C4254" s="10" t="s">
        <v>23</v>
      </c>
      <c r="D4254" s="10" t="s">
        <v>27</v>
      </c>
      <c r="E4254" s="14">
        <v>1.0</v>
      </c>
      <c r="F4254" s="15">
        <f>ROUND(21,3)</f>
        <v>21</v>
      </c>
      <c r="G4254" s="12">
        <f t="shared" si="674"/>
        <v>21</v>
      </c>
    </row>
    <row r="4255" ht="24.0" customHeight="1">
      <c r="A4255" s="10" t="s">
        <v>28</v>
      </c>
      <c r="B4255" s="10" t="s">
        <v>26</v>
      </c>
      <c r="C4255" s="10" t="s">
        <v>23</v>
      </c>
      <c r="D4255" s="10" t="s">
        <v>29</v>
      </c>
      <c r="E4255" s="14">
        <v>1.0</v>
      </c>
      <c r="F4255" s="15">
        <f t="shared" ref="F4255:F4256" si="675">ROUND(19,3)</f>
        <v>19</v>
      </c>
      <c r="G4255" s="12">
        <f t="shared" si="674"/>
        <v>19</v>
      </c>
    </row>
    <row r="4256" ht="24.0" customHeight="1">
      <c r="A4256" s="10" t="s">
        <v>30</v>
      </c>
      <c r="B4256" s="10" t="s">
        <v>26</v>
      </c>
      <c r="C4256" s="10" t="s">
        <v>23</v>
      </c>
      <c r="D4256" s="10" t="s">
        <v>31</v>
      </c>
      <c r="E4256" s="14">
        <v>0.2</v>
      </c>
      <c r="F4256" s="15">
        <f t="shared" si="675"/>
        <v>19</v>
      </c>
      <c r="G4256" s="12">
        <f t="shared" si="674"/>
        <v>3.8</v>
      </c>
    </row>
    <row r="4257" ht="15.0" customHeight="1">
      <c r="A4257" s="11"/>
      <c r="B4257" s="11"/>
      <c r="C4257" s="11"/>
      <c r="D4257" s="10" t="s">
        <v>22</v>
      </c>
      <c r="E4257" s="14">
        <v>0.6</v>
      </c>
      <c r="F4257" s="15">
        <f>ROUND((G4254+G4255+G4256),3)</f>
        <v>43.8</v>
      </c>
      <c r="G4257" s="12">
        <f t="shared" si="674"/>
        <v>26.28</v>
      </c>
    </row>
    <row r="4258" ht="15.0" customHeight="1">
      <c r="A4258" s="16"/>
      <c r="B4258" s="16"/>
      <c r="C4258" s="16"/>
      <c r="D4258" s="17" t="s">
        <v>1917</v>
      </c>
      <c r="E4258" s="16"/>
      <c r="F4258" s="18">
        <f>ROUND((G4249+G4250+G4251+G4252+G4253)*(1+G2/100),2)</f>
        <v>41.79</v>
      </c>
      <c r="G4258" s="16"/>
    </row>
    <row r="4259" ht="21.0" customHeight="1">
      <c r="A4259" s="19" t="s">
        <v>1923</v>
      </c>
      <c r="B4259" s="20" t="s">
        <v>18</v>
      </c>
      <c r="C4259" s="20" t="s">
        <v>251</v>
      </c>
      <c r="D4259" s="20" t="s">
        <v>1924</v>
      </c>
      <c r="E4259" s="21"/>
      <c r="F4259" s="22">
        <f>F4269</f>
        <v>9.37</v>
      </c>
      <c r="G4259" s="21"/>
    </row>
    <row r="4260" ht="12.0" customHeight="1">
      <c r="A4260" s="11"/>
      <c r="B4260" s="11"/>
      <c r="C4260" s="11"/>
      <c r="D4260" s="10" t="s">
        <v>1924</v>
      </c>
    </row>
    <row r="4261" ht="30.0" customHeight="1">
      <c r="A4261" s="10" t="s">
        <v>1869</v>
      </c>
      <c r="B4261" s="10" t="s">
        <v>42</v>
      </c>
      <c r="C4261" s="10" t="s">
        <v>184</v>
      </c>
      <c r="D4261" s="10" t="s">
        <v>1870</v>
      </c>
      <c r="E4261" s="14">
        <v>0.2</v>
      </c>
      <c r="F4261" s="15">
        <f>ROUND(8.65,3)</f>
        <v>8.65</v>
      </c>
      <c r="G4261" s="12">
        <f t="shared" ref="G4261:G4268" si="676">ROUND(E4261*F4261,2)</f>
        <v>1.73</v>
      </c>
    </row>
    <row r="4262" ht="30.0" customHeight="1">
      <c r="A4262" s="10" t="s">
        <v>1925</v>
      </c>
      <c r="B4262" s="10" t="s">
        <v>42</v>
      </c>
      <c r="C4262" s="10" t="s">
        <v>184</v>
      </c>
      <c r="D4262" s="10" t="s">
        <v>1926</v>
      </c>
      <c r="E4262" s="14">
        <v>0.04</v>
      </c>
      <c r="F4262" s="15">
        <f>ROUND(4.93,3)</f>
        <v>4.93</v>
      </c>
      <c r="G4262" s="12">
        <f t="shared" si="676"/>
        <v>0.2</v>
      </c>
    </row>
    <row r="4263" ht="30.0" customHeight="1">
      <c r="A4263" s="10" t="s">
        <v>1679</v>
      </c>
      <c r="B4263" s="10" t="s">
        <v>42</v>
      </c>
      <c r="C4263" s="10" t="s">
        <v>226</v>
      </c>
      <c r="D4263" s="10" t="s">
        <v>1680</v>
      </c>
      <c r="E4263" s="14">
        <v>0.022</v>
      </c>
      <c r="F4263" s="15">
        <f>ROUND(39.5,3)</f>
        <v>39.5</v>
      </c>
      <c r="G4263" s="12">
        <f t="shared" si="676"/>
        <v>0.87</v>
      </c>
    </row>
    <row r="4264" ht="21.0" customHeight="1">
      <c r="A4264" s="10" t="s">
        <v>22</v>
      </c>
      <c r="B4264" s="10" t="s">
        <v>18</v>
      </c>
      <c r="C4264" s="10" t="s">
        <v>23</v>
      </c>
      <c r="D4264" s="10" t="s">
        <v>24</v>
      </c>
      <c r="E4264" s="14">
        <v>0.15</v>
      </c>
      <c r="F4264" s="15">
        <f>F4268</f>
        <v>43.8</v>
      </c>
      <c r="G4264" s="12">
        <f t="shared" si="676"/>
        <v>6.57</v>
      </c>
    </row>
    <row r="4265" ht="24.0" customHeight="1">
      <c r="A4265" s="10" t="s">
        <v>25</v>
      </c>
      <c r="B4265" s="10" t="s">
        <v>26</v>
      </c>
      <c r="C4265" s="10" t="s">
        <v>23</v>
      </c>
      <c r="D4265" s="10" t="s">
        <v>27</v>
      </c>
      <c r="E4265" s="14">
        <v>1.0</v>
      </c>
      <c r="F4265" s="15">
        <f>ROUND(21,3)</f>
        <v>21</v>
      </c>
      <c r="G4265" s="12">
        <f t="shared" si="676"/>
        <v>21</v>
      </c>
    </row>
    <row r="4266" ht="24.0" customHeight="1">
      <c r="A4266" s="10" t="s">
        <v>28</v>
      </c>
      <c r="B4266" s="10" t="s">
        <v>26</v>
      </c>
      <c r="C4266" s="10" t="s">
        <v>23</v>
      </c>
      <c r="D4266" s="10" t="s">
        <v>29</v>
      </c>
      <c r="E4266" s="14">
        <v>1.0</v>
      </c>
      <c r="F4266" s="15">
        <f t="shared" ref="F4266:F4267" si="677">ROUND(19,3)</f>
        <v>19</v>
      </c>
      <c r="G4266" s="12">
        <f t="shared" si="676"/>
        <v>19</v>
      </c>
    </row>
    <row r="4267" ht="24.0" customHeight="1">
      <c r="A4267" s="10" t="s">
        <v>30</v>
      </c>
      <c r="B4267" s="10" t="s">
        <v>26</v>
      </c>
      <c r="C4267" s="10" t="s">
        <v>23</v>
      </c>
      <c r="D4267" s="10" t="s">
        <v>31</v>
      </c>
      <c r="E4267" s="14">
        <v>0.2</v>
      </c>
      <c r="F4267" s="15">
        <f t="shared" si="677"/>
        <v>19</v>
      </c>
      <c r="G4267" s="12">
        <f t="shared" si="676"/>
        <v>3.8</v>
      </c>
    </row>
    <row r="4268" ht="15.0" customHeight="1">
      <c r="A4268" s="11"/>
      <c r="B4268" s="11"/>
      <c r="C4268" s="11"/>
      <c r="D4268" s="10" t="s">
        <v>22</v>
      </c>
      <c r="E4268" s="14">
        <v>0.15</v>
      </c>
      <c r="F4268" s="15">
        <f>ROUND((G4265+G4266+G4267),3)</f>
        <v>43.8</v>
      </c>
      <c r="G4268" s="12">
        <f t="shared" si="676"/>
        <v>6.57</v>
      </c>
    </row>
    <row r="4269" ht="15.0" customHeight="1">
      <c r="A4269" s="16"/>
      <c r="B4269" s="16"/>
      <c r="C4269" s="16"/>
      <c r="D4269" s="17" t="s">
        <v>1923</v>
      </c>
      <c r="E4269" s="16"/>
      <c r="F4269" s="18">
        <f>ROUND((G4261+G4262+G4263+G4264)*(1+G2/100),2)</f>
        <v>9.37</v>
      </c>
      <c r="G4269" s="16"/>
    </row>
    <row r="4270" ht="30.0" customHeight="1">
      <c r="A4270" s="19" t="s">
        <v>1927</v>
      </c>
      <c r="B4270" s="20" t="s">
        <v>18</v>
      </c>
      <c r="C4270" s="20" t="s">
        <v>251</v>
      </c>
      <c r="D4270" s="20" t="s">
        <v>1928</v>
      </c>
      <c r="E4270" s="21"/>
      <c r="F4270" s="22">
        <f>F4280</f>
        <v>9.25</v>
      </c>
      <c r="G4270" s="21"/>
    </row>
    <row r="4271" ht="21.0" customHeight="1">
      <c r="A4271" s="11"/>
      <c r="B4271" s="11"/>
      <c r="C4271" s="11"/>
      <c r="D4271" s="10" t="s">
        <v>1928</v>
      </c>
    </row>
    <row r="4272" ht="30.0" customHeight="1">
      <c r="A4272" s="10" t="s">
        <v>1869</v>
      </c>
      <c r="B4272" s="10" t="s">
        <v>42</v>
      </c>
      <c r="C4272" s="10" t="s">
        <v>184</v>
      </c>
      <c r="D4272" s="10" t="s">
        <v>1870</v>
      </c>
      <c r="E4272" s="14">
        <v>0.2</v>
      </c>
      <c r="F4272" s="15">
        <f>ROUND(8.65,3)</f>
        <v>8.65</v>
      </c>
      <c r="G4272" s="12">
        <f t="shared" ref="G4272:G4279" si="678">ROUND(E4272*F4272,2)</f>
        <v>1.73</v>
      </c>
    </row>
    <row r="4273" ht="30.0" customHeight="1">
      <c r="A4273" s="10" t="s">
        <v>1929</v>
      </c>
      <c r="B4273" s="10" t="s">
        <v>42</v>
      </c>
      <c r="C4273" s="10" t="s">
        <v>184</v>
      </c>
      <c r="D4273" s="10" t="s">
        <v>1930</v>
      </c>
      <c r="E4273" s="14">
        <v>0.03333</v>
      </c>
      <c r="F4273" s="15">
        <f>ROUND(10.18,3)</f>
        <v>10.18</v>
      </c>
      <c r="G4273" s="12">
        <f t="shared" si="678"/>
        <v>0.34</v>
      </c>
    </row>
    <row r="4274" ht="30.0" customHeight="1">
      <c r="A4274" s="10" t="s">
        <v>1227</v>
      </c>
      <c r="B4274" s="10" t="s">
        <v>42</v>
      </c>
      <c r="C4274" s="10" t="s">
        <v>226</v>
      </c>
      <c r="D4274" s="10" t="s">
        <v>1228</v>
      </c>
      <c r="E4274" s="14">
        <v>0.022</v>
      </c>
      <c r="F4274" s="15">
        <f>ROUND(27.5,3)</f>
        <v>27.5</v>
      </c>
      <c r="G4274" s="12">
        <f t="shared" si="678"/>
        <v>0.61</v>
      </c>
    </row>
    <row r="4275" ht="21.0" customHeight="1">
      <c r="A4275" s="10" t="s">
        <v>22</v>
      </c>
      <c r="B4275" s="10" t="s">
        <v>18</v>
      </c>
      <c r="C4275" s="10" t="s">
        <v>23</v>
      </c>
      <c r="D4275" s="10" t="s">
        <v>24</v>
      </c>
      <c r="E4275" s="14">
        <v>0.15</v>
      </c>
      <c r="F4275" s="15">
        <f>F4279</f>
        <v>43.8</v>
      </c>
      <c r="G4275" s="12">
        <f t="shared" si="678"/>
        <v>6.57</v>
      </c>
    </row>
    <row r="4276" ht="24.0" customHeight="1">
      <c r="A4276" s="10" t="s">
        <v>25</v>
      </c>
      <c r="B4276" s="10" t="s">
        <v>26</v>
      </c>
      <c r="C4276" s="10" t="s">
        <v>23</v>
      </c>
      <c r="D4276" s="10" t="s">
        <v>27</v>
      </c>
      <c r="E4276" s="14">
        <v>1.0</v>
      </c>
      <c r="F4276" s="15">
        <f>ROUND(21,3)</f>
        <v>21</v>
      </c>
      <c r="G4276" s="12">
        <f t="shared" si="678"/>
        <v>21</v>
      </c>
    </row>
    <row r="4277" ht="24.0" customHeight="1">
      <c r="A4277" s="10" t="s">
        <v>28</v>
      </c>
      <c r="B4277" s="10" t="s">
        <v>26</v>
      </c>
      <c r="C4277" s="10" t="s">
        <v>23</v>
      </c>
      <c r="D4277" s="10" t="s">
        <v>29</v>
      </c>
      <c r="E4277" s="14">
        <v>1.0</v>
      </c>
      <c r="F4277" s="15">
        <f t="shared" ref="F4277:F4278" si="679">ROUND(19,3)</f>
        <v>19</v>
      </c>
      <c r="G4277" s="12">
        <f t="shared" si="678"/>
        <v>19</v>
      </c>
    </row>
    <row r="4278" ht="24.0" customHeight="1">
      <c r="A4278" s="10" t="s">
        <v>30</v>
      </c>
      <c r="B4278" s="10" t="s">
        <v>26</v>
      </c>
      <c r="C4278" s="10" t="s">
        <v>23</v>
      </c>
      <c r="D4278" s="10" t="s">
        <v>31</v>
      </c>
      <c r="E4278" s="14">
        <v>0.2</v>
      </c>
      <c r="F4278" s="15">
        <f t="shared" si="679"/>
        <v>19</v>
      </c>
      <c r="G4278" s="12">
        <f t="shared" si="678"/>
        <v>3.8</v>
      </c>
    </row>
    <row r="4279" ht="15.0" customHeight="1">
      <c r="A4279" s="11"/>
      <c r="B4279" s="11"/>
      <c r="C4279" s="11"/>
      <c r="D4279" s="10" t="s">
        <v>22</v>
      </c>
      <c r="E4279" s="14">
        <v>0.15</v>
      </c>
      <c r="F4279" s="15">
        <f>ROUND((G4276+G4277+G4278),3)</f>
        <v>43.8</v>
      </c>
      <c r="G4279" s="12">
        <f t="shared" si="678"/>
        <v>6.57</v>
      </c>
    </row>
    <row r="4280" ht="15.0" customHeight="1">
      <c r="A4280" s="16"/>
      <c r="B4280" s="16"/>
      <c r="C4280" s="16"/>
      <c r="D4280" s="17" t="s">
        <v>1927</v>
      </c>
      <c r="E4280" s="16"/>
      <c r="F4280" s="18">
        <f>ROUND((G4272+G4273+G4274+G4275)*(1+G2/100),2)</f>
        <v>9.25</v>
      </c>
      <c r="G4280" s="16"/>
    </row>
    <row r="4281" ht="30.0" customHeight="1">
      <c r="A4281" s="19" t="s">
        <v>1931</v>
      </c>
      <c r="B4281" s="20" t="s">
        <v>18</v>
      </c>
      <c r="C4281" s="20" t="s">
        <v>19</v>
      </c>
      <c r="D4281" s="20" t="s">
        <v>1932</v>
      </c>
      <c r="E4281" s="21"/>
      <c r="F4281" s="22">
        <f>F4292</f>
        <v>19.83</v>
      </c>
      <c r="G4281" s="21"/>
    </row>
    <row r="4282" ht="12.0" customHeight="1">
      <c r="A4282" s="11"/>
      <c r="B4282" s="11"/>
      <c r="C4282" s="11"/>
      <c r="D4282" s="10" t="s">
        <v>1932</v>
      </c>
    </row>
    <row r="4283" ht="30.0" customHeight="1">
      <c r="A4283" s="10" t="s">
        <v>1933</v>
      </c>
      <c r="B4283" s="10" t="s">
        <v>42</v>
      </c>
      <c r="C4283" s="10" t="s">
        <v>184</v>
      </c>
      <c r="D4283" s="10" t="s">
        <v>1934</v>
      </c>
      <c r="E4283" s="14">
        <v>0.132</v>
      </c>
      <c r="F4283" s="15">
        <f>ROUND(5.92,3)</f>
        <v>5.92</v>
      </c>
      <c r="G4283" s="12">
        <f t="shared" ref="G4283:G4290" si="680">ROUND(E4283*F4283,2)</f>
        <v>0.78</v>
      </c>
    </row>
    <row r="4284" ht="30.0" customHeight="1">
      <c r="A4284" s="10" t="s">
        <v>1929</v>
      </c>
      <c r="B4284" s="10" t="s">
        <v>42</v>
      </c>
      <c r="C4284" s="10" t="s">
        <v>184</v>
      </c>
      <c r="D4284" s="10" t="s">
        <v>1930</v>
      </c>
      <c r="E4284" s="14">
        <v>0.0044</v>
      </c>
      <c r="F4284" s="15">
        <f>ROUND(10.18,3)</f>
        <v>10.18</v>
      </c>
      <c r="G4284" s="12">
        <f t="shared" si="680"/>
        <v>0.04</v>
      </c>
    </row>
    <row r="4285" ht="30.0" customHeight="1">
      <c r="A4285" s="10" t="s">
        <v>1227</v>
      </c>
      <c r="B4285" s="10" t="s">
        <v>42</v>
      </c>
      <c r="C4285" s="10" t="s">
        <v>226</v>
      </c>
      <c r="D4285" s="10" t="s">
        <v>1228</v>
      </c>
      <c r="E4285" s="14">
        <v>0.022</v>
      </c>
      <c r="F4285" s="15">
        <f>ROUND(27.5,3)</f>
        <v>27.5</v>
      </c>
      <c r="G4285" s="12">
        <f t="shared" si="680"/>
        <v>0.61</v>
      </c>
    </row>
    <row r="4286" ht="21.0" customHeight="1">
      <c r="A4286" s="10" t="s">
        <v>22</v>
      </c>
      <c r="B4286" s="10" t="s">
        <v>18</v>
      </c>
      <c r="C4286" s="10" t="s">
        <v>23</v>
      </c>
      <c r="D4286" s="10" t="s">
        <v>24</v>
      </c>
      <c r="E4286" s="14">
        <v>0.4</v>
      </c>
      <c r="F4286" s="15">
        <f>F4290</f>
        <v>43.8</v>
      </c>
      <c r="G4286" s="12">
        <f t="shared" si="680"/>
        <v>17.52</v>
      </c>
    </row>
    <row r="4287" ht="24.0" customHeight="1">
      <c r="A4287" s="10" t="s">
        <v>25</v>
      </c>
      <c r="B4287" s="10" t="s">
        <v>26</v>
      </c>
      <c r="C4287" s="10" t="s">
        <v>23</v>
      </c>
      <c r="D4287" s="10" t="s">
        <v>27</v>
      </c>
      <c r="E4287" s="14">
        <v>1.0</v>
      </c>
      <c r="F4287" s="15">
        <f>ROUND(21,3)</f>
        <v>21</v>
      </c>
      <c r="G4287" s="12">
        <f t="shared" si="680"/>
        <v>21</v>
      </c>
    </row>
    <row r="4288" ht="24.0" customHeight="1">
      <c r="A4288" s="10" t="s">
        <v>28</v>
      </c>
      <c r="B4288" s="10" t="s">
        <v>26</v>
      </c>
      <c r="C4288" s="10" t="s">
        <v>23</v>
      </c>
      <c r="D4288" s="10" t="s">
        <v>29</v>
      </c>
      <c r="E4288" s="14">
        <v>1.0</v>
      </c>
      <c r="F4288" s="15">
        <f t="shared" ref="F4288:F4289" si="681">ROUND(19,3)</f>
        <v>19</v>
      </c>
      <c r="G4288" s="12">
        <f t="shared" si="680"/>
        <v>19</v>
      </c>
    </row>
    <row r="4289" ht="24.0" customHeight="1">
      <c r="A4289" s="10" t="s">
        <v>30</v>
      </c>
      <c r="B4289" s="10" t="s">
        <v>26</v>
      </c>
      <c r="C4289" s="10" t="s">
        <v>23</v>
      </c>
      <c r="D4289" s="10" t="s">
        <v>31</v>
      </c>
      <c r="E4289" s="14">
        <v>0.2</v>
      </c>
      <c r="F4289" s="15">
        <f t="shared" si="681"/>
        <v>19</v>
      </c>
      <c r="G4289" s="12">
        <f t="shared" si="680"/>
        <v>3.8</v>
      </c>
    </row>
    <row r="4290" ht="15.0" customHeight="1">
      <c r="A4290" s="11"/>
      <c r="B4290" s="11"/>
      <c r="C4290" s="11"/>
      <c r="D4290" s="10" t="s">
        <v>22</v>
      </c>
      <c r="E4290" s="14">
        <v>0.4</v>
      </c>
      <c r="F4290" s="15">
        <f>ROUND((G4287+G4288+G4289),3)</f>
        <v>43.8</v>
      </c>
      <c r="G4290" s="12">
        <f t="shared" si="680"/>
        <v>17.52</v>
      </c>
    </row>
    <row r="4291" ht="15.0" customHeight="1">
      <c r="A4291" s="10" t="s">
        <v>32</v>
      </c>
      <c r="B4291" s="10"/>
      <c r="C4291" s="10" t="s">
        <v>33</v>
      </c>
      <c r="D4291" s="10" t="s">
        <v>34</v>
      </c>
      <c r="E4291" s="14">
        <v>5.0</v>
      </c>
      <c r="F4291" s="15">
        <f>ROUND(17.52,3)</f>
        <v>17.52</v>
      </c>
      <c r="G4291" s="12">
        <f>ROUND((E4291*F4291)/100,2)</f>
        <v>0.88</v>
      </c>
    </row>
    <row r="4292" ht="15.0" customHeight="1">
      <c r="A4292" s="16"/>
      <c r="B4292" s="16"/>
      <c r="C4292" s="16"/>
      <c r="D4292" s="17" t="s">
        <v>1931</v>
      </c>
      <c r="E4292" s="16"/>
      <c r="F4292" s="18">
        <f>ROUND((G4283+G4284+G4285+G4286+G4291)*(1+G2/100),2)</f>
        <v>19.83</v>
      </c>
      <c r="G4292" s="16"/>
    </row>
    <row r="4293" ht="21.0" customHeight="1">
      <c r="A4293" s="19" t="s">
        <v>1935</v>
      </c>
      <c r="B4293" s="20" t="s">
        <v>18</v>
      </c>
      <c r="C4293" s="20" t="s">
        <v>251</v>
      </c>
      <c r="D4293" s="20" t="s">
        <v>1936</v>
      </c>
      <c r="E4293" s="21"/>
      <c r="F4293" s="22">
        <f>F4305</f>
        <v>42.59</v>
      </c>
      <c r="G4293" s="21"/>
    </row>
    <row r="4294" ht="12.0" customHeight="1">
      <c r="A4294" s="11"/>
      <c r="B4294" s="11"/>
      <c r="C4294" s="11"/>
      <c r="D4294" s="10" t="s">
        <v>1937</v>
      </c>
    </row>
    <row r="4295" ht="30.0" customHeight="1">
      <c r="A4295" s="10" t="s">
        <v>1938</v>
      </c>
      <c r="B4295" s="10" t="s">
        <v>42</v>
      </c>
      <c r="C4295" s="10" t="s">
        <v>1939</v>
      </c>
      <c r="D4295" s="10" t="s">
        <v>1940</v>
      </c>
      <c r="E4295" s="14">
        <v>0.1</v>
      </c>
      <c r="F4295" s="15">
        <f>ROUND(29.17,3)</f>
        <v>29.17</v>
      </c>
      <c r="G4295" s="12">
        <f t="shared" ref="G4295:G4304" si="682">ROUND(E4295*F4295,2)</f>
        <v>2.92</v>
      </c>
    </row>
    <row r="4296" ht="30.0" customHeight="1">
      <c r="A4296" s="10" t="s">
        <v>1941</v>
      </c>
      <c r="B4296" s="10" t="s">
        <v>42</v>
      </c>
      <c r="C4296" s="10" t="s">
        <v>184</v>
      </c>
      <c r="D4296" s="10" t="s">
        <v>1942</v>
      </c>
      <c r="E4296" s="14">
        <v>1.056</v>
      </c>
      <c r="F4296" s="15">
        <f>ROUND(8.33,3)</f>
        <v>8.33</v>
      </c>
      <c r="G4296" s="12">
        <f t="shared" si="682"/>
        <v>8.8</v>
      </c>
    </row>
    <row r="4297" ht="21.0" customHeight="1">
      <c r="A4297" s="10" t="s">
        <v>1943</v>
      </c>
      <c r="B4297" s="10" t="s">
        <v>42</v>
      </c>
      <c r="C4297" s="10" t="s">
        <v>184</v>
      </c>
      <c r="D4297" s="10" t="s">
        <v>1944</v>
      </c>
      <c r="E4297" s="14">
        <v>0.5</v>
      </c>
      <c r="F4297" s="15">
        <f>ROUND(6.9,3)</f>
        <v>6.9</v>
      </c>
      <c r="G4297" s="12">
        <f t="shared" si="682"/>
        <v>3.45</v>
      </c>
    </row>
    <row r="4298" ht="30.0" customHeight="1">
      <c r="A4298" s="10" t="s">
        <v>1227</v>
      </c>
      <c r="B4298" s="10" t="s">
        <v>42</v>
      </c>
      <c r="C4298" s="10" t="s">
        <v>226</v>
      </c>
      <c r="D4298" s="10" t="s">
        <v>1228</v>
      </c>
      <c r="E4298" s="14">
        <v>0.022</v>
      </c>
      <c r="F4298" s="15">
        <f>ROUND(27.5,3)</f>
        <v>27.5</v>
      </c>
      <c r="G4298" s="12">
        <f t="shared" si="682"/>
        <v>0.61</v>
      </c>
    </row>
    <row r="4299" ht="21.0" customHeight="1">
      <c r="A4299" s="10" t="s">
        <v>1857</v>
      </c>
      <c r="B4299" s="10" t="s">
        <v>42</v>
      </c>
      <c r="C4299" s="10" t="s">
        <v>231</v>
      </c>
      <c r="D4299" s="10" t="s">
        <v>1858</v>
      </c>
      <c r="E4299" s="14">
        <v>0.5</v>
      </c>
      <c r="F4299" s="15">
        <f>ROUND(1.05,3)</f>
        <v>1.05</v>
      </c>
      <c r="G4299" s="12">
        <f t="shared" si="682"/>
        <v>0.53</v>
      </c>
    </row>
    <row r="4300" ht="21.0" customHeight="1">
      <c r="A4300" s="10" t="s">
        <v>22</v>
      </c>
      <c r="B4300" s="10" t="s">
        <v>18</v>
      </c>
      <c r="C4300" s="10" t="s">
        <v>23</v>
      </c>
      <c r="D4300" s="10" t="s">
        <v>24</v>
      </c>
      <c r="E4300" s="14">
        <v>0.6</v>
      </c>
      <c r="F4300" s="15">
        <f>F4304</f>
        <v>43.8</v>
      </c>
      <c r="G4300" s="12">
        <f t="shared" si="682"/>
        <v>26.28</v>
      </c>
    </row>
    <row r="4301" ht="24.0" customHeight="1">
      <c r="A4301" s="10" t="s">
        <v>25</v>
      </c>
      <c r="B4301" s="10" t="s">
        <v>26</v>
      </c>
      <c r="C4301" s="10" t="s">
        <v>23</v>
      </c>
      <c r="D4301" s="10" t="s">
        <v>27</v>
      </c>
      <c r="E4301" s="14">
        <v>1.0</v>
      </c>
      <c r="F4301" s="15">
        <f>ROUND(21,3)</f>
        <v>21</v>
      </c>
      <c r="G4301" s="12">
        <f t="shared" si="682"/>
        <v>21</v>
      </c>
    </row>
    <row r="4302" ht="24.0" customHeight="1">
      <c r="A4302" s="10" t="s">
        <v>28</v>
      </c>
      <c r="B4302" s="10" t="s">
        <v>26</v>
      </c>
      <c r="C4302" s="10" t="s">
        <v>23</v>
      </c>
      <c r="D4302" s="10" t="s">
        <v>29</v>
      </c>
      <c r="E4302" s="14">
        <v>1.0</v>
      </c>
      <c r="F4302" s="15">
        <f t="shared" ref="F4302:F4303" si="683">ROUND(19,3)</f>
        <v>19</v>
      </c>
      <c r="G4302" s="12">
        <f t="shared" si="682"/>
        <v>19</v>
      </c>
    </row>
    <row r="4303" ht="24.0" customHeight="1">
      <c r="A4303" s="10" t="s">
        <v>30</v>
      </c>
      <c r="B4303" s="10" t="s">
        <v>26</v>
      </c>
      <c r="C4303" s="10" t="s">
        <v>23</v>
      </c>
      <c r="D4303" s="10" t="s">
        <v>31</v>
      </c>
      <c r="E4303" s="14">
        <v>0.2</v>
      </c>
      <c r="F4303" s="15">
        <f t="shared" si="683"/>
        <v>19</v>
      </c>
      <c r="G4303" s="12">
        <f t="shared" si="682"/>
        <v>3.8</v>
      </c>
    </row>
    <row r="4304" ht="15.0" customHeight="1">
      <c r="A4304" s="11"/>
      <c r="B4304" s="11"/>
      <c r="C4304" s="11"/>
      <c r="D4304" s="10" t="s">
        <v>22</v>
      </c>
      <c r="E4304" s="14">
        <v>0.6</v>
      </c>
      <c r="F4304" s="15">
        <f>ROUND((G4301+G4302+G4303),3)</f>
        <v>43.8</v>
      </c>
      <c r="G4304" s="12">
        <f t="shared" si="682"/>
        <v>26.28</v>
      </c>
    </row>
    <row r="4305" ht="15.0" customHeight="1">
      <c r="A4305" s="16"/>
      <c r="B4305" s="16"/>
      <c r="C4305" s="16"/>
      <c r="D4305" s="17" t="s">
        <v>1935</v>
      </c>
      <c r="E4305" s="16"/>
      <c r="F4305" s="18">
        <f>ROUND((G4295+G4296+G4297+G4298+G4299+G4300)*(1+G2/100),2)</f>
        <v>42.59</v>
      </c>
      <c r="G4305" s="16"/>
    </row>
    <row r="4306" ht="21.0" customHeight="1">
      <c r="A4306" s="19" t="s">
        <v>1945</v>
      </c>
      <c r="B4306" s="20" t="s">
        <v>18</v>
      </c>
      <c r="C4306" s="20" t="s">
        <v>19</v>
      </c>
      <c r="D4306" s="20" t="s">
        <v>1946</v>
      </c>
      <c r="E4306" s="21"/>
      <c r="F4306" s="22">
        <f>F4315</f>
        <v>26.13</v>
      </c>
      <c r="G4306" s="21"/>
    </row>
    <row r="4307" ht="12.0" customHeight="1">
      <c r="A4307" s="11"/>
      <c r="B4307" s="11"/>
      <c r="C4307" s="11"/>
      <c r="D4307" s="10" t="s">
        <v>1947</v>
      </c>
    </row>
    <row r="4308" ht="30.0" customHeight="1">
      <c r="A4308" s="10" t="s">
        <v>1948</v>
      </c>
      <c r="B4308" s="10" t="s">
        <v>42</v>
      </c>
      <c r="C4308" s="10" t="s">
        <v>184</v>
      </c>
      <c r="D4308" s="10" t="s">
        <v>1949</v>
      </c>
      <c r="E4308" s="14">
        <v>0.336</v>
      </c>
      <c r="F4308" s="15">
        <f>ROUND(4.75,3)</f>
        <v>4.75</v>
      </c>
      <c r="G4308" s="12">
        <f t="shared" ref="G4308:G4313" si="684">ROUND(E4308*F4308,2)</f>
        <v>1.6</v>
      </c>
    </row>
    <row r="4309" ht="21.0" customHeight="1">
      <c r="A4309" s="10" t="s">
        <v>22</v>
      </c>
      <c r="B4309" s="10" t="s">
        <v>18</v>
      </c>
      <c r="C4309" s="10" t="s">
        <v>23</v>
      </c>
      <c r="D4309" s="10" t="s">
        <v>24</v>
      </c>
      <c r="E4309" s="14">
        <v>0.53333</v>
      </c>
      <c r="F4309" s="15">
        <f>F4313</f>
        <v>43.8</v>
      </c>
      <c r="G4309" s="12">
        <f t="shared" si="684"/>
        <v>23.36</v>
      </c>
    </row>
    <row r="4310" ht="24.0" customHeight="1">
      <c r="A4310" s="10" t="s">
        <v>25</v>
      </c>
      <c r="B4310" s="10" t="s">
        <v>26</v>
      </c>
      <c r="C4310" s="10" t="s">
        <v>23</v>
      </c>
      <c r="D4310" s="10" t="s">
        <v>27</v>
      </c>
      <c r="E4310" s="14">
        <v>1.0</v>
      </c>
      <c r="F4310" s="15">
        <f>ROUND(21,3)</f>
        <v>21</v>
      </c>
      <c r="G4310" s="12">
        <f t="shared" si="684"/>
        <v>21</v>
      </c>
    </row>
    <row r="4311" ht="24.0" customHeight="1">
      <c r="A4311" s="10" t="s">
        <v>28</v>
      </c>
      <c r="B4311" s="10" t="s">
        <v>26</v>
      </c>
      <c r="C4311" s="10" t="s">
        <v>23</v>
      </c>
      <c r="D4311" s="10" t="s">
        <v>29</v>
      </c>
      <c r="E4311" s="14">
        <v>1.0</v>
      </c>
      <c r="F4311" s="15">
        <f t="shared" ref="F4311:F4312" si="685">ROUND(19,3)</f>
        <v>19</v>
      </c>
      <c r="G4311" s="12">
        <f t="shared" si="684"/>
        <v>19</v>
      </c>
    </row>
    <row r="4312" ht="24.0" customHeight="1">
      <c r="A4312" s="10" t="s">
        <v>30</v>
      </c>
      <c r="B4312" s="10" t="s">
        <v>26</v>
      </c>
      <c r="C4312" s="10" t="s">
        <v>23</v>
      </c>
      <c r="D4312" s="10" t="s">
        <v>31</v>
      </c>
      <c r="E4312" s="14">
        <v>0.2</v>
      </c>
      <c r="F4312" s="15">
        <f t="shared" si="685"/>
        <v>19</v>
      </c>
      <c r="G4312" s="12">
        <f t="shared" si="684"/>
        <v>3.8</v>
      </c>
    </row>
    <row r="4313" ht="15.0" customHeight="1">
      <c r="A4313" s="11"/>
      <c r="B4313" s="11"/>
      <c r="C4313" s="11"/>
      <c r="D4313" s="10" t="s">
        <v>22</v>
      </c>
      <c r="E4313" s="14">
        <v>0.53333</v>
      </c>
      <c r="F4313" s="15">
        <f>ROUND((G4310+G4311+G4312),3)</f>
        <v>43.8</v>
      </c>
      <c r="G4313" s="12">
        <f t="shared" si="684"/>
        <v>23.36</v>
      </c>
    </row>
    <row r="4314" ht="15.0" customHeight="1">
      <c r="A4314" s="10" t="s">
        <v>32</v>
      </c>
      <c r="B4314" s="10"/>
      <c r="C4314" s="10" t="s">
        <v>33</v>
      </c>
      <c r="D4314" s="10" t="s">
        <v>34</v>
      </c>
      <c r="E4314" s="14">
        <v>5.0</v>
      </c>
      <c r="F4314" s="15">
        <f>ROUND(23.36,3)</f>
        <v>23.36</v>
      </c>
      <c r="G4314" s="12">
        <f>ROUND((E4314*F4314)/100,2)</f>
        <v>1.17</v>
      </c>
    </row>
    <row r="4315" ht="15.0" customHeight="1">
      <c r="A4315" s="16"/>
      <c r="B4315" s="16"/>
      <c r="C4315" s="16"/>
      <c r="D4315" s="17" t="s">
        <v>1945</v>
      </c>
      <c r="E4315" s="16"/>
      <c r="F4315" s="18">
        <f>ROUND((G4308+G4309+G4314)*(1+G2/100),2)</f>
        <v>26.13</v>
      </c>
      <c r="G4315" s="16"/>
    </row>
    <row r="4316" ht="30.0" customHeight="1">
      <c r="A4316" s="19" t="s">
        <v>1950</v>
      </c>
      <c r="B4316" s="20" t="s">
        <v>18</v>
      </c>
      <c r="C4316" s="20" t="s">
        <v>19</v>
      </c>
      <c r="D4316" s="20" t="s">
        <v>1951</v>
      </c>
      <c r="E4316" s="21"/>
      <c r="F4316" s="22">
        <f>F4326</f>
        <v>36.52</v>
      </c>
      <c r="G4316" s="21"/>
    </row>
    <row r="4317" ht="12.0" customHeight="1">
      <c r="A4317" s="11"/>
      <c r="B4317" s="11"/>
      <c r="C4317" s="11"/>
      <c r="D4317" s="10" t="s">
        <v>1952</v>
      </c>
    </row>
    <row r="4318" ht="30.0" customHeight="1">
      <c r="A4318" s="10" t="s">
        <v>1953</v>
      </c>
      <c r="B4318" s="10" t="s">
        <v>42</v>
      </c>
      <c r="C4318" s="10" t="s">
        <v>184</v>
      </c>
      <c r="D4318" s="10" t="s">
        <v>1954</v>
      </c>
      <c r="E4318" s="14">
        <v>1.0</v>
      </c>
      <c r="F4318" s="15">
        <f>ROUND(5.25,3)</f>
        <v>5.25</v>
      </c>
      <c r="G4318" s="12">
        <f t="shared" ref="G4318:G4324" si="686">ROUND(E4318*F4318,2)</f>
        <v>5.25</v>
      </c>
    </row>
    <row r="4319" ht="30.0" customHeight="1">
      <c r="A4319" s="10" t="s">
        <v>1227</v>
      </c>
      <c r="B4319" s="10" t="s">
        <v>42</v>
      </c>
      <c r="C4319" s="10" t="s">
        <v>226</v>
      </c>
      <c r="D4319" s="10" t="s">
        <v>1228</v>
      </c>
      <c r="E4319" s="14">
        <v>0.022</v>
      </c>
      <c r="F4319" s="15">
        <f>ROUND(27.5,3)</f>
        <v>27.5</v>
      </c>
      <c r="G4319" s="12">
        <f t="shared" si="686"/>
        <v>0.61</v>
      </c>
    </row>
    <row r="4320" ht="21.0" customHeight="1">
      <c r="A4320" s="10" t="s">
        <v>22</v>
      </c>
      <c r="B4320" s="10" t="s">
        <v>18</v>
      </c>
      <c r="C4320" s="10" t="s">
        <v>23</v>
      </c>
      <c r="D4320" s="10" t="s">
        <v>24</v>
      </c>
      <c r="E4320" s="14">
        <v>0.66667</v>
      </c>
      <c r="F4320" s="15">
        <f>F4324</f>
        <v>43.8</v>
      </c>
      <c r="G4320" s="12">
        <f t="shared" si="686"/>
        <v>29.2</v>
      </c>
    </row>
    <row r="4321" ht="24.0" customHeight="1">
      <c r="A4321" s="10" t="s">
        <v>25</v>
      </c>
      <c r="B4321" s="10" t="s">
        <v>26</v>
      </c>
      <c r="C4321" s="10" t="s">
        <v>23</v>
      </c>
      <c r="D4321" s="10" t="s">
        <v>27</v>
      </c>
      <c r="E4321" s="14">
        <v>1.0</v>
      </c>
      <c r="F4321" s="15">
        <f>ROUND(21,3)</f>
        <v>21</v>
      </c>
      <c r="G4321" s="12">
        <f t="shared" si="686"/>
        <v>21</v>
      </c>
    </row>
    <row r="4322" ht="24.0" customHeight="1">
      <c r="A4322" s="10" t="s">
        <v>28</v>
      </c>
      <c r="B4322" s="10" t="s">
        <v>26</v>
      </c>
      <c r="C4322" s="10" t="s">
        <v>23</v>
      </c>
      <c r="D4322" s="10" t="s">
        <v>29</v>
      </c>
      <c r="E4322" s="14">
        <v>1.0</v>
      </c>
      <c r="F4322" s="15">
        <f t="shared" ref="F4322:F4323" si="687">ROUND(19,3)</f>
        <v>19</v>
      </c>
      <c r="G4322" s="12">
        <f t="shared" si="686"/>
        <v>19</v>
      </c>
    </row>
    <row r="4323" ht="24.0" customHeight="1">
      <c r="A4323" s="10" t="s">
        <v>30</v>
      </c>
      <c r="B4323" s="10" t="s">
        <v>26</v>
      </c>
      <c r="C4323" s="10" t="s">
        <v>23</v>
      </c>
      <c r="D4323" s="10" t="s">
        <v>31</v>
      </c>
      <c r="E4323" s="14">
        <v>0.2</v>
      </c>
      <c r="F4323" s="15">
        <f t="shared" si="687"/>
        <v>19</v>
      </c>
      <c r="G4323" s="12">
        <f t="shared" si="686"/>
        <v>3.8</v>
      </c>
    </row>
    <row r="4324" ht="15.0" customHeight="1">
      <c r="A4324" s="11"/>
      <c r="B4324" s="11"/>
      <c r="C4324" s="11"/>
      <c r="D4324" s="10" t="s">
        <v>22</v>
      </c>
      <c r="E4324" s="14">
        <v>0.66667</v>
      </c>
      <c r="F4324" s="15">
        <f>ROUND((G4321+G4322+G4323),3)</f>
        <v>43.8</v>
      </c>
      <c r="G4324" s="12">
        <f t="shared" si="686"/>
        <v>29.2</v>
      </c>
    </row>
    <row r="4325" ht="15.0" customHeight="1">
      <c r="A4325" s="10" t="s">
        <v>32</v>
      </c>
      <c r="B4325" s="10"/>
      <c r="C4325" s="10" t="s">
        <v>33</v>
      </c>
      <c r="D4325" s="10" t="s">
        <v>34</v>
      </c>
      <c r="E4325" s="14">
        <v>5.0</v>
      </c>
      <c r="F4325" s="15">
        <f>ROUND(29.2,3)</f>
        <v>29.2</v>
      </c>
      <c r="G4325" s="12">
        <f>ROUND((E4325*F4325)/100,2)</f>
        <v>1.46</v>
      </c>
    </row>
    <row r="4326" ht="15.0" customHeight="1">
      <c r="A4326" s="16"/>
      <c r="B4326" s="16"/>
      <c r="C4326" s="16"/>
      <c r="D4326" s="17" t="s">
        <v>1950</v>
      </c>
      <c r="E4326" s="16"/>
      <c r="F4326" s="18">
        <f>ROUND((G4318+G4319+G4320+G4325)*(1+G2/100),2)</f>
        <v>36.52</v>
      </c>
      <c r="G4326" s="16"/>
    </row>
    <row r="4327" ht="15.0" customHeight="1">
      <c r="A4327" s="19" t="s">
        <v>1955</v>
      </c>
      <c r="B4327" s="20" t="s">
        <v>18</v>
      </c>
      <c r="C4327" s="20" t="s">
        <v>19</v>
      </c>
      <c r="D4327" s="20" t="s">
        <v>1956</v>
      </c>
      <c r="E4327" s="21"/>
      <c r="F4327" s="22">
        <f>F4338</f>
        <v>20.5</v>
      </c>
      <c r="G4327" s="21"/>
    </row>
    <row r="4328" ht="12.0" customHeight="1">
      <c r="A4328" s="11"/>
      <c r="B4328" s="11"/>
      <c r="C4328" s="11"/>
      <c r="D4328" s="10" t="s">
        <v>1956</v>
      </c>
    </row>
    <row r="4329" ht="39.75" customHeight="1">
      <c r="A4329" s="10" t="s">
        <v>1957</v>
      </c>
      <c r="B4329" s="10" t="s">
        <v>42</v>
      </c>
      <c r="C4329" s="10" t="s">
        <v>184</v>
      </c>
      <c r="D4329" s="10" t="s">
        <v>1958</v>
      </c>
      <c r="E4329" s="14">
        <v>1.0</v>
      </c>
      <c r="F4329" s="15">
        <f>ROUND(1.15,3)</f>
        <v>1.15</v>
      </c>
      <c r="G4329" s="12">
        <f t="shared" ref="G4329:G4336" si="688">ROUND(E4329*F4329,2)</f>
        <v>1.15</v>
      </c>
    </row>
    <row r="4330" ht="30.0" customHeight="1">
      <c r="A4330" s="10" t="s">
        <v>1679</v>
      </c>
      <c r="B4330" s="10" t="s">
        <v>42</v>
      </c>
      <c r="C4330" s="10" t="s">
        <v>226</v>
      </c>
      <c r="D4330" s="10" t="s">
        <v>1680</v>
      </c>
      <c r="E4330" s="14">
        <v>0.022</v>
      </c>
      <c r="F4330" s="15">
        <f>ROUND(39.5,3)</f>
        <v>39.5</v>
      </c>
      <c r="G4330" s="12">
        <f t="shared" si="688"/>
        <v>0.87</v>
      </c>
    </row>
    <row r="4331" ht="21.0" customHeight="1">
      <c r="A4331" s="10" t="s">
        <v>1959</v>
      </c>
      <c r="B4331" s="10" t="s">
        <v>42</v>
      </c>
      <c r="C4331" s="10" t="s">
        <v>231</v>
      </c>
      <c r="D4331" s="10" t="s">
        <v>1960</v>
      </c>
      <c r="E4331" s="14">
        <v>0.1</v>
      </c>
      <c r="F4331" s="15">
        <f>ROUND(0.84,3)</f>
        <v>0.84</v>
      </c>
      <c r="G4331" s="12">
        <f t="shared" si="688"/>
        <v>0.08</v>
      </c>
    </row>
    <row r="4332" ht="21.0" customHeight="1">
      <c r="A4332" s="10" t="s">
        <v>22</v>
      </c>
      <c r="B4332" s="10" t="s">
        <v>18</v>
      </c>
      <c r="C4332" s="10" t="s">
        <v>23</v>
      </c>
      <c r="D4332" s="10" t="s">
        <v>24</v>
      </c>
      <c r="E4332" s="14">
        <v>0.4</v>
      </c>
      <c r="F4332" s="15">
        <f>F4336</f>
        <v>43.8</v>
      </c>
      <c r="G4332" s="12">
        <f t="shared" si="688"/>
        <v>17.52</v>
      </c>
    </row>
    <row r="4333" ht="24.0" customHeight="1">
      <c r="A4333" s="10" t="s">
        <v>25</v>
      </c>
      <c r="B4333" s="10" t="s">
        <v>26</v>
      </c>
      <c r="C4333" s="10" t="s">
        <v>23</v>
      </c>
      <c r="D4333" s="10" t="s">
        <v>27</v>
      </c>
      <c r="E4333" s="14">
        <v>1.0</v>
      </c>
      <c r="F4333" s="15">
        <f>ROUND(21,3)</f>
        <v>21</v>
      </c>
      <c r="G4333" s="12">
        <f t="shared" si="688"/>
        <v>21</v>
      </c>
    </row>
    <row r="4334" ht="24.0" customHeight="1">
      <c r="A4334" s="10" t="s">
        <v>28</v>
      </c>
      <c r="B4334" s="10" t="s">
        <v>26</v>
      </c>
      <c r="C4334" s="10" t="s">
        <v>23</v>
      </c>
      <c r="D4334" s="10" t="s">
        <v>29</v>
      </c>
      <c r="E4334" s="14">
        <v>1.0</v>
      </c>
      <c r="F4334" s="15">
        <f t="shared" ref="F4334:F4335" si="689">ROUND(19,3)</f>
        <v>19</v>
      </c>
      <c r="G4334" s="12">
        <f t="shared" si="688"/>
        <v>19</v>
      </c>
    </row>
    <row r="4335" ht="24.0" customHeight="1">
      <c r="A4335" s="10" t="s">
        <v>30</v>
      </c>
      <c r="B4335" s="10" t="s">
        <v>26</v>
      </c>
      <c r="C4335" s="10" t="s">
        <v>23</v>
      </c>
      <c r="D4335" s="10" t="s">
        <v>31</v>
      </c>
      <c r="E4335" s="14">
        <v>0.2</v>
      </c>
      <c r="F4335" s="15">
        <f t="shared" si="689"/>
        <v>19</v>
      </c>
      <c r="G4335" s="12">
        <f t="shared" si="688"/>
        <v>3.8</v>
      </c>
    </row>
    <row r="4336" ht="15.0" customHeight="1">
      <c r="A4336" s="11"/>
      <c r="B4336" s="11"/>
      <c r="C4336" s="11"/>
      <c r="D4336" s="10" t="s">
        <v>22</v>
      </c>
      <c r="E4336" s="14">
        <v>0.4</v>
      </c>
      <c r="F4336" s="15">
        <f>ROUND((G4333+G4334+G4335),3)</f>
        <v>43.8</v>
      </c>
      <c r="G4336" s="12">
        <f t="shared" si="688"/>
        <v>17.52</v>
      </c>
    </row>
    <row r="4337" ht="15.0" customHeight="1">
      <c r="A4337" s="10" t="s">
        <v>32</v>
      </c>
      <c r="B4337" s="10"/>
      <c r="C4337" s="10" t="s">
        <v>33</v>
      </c>
      <c r="D4337" s="10" t="s">
        <v>34</v>
      </c>
      <c r="E4337" s="14">
        <v>5.0</v>
      </c>
      <c r="F4337" s="15">
        <f>ROUND(17.52,3)</f>
        <v>17.52</v>
      </c>
      <c r="G4337" s="12">
        <f>ROUND((E4337*F4337)/100,2)</f>
        <v>0.88</v>
      </c>
    </row>
    <row r="4338" ht="15.0" customHeight="1">
      <c r="A4338" s="16"/>
      <c r="B4338" s="16"/>
      <c r="C4338" s="16"/>
      <c r="D4338" s="17" t="s">
        <v>1955</v>
      </c>
      <c r="E4338" s="16"/>
      <c r="F4338" s="18">
        <f>ROUND((G4329+G4330+G4331+G4332+G4337)*(1+G2/100),2)</f>
        <v>20.5</v>
      </c>
      <c r="G4338" s="16"/>
    </row>
    <row r="4339" ht="21.0" customHeight="1">
      <c r="A4339" s="19" t="s">
        <v>1961</v>
      </c>
      <c r="B4339" s="20" t="s">
        <v>18</v>
      </c>
      <c r="C4339" s="20" t="s">
        <v>222</v>
      </c>
      <c r="D4339" s="20" t="s">
        <v>1962</v>
      </c>
      <c r="E4339" s="21"/>
      <c r="F4339" s="22">
        <f>F4348</f>
        <v>52.72</v>
      </c>
      <c r="G4339" s="21"/>
    </row>
    <row r="4340" ht="39.75" customHeight="1">
      <c r="A4340" s="11"/>
      <c r="B4340" s="11"/>
      <c r="C4340" s="11"/>
      <c r="D4340" s="10" t="s">
        <v>1963</v>
      </c>
    </row>
    <row r="4341" ht="30.0" customHeight="1">
      <c r="A4341" s="10" t="s">
        <v>1964</v>
      </c>
      <c r="B4341" s="10" t="s">
        <v>42</v>
      </c>
      <c r="C4341" s="10" t="s">
        <v>184</v>
      </c>
      <c r="D4341" s="10" t="s">
        <v>1965</v>
      </c>
      <c r="E4341" s="14">
        <v>1.6</v>
      </c>
      <c r="F4341" s="15">
        <f>ROUND(10.67,3)</f>
        <v>10.67</v>
      </c>
      <c r="G4341" s="12">
        <f t="shared" ref="G4341:G4347" si="690">ROUND(E4341*F4341,2)</f>
        <v>17.07</v>
      </c>
    </row>
    <row r="4342" ht="30.0" customHeight="1">
      <c r="A4342" s="10" t="s">
        <v>1227</v>
      </c>
      <c r="B4342" s="10" t="s">
        <v>42</v>
      </c>
      <c r="C4342" s="10" t="s">
        <v>226</v>
      </c>
      <c r="D4342" s="10" t="s">
        <v>1228</v>
      </c>
      <c r="E4342" s="14">
        <v>0.022</v>
      </c>
      <c r="F4342" s="15">
        <f>ROUND(27.5,3)</f>
        <v>27.5</v>
      </c>
      <c r="G4342" s="12">
        <f t="shared" si="690"/>
        <v>0.61</v>
      </c>
    </row>
    <row r="4343" ht="21.0" customHeight="1">
      <c r="A4343" s="10" t="s">
        <v>22</v>
      </c>
      <c r="B4343" s="10" t="s">
        <v>18</v>
      </c>
      <c r="C4343" s="10" t="s">
        <v>23</v>
      </c>
      <c r="D4343" s="10" t="s">
        <v>24</v>
      </c>
      <c r="E4343" s="14">
        <v>0.8</v>
      </c>
      <c r="F4343" s="15">
        <f>F4347</f>
        <v>43.8</v>
      </c>
      <c r="G4343" s="12">
        <f t="shared" si="690"/>
        <v>35.04</v>
      </c>
    </row>
    <row r="4344" ht="24.0" customHeight="1">
      <c r="A4344" s="10" t="s">
        <v>25</v>
      </c>
      <c r="B4344" s="10" t="s">
        <v>26</v>
      </c>
      <c r="C4344" s="10" t="s">
        <v>23</v>
      </c>
      <c r="D4344" s="10" t="s">
        <v>27</v>
      </c>
      <c r="E4344" s="14">
        <v>1.0</v>
      </c>
      <c r="F4344" s="15">
        <f>ROUND(21,3)</f>
        <v>21</v>
      </c>
      <c r="G4344" s="12">
        <f t="shared" si="690"/>
        <v>21</v>
      </c>
    </row>
    <row r="4345" ht="24.0" customHeight="1">
      <c r="A4345" s="10" t="s">
        <v>28</v>
      </c>
      <c r="B4345" s="10" t="s">
        <v>26</v>
      </c>
      <c r="C4345" s="10" t="s">
        <v>23</v>
      </c>
      <c r="D4345" s="10" t="s">
        <v>29</v>
      </c>
      <c r="E4345" s="14">
        <v>1.0</v>
      </c>
      <c r="F4345" s="15">
        <f t="shared" ref="F4345:F4346" si="691">ROUND(19,3)</f>
        <v>19</v>
      </c>
      <c r="G4345" s="12">
        <f t="shared" si="690"/>
        <v>19</v>
      </c>
    </row>
    <row r="4346" ht="24.0" customHeight="1">
      <c r="A4346" s="10" t="s">
        <v>30</v>
      </c>
      <c r="B4346" s="10" t="s">
        <v>26</v>
      </c>
      <c r="C4346" s="10" t="s">
        <v>23</v>
      </c>
      <c r="D4346" s="10" t="s">
        <v>31</v>
      </c>
      <c r="E4346" s="14">
        <v>0.2</v>
      </c>
      <c r="F4346" s="15">
        <f t="shared" si="691"/>
        <v>19</v>
      </c>
      <c r="G4346" s="12">
        <f t="shared" si="690"/>
        <v>3.8</v>
      </c>
    </row>
    <row r="4347" ht="15.0" customHeight="1">
      <c r="A4347" s="11"/>
      <c r="B4347" s="11"/>
      <c r="C4347" s="11"/>
      <c r="D4347" s="10" t="s">
        <v>22</v>
      </c>
      <c r="E4347" s="14">
        <v>0.8</v>
      </c>
      <c r="F4347" s="15">
        <f>ROUND((G4344+G4345+G4346),3)</f>
        <v>43.8</v>
      </c>
      <c r="G4347" s="12">
        <f t="shared" si="690"/>
        <v>35.04</v>
      </c>
    </row>
    <row r="4348" ht="15.0" customHeight="1">
      <c r="A4348" s="16"/>
      <c r="B4348" s="16"/>
      <c r="C4348" s="16"/>
      <c r="D4348" s="17" t="s">
        <v>1961</v>
      </c>
      <c r="E4348" s="16"/>
      <c r="F4348" s="18">
        <f>ROUND((G4341+G4342+G4343)*(1+G2/100),2)</f>
        <v>52.72</v>
      </c>
      <c r="G4348" s="16"/>
    </row>
    <row r="4349" ht="21.0" customHeight="1">
      <c r="A4349" s="19" t="s">
        <v>1966</v>
      </c>
      <c r="B4349" s="20" t="s">
        <v>18</v>
      </c>
      <c r="C4349" s="20" t="s">
        <v>321</v>
      </c>
      <c r="D4349" s="20" t="s">
        <v>1967</v>
      </c>
      <c r="E4349" s="21"/>
      <c r="F4349" s="22">
        <f>F4357</f>
        <v>10.46</v>
      </c>
      <c r="G4349" s="21"/>
    </row>
    <row r="4350" ht="39.75" customHeight="1">
      <c r="A4350" s="11"/>
      <c r="B4350" s="11"/>
      <c r="C4350" s="11"/>
      <c r="D4350" s="10" t="s">
        <v>1968</v>
      </c>
    </row>
    <row r="4351" ht="21.0" customHeight="1">
      <c r="A4351" s="10" t="s">
        <v>884</v>
      </c>
      <c r="B4351" s="10" t="s">
        <v>112</v>
      </c>
      <c r="C4351" s="10" t="s">
        <v>23</v>
      </c>
      <c r="D4351" s="10" t="s">
        <v>885</v>
      </c>
      <c r="E4351" s="14">
        <v>0.222</v>
      </c>
      <c r="F4351" s="15">
        <f>ROUND(3.3,3)</f>
        <v>3.3</v>
      </c>
      <c r="G4351" s="12">
        <f t="shared" ref="G4351:G4356" si="692">ROUND(E4351*F4351,2)</f>
        <v>0.73</v>
      </c>
    </row>
    <row r="4352" ht="21.0" customHeight="1">
      <c r="A4352" s="10" t="s">
        <v>22</v>
      </c>
      <c r="B4352" s="10" t="s">
        <v>18</v>
      </c>
      <c r="C4352" s="10" t="s">
        <v>23</v>
      </c>
      <c r="D4352" s="10" t="s">
        <v>24</v>
      </c>
      <c r="E4352" s="14">
        <v>0.2222</v>
      </c>
      <c r="F4352" s="15">
        <f>F4356</f>
        <v>43.8</v>
      </c>
      <c r="G4352" s="12">
        <f t="shared" si="692"/>
        <v>9.73</v>
      </c>
    </row>
    <row r="4353" ht="24.0" customHeight="1">
      <c r="A4353" s="10" t="s">
        <v>25</v>
      </c>
      <c r="B4353" s="10" t="s">
        <v>26</v>
      </c>
      <c r="C4353" s="10" t="s">
        <v>23</v>
      </c>
      <c r="D4353" s="10" t="s">
        <v>27</v>
      </c>
      <c r="E4353" s="14">
        <v>1.0</v>
      </c>
      <c r="F4353" s="15">
        <f>ROUND(21,3)</f>
        <v>21</v>
      </c>
      <c r="G4353" s="12">
        <f t="shared" si="692"/>
        <v>21</v>
      </c>
    </row>
    <row r="4354" ht="24.0" customHeight="1">
      <c r="A4354" s="10" t="s">
        <v>28</v>
      </c>
      <c r="B4354" s="10" t="s">
        <v>26</v>
      </c>
      <c r="C4354" s="10" t="s">
        <v>23</v>
      </c>
      <c r="D4354" s="10" t="s">
        <v>29</v>
      </c>
      <c r="E4354" s="14">
        <v>1.0</v>
      </c>
      <c r="F4354" s="15">
        <f t="shared" ref="F4354:F4355" si="693">ROUND(19,3)</f>
        <v>19</v>
      </c>
      <c r="G4354" s="12">
        <f t="shared" si="692"/>
        <v>19</v>
      </c>
    </row>
    <row r="4355" ht="24.0" customHeight="1">
      <c r="A4355" s="10" t="s">
        <v>30</v>
      </c>
      <c r="B4355" s="10" t="s">
        <v>26</v>
      </c>
      <c r="C4355" s="10" t="s">
        <v>23</v>
      </c>
      <c r="D4355" s="10" t="s">
        <v>31</v>
      </c>
      <c r="E4355" s="14">
        <v>0.2</v>
      </c>
      <c r="F4355" s="15">
        <f t="shared" si="693"/>
        <v>19</v>
      </c>
      <c r="G4355" s="12">
        <f t="shared" si="692"/>
        <v>3.8</v>
      </c>
    </row>
    <row r="4356" ht="15.0" customHeight="1">
      <c r="A4356" s="11"/>
      <c r="B4356" s="11"/>
      <c r="C4356" s="11"/>
      <c r="D4356" s="10" t="s">
        <v>22</v>
      </c>
      <c r="E4356" s="14">
        <v>0.2222</v>
      </c>
      <c r="F4356" s="15">
        <f>ROUND((G4353+G4354+G4355),3)</f>
        <v>43.8</v>
      </c>
      <c r="G4356" s="12">
        <f t="shared" si="692"/>
        <v>9.73</v>
      </c>
    </row>
    <row r="4357" ht="15.0" customHeight="1">
      <c r="A4357" s="16"/>
      <c r="B4357" s="16"/>
      <c r="C4357" s="16"/>
      <c r="D4357" s="17" t="s">
        <v>1966</v>
      </c>
      <c r="E4357" s="16"/>
      <c r="F4357" s="18">
        <f>ROUND((G4351+G4352)*(1+G2/100),2)</f>
        <v>10.46</v>
      </c>
      <c r="G4357" s="16"/>
    </row>
    <row r="4358" ht="15.0" customHeight="1">
      <c r="A4358" s="19" t="s">
        <v>1969</v>
      </c>
      <c r="B4358" s="20" t="s">
        <v>18</v>
      </c>
      <c r="C4358" s="20" t="s">
        <v>321</v>
      </c>
      <c r="D4358" s="20" t="s">
        <v>1970</v>
      </c>
      <c r="E4358" s="21"/>
      <c r="F4358" s="22">
        <f>F4367</f>
        <v>33.51</v>
      </c>
      <c r="G4358" s="21"/>
    </row>
    <row r="4359" ht="30.0" customHeight="1">
      <c r="A4359" s="11"/>
      <c r="B4359" s="11"/>
      <c r="C4359" s="11"/>
      <c r="D4359" s="10" t="s">
        <v>1971</v>
      </c>
    </row>
    <row r="4360" ht="48.75" customHeight="1">
      <c r="A4360" s="10" t="s">
        <v>1972</v>
      </c>
      <c r="B4360" s="10" t="s">
        <v>42</v>
      </c>
      <c r="C4360" s="10" t="s">
        <v>1298</v>
      </c>
      <c r="D4360" s="10" t="s">
        <v>1973</v>
      </c>
      <c r="E4360" s="14">
        <v>0.5</v>
      </c>
      <c r="F4360" s="15">
        <f>ROUND(45.74,3)</f>
        <v>45.74</v>
      </c>
      <c r="G4360" s="12">
        <f t="shared" ref="G4360:G4366" si="694">ROUND(E4360*F4360,2)</f>
        <v>22.87</v>
      </c>
    </row>
    <row r="4361" ht="21.0" customHeight="1">
      <c r="A4361" s="10" t="s">
        <v>1974</v>
      </c>
      <c r="B4361" s="10" t="s">
        <v>112</v>
      </c>
      <c r="C4361" s="10" t="s">
        <v>23</v>
      </c>
      <c r="D4361" s="10" t="s">
        <v>1975</v>
      </c>
      <c r="E4361" s="14">
        <v>0.15</v>
      </c>
      <c r="F4361" s="15">
        <f>ROUND(12.5,3)</f>
        <v>12.5</v>
      </c>
      <c r="G4361" s="12">
        <f t="shared" si="694"/>
        <v>1.88</v>
      </c>
    </row>
    <row r="4362" ht="21.0" customHeight="1">
      <c r="A4362" s="10" t="s">
        <v>22</v>
      </c>
      <c r="B4362" s="10" t="s">
        <v>18</v>
      </c>
      <c r="C4362" s="10" t="s">
        <v>23</v>
      </c>
      <c r="D4362" s="10" t="s">
        <v>24</v>
      </c>
      <c r="E4362" s="14">
        <v>0.2</v>
      </c>
      <c r="F4362" s="15">
        <f>F4366</f>
        <v>43.8</v>
      </c>
      <c r="G4362" s="12">
        <f t="shared" si="694"/>
        <v>8.76</v>
      </c>
    </row>
    <row r="4363" ht="24.0" customHeight="1">
      <c r="A4363" s="10" t="s">
        <v>25</v>
      </c>
      <c r="B4363" s="10" t="s">
        <v>26</v>
      </c>
      <c r="C4363" s="10" t="s">
        <v>23</v>
      </c>
      <c r="D4363" s="10" t="s">
        <v>27</v>
      </c>
      <c r="E4363" s="14">
        <v>1.0</v>
      </c>
      <c r="F4363" s="15">
        <f>ROUND(21,3)</f>
        <v>21</v>
      </c>
      <c r="G4363" s="12">
        <f t="shared" si="694"/>
        <v>21</v>
      </c>
    </row>
    <row r="4364" ht="24.0" customHeight="1">
      <c r="A4364" s="10" t="s">
        <v>28</v>
      </c>
      <c r="B4364" s="10" t="s">
        <v>26</v>
      </c>
      <c r="C4364" s="10" t="s">
        <v>23</v>
      </c>
      <c r="D4364" s="10" t="s">
        <v>29</v>
      </c>
      <c r="E4364" s="14">
        <v>1.0</v>
      </c>
      <c r="F4364" s="15">
        <f t="shared" ref="F4364:F4365" si="695">ROUND(19,3)</f>
        <v>19</v>
      </c>
      <c r="G4364" s="12">
        <f t="shared" si="694"/>
        <v>19</v>
      </c>
    </row>
    <row r="4365" ht="24.0" customHeight="1">
      <c r="A4365" s="10" t="s">
        <v>30</v>
      </c>
      <c r="B4365" s="10" t="s">
        <v>26</v>
      </c>
      <c r="C4365" s="10" t="s">
        <v>23</v>
      </c>
      <c r="D4365" s="10" t="s">
        <v>31</v>
      </c>
      <c r="E4365" s="14">
        <v>0.2</v>
      </c>
      <c r="F4365" s="15">
        <f t="shared" si="695"/>
        <v>19</v>
      </c>
      <c r="G4365" s="12">
        <f t="shared" si="694"/>
        <v>3.8</v>
      </c>
    </row>
    <row r="4366" ht="15.0" customHeight="1">
      <c r="A4366" s="11"/>
      <c r="B4366" s="11"/>
      <c r="C4366" s="11"/>
      <c r="D4366" s="10" t="s">
        <v>22</v>
      </c>
      <c r="E4366" s="14">
        <v>0.2</v>
      </c>
      <c r="F4366" s="15">
        <f>ROUND((G4363+G4364+G4365),3)</f>
        <v>43.8</v>
      </c>
      <c r="G4366" s="12">
        <f t="shared" si="694"/>
        <v>8.76</v>
      </c>
    </row>
    <row r="4367" ht="15.0" customHeight="1">
      <c r="A4367" s="16"/>
      <c r="B4367" s="16"/>
      <c r="C4367" s="16"/>
      <c r="D4367" s="17" t="s">
        <v>1969</v>
      </c>
      <c r="E4367" s="16"/>
      <c r="F4367" s="18">
        <f>ROUND((G4360+G4361+G4362)*(1+G2/100),2)</f>
        <v>33.51</v>
      </c>
      <c r="G4367" s="16"/>
    </row>
    <row r="4368" ht="21.0" customHeight="1">
      <c r="A4368" s="19" t="s">
        <v>1976</v>
      </c>
      <c r="B4368" s="20" t="s">
        <v>18</v>
      </c>
      <c r="C4368" s="20" t="s">
        <v>251</v>
      </c>
      <c r="D4368" s="20" t="s">
        <v>1977</v>
      </c>
      <c r="E4368" s="21"/>
      <c r="F4368" s="22">
        <f>F4378</f>
        <v>60.05</v>
      </c>
      <c r="G4368" s="21"/>
    </row>
    <row r="4369" ht="12.0" customHeight="1">
      <c r="A4369" s="11"/>
      <c r="B4369" s="11"/>
      <c r="C4369" s="11"/>
      <c r="D4369" s="10" t="s">
        <v>1978</v>
      </c>
    </row>
    <row r="4370" ht="21.0" customHeight="1">
      <c r="A4370" s="10" t="s">
        <v>1979</v>
      </c>
      <c r="B4370" s="10" t="s">
        <v>42</v>
      </c>
      <c r="C4370" s="10" t="s">
        <v>184</v>
      </c>
      <c r="D4370" s="10" t="s">
        <v>1980</v>
      </c>
      <c r="E4370" s="14">
        <v>1.2</v>
      </c>
      <c r="F4370" s="15">
        <f>ROUND(18.44,3)</f>
        <v>18.44</v>
      </c>
      <c r="G4370" s="12">
        <f t="shared" ref="G4370:G4371" si="696">ROUND(E4370*F4370,2)</f>
        <v>22.13</v>
      </c>
    </row>
    <row r="4371" ht="30.0" customHeight="1">
      <c r="A4371" s="10" t="s">
        <v>1227</v>
      </c>
      <c r="B4371" s="10" t="s">
        <v>42</v>
      </c>
      <c r="C4371" s="10" t="s">
        <v>226</v>
      </c>
      <c r="D4371" s="10" t="s">
        <v>1228</v>
      </c>
      <c r="E4371" s="14">
        <v>0.022</v>
      </c>
      <c r="F4371" s="15">
        <f>ROUND(27.5,3)</f>
        <v>27.5</v>
      </c>
      <c r="G4371" s="12">
        <f t="shared" si="696"/>
        <v>0.61</v>
      </c>
    </row>
    <row r="4372" ht="15.0" customHeight="1">
      <c r="A4372" s="10" t="s">
        <v>1981</v>
      </c>
      <c r="B4372" s="10"/>
      <c r="C4372" s="10" t="s">
        <v>33</v>
      </c>
      <c r="D4372" s="10" t="s">
        <v>1982</v>
      </c>
      <c r="E4372" s="14">
        <v>10.0</v>
      </c>
      <c r="F4372" s="15">
        <f>ROUND(22.74,3)</f>
        <v>22.74</v>
      </c>
      <c r="G4372" s="12">
        <f>ROUND((E4372*F4372)/100,2)</f>
        <v>2.27</v>
      </c>
    </row>
    <row r="4373" ht="21.0" customHeight="1">
      <c r="A4373" s="10" t="s">
        <v>22</v>
      </c>
      <c r="B4373" s="10" t="s">
        <v>18</v>
      </c>
      <c r="C4373" s="10" t="s">
        <v>23</v>
      </c>
      <c r="D4373" s="10" t="s">
        <v>24</v>
      </c>
      <c r="E4373" s="14">
        <v>0.8</v>
      </c>
      <c r="F4373" s="15">
        <f>F4377</f>
        <v>43.8</v>
      </c>
      <c r="G4373" s="12">
        <f t="shared" ref="G4373:G4377" si="697">ROUND(E4373*F4373,2)</f>
        <v>35.04</v>
      </c>
    </row>
    <row r="4374" ht="24.0" customHeight="1">
      <c r="A4374" s="10" t="s">
        <v>25</v>
      </c>
      <c r="B4374" s="10" t="s">
        <v>26</v>
      </c>
      <c r="C4374" s="10" t="s">
        <v>23</v>
      </c>
      <c r="D4374" s="10" t="s">
        <v>27</v>
      </c>
      <c r="E4374" s="14">
        <v>1.0</v>
      </c>
      <c r="F4374" s="15">
        <f>ROUND(21,3)</f>
        <v>21</v>
      </c>
      <c r="G4374" s="12">
        <f t="shared" si="697"/>
        <v>21</v>
      </c>
    </row>
    <row r="4375" ht="24.0" customHeight="1">
      <c r="A4375" s="10" t="s">
        <v>28</v>
      </c>
      <c r="B4375" s="10" t="s">
        <v>26</v>
      </c>
      <c r="C4375" s="10" t="s">
        <v>23</v>
      </c>
      <c r="D4375" s="10" t="s">
        <v>29</v>
      </c>
      <c r="E4375" s="14">
        <v>1.0</v>
      </c>
      <c r="F4375" s="15">
        <f t="shared" ref="F4375:F4376" si="698">ROUND(19,3)</f>
        <v>19</v>
      </c>
      <c r="G4375" s="12">
        <f t="shared" si="697"/>
        <v>19</v>
      </c>
    </row>
    <row r="4376" ht="24.0" customHeight="1">
      <c r="A4376" s="10" t="s">
        <v>30</v>
      </c>
      <c r="B4376" s="10" t="s">
        <v>26</v>
      </c>
      <c r="C4376" s="10" t="s">
        <v>23</v>
      </c>
      <c r="D4376" s="10" t="s">
        <v>31</v>
      </c>
      <c r="E4376" s="14">
        <v>0.2</v>
      </c>
      <c r="F4376" s="15">
        <f t="shared" si="698"/>
        <v>19</v>
      </c>
      <c r="G4376" s="12">
        <f t="shared" si="697"/>
        <v>3.8</v>
      </c>
    </row>
    <row r="4377" ht="15.0" customHeight="1">
      <c r="A4377" s="11"/>
      <c r="B4377" s="11"/>
      <c r="C4377" s="11"/>
      <c r="D4377" s="10" t="s">
        <v>22</v>
      </c>
      <c r="E4377" s="14">
        <v>0.8</v>
      </c>
      <c r="F4377" s="15">
        <f>ROUND((G4374+G4375+G4376),3)</f>
        <v>43.8</v>
      </c>
      <c r="G4377" s="12">
        <f t="shared" si="697"/>
        <v>35.04</v>
      </c>
    </row>
    <row r="4378" ht="15.0" customHeight="1">
      <c r="A4378" s="16"/>
      <c r="B4378" s="16"/>
      <c r="C4378" s="16"/>
      <c r="D4378" s="17" t="s">
        <v>1976</v>
      </c>
      <c r="E4378" s="16"/>
      <c r="F4378" s="18">
        <f>ROUND((G4370+G4371+G4372+G4373)*(1+G2/100),2)</f>
        <v>60.05</v>
      </c>
      <c r="G4378" s="16"/>
    </row>
    <row r="4379" ht="21.0" customHeight="1">
      <c r="A4379" s="19" t="s">
        <v>1983</v>
      </c>
      <c r="B4379" s="20" t="s">
        <v>18</v>
      </c>
      <c r="C4379" s="20" t="s">
        <v>19</v>
      </c>
      <c r="D4379" s="20" t="s">
        <v>1984</v>
      </c>
      <c r="E4379" s="21"/>
      <c r="F4379" s="22">
        <f>F4389</f>
        <v>71.01</v>
      </c>
      <c r="G4379" s="21"/>
    </row>
    <row r="4380" ht="12.0" customHeight="1">
      <c r="A4380" s="11"/>
      <c r="B4380" s="11"/>
      <c r="C4380" s="11"/>
      <c r="D4380" s="10" t="s">
        <v>1984</v>
      </c>
    </row>
    <row r="4381" ht="39.75" customHeight="1">
      <c r="A4381" s="10" t="s">
        <v>1303</v>
      </c>
      <c r="B4381" s="10" t="s">
        <v>42</v>
      </c>
      <c r="C4381" s="10" t="s">
        <v>184</v>
      </c>
      <c r="D4381" s="10" t="s">
        <v>1304</v>
      </c>
      <c r="E4381" s="14">
        <v>1.6</v>
      </c>
      <c r="F4381" s="15">
        <f>ROUND(24.84,3)</f>
        <v>24.84</v>
      </c>
      <c r="G4381" s="12">
        <f t="shared" ref="G4381:G4387" si="699">ROUND(E4381*F4381,2)</f>
        <v>39.74</v>
      </c>
    </row>
    <row r="4382" ht="30.0" customHeight="1">
      <c r="A4382" s="10" t="s">
        <v>1227</v>
      </c>
      <c r="B4382" s="10" t="s">
        <v>42</v>
      </c>
      <c r="C4382" s="10" t="s">
        <v>226</v>
      </c>
      <c r="D4382" s="10" t="s">
        <v>1228</v>
      </c>
      <c r="E4382" s="14">
        <v>0.022</v>
      </c>
      <c r="F4382" s="15">
        <f>ROUND(27.5,3)</f>
        <v>27.5</v>
      </c>
      <c r="G4382" s="12">
        <f t="shared" si="699"/>
        <v>0.61</v>
      </c>
    </row>
    <row r="4383" ht="21.0" customHeight="1">
      <c r="A4383" s="10" t="s">
        <v>22</v>
      </c>
      <c r="B4383" s="10" t="s">
        <v>18</v>
      </c>
      <c r="C4383" s="10" t="s">
        <v>23</v>
      </c>
      <c r="D4383" s="10" t="s">
        <v>24</v>
      </c>
      <c r="E4383" s="14">
        <v>0.66667</v>
      </c>
      <c r="F4383" s="15">
        <f>F4387</f>
        <v>43.8</v>
      </c>
      <c r="G4383" s="12">
        <f t="shared" si="699"/>
        <v>29.2</v>
      </c>
    </row>
    <row r="4384" ht="24.0" customHeight="1">
      <c r="A4384" s="10" t="s">
        <v>25</v>
      </c>
      <c r="B4384" s="10" t="s">
        <v>26</v>
      </c>
      <c r="C4384" s="10" t="s">
        <v>23</v>
      </c>
      <c r="D4384" s="10" t="s">
        <v>27</v>
      </c>
      <c r="E4384" s="14">
        <v>1.0</v>
      </c>
      <c r="F4384" s="15">
        <f>ROUND(21,3)</f>
        <v>21</v>
      </c>
      <c r="G4384" s="12">
        <f t="shared" si="699"/>
        <v>21</v>
      </c>
    </row>
    <row r="4385" ht="24.0" customHeight="1">
      <c r="A4385" s="10" t="s">
        <v>28</v>
      </c>
      <c r="B4385" s="10" t="s">
        <v>26</v>
      </c>
      <c r="C4385" s="10" t="s">
        <v>23</v>
      </c>
      <c r="D4385" s="10" t="s">
        <v>29</v>
      </c>
      <c r="E4385" s="14">
        <v>1.0</v>
      </c>
      <c r="F4385" s="15">
        <f t="shared" ref="F4385:F4386" si="700">ROUND(19,3)</f>
        <v>19</v>
      </c>
      <c r="G4385" s="12">
        <f t="shared" si="699"/>
        <v>19</v>
      </c>
    </row>
    <row r="4386" ht="24.0" customHeight="1">
      <c r="A4386" s="10" t="s">
        <v>30</v>
      </c>
      <c r="B4386" s="10" t="s">
        <v>26</v>
      </c>
      <c r="C4386" s="10" t="s">
        <v>23</v>
      </c>
      <c r="D4386" s="10" t="s">
        <v>31</v>
      </c>
      <c r="E4386" s="14">
        <v>0.2</v>
      </c>
      <c r="F4386" s="15">
        <f t="shared" si="700"/>
        <v>19</v>
      </c>
      <c r="G4386" s="12">
        <f t="shared" si="699"/>
        <v>3.8</v>
      </c>
    </row>
    <row r="4387" ht="15.0" customHeight="1">
      <c r="A4387" s="11"/>
      <c r="B4387" s="11"/>
      <c r="C4387" s="11"/>
      <c r="D4387" s="10" t="s">
        <v>22</v>
      </c>
      <c r="E4387" s="14">
        <v>0.66667</v>
      </c>
      <c r="F4387" s="15">
        <f>ROUND((G4384+G4385+G4386),3)</f>
        <v>43.8</v>
      </c>
      <c r="G4387" s="12">
        <f t="shared" si="699"/>
        <v>29.2</v>
      </c>
    </row>
    <row r="4388" ht="15.0" customHeight="1">
      <c r="A4388" s="10" t="s">
        <v>32</v>
      </c>
      <c r="B4388" s="10"/>
      <c r="C4388" s="10" t="s">
        <v>33</v>
      </c>
      <c r="D4388" s="10" t="s">
        <v>34</v>
      </c>
      <c r="E4388" s="14">
        <v>5.0</v>
      </c>
      <c r="F4388" s="15">
        <f>ROUND(29.2,3)</f>
        <v>29.2</v>
      </c>
      <c r="G4388" s="12">
        <f>ROUND((E4388*F4388)/100,2)</f>
        <v>1.46</v>
      </c>
    </row>
    <row r="4389" ht="15.0" customHeight="1">
      <c r="A4389" s="16"/>
      <c r="B4389" s="16"/>
      <c r="C4389" s="16"/>
      <c r="D4389" s="17" t="s">
        <v>1983</v>
      </c>
      <c r="E4389" s="16"/>
      <c r="F4389" s="18">
        <f>ROUND((G4381+G4382+G4383+G4388)*(1+G2/100),2)</f>
        <v>71.01</v>
      </c>
      <c r="G4389" s="16"/>
    </row>
    <row r="4390" ht="30.0" customHeight="1">
      <c r="A4390" s="19" t="s">
        <v>1985</v>
      </c>
      <c r="B4390" s="20" t="s">
        <v>18</v>
      </c>
      <c r="C4390" s="20" t="s">
        <v>19</v>
      </c>
      <c r="D4390" s="20" t="s">
        <v>1986</v>
      </c>
      <c r="E4390" s="21"/>
      <c r="F4390" s="22">
        <f>F4400</f>
        <v>42.46</v>
      </c>
      <c r="G4390" s="21"/>
    </row>
    <row r="4391" ht="12.0" customHeight="1">
      <c r="A4391" s="11"/>
      <c r="B4391" s="11"/>
      <c r="C4391" s="11"/>
      <c r="D4391" s="10" t="s">
        <v>1986</v>
      </c>
    </row>
    <row r="4392" ht="39.75" customHeight="1">
      <c r="A4392" s="10" t="s">
        <v>1987</v>
      </c>
      <c r="B4392" s="10" t="s">
        <v>42</v>
      </c>
      <c r="C4392" s="10" t="s">
        <v>184</v>
      </c>
      <c r="D4392" s="10" t="s">
        <v>1988</v>
      </c>
      <c r="E4392" s="14">
        <v>0.5</v>
      </c>
      <c r="F4392" s="15">
        <f>ROUND(22.38,3)</f>
        <v>22.38</v>
      </c>
      <c r="G4392" s="12">
        <f t="shared" ref="G4392:G4398" si="701">ROUND(E4392*F4392,2)</f>
        <v>11.19</v>
      </c>
    </row>
    <row r="4393" ht="30.0" customHeight="1">
      <c r="A4393" s="10" t="s">
        <v>1227</v>
      </c>
      <c r="B4393" s="10" t="s">
        <v>42</v>
      </c>
      <c r="C4393" s="10" t="s">
        <v>226</v>
      </c>
      <c r="D4393" s="10" t="s">
        <v>1228</v>
      </c>
      <c r="E4393" s="14">
        <v>0.022</v>
      </c>
      <c r="F4393" s="15">
        <f>ROUND(27.5,3)</f>
        <v>27.5</v>
      </c>
      <c r="G4393" s="12">
        <f t="shared" si="701"/>
        <v>0.61</v>
      </c>
    </row>
    <row r="4394" ht="21.0" customHeight="1">
      <c r="A4394" s="10" t="s">
        <v>22</v>
      </c>
      <c r="B4394" s="10" t="s">
        <v>18</v>
      </c>
      <c r="C4394" s="10" t="s">
        <v>23</v>
      </c>
      <c r="D4394" s="10" t="s">
        <v>24</v>
      </c>
      <c r="E4394" s="14">
        <v>0.66667</v>
      </c>
      <c r="F4394" s="15">
        <f>F4398</f>
        <v>43.8</v>
      </c>
      <c r="G4394" s="12">
        <f t="shared" si="701"/>
        <v>29.2</v>
      </c>
    </row>
    <row r="4395" ht="24.0" customHeight="1">
      <c r="A4395" s="10" t="s">
        <v>25</v>
      </c>
      <c r="B4395" s="10" t="s">
        <v>26</v>
      </c>
      <c r="C4395" s="10" t="s">
        <v>23</v>
      </c>
      <c r="D4395" s="10" t="s">
        <v>27</v>
      </c>
      <c r="E4395" s="14">
        <v>1.0</v>
      </c>
      <c r="F4395" s="15">
        <f>ROUND(21,3)</f>
        <v>21</v>
      </c>
      <c r="G4395" s="12">
        <f t="shared" si="701"/>
        <v>21</v>
      </c>
    </row>
    <row r="4396" ht="24.0" customHeight="1">
      <c r="A4396" s="10" t="s">
        <v>28</v>
      </c>
      <c r="B4396" s="10" t="s">
        <v>26</v>
      </c>
      <c r="C4396" s="10" t="s">
        <v>23</v>
      </c>
      <c r="D4396" s="10" t="s">
        <v>29</v>
      </c>
      <c r="E4396" s="14">
        <v>1.0</v>
      </c>
      <c r="F4396" s="15">
        <f t="shared" ref="F4396:F4397" si="702">ROUND(19,3)</f>
        <v>19</v>
      </c>
      <c r="G4396" s="12">
        <f t="shared" si="701"/>
        <v>19</v>
      </c>
    </row>
    <row r="4397" ht="24.0" customHeight="1">
      <c r="A4397" s="10" t="s">
        <v>30</v>
      </c>
      <c r="B4397" s="10" t="s">
        <v>26</v>
      </c>
      <c r="C4397" s="10" t="s">
        <v>23</v>
      </c>
      <c r="D4397" s="10" t="s">
        <v>31</v>
      </c>
      <c r="E4397" s="14">
        <v>0.2</v>
      </c>
      <c r="F4397" s="15">
        <f t="shared" si="702"/>
        <v>19</v>
      </c>
      <c r="G4397" s="12">
        <f t="shared" si="701"/>
        <v>3.8</v>
      </c>
    </row>
    <row r="4398" ht="15.0" customHeight="1">
      <c r="A4398" s="11"/>
      <c r="B4398" s="11"/>
      <c r="C4398" s="11"/>
      <c r="D4398" s="10" t="s">
        <v>22</v>
      </c>
      <c r="E4398" s="14">
        <v>0.66667</v>
      </c>
      <c r="F4398" s="15">
        <f>ROUND((G4395+G4396+G4397),3)</f>
        <v>43.8</v>
      </c>
      <c r="G4398" s="12">
        <f t="shared" si="701"/>
        <v>29.2</v>
      </c>
    </row>
    <row r="4399" ht="15.0" customHeight="1">
      <c r="A4399" s="10" t="s">
        <v>32</v>
      </c>
      <c r="B4399" s="10"/>
      <c r="C4399" s="10" t="s">
        <v>33</v>
      </c>
      <c r="D4399" s="10" t="s">
        <v>34</v>
      </c>
      <c r="E4399" s="14">
        <v>5.0</v>
      </c>
      <c r="F4399" s="15">
        <f>ROUND(29.2,3)</f>
        <v>29.2</v>
      </c>
      <c r="G4399" s="12">
        <f>ROUND((E4399*F4399)/100,2)</f>
        <v>1.46</v>
      </c>
    </row>
    <row r="4400" ht="15.0" customHeight="1">
      <c r="A4400" s="16"/>
      <c r="B4400" s="16"/>
      <c r="C4400" s="16"/>
      <c r="D4400" s="17" t="s">
        <v>1985</v>
      </c>
      <c r="E4400" s="16"/>
      <c r="F4400" s="18">
        <f>ROUND((G4392+G4393+G4394+G4399)*(1+G2/100),2)</f>
        <v>42.46</v>
      </c>
      <c r="G4400" s="16"/>
    </row>
    <row r="4401" ht="57.75" customHeight="1">
      <c r="A4401" s="19" t="s">
        <v>1989</v>
      </c>
      <c r="B4401" s="20" t="s">
        <v>18</v>
      </c>
      <c r="C4401" s="20" t="s">
        <v>19</v>
      </c>
      <c r="D4401" s="20" t="s">
        <v>1990</v>
      </c>
      <c r="E4401" s="21"/>
      <c r="F4401" s="22">
        <f>F4415</f>
        <v>35.42</v>
      </c>
      <c r="G4401" s="21"/>
    </row>
    <row r="4402" ht="21.0" customHeight="1">
      <c r="A4402" s="11"/>
      <c r="B4402" s="11"/>
      <c r="C4402" s="11"/>
      <c r="D4402" s="10" t="s">
        <v>1991</v>
      </c>
    </row>
    <row r="4403" ht="39.75" customHeight="1">
      <c r="A4403" s="10" t="s">
        <v>1992</v>
      </c>
      <c r="B4403" s="10" t="s">
        <v>42</v>
      </c>
      <c r="C4403" s="10" t="s">
        <v>184</v>
      </c>
      <c r="D4403" s="10" t="s">
        <v>1993</v>
      </c>
      <c r="E4403" s="14">
        <v>0.64</v>
      </c>
      <c r="F4403" s="15">
        <f>ROUND(10.46,3)</f>
        <v>10.46</v>
      </c>
      <c r="G4403" s="12">
        <f t="shared" ref="G4403:G4413" si="703">ROUND(E4403*F4403,2)</f>
        <v>6.69</v>
      </c>
    </row>
    <row r="4404" ht="39.75" customHeight="1">
      <c r="A4404" s="10" t="s">
        <v>1994</v>
      </c>
      <c r="B4404" s="10" t="s">
        <v>42</v>
      </c>
      <c r="C4404" s="10" t="s">
        <v>184</v>
      </c>
      <c r="D4404" s="10" t="s">
        <v>1995</v>
      </c>
      <c r="E4404" s="14">
        <v>0.34</v>
      </c>
      <c r="F4404" s="15">
        <f>ROUND(15.2,3)</f>
        <v>15.2</v>
      </c>
      <c r="G4404" s="12">
        <f t="shared" si="703"/>
        <v>5.17</v>
      </c>
    </row>
    <row r="4405" ht="30.0" customHeight="1">
      <c r="A4405" s="10" t="s">
        <v>1227</v>
      </c>
      <c r="B4405" s="10" t="s">
        <v>42</v>
      </c>
      <c r="C4405" s="10" t="s">
        <v>226</v>
      </c>
      <c r="D4405" s="10" t="s">
        <v>1228</v>
      </c>
      <c r="E4405" s="14">
        <v>0.022</v>
      </c>
      <c r="F4405" s="15">
        <f>ROUND(27.5,3)</f>
        <v>27.5</v>
      </c>
      <c r="G4405" s="12">
        <f t="shared" si="703"/>
        <v>0.61</v>
      </c>
    </row>
    <row r="4406" ht="39.75" customHeight="1">
      <c r="A4406" s="10" t="s">
        <v>1349</v>
      </c>
      <c r="B4406" s="10" t="s">
        <v>42</v>
      </c>
      <c r="C4406" s="10" t="s">
        <v>231</v>
      </c>
      <c r="D4406" s="10" t="s">
        <v>1350</v>
      </c>
      <c r="E4406" s="14">
        <v>0.12</v>
      </c>
      <c r="F4406" s="15">
        <f>ROUND(4.05,3)</f>
        <v>4.05</v>
      </c>
      <c r="G4406" s="12">
        <f t="shared" si="703"/>
        <v>0.49</v>
      </c>
    </row>
    <row r="4407" ht="39.75" customHeight="1">
      <c r="A4407" s="10" t="s">
        <v>1315</v>
      </c>
      <c r="B4407" s="10" t="s">
        <v>42</v>
      </c>
      <c r="C4407" s="10" t="s">
        <v>231</v>
      </c>
      <c r="D4407" s="10" t="s">
        <v>1316</v>
      </c>
      <c r="E4407" s="14">
        <v>0.24</v>
      </c>
      <c r="F4407" s="15">
        <f>ROUND(2.63,3)</f>
        <v>2.63</v>
      </c>
      <c r="G4407" s="12">
        <f t="shared" si="703"/>
        <v>0.63</v>
      </c>
    </row>
    <row r="4408" ht="39.75" customHeight="1">
      <c r="A4408" s="10" t="s">
        <v>1996</v>
      </c>
      <c r="B4408" s="10" t="s">
        <v>42</v>
      </c>
      <c r="C4408" s="10" t="s">
        <v>1997</v>
      </c>
      <c r="D4408" s="10" t="s">
        <v>1998</v>
      </c>
      <c r="E4408" s="14">
        <v>0.1237</v>
      </c>
      <c r="F4408" s="15">
        <f>ROUND(5.04,3)</f>
        <v>5.04</v>
      </c>
      <c r="G4408" s="12">
        <f t="shared" si="703"/>
        <v>0.62</v>
      </c>
    </row>
    <row r="4409" ht="21.0" customHeight="1">
      <c r="A4409" s="10" t="s">
        <v>22</v>
      </c>
      <c r="B4409" s="10" t="s">
        <v>18</v>
      </c>
      <c r="C4409" s="10" t="s">
        <v>23</v>
      </c>
      <c r="D4409" s="10" t="s">
        <v>24</v>
      </c>
      <c r="E4409" s="14">
        <v>0.47</v>
      </c>
      <c r="F4409" s="15">
        <f>F4413</f>
        <v>43.8</v>
      </c>
      <c r="G4409" s="12">
        <f t="shared" si="703"/>
        <v>20.59</v>
      </c>
    </row>
    <row r="4410" ht="24.0" customHeight="1">
      <c r="A4410" s="10" t="s">
        <v>25</v>
      </c>
      <c r="B4410" s="10" t="s">
        <v>26</v>
      </c>
      <c r="C4410" s="10" t="s">
        <v>23</v>
      </c>
      <c r="D4410" s="10" t="s">
        <v>27</v>
      </c>
      <c r="E4410" s="14">
        <v>1.0</v>
      </c>
      <c r="F4410" s="15">
        <f>ROUND(21,3)</f>
        <v>21</v>
      </c>
      <c r="G4410" s="12">
        <f t="shared" si="703"/>
        <v>21</v>
      </c>
    </row>
    <row r="4411" ht="24.0" customHeight="1">
      <c r="A4411" s="10" t="s">
        <v>28</v>
      </c>
      <c r="B4411" s="10" t="s">
        <v>26</v>
      </c>
      <c r="C4411" s="10" t="s">
        <v>23</v>
      </c>
      <c r="D4411" s="10" t="s">
        <v>29</v>
      </c>
      <c r="E4411" s="14">
        <v>1.0</v>
      </c>
      <c r="F4411" s="15">
        <f t="shared" ref="F4411:F4412" si="704">ROUND(19,3)</f>
        <v>19</v>
      </c>
      <c r="G4411" s="12">
        <f t="shared" si="703"/>
        <v>19</v>
      </c>
    </row>
    <row r="4412" ht="24.0" customHeight="1">
      <c r="A4412" s="10" t="s">
        <v>30</v>
      </c>
      <c r="B4412" s="10" t="s">
        <v>26</v>
      </c>
      <c r="C4412" s="10" t="s">
        <v>23</v>
      </c>
      <c r="D4412" s="10" t="s">
        <v>31</v>
      </c>
      <c r="E4412" s="14">
        <v>0.2</v>
      </c>
      <c r="F4412" s="15">
        <f t="shared" si="704"/>
        <v>19</v>
      </c>
      <c r="G4412" s="12">
        <f t="shared" si="703"/>
        <v>3.8</v>
      </c>
    </row>
    <row r="4413" ht="15.0" customHeight="1">
      <c r="A4413" s="11"/>
      <c r="B4413" s="11"/>
      <c r="C4413" s="11"/>
      <c r="D4413" s="10" t="s">
        <v>22</v>
      </c>
      <c r="E4413" s="14">
        <v>0.47</v>
      </c>
      <c r="F4413" s="15">
        <f>ROUND((G4410+G4411+G4412),3)</f>
        <v>43.8</v>
      </c>
      <c r="G4413" s="12">
        <f t="shared" si="703"/>
        <v>20.59</v>
      </c>
    </row>
    <row r="4414" ht="15.0" customHeight="1">
      <c r="A4414" s="10" t="s">
        <v>32</v>
      </c>
      <c r="B4414" s="10"/>
      <c r="C4414" s="10" t="s">
        <v>33</v>
      </c>
      <c r="D4414" s="10" t="s">
        <v>34</v>
      </c>
      <c r="E4414" s="14">
        <v>3.0</v>
      </c>
      <c r="F4414" s="15">
        <f>ROUND(20.59,3)</f>
        <v>20.59</v>
      </c>
      <c r="G4414" s="12">
        <f>ROUND((E4414*F4414)/100,2)</f>
        <v>0.62</v>
      </c>
    </row>
    <row r="4415" ht="15.0" customHeight="1">
      <c r="A4415" s="16"/>
      <c r="B4415" s="16"/>
      <c r="C4415" s="16"/>
      <c r="D4415" s="17" t="s">
        <v>1989</v>
      </c>
      <c r="E4415" s="16"/>
      <c r="F4415" s="18">
        <f>ROUND((G4403+G4404+G4405+G4406+G4407+G4408+G4409+G4414)*(1+G2/100),2)</f>
        <v>35.42</v>
      </c>
      <c r="G4415" s="16"/>
    </row>
    <row r="4416" ht="48.75" customHeight="1">
      <c r="A4416" s="19" t="s">
        <v>1999</v>
      </c>
      <c r="B4416" s="20" t="s">
        <v>18</v>
      </c>
      <c r="C4416" s="20" t="s">
        <v>19</v>
      </c>
      <c r="D4416" s="20" t="s">
        <v>2000</v>
      </c>
      <c r="E4416" s="21"/>
      <c r="F4416" s="22">
        <f>F4426</f>
        <v>42.92</v>
      </c>
      <c r="G4416" s="21"/>
    </row>
    <row r="4417" ht="21.0" customHeight="1">
      <c r="A4417" s="11"/>
      <c r="B4417" s="11"/>
      <c r="C4417" s="11"/>
      <c r="D4417" s="10" t="s">
        <v>2000</v>
      </c>
    </row>
    <row r="4418" ht="30.0" customHeight="1">
      <c r="A4418" s="10" t="s">
        <v>1004</v>
      </c>
      <c r="B4418" s="10" t="s">
        <v>42</v>
      </c>
      <c r="C4418" s="10" t="s">
        <v>184</v>
      </c>
      <c r="D4418" s="10" t="s">
        <v>1005</v>
      </c>
      <c r="E4418" s="14">
        <v>0.792</v>
      </c>
      <c r="F4418" s="15">
        <f>ROUND(22.45,3)</f>
        <v>22.45</v>
      </c>
      <c r="G4418" s="12">
        <f t="shared" ref="G4418:G4424" si="705">ROUND(E4418*F4418,2)</f>
        <v>17.78</v>
      </c>
    </row>
    <row r="4419" ht="30.0" customHeight="1">
      <c r="A4419" s="10" t="s">
        <v>1227</v>
      </c>
      <c r="B4419" s="10" t="s">
        <v>42</v>
      </c>
      <c r="C4419" s="10" t="s">
        <v>226</v>
      </c>
      <c r="D4419" s="10" t="s">
        <v>1228</v>
      </c>
      <c r="E4419" s="14">
        <v>0.022</v>
      </c>
      <c r="F4419" s="15">
        <f>ROUND(27.5,3)</f>
        <v>27.5</v>
      </c>
      <c r="G4419" s="12">
        <f t="shared" si="705"/>
        <v>0.61</v>
      </c>
    </row>
    <row r="4420" ht="21.0" customHeight="1">
      <c r="A4420" s="10" t="s">
        <v>22</v>
      </c>
      <c r="B4420" s="10" t="s">
        <v>18</v>
      </c>
      <c r="C4420" s="10" t="s">
        <v>23</v>
      </c>
      <c r="D4420" s="10" t="s">
        <v>24</v>
      </c>
      <c r="E4420" s="14">
        <v>0.53333</v>
      </c>
      <c r="F4420" s="15">
        <f>F4424</f>
        <v>43.8</v>
      </c>
      <c r="G4420" s="12">
        <f t="shared" si="705"/>
        <v>23.36</v>
      </c>
    </row>
    <row r="4421" ht="24.0" customHeight="1">
      <c r="A4421" s="10" t="s">
        <v>25</v>
      </c>
      <c r="B4421" s="10" t="s">
        <v>26</v>
      </c>
      <c r="C4421" s="10" t="s">
        <v>23</v>
      </c>
      <c r="D4421" s="10" t="s">
        <v>27</v>
      </c>
      <c r="E4421" s="14">
        <v>1.0</v>
      </c>
      <c r="F4421" s="15">
        <f>ROUND(21,3)</f>
        <v>21</v>
      </c>
      <c r="G4421" s="12">
        <f t="shared" si="705"/>
        <v>21</v>
      </c>
    </row>
    <row r="4422" ht="24.0" customHeight="1">
      <c r="A4422" s="10" t="s">
        <v>28</v>
      </c>
      <c r="B4422" s="10" t="s">
        <v>26</v>
      </c>
      <c r="C4422" s="10" t="s">
        <v>23</v>
      </c>
      <c r="D4422" s="10" t="s">
        <v>29</v>
      </c>
      <c r="E4422" s="14">
        <v>1.0</v>
      </c>
      <c r="F4422" s="15">
        <f t="shared" ref="F4422:F4423" si="706">ROUND(19,3)</f>
        <v>19</v>
      </c>
      <c r="G4422" s="12">
        <f t="shared" si="705"/>
        <v>19</v>
      </c>
    </row>
    <row r="4423" ht="24.0" customHeight="1">
      <c r="A4423" s="10" t="s">
        <v>30</v>
      </c>
      <c r="B4423" s="10" t="s">
        <v>26</v>
      </c>
      <c r="C4423" s="10" t="s">
        <v>23</v>
      </c>
      <c r="D4423" s="10" t="s">
        <v>31</v>
      </c>
      <c r="E4423" s="14">
        <v>0.2</v>
      </c>
      <c r="F4423" s="15">
        <f t="shared" si="706"/>
        <v>19</v>
      </c>
      <c r="G4423" s="12">
        <f t="shared" si="705"/>
        <v>3.8</v>
      </c>
    </row>
    <row r="4424" ht="15.0" customHeight="1">
      <c r="A4424" s="11"/>
      <c r="B4424" s="11"/>
      <c r="C4424" s="11"/>
      <c r="D4424" s="10" t="s">
        <v>22</v>
      </c>
      <c r="E4424" s="14">
        <v>0.53333</v>
      </c>
      <c r="F4424" s="15">
        <f>ROUND((G4421+G4422+G4423),3)</f>
        <v>43.8</v>
      </c>
      <c r="G4424" s="12">
        <f t="shared" si="705"/>
        <v>23.36</v>
      </c>
    </row>
    <row r="4425" ht="15.0" customHeight="1">
      <c r="A4425" s="10" t="s">
        <v>32</v>
      </c>
      <c r="B4425" s="10"/>
      <c r="C4425" s="10" t="s">
        <v>33</v>
      </c>
      <c r="D4425" s="10" t="s">
        <v>34</v>
      </c>
      <c r="E4425" s="14">
        <v>5.0</v>
      </c>
      <c r="F4425" s="15">
        <f>ROUND(23.36,3)</f>
        <v>23.36</v>
      </c>
      <c r="G4425" s="12">
        <f>ROUND((E4425*F4425)/100,2)</f>
        <v>1.17</v>
      </c>
    </row>
    <row r="4426" ht="15.0" customHeight="1">
      <c r="A4426" s="16"/>
      <c r="B4426" s="16"/>
      <c r="C4426" s="16"/>
      <c r="D4426" s="17" t="s">
        <v>1999</v>
      </c>
      <c r="E4426" s="16"/>
      <c r="F4426" s="18">
        <f>ROUND((G4418+G4419+G4420+G4425)*(1+G2/100),2)</f>
        <v>42.92</v>
      </c>
      <c r="G4426" s="16"/>
    </row>
    <row r="4427" ht="48.75" customHeight="1">
      <c r="A4427" s="19" t="s">
        <v>2001</v>
      </c>
      <c r="B4427" s="20" t="s">
        <v>18</v>
      </c>
      <c r="C4427" s="20" t="s">
        <v>19</v>
      </c>
      <c r="D4427" s="20" t="s">
        <v>2002</v>
      </c>
      <c r="E4427" s="21"/>
      <c r="F4427" s="22">
        <f>F4437</f>
        <v>66.83</v>
      </c>
      <c r="G4427" s="21"/>
    </row>
    <row r="4428" ht="21.0" customHeight="1">
      <c r="A4428" s="11"/>
      <c r="B4428" s="11"/>
      <c r="C4428" s="11"/>
      <c r="D4428" s="10" t="s">
        <v>2002</v>
      </c>
    </row>
    <row r="4429" ht="30.0" customHeight="1">
      <c r="A4429" s="10" t="s">
        <v>1004</v>
      </c>
      <c r="B4429" s="10" t="s">
        <v>42</v>
      </c>
      <c r="C4429" s="10" t="s">
        <v>184</v>
      </c>
      <c r="D4429" s="10" t="s">
        <v>1005</v>
      </c>
      <c r="E4429" s="14">
        <v>1.584</v>
      </c>
      <c r="F4429" s="15">
        <f>ROUND(22.45,3)</f>
        <v>22.45</v>
      </c>
      <c r="G4429" s="12">
        <f t="shared" ref="G4429:G4435" si="707">ROUND(E4429*F4429,2)</f>
        <v>35.56</v>
      </c>
    </row>
    <row r="4430" ht="30.0" customHeight="1">
      <c r="A4430" s="10" t="s">
        <v>1227</v>
      </c>
      <c r="B4430" s="10" t="s">
        <v>42</v>
      </c>
      <c r="C4430" s="10" t="s">
        <v>226</v>
      </c>
      <c r="D4430" s="10" t="s">
        <v>1228</v>
      </c>
      <c r="E4430" s="14">
        <v>0.022</v>
      </c>
      <c r="F4430" s="15">
        <f>ROUND(27.5,3)</f>
        <v>27.5</v>
      </c>
      <c r="G4430" s="12">
        <f t="shared" si="707"/>
        <v>0.61</v>
      </c>
    </row>
    <row r="4431" ht="21.0" customHeight="1">
      <c r="A4431" s="10" t="s">
        <v>22</v>
      </c>
      <c r="B4431" s="10" t="s">
        <v>18</v>
      </c>
      <c r="C4431" s="10" t="s">
        <v>23</v>
      </c>
      <c r="D4431" s="10" t="s">
        <v>24</v>
      </c>
      <c r="E4431" s="14">
        <v>0.66666</v>
      </c>
      <c r="F4431" s="15">
        <f>F4435</f>
        <v>43.8</v>
      </c>
      <c r="G4431" s="12">
        <f t="shared" si="707"/>
        <v>29.2</v>
      </c>
    </row>
    <row r="4432" ht="24.0" customHeight="1">
      <c r="A4432" s="10" t="s">
        <v>25</v>
      </c>
      <c r="B4432" s="10" t="s">
        <v>26</v>
      </c>
      <c r="C4432" s="10" t="s">
        <v>23</v>
      </c>
      <c r="D4432" s="10" t="s">
        <v>27</v>
      </c>
      <c r="E4432" s="14">
        <v>1.0</v>
      </c>
      <c r="F4432" s="15">
        <f>ROUND(21,3)</f>
        <v>21</v>
      </c>
      <c r="G4432" s="12">
        <f t="shared" si="707"/>
        <v>21</v>
      </c>
    </row>
    <row r="4433" ht="24.0" customHeight="1">
      <c r="A4433" s="10" t="s">
        <v>28</v>
      </c>
      <c r="B4433" s="10" t="s">
        <v>26</v>
      </c>
      <c r="C4433" s="10" t="s">
        <v>23</v>
      </c>
      <c r="D4433" s="10" t="s">
        <v>29</v>
      </c>
      <c r="E4433" s="14">
        <v>1.0</v>
      </c>
      <c r="F4433" s="15">
        <f t="shared" ref="F4433:F4434" si="708">ROUND(19,3)</f>
        <v>19</v>
      </c>
      <c r="G4433" s="12">
        <f t="shared" si="707"/>
        <v>19</v>
      </c>
    </row>
    <row r="4434" ht="24.0" customHeight="1">
      <c r="A4434" s="10" t="s">
        <v>30</v>
      </c>
      <c r="B4434" s="10" t="s">
        <v>26</v>
      </c>
      <c r="C4434" s="10" t="s">
        <v>23</v>
      </c>
      <c r="D4434" s="10" t="s">
        <v>31</v>
      </c>
      <c r="E4434" s="14">
        <v>0.2</v>
      </c>
      <c r="F4434" s="15">
        <f t="shared" si="708"/>
        <v>19</v>
      </c>
      <c r="G4434" s="12">
        <f t="shared" si="707"/>
        <v>3.8</v>
      </c>
    </row>
    <row r="4435" ht="15.0" customHeight="1">
      <c r="A4435" s="11"/>
      <c r="B4435" s="11"/>
      <c r="C4435" s="11"/>
      <c r="D4435" s="10" t="s">
        <v>22</v>
      </c>
      <c r="E4435" s="14">
        <v>0.66666</v>
      </c>
      <c r="F4435" s="15">
        <f>ROUND((G4432+G4433+G4434),3)</f>
        <v>43.8</v>
      </c>
      <c r="G4435" s="12">
        <f t="shared" si="707"/>
        <v>29.2</v>
      </c>
    </row>
    <row r="4436" ht="15.0" customHeight="1">
      <c r="A4436" s="10" t="s">
        <v>32</v>
      </c>
      <c r="B4436" s="10"/>
      <c r="C4436" s="10" t="s">
        <v>33</v>
      </c>
      <c r="D4436" s="10" t="s">
        <v>34</v>
      </c>
      <c r="E4436" s="14">
        <v>5.0</v>
      </c>
      <c r="F4436" s="15">
        <f>ROUND(29.2,3)</f>
        <v>29.2</v>
      </c>
      <c r="G4436" s="12">
        <f>ROUND((E4436*F4436)/100,2)</f>
        <v>1.46</v>
      </c>
    </row>
    <row r="4437" ht="15.0" customHeight="1">
      <c r="A4437" s="16"/>
      <c r="B4437" s="16"/>
      <c r="C4437" s="16"/>
      <c r="D4437" s="17" t="s">
        <v>2001</v>
      </c>
      <c r="E4437" s="16"/>
      <c r="F4437" s="18">
        <f>ROUND((G4429+G4430+G4431+G4436)*(1+G2/100),2)</f>
        <v>66.83</v>
      </c>
      <c r="G4437" s="16"/>
    </row>
    <row r="4438" ht="48.75" customHeight="1">
      <c r="A4438" s="19" t="s">
        <v>2003</v>
      </c>
      <c r="B4438" s="20" t="s">
        <v>18</v>
      </c>
      <c r="C4438" s="20" t="s">
        <v>19</v>
      </c>
      <c r="D4438" s="20" t="s">
        <v>2004</v>
      </c>
      <c r="E4438" s="21"/>
      <c r="F4438" s="22">
        <f>F4448</f>
        <v>36.79</v>
      </c>
      <c r="G4438" s="21"/>
    </row>
    <row r="4439" ht="21.0" customHeight="1">
      <c r="A4439" s="11"/>
      <c r="B4439" s="11"/>
      <c r="C4439" s="11"/>
      <c r="D4439" s="10" t="s">
        <v>2004</v>
      </c>
    </row>
    <row r="4440" ht="30.0" customHeight="1">
      <c r="A4440" s="10" t="s">
        <v>1004</v>
      </c>
      <c r="B4440" s="10" t="s">
        <v>42</v>
      </c>
      <c r="C4440" s="10" t="s">
        <v>184</v>
      </c>
      <c r="D4440" s="10" t="s">
        <v>1005</v>
      </c>
      <c r="E4440" s="14">
        <v>0.792</v>
      </c>
      <c r="F4440" s="15">
        <f>ROUND(22.45,3)</f>
        <v>22.45</v>
      </c>
      <c r="G4440" s="12">
        <f t="shared" ref="G4440:G4446" si="709">ROUND(E4440*F4440,2)</f>
        <v>17.78</v>
      </c>
    </row>
    <row r="4441" ht="30.0" customHeight="1">
      <c r="A4441" s="10" t="s">
        <v>1227</v>
      </c>
      <c r="B4441" s="10" t="s">
        <v>42</v>
      </c>
      <c r="C4441" s="10" t="s">
        <v>226</v>
      </c>
      <c r="D4441" s="10" t="s">
        <v>1228</v>
      </c>
      <c r="E4441" s="14">
        <v>0.022</v>
      </c>
      <c r="F4441" s="15">
        <f>ROUND(27.5,3)</f>
        <v>27.5</v>
      </c>
      <c r="G4441" s="12">
        <f t="shared" si="709"/>
        <v>0.61</v>
      </c>
    </row>
    <row r="4442" ht="21.0" customHeight="1">
      <c r="A4442" s="10" t="s">
        <v>22</v>
      </c>
      <c r="B4442" s="10" t="s">
        <v>18</v>
      </c>
      <c r="C4442" s="10" t="s">
        <v>23</v>
      </c>
      <c r="D4442" s="10" t="s">
        <v>24</v>
      </c>
      <c r="E4442" s="14">
        <v>0.4</v>
      </c>
      <c r="F4442" s="15">
        <f>F4446</f>
        <v>43.8</v>
      </c>
      <c r="G4442" s="12">
        <f t="shared" si="709"/>
        <v>17.52</v>
      </c>
    </row>
    <row r="4443" ht="24.0" customHeight="1">
      <c r="A4443" s="10" t="s">
        <v>25</v>
      </c>
      <c r="B4443" s="10" t="s">
        <v>26</v>
      </c>
      <c r="C4443" s="10" t="s">
        <v>23</v>
      </c>
      <c r="D4443" s="10" t="s">
        <v>27</v>
      </c>
      <c r="E4443" s="14">
        <v>1.0</v>
      </c>
      <c r="F4443" s="15">
        <f>ROUND(21,3)</f>
        <v>21</v>
      </c>
      <c r="G4443" s="12">
        <f t="shared" si="709"/>
        <v>21</v>
      </c>
    </row>
    <row r="4444" ht="24.0" customHeight="1">
      <c r="A4444" s="10" t="s">
        <v>28</v>
      </c>
      <c r="B4444" s="10" t="s">
        <v>26</v>
      </c>
      <c r="C4444" s="10" t="s">
        <v>23</v>
      </c>
      <c r="D4444" s="10" t="s">
        <v>29</v>
      </c>
      <c r="E4444" s="14">
        <v>1.0</v>
      </c>
      <c r="F4444" s="15">
        <f t="shared" ref="F4444:F4445" si="710">ROUND(19,3)</f>
        <v>19</v>
      </c>
      <c r="G4444" s="12">
        <f t="shared" si="709"/>
        <v>19</v>
      </c>
    </row>
    <row r="4445" ht="24.0" customHeight="1">
      <c r="A4445" s="10" t="s">
        <v>30</v>
      </c>
      <c r="B4445" s="10" t="s">
        <v>26</v>
      </c>
      <c r="C4445" s="10" t="s">
        <v>23</v>
      </c>
      <c r="D4445" s="10" t="s">
        <v>31</v>
      </c>
      <c r="E4445" s="14">
        <v>0.2</v>
      </c>
      <c r="F4445" s="15">
        <f t="shared" si="710"/>
        <v>19</v>
      </c>
      <c r="G4445" s="12">
        <f t="shared" si="709"/>
        <v>3.8</v>
      </c>
    </row>
    <row r="4446" ht="15.0" customHeight="1">
      <c r="A4446" s="11"/>
      <c r="B4446" s="11"/>
      <c r="C4446" s="11"/>
      <c r="D4446" s="10" t="s">
        <v>22</v>
      </c>
      <c r="E4446" s="14">
        <v>0.4</v>
      </c>
      <c r="F4446" s="15">
        <f>ROUND((G4443+G4444+G4445),3)</f>
        <v>43.8</v>
      </c>
      <c r="G4446" s="12">
        <f t="shared" si="709"/>
        <v>17.52</v>
      </c>
    </row>
    <row r="4447" ht="15.0" customHeight="1">
      <c r="A4447" s="10" t="s">
        <v>32</v>
      </c>
      <c r="B4447" s="10"/>
      <c r="C4447" s="10" t="s">
        <v>33</v>
      </c>
      <c r="D4447" s="10" t="s">
        <v>34</v>
      </c>
      <c r="E4447" s="14">
        <v>5.0</v>
      </c>
      <c r="F4447" s="15">
        <f>ROUND(17.52,3)</f>
        <v>17.52</v>
      </c>
      <c r="G4447" s="12">
        <f>ROUND((E4447*F4447)/100,2)</f>
        <v>0.88</v>
      </c>
    </row>
    <row r="4448" ht="15.0" customHeight="1">
      <c r="A4448" s="16"/>
      <c r="B4448" s="16"/>
      <c r="C4448" s="16"/>
      <c r="D4448" s="17" t="s">
        <v>2003</v>
      </c>
      <c r="E4448" s="16"/>
      <c r="F4448" s="18">
        <f>ROUND((G4440+G4441+G4442+G4447)*(1+G2/100),2)</f>
        <v>36.79</v>
      </c>
      <c r="G4448" s="16"/>
    </row>
    <row r="4449" ht="48.75" customHeight="1">
      <c r="A4449" s="19" t="s">
        <v>2005</v>
      </c>
      <c r="B4449" s="20" t="s">
        <v>18</v>
      </c>
      <c r="C4449" s="20" t="s">
        <v>19</v>
      </c>
      <c r="D4449" s="20" t="s">
        <v>2006</v>
      </c>
      <c r="E4449" s="21"/>
      <c r="F4449" s="22">
        <f>F4459</f>
        <v>60.7</v>
      </c>
      <c r="G4449" s="21"/>
    </row>
    <row r="4450" ht="21.0" customHeight="1">
      <c r="A4450" s="11"/>
      <c r="B4450" s="11"/>
      <c r="C4450" s="11"/>
      <c r="D4450" s="10" t="s">
        <v>2006</v>
      </c>
    </row>
    <row r="4451" ht="30.0" customHeight="1">
      <c r="A4451" s="10" t="s">
        <v>1004</v>
      </c>
      <c r="B4451" s="10" t="s">
        <v>42</v>
      </c>
      <c r="C4451" s="10" t="s">
        <v>184</v>
      </c>
      <c r="D4451" s="10" t="s">
        <v>1005</v>
      </c>
      <c r="E4451" s="14">
        <v>1.584</v>
      </c>
      <c r="F4451" s="15">
        <f>ROUND(22.45,3)</f>
        <v>22.45</v>
      </c>
      <c r="G4451" s="12">
        <f t="shared" ref="G4451:G4457" si="711">ROUND(E4451*F4451,2)</f>
        <v>35.56</v>
      </c>
    </row>
    <row r="4452" ht="30.0" customHeight="1">
      <c r="A4452" s="10" t="s">
        <v>1227</v>
      </c>
      <c r="B4452" s="10" t="s">
        <v>42</v>
      </c>
      <c r="C4452" s="10" t="s">
        <v>226</v>
      </c>
      <c r="D4452" s="10" t="s">
        <v>1228</v>
      </c>
      <c r="E4452" s="14">
        <v>0.022</v>
      </c>
      <c r="F4452" s="15">
        <f>ROUND(27.5,3)</f>
        <v>27.5</v>
      </c>
      <c r="G4452" s="12">
        <f t="shared" si="711"/>
        <v>0.61</v>
      </c>
    </row>
    <row r="4453" ht="21.0" customHeight="1">
      <c r="A4453" s="10" t="s">
        <v>22</v>
      </c>
      <c r="B4453" s="10" t="s">
        <v>18</v>
      </c>
      <c r="C4453" s="10" t="s">
        <v>23</v>
      </c>
      <c r="D4453" s="10" t="s">
        <v>24</v>
      </c>
      <c r="E4453" s="14">
        <v>0.53333</v>
      </c>
      <c r="F4453" s="15">
        <f>F4457</f>
        <v>43.8</v>
      </c>
      <c r="G4453" s="12">
        <f t="shared" si="711"/>
        <v>23.36</v>
      </c>
    </row>
    <row r="4454" ht="24.0" customHeight="1">
      <c r="A4454" s="10" t="s">
        <v>25</v>
      </c>
      <c r="B4454" s="10" t="s">
        <v>26</v>
      </c>
      <c r="C4454" s="10" t="s">
        <v>23</v>
      </c>
      <c r="D4454" s="10" t="s">
        <v>27</v>
      </c>
      <c r="E4454" s="14">
        <v>1.0</v>
      </c>
      <c r="F4454" s="15">
        <f>ROUND(21,3)</f>
        <v>21</v>
      </c>
      <c r="G4454" s="12">
        <f t="shared" si="711"/>
        <v>21</v>
      </c>
    </row>
    <row r="4455" ht="24.0" customHeight="1">
      <c r="A4455" s="10" t="s">
        <v>28</v>
      </c>
      <c r="B4455" s="10" t="s">
        <v>26</v>
      </c>
      <c r="C4455" s="10" t="s">
        <v>23</v>
      </c>
      <c r="D4455" s="10" t="s">
        <v>29</v>
      </c>
      <c r="E4455" s="14">
        <v>1.0</v>
      </c>
      <c r="F4455" s="15">
        <f t="shared" ref="F4455:F4456" si="712">ROUND(19,3)</f>
        <v>19</v>
      </c>
      <c r="G4455" s="12">
        <f t="shared" si="711"/>
        <v>19</v>
      </c>
    </row>
    <row r="4456" ht="24.0" customHeight="1">
      <c r="A4456" s="10" t="s">
        <v>30</v>
      </c>
      <c r="B4456" s="10" t="s">
        <v>26</v>
      </c>
      <c r="C4456" s="10" t="s">
        <v>23</v>
      </c>
      <c r="D4456" s="10" t="s">
        <v>31</v>
      </c>
      <c r="E4456" s="14">
        <v>0.2</v>
      </c>
      <c r="F4456" s="15">
        <f t="shared" si="712"/>
        <v>19</v>
      </c>
      <c r="G4456" s="12">
        <f t="shared" si="711"/>
        <v>3.8</v>
      </c>
    </row>
    <row r="4457" ht="15.0" customHeight="1">
      <c r="A4457" s="11"/>
      <c r="B4457" s="11"/>
      <c r="C4457" s="11"/>
      <c r="D4457" s="10" t="s">
        <v>22</v>
      </c>
      <c r="E4457" s="14">
        <v>0.53333</v>
      </c>
      <c r="F4457" s="15">
        <f>ROUND((G4454+G4455+G4456),3)</f>
        <v>43.8</v>
      </c>
      <c r="G4457" s="12">
        <f t="shared" si="711"/>
        <v>23.36</v>
      </c>
    </row>
    <row r="4458" ht="15.0" customHeight="1">
      <c r="A4458" s="10" t="s">
        <v>32</v>
      </c>
      <c r="B4458" s="10"/>
      <c r="C4458" s="10" t="s">
        <v>33</v>
      </c>
      <c r="D4458" s="10" t="s">
        <v>34</v>
      </c>
      <c r="E4458" s="14">
        <v>5.0</v>
      </c>
      <c r="F4458" s="15">
        <f>ROUND(23.36,3)</f>
        <v>23.36</v>
      </c>
      <c r="G4458" s="12">
        <f>ROUND((E4458*F4458)/100,2)</f>
        <v>1.17</v>
      </c>
    </row>
    <row r="4459" ht="15.0" customHeight="1">
      <c r="A4459" s="16"/>
      <c r="B4459" s="16"/>
      <c r="C4459" s="16"/>
      <c r="D4459" s="17" t="s">
        <v>2005</v>
      </c>
      <c r="E4459" s="16"/>
      <c r="F4459" s="18">
        <f>ROUND((G4451+G4452+G4453+G4458)*(1+G2/100),2)</f>
        <v>60.7</v>
      </c>
      <c r="G4459" s="16"/>
    </row>
    <row r="4460" ht="48.75" customHeight="1">
      <c r="A4460" s="19" t="s">
        <v>2007</v>
      </c>
      <c r="B4460" s="20" t="s">
        <v>18</v>
      </c>
      <c r="C4460" s="20" t="s">
        <v>19</v>
      </c>
      <c r="D4460" s="20" t="s">
        <v>2008</v>
      </c>
      <c r="E4460" s="21"/>
      <c r="F4460" s="22">
        <f>F4470</f>
        <v>67.92</v>
      </c>
      <c r="G4460" s="21"/>
    </row>
    <row r="4461" ht="21.0" customHeight="1">
      <c r="A4461" s="11"/>
      <c r="B4461" s="11"/>
      <c r="C4461" s="11"/>
      <c r="D4461" s="10" t="s">
        <v>2008</v>
      </c>
    </row>
    <row r="4462" ht="30.0" customHeight="1">
      <c r="A4462" s="10" t="s">
        <v>1225</v>
      </c>
      <c r="B4462" s="10" t="s">
        <v>42</v>
      </c>
      <c r="C4462" s="10" t="s">
        <v>184</v>
      </c>
      <c r="D4462" s="10" t="s">
        <v>1226</v>
      </c>
      <c r="E4462" s="14">
        <v>2.1</v>
      </c>
      <c r="F4462" s="15">
        <f>ROUND(17.45,3)</f>
        <v>17.45</v>
      </c>
      <c r="G4462" s="12">
        <f t="shared" ref="G4462:G4468" si="713">ROUND(E4462*F4462,2)</f>
        <v>36.65</v>
      </c>
    </row>
    <row r="4463" ht="30.0" customHeight="1">
      <c r="A4463" s="10" t="s">
        <v>1227</v>
      </c>
      <c r="B4463" s="10" t="s">
        <v>42</v>
      </c>
      <c r="C4463" s="10" t="s">
        <v>226</v>
      </c>
      <c r="D4463" s="10" t="s">
        <v>1228</v>
      </c>
      <c r="E4463" s="14">
        <v>0.022</v>
      </c>
      <c r="F4463" s="15">
        <f>ROUND(27.5,3)</f>
        <v>27.5</v>
      </c>
      <c r="G4463" s="12">
        <f t="shared" si="713"/>
        <v>0.61</v>
      </c>
    </row>
    <row r="4464" ht="21.0" customHeight="1">
      <c r="A4464" s="10" t="s">
        <v>22</v>
      </c>
      <c r="B4464" s="10" t="s">
        <v>18</v>
      </c>
      <c r="C4464" s="10" t="s">
        <v>23</v>
      </c>
      <c r="D4464" s="10" t="s">
        <v>24</v>
      </c>
      <c r="E4464" s="14">
        <v>0.66667</v>
      </c>
      <c r="F4464" s="15">
        <f>F4468</f>
        <v>43.8</v>
      </c>
      <c r="G4464" s="12">
        <f t="shared" si="713"/>
        <v>29.2</v>
      </c>
    </row>
    <row r="4465" ht="24.0" customHeight="1">
      <c r="A4465" s="10" t="s">
        <v>25</v>
      </c>
      <c r="B4465" s="10" t="s">
        <v>26</v>
      </c>
      <c r="C4465" s="10" t="s">
        <v>23</v>
      </c>
      <c r="D4465" s="10" t="s">
        <v>27</v>
      </c>
      <c r="E4465" s="14">
        <v>1.0</v>
      </c>
      <c r="F4465" s="15">
        <f>ROUND(21,3)</f>
        <v>21</v>
      </c>
      <c r="G4465" s="12">
        <f t="shared" si="713"/>
        <v>21</v>
      </c>
    </row>
    <row r="4466" ht="24.0" customHeight="1">
      <c r="A4466" s="10" t="s">
        <v>28</v>
      </c>
      <c r="B4466" s="10" t="s">
        <v>26</v>
      </c>
      <c r="C4466" s="10" t="s">
        <v>23</v>
      </c>
      <c r="D4466" s="10" t="s">
        <v>29</v>
      </c>
      <c r="E4466" s="14">
        <v>1.0</v>
      </c>
      <c r="F4466" s="15">
        <f t="shared" ref="F4466:F4467" si="714">ROUND(19,3)</f>
        <v>19</v>
      </c>
      <c r="G4466" s="12">
        <f t="shared" si="713"/>
        <v>19</v>
      </c>
    </row>
    <row r="4467" ht="24.0" customHeight="1">
      <c r="A4467" s="10" t="s">
        <v>30</v>
      </c>
      <c r="B4467" s="10" t="s">
        <v>26</v>
      </c>
      <c r="C4467" s="10" t="s">
        <v>23</v>
      </c>
      <c r="D4467" s="10" t="s">
        <v>31</v>
      </c>
      <c r="E4467" s="14">
        <v>0.2</v>
      </c>
      <c r="F4467" s="15">
        <f t="shared" si="714"/>
        <v>19</v>
      </c>
      <c r="G4467" s="12">
        <f t="shared" si="713"/>
        <v>3.8</v>
      </c>
    </row>
    <row r="4468" ht="15.0" customHeight="1">
      <c r="A4468" s="11"/>
      <c r="B4468" s="11"/>
      <c r="C4468" s="11"/>
      <c r="D4468" s="10" t="s">
        <v>22</v>
      </c>
      <c r="E4468" s="14">
        <v>0.66667</v>
      </c>
      <c r="F4468" s="15">
        <f>ROUND((G4465+G4466+G4467),3)</f>
        <v>43.8</v>
      </c>
      <c r="G4468" s="12">
        <f t="shared" si="713"/>
        <v>29.2</v>
      </c>
    </row>
    <row r="4469" ht="15.0" customHeight="1">
      <c r="A4469" s="10" t="s">
        <v>32</v>
      </c>
      <c r="B4469" s="10"/>
      <c r="C4469" s="10" t="s">
        <v>33</v>
      </c>
      <c r="D4469" s="10" t="s">
        <v>34</v>
      </c>
      <c r="E4469" s="14">
        <v>5.0</v>
      </c>
      <c r="F4469" s="15">
        <f>ROUND(29.2,3)</f>
        <v>29.2</v>
      </c>
      <c r="G4469" s="12">
        <f>ROUND((E4469*F4469)/100,2)</f>
        <v>1.46</v>
      </c>
    </row>
    <row r="4470" ht="15.0" customHeight="1">
      <c r="A4470" s="16"/>
      <c r="B4470" s="16"/>
      <c r="C4470" s="16"/>
      <c r="D4470" s="17" t="s">
        <v>2007</v>
      </c>
      <c r="E4470" s="16"/>
      <c r="F4470" s="18">
        <f>ROUND((G4462+G4463+G4464+G4469)*(1+G2/100),2)</f>
        <v>67.92</v>
      </c>
      <c r="G4470" s="16"/>
    </row>
    <row r="4471" ht="48.75" customHeight="1">
      <c r="A4471" s="19" t="s">
        <v>2009</v>
      </c>
      <c r="B4471" s="20" t="s">
        <v>18</v>
      </c>
      <c r="C4471" s="20" t="s">
        <v>19</v>
      </c>
      <c r="D4471" s="20" t="s">
        <v>2010</v>
      </c>
      <c r="E4471" s="21"/>
      <c r="F4471" s="22">
        <f>F4481</f>
        <v>61.79</v>
      </c>
      <c r="G4471" s="21"/>
    </row>
    <row r="4472" ht="21.0" customHeight="1">
      <c r="A4472" s="11"/>
      <c r="B4472" s="11"/>
      <c r="C4472" s="11"/>
      <c r="D4472" s="10" t="s">
        <v>2011</v>
      </c>
    </row>
    <row r="4473" ht="30.0" customHeight="1">
      <c r="A4473" s="10" t="s">
        <v>1225</v>
      </c>
      <c r="B4473" s="10" t="s">
        <v>42</v>
      </c>
      <c r="C4473" s="10" t="s">
        <v>184</v>
      </c>
      <c r="D4473" s="10" t="s">
        <v>1226</v>
      </c>
      <c r="E4473" s="14">
        <v>2.1</v>
      </c>
      <c r="F4473" s="15">
        <f>ROUND(17.45,3)</f>
        <v>17.45</v>
      </c>
      <c r="G4473" s="12">
        <f t="shared" ref="G4473:G4479" si="715">ROUND(E4473*F4473,2)</f>
        <v>36.65</v>
      </c>
    </row>
    <row r="4474" ht="30.0" customHeight="1">
      <c r="A4474" s="10" t="s">
        <v>1227</v>
      </c>
      <c r="B4474" s="10" t="s">
        <v>42</v>
      </c>
      <c r="C4474" s="10" t="s">
        <v>226</v>
      </c>
      <c r="D4474" s="10" t="s">
        <v>1228</v>
      </c>
      <c r="E4474" s="14">
        <v>0.022</v>
      </c>
      <c r="F4474" s="15">
        <f>ROUND(27.5,3)</f>
        <v>27.5</v>
      </c>
      <c r="G4474" s="12">
        <f t="shared" si="715"/>
        <v>0.61</v>
      </c>
    </row>
    <row r="4475" ht="21.0" customHeight="1">
      <c r="A4475" s="10" t="s">
        <v>22</v>
      </c>
      <c r="B4475" s="10" t="s">
        <v>18</v>
      </c>
      <c r="C4475" s="10" t="s">
        <v>23</v>
      </c>
      <c r="D4475" s="10" t="s">
        <v>24</v>
      </c>
      <c r="E4475" s="14">
        <v>0.53333</v>
      </c>
      <c r="F4475" s="15">
        <f>F4479</f>
        <v>43.8</v>
      </c>
      <c r="G4475" s="12">
        <f t="shared" si="715"/>
        <v>23.36</v>
      </c>
    </row>
    <row r="4476" ht="24.0" customHeight="1">
      <c r="A4476" s="10" t="s">
        <v>25</v>
      </c>
      <c r="B4476" s="10" t="s">
        <v>26</v>
      </c>
      <c r="C4476" s="10" t="s">
        <v>23</v>
      </c>
      <c r="D4476" s="10" t="s">
        <v>27</v>
      </c>
      <c r="E4476" s="14">
        <v>1.0</v>
      </c>
      <c r="F4476" s="15">
        <f>ROUND(21,3)</f>
        <v>21</v>
      </c>
      <c r="G4476" s="12">
        <f t="shared" si="715"/>
        <v>21</v>
      </c>
    </row>
    <row r="4477" ht="24.0" customHeight="1">
      <c r="A4477" s="10" t="s">
        <v>28</v>
      </c>
      <c r="B4477" s="10" t="s">
        <v>26</v>
      </c>
      <c r="C4477" s="10" t="s">
        <v>23</v>
      </c>
      <c r="D4477" s="10" t="s">
        <v>29</v>
      </c>
      <c r="E4477" s="14">
        <v>1.0</v>
      </c>
      <c r="F4477" s="15">
        <f t="shared" ref="F4477:F4478" si="716">ROUND(19,3)</f>
        <v>19</v>
      </c>
      <c r="G4477" s="12">
        <f t="shared" si="715"/>
        <v>19</v>
      </c>
    </row>
    <row r="4478" ht="24.0" customHeight="1">
      <c r="A4478" s="10" t="s">
        <v>30</v>
      </c>
      <c r="B4478" s="10" t="s">
        <v>26</v>
      </c>
      <c r="C4478" s="10" t="s">
        <v>23</v>
      </c>
      <c r="D4478" s="10" t="s">
        <v>31</v>
      </c>
      <c r="E4478" s="14">
        <v>0.2</v>
      </c>
      <c r="F4478" s="15">
        <f t="shared" si="716"/>
        <v>19</v>
      </c>
      <c r="G4478" s="12">
        <f t="shared" si="715"/>
        <v>3.8</v>
      </c>
    </row>
    <row r="4479" ht="15.0" customHeight="1">
      <c r="A4479" s="11"/>
      <c r="B4479" s="11"/>
      <c r="C4479" s="11"/>
      <c r="D4479" s="10" t="s">
        <v>22</v>
      </c>
      <c r="E4479" s="14">
        <v>0.53333</v>
      </c>
      <c r="F4479" s="15">
        <f>ROUND((G4476+G4477+G4478),3)</f>
        <v>43.8</v>
      </c>
      <c r="G4479" s="12">
        <f t="shared" si="715"/>
        <v>23.36</v>
      </c>
    </row>
    <row r="4480" ht="15.0" customHeight="1">
      <c r="A4480" s="10" t="s">
        <v>32</v>
      </c>
      <c r="B4480" s="10"/>
      <c r="C4480" s="10" t="s">
        <v>33</v>
      </c>
      <c r="D4480" s="10" t="s">
        <v>34</v>
      </c>
      <c r="E4480" s="14">
        <v>5.0</v>
      </c>
      <c r="F4480" s="15">
        <f>ROUND(23.36,3)</f>
        <v>23.36</v>
      </c>
      <c r="G4480" s="12">
        <f>ROUND((E4480*F4480)/100,2)</f>
        <v>1.17</v>
      </c>
    </row>
    <row r="4481" ht="15.0" customHeight="1">
      <c r="A4481" s="16"/>
      <c r="B4481" s="16"/>
      <c r="C4481" s="16"/>
      <c r="D4481" s="17" t="s">
        <v>2009</v>
      </c>
      <c r="E4481" s="16"/>
      <c r="F4481" s="18">
        <f>ROUND((G4473+G4474+G4475+G4480)*(1+G2/100),2)</f>
        <v>61.79</v>
      </c>
      <c r="G4481" s="16"/>
    </row>
    <row r="4482" ht="30.0" customHeight="1">
      <c r="A4482" s="19" t="s">
        <v>1795</v>
      </c>
      <c r="B4482" s="20" t="s">
        <v>18</v>
      </c>
      <c r="C4482" s="20" t="s">
        <v>19</v>
      </c>
      <c r="D4482" s="20" t="s">
        <v>1796</v>
      </c>
      <c r="E4482" s="21"/>
      <c r="F4482" s="22">
        <f>F4492</f>
        <v>40.04</v>
      </c>
      <c r="G4482" s="21"/>
    </row>
    <row r="4483" ht="12.0" customHeight="1">
      <c r="A4483" s="11"/>
      <c r="B4483" s="11"/>
      <c r="C4483" s="11"/>
      <c r="D4483" s="10" t="s">
        <v>1796</v>
      </c>
    </row>
    <row r="4484" ht="48.75" customHeight="1">
      <c r="A4484" s="10" t="s">
        <v>1797</v>
      </c>
      <c r="B4484" s="10" t="s">
        <v>42</v>
      </c>
      <c r="C4484" s="10" t="s">
        <v>184</v>
      </c>
      <c r="D4484" s="10" t="s">
        <v>1798</v>
      </c>
      <c r="E4484" s="14">
        <v>2.016</v>
      </c>
      <c r="F4484" s="15">
        <f>ROUND(4.35,3)</f>
        <v>4.35</v>
      </c>
      <c r="G4484" s="12">
        <f t="shared" ref="G4484:G4490" si="717">ROUND(E4484*F4484,2)</f>
        <v>8.77</v>
      </c>
    </row>
    <row r="4485" ht="30.0" customHeight="1">
      <c r="A4485" s="10" t="s">
        <v>1227</v>
      </c>
      <c r="B4485" s="10" t="s">
        <v>42</v>
      </c>
      <c r="C4485" s="10" t="s">
        <v>226</v>
      </c>
      <c r="D4485" s="10" t="s">
        <v>1228</v>
      </c>
      <c r="E4485" s="14">
        <v>0.022</v>
      </c>
      <c r="F4485" s="15">
        <f>ROUND(27.5,3)</f>
        <v>27.5</v>
      </c>
      <c r="G4485" s="12">
        <f t="shared" si="717"/>
        <v>0.61</v>
      </c>
    </row>
    <row r="4486" ht="21.0" customHeight="1">
      <c r="A4486" s="10" t="s">
        <v>22</v>
      </c>
      <c r="B4486" s="10" t="s">
        <v>18</v>
      </c>
      <c r="C4486" s="10" t="s">
        <v>23</v>
      </c>
      <c r="D4486" s="10" t="s">
        <v>24</v>
      </c>
      <c r="E4486" s="14">
        <v>0.66667</v>
      </c>
      <c r="F4486" s="15">
        <f>F4490</f>
        <v>43.8</v>
      </c>
      <c r="G4486" s="12">
        <f t="shared" si="717"/>
        <v>29.2</v>
      </c>
    </row>
    <row r="4487" ht="24.0" customHeight="1">
      <c r="A4487" s="10" t="s">
        <v>25</v>
      </c>
      <c r="B4487" s="10" t="s">
        <v>26</v>
      </c>
      <c r="C4487" s="10" t="s">
        <v>23</v>
      </c>
      <c r="D4487" s="10" t="s">
        <v>27</v>
      </c>
      <c r="E4487" s="14">
        <v>1.0</v>
      </c>
      <c r="F4487" s="15">
        <f>ROUND(21,3)</f>
        <v>21</v>
      </c>
      <c r="G4487" s="12">
        <f t="shared" si="717"/>
        <v>21</v>
      </c>
    </row>
    <row r="4488" ht="24.0" customHeight="1">
      <c r="A4488" s="10" t="s">
        <v>28</v>
      </c>
      <c r="B4488" s="10" t="s">
        <v>26</v>
      </c>
      <c r="C4488" s="10" t="s">
        <v>23</v>
      </c>
      <c r="D4488" s="10" t="s">
        <v>29</v>
      </c>
      <c r="E4488" s="14">
        <v>1.0</v>
      </c>
      <c r="F4488" s="15">
        <f t="shared" ref="F4488:F4489" si="718">ROUND(19,3)</f>
        <v>19</v>
      </c>
      <c r="G4488" s="12">
        <f t="shared" si="717"/>
        <v>19</v>
      </c>
    </row>
    <row r="4489" ht="24.0" customHeight="1">
      <c r="A4489" s="10" t="s">
        <v>30</v>
      </c>
      <c r="B4489" s="10" t="s">
        <v>26</v>
      </c>
      <c r="C4489" s="10" t="s">
        <v>23</v>
      </c>
      <c r="D4489" s="10" t="s">
        <v>31</v>
      </c>
      <c r="E4489" s="14">
        <v>0.2</v>
      </c>
      <c r="F4489" s="15">
        <f t="shared" si="718"/>
        <v>19</v>
      </c>
      <c r="G4489" s="12">
        <f t="shared" si="717"/>
        <v>3.8</v>
      </c>
    </row>
    <row r="4490" ht="15.0" customHeight="1">
      <c r="A4490" s="11"/>
      <c r="B4490" s="11"/>
      <c r="C4490" s="11"/>
      <c r="D4490" s="10" t="s">
        <v>22</v>
      </c>
      <c r="E4490" s="14">
        <v>0.66667</v>
      </c>
      <c r="F4490" s="15">
        <f>ROUND((G4487+G4488+G4489),3)</f>
        <v>43.8</v>
      </c>
      <c r="G4490" s="12">
        <f t="shared" si="717"/>
        <v>29.2</v>
      </c>
    </row>
    <row r="4491" ht="15.0" customHeight="1">
      <c r="A4491" s="10" t="s">
        <v>32</v>
      </c>
      <c r="B4491" s="10"/>
      <c r="C4491" s="10" t="s">
        <v>33</v>
      </c>
      <c r="D4491" s="10" t="s">
        <v>34</v>
      </c>
      <c r="E4491" s="14">
        <v>5.0</v>
      </c>
      <c r="F4491" s="15">
        <f>ROUND(29.2,3)</f>
        <v>29.2</v>
      </c>
      <c r="G4491" s="12">
        <f>ROUND((E4491*F4491)/100,2)</f>
        <v>1.46</v>
      </c>
    </row>
    <row r="4492" ht="15.0" customHeight="1">
      <c r="A4492" s="16"/>
      <c r="B4492" s="16"/>
      <c r="C4492" s="16"/>
      <c r="D4492" s="17" t="s">
        <v>1795</v>
      </c>
      <c r="E4492" s="16"/>
      <c r="F4492" s="18">
        <f>ROUND((G4484+G4485+G4486+G4491)*(1+G2/100),2)</f>
        <v>40.04</v>
      </c>
      <c r="G4492" s="16"/>
    </row>
    <row r="4493" ht="85.5" customHeight="1">
      <c r="A4493" s="19" t="s">
        <v>2012</v>
      </c>
      <c r="B4493" s="20" t="s">
        <v>18</v>
      </c>
      <c r="C4493" s="20" t="s">
        <v>351</v>
      </c>
      <c r="D4493" s="20" t="s">
        <v>2013</v>
      </c>
      <c r="E4493" s="21"/>
      <c r="F4493" s="22">
        <f>F4509</f>
        <v>63.9</v>
      </c>
      <c r="G4493" s="21"/>
    </row>
    <row r="4494" ht="30.0" customHeight="1">
      <c r="A4494" s="11"/>
      <c r="B4494" s="11"/>
      <c r="C4494" s="11"/>
      <c r="D4494" s="10" t="s">
        <v>2014</v>
      </c>
    </row>
    <row r="4495" ht="30.0" customHeight="1">
      <c r="A4495" s="10" t="s">
        <v>1227</v>
      </c>
      <c r="B4495" s="10" t="s">
        <v>42</v>
      </c>
      <c r="C4495" s="10" t="s">
        <v>226</v>
      </c>
      <c r="D4495" s="10" t="s">
        <v>1228</v>
      </c>
      <c r="E4495" s="14">
        <v>0.0077</v>
      </c>
      <c r="F4495" s="15">
        <f>ROUND(27.5,3)</f>
        <v>27.5</v>
      </c>
      <c r="G4495" s="12">
        <f t="shared" ref="G4495:G4507" si="719">ROUND(E4495*F4495,2)</f>
        <v>0.21</v>
      </c>
    </row>
    <row r="4496" ht="21.0" customHeight="1">
      <c r="A4496" s="10" t="s">
        <v>1204</v>
      </c>
      <c r="B4496" s="10" t="s">
        <v>42</v>
      </c>
      <c r="C4496" s="10" t="s">
        <v>344</v>
      </c>
      <c r="D4496" s="10" t="s">
        <v>1205</v>
      </c>
      <c r="E4496" s="14">
        <v>1.0</v>
      </c>
      <c r="F4496" s="15">
        <f>ROUND(2.29,3)</f>
        <v>2.29</v>
      </c>
      <c r="G4496" s="12">
        <f t="shared" si="719"/>
        <v>2.29</v>
      </c>
    </row>
    <row r="4497" ht="30.0" customHeight="1">
      <c r="A4497" s="10" t="s">
        <v>1437</v>
      </c>
      <c r="B4497" s="10" t="s">
        <v>42</v>
      </c>
      <c r="C4497" s="10" t="s">
        <v>325</v>
      </c>
      <c r="D4497" s="10" t="s">
        <v>1438</v>
      </c>
      <c r="E4497" s="14">
        <v>0.08</v>
      </c>
      <c r="F4497" s="15">
        <f>ROUND(30.45,3)</f>
        <v>30.45</v>
      </c>
      <c r="G4497" s="12">
        <f t="shared" si="719"/>
        <v>2.44</v>
      </c>
    </row>
    <row r="4498" ht="39.75" customHeight="1">
      <c r="A4498" s="10" t="s">
        <v>1435</v>
      </c>
      <c r="B4498" s="10" t="s">
        <v>112</v>
      </c>
      <c r="C4498" s="10" t="s">
        <v>23</v>
      </c>
      <c r="D4498" s="10" t="s">
        <v>1436</v>
      </c>
      <c r="E4498" s="14">
        <v>0.25</v>
      </c>
      <c r="F4498" s="15">
        <f>ROUND(2.86,3)</f>
        <v>2.86</v>
      </c>
      <c r="G4498" s="12">
        <f t="shared" si="719"/>
        <v>0.72</v>
      </c>
    </row>
    <row r="4499" ht="30.0" customHeight="1">
      <c r="A4499" s="10" t="s">
        <v>1006</v>
      </c>
      <c r="B4499" s="10" t="s">
        <v>42</v>
      </c>
      <c r="C4499" s="10" t="s">
        <v>184</v>
      </c>
      <c r="D4499" s="10" t="s">
        <v>1007</v>
      </c>
      <c r="E4499" s="14">
        <v>0.336</v>
      </c>
      <c r="F4499" s="15">
        <f>ROUND(16.81,3)</f>
        <v>16.81</v>
      </c>
      <c r="G4499" s="12">
        <f t="shared" si="719"/>
        <v>5.65</v>
      </c>
    </row>
    <row r="4500" ht="30.0" customHeight="1">
      <c r="A4500" s="10" t="s">
        <v>1004</v>
      </c>
      <c r="B4500" s="10" t="s">
        <v>42</v>
      </c>
      <c r="C4500" s="10" t="s">
        <v>184</v>
      </c>
      <c r="D4500" s="10" t="s">
        <v>1005</v>
      </c>
      <c r="E4500" s="14">
        <v>0.7938</v>
      </c>
      <c r="F4500" s="15">
        <f>ROUND(22.45,3)</f>
        <v>22.45</v>
      </c>
      <c r="G4500" s="12">
        <f t="shared" si="719"/>
        <v>17.82</v>
      </c>
    </row>
    <row r="4501" ht="39.75" customHeight="1">
      <c r="A4501" s="10" t="s">
        <v>1315</v>
      </c>
      <c r="B4501" s="10" t="s">
        <v>42</v>
      </c>
      <c r="C4501" s="10" t="s">
        <v>231</v>
      </c>
      <c r="D4501" s="10" t="s">
        <v>1316</v>
      </c>
      <c r="E4501" s="14">
        <v>0.07</v>
      </c>
      <c r="F4501" s="15">
        <f>ROUND(2.63,3)</f>
        <v>2.63</v>
      </c>
      <c r="G4501" s="12">
        <f t="shared" si="719"/>
        <v>0.18</v>
      </c>
    </row>
    <row r="4502" ht="39.75" customHeight="1">
      <c r="A4502" s="10" t="s">
        <v>1349</v>
      </c>
      <c r="B4502" s="10" t="s">
        <v>42</v>
      </c>
      <c r="C4502" s="10" t="s">
        <v>231</v>
      </c>
      <c r="D4502" s="10" t="s">
        <v>1350</v>
      </c>
      <c r="E4502" s="14">
        <v>0.44</v>
      </c>
      <c r="F4502" s="15">
        <f>ROUND(4.05,3)</f>
        <v>4.05</v>
      </c>
      <c r="G4502" s="12">
        <f t="shared" si="719"/>
        <v>1.78</v>
      </c>
    </row>
    <row r="4503" ht="21.0" customHeight="1">
      <c r="A4503" s="10" t="s">
        <v>22</v>
      </c>
      <c r="B4503" s="10" t="s">
        <v>18</v>
      </c>
      <c r="C4503" s="10" t="s">
        <v>23</v>
      </c>
      <c r="D4503" s="10" t="s">
        <v>24</v>
      </c>
      <c r="E4503" s="14">
        <v>0.7</v>
      </c>
      <c r="F4503" s="15">
        <f>F4507</f>
        <v>43.8</v>
      </c>
      <c r="G4503" s="12">
        <f t="shared" si="719"/>
        <v>30.66</v>
      </c>
    </row>
    <row r="4504" ht="24.0" customHeight="1">
      <c r="A4504" s="10" t="s">
        <v>25</v>
      </c>
      <c r="B4504" s="10" t="s">
        <v>26</v>
      </c>
      <c r="C4504" s="10" t="s">
        <v>23</v>
      </c>
      <c r="D4504" s="10" t="s">
        <v>27</v>
      </c>
      <c r="E4504" s="14">
        <v>1.0</v>
      </c>
      <c r="F4504" s="15">
        <f>ROUND(21,3)</f>
        <v>21</v>
      </c>
      <c r="G4504" s="12">
        <f t="shared" si="719"/>
        <v>21</v>
      </c>
    </row>
    <row r="4505" ht="24.0" customHeight="1">
      <c r="A4505" s="10" t="s">
        <v>28</v>
      </c>
      <c r="B4505" s="10" t="s">
        <v>26</v>
      </c>
      <c r="C4505" s="10" t="s">
        <v>23</v>
      </c>
      <c r="D4505" s="10" t="s">
        <v>29</v>
      </c>
      <c r="E4505" s="14">
        <v>1.0</v>
      </c>
      <c r="F4505" s="15">
        <f t="shared" ref="F4505:F4506" si="720">ROUND(19,3)</f>
        <v>19</v>
      </c>
      <c r="G4505" s="12">
        <f t="shared" si="719"/>
        <v>19</v>
      </c>
    </row>
    <row r="4506" ht="24.0" customHeight="1">
      <c r="A4506" s="10" t="s">
        <v>30</v>
      </c>
      <c r="B4506" s="10" t="s">
        <v>26</v>
      </c>
      <c r="C4506" s="10" t="s">
        <v>23</v>
      </c>
      <c r="D4506" s="10" t="s">
        <v>31</v>
      </c>
      <c r="E4506" s="14">
        <v>0.2</v>
      </c>
      <c r="F4506" s="15">
        <f t="shared" si="720"/>
        <v>19</v>
      </c>
      <c r="G4506" s="12">
        <f t="shared" si="719"/>
        <v>3.8</v>
      </c>
    </row>
    <row r="4507" ht="15.0" customHeight="1">
      <c r="A4507" s="11"/>
      <c r="B4507" s="11"/>
      <c r="C4507" s="11"/>
      <c r="D4507" s="10" t="s">
        <v>22</v>
      </c>
      <c r="E4507" s="14">
        <v>0.7</v>
      </c>
      <c r="F4507" s="15">
        <f>ROUND((G4504+G4505+G4506),3)</f>
        <v>43.8</v>
      </c>
      <c r="G4507" s="12">
        <f t="shared" si="719"/>
        <v>30.66</v>
      </c>
    </row>
    <row r="4508" ht="15.0" customHeight="1">
      <c r="A4508" s="10" t="s">
        <v>32</v>
      </c>
      <c r="B4508" s="10"/>
      <c r="C4508" s="10" t="s">
        <v>33</v>
      </c>
      <c r="D4508" s="10" t="s">
        <v>34</v>
      </c>
      <c r="E4508" s="14">
        <v>7.0</v>
      </c>
      <c r="F4508" s="15">
        <f>ROUND(30.66,3)</f>
        <v>30.66</v>
      </c>
      <c r="G4508" s="12">
        <f>ROUND((E4508*F4508)/100,2)</f>
        <v>2.15</v>
      </c>
    </row>
    <row r="4509" ht="15.0" customHeight="1">
      <c r="A4509" s="16"/>
      <c r="B4509" s="16"/>
      <c r="C4509" s="16"/>
      <c r="D4509" s="17" t="s">
        <v>2012</v>
      </c>
      <c r="E4509" s="16"/>
      <c r="F4509" s="18">
        <f>ROUND((G4495+G4496+G4497+G4498+G4499+G4500+G4501+G4502+G4503+G4508)*(1+G2/100),2)</f>
        <v>63.9</v>
      </c>
      <c r="G4509" s="16"/>
    </row>
    <row r="4510" ht="76.5" customHeight="1">
      <c r="A4510" s="19" t="s">
        <v>2015</v>
      </c>
      <c r="B4510" s="20" t="s">
        <v>18</v>
      </c>
      <c r="C4510" s="20" t="s">
        <v>19</v>
      </c>
      <c r="D4510" s="20" t="s">
        <v>2016</v>
      </c>
      <c r="E4510" s="21"/>
      <c r="F4510" s="22">
        <f>F4526</f>
        <v>115.2</v>
      </c>
      <c r="G4510" s="21"/>
    </row>
    <row r="4511" ht="30.0" customHeight="1">
      <c r="A4511" s="11"/>
      <c r="B4511" s="11"/>
      <c r="C4511" s="11"/>
      <c r="D4511" s="10" t="s">
        <v>2017</v>
      </c>
    </row>
    <row r="4512" ht="30.0" customHeight="1">
      <c r="A4512" s="10" t="s">
        <v>1227</v>
      </c>
      <c r="B4512" s="10" t="s">
        <v>42</v>
      </c>
      <c r="C4512" s="10" t="s">
        <v>226</v>
      </c>
      <c r="D4512" s="10" t="s">
        <v>1228</v>
      </c>
      <c r="E4512" s="14">
        <v>0.022</v>
      </c>
      <c r="F4512" s="15">
        <f>ROUND(27.5,3)</f>
        <v>27.5</v>
      </c>
      <c r="G4512" s="12">
        <f t="shared" ref="G4512:G4524" si="721">ROUND(E4512*F4512,2)</f>
        <v>0.61</v>
      </c>
    </row>
    <row r="4513" ht="21.0" customHeight="1">
      <c r="A4513" s="10" t="s">
        <v>1204</v>
      </c>
      <c r="B4513" s="10" t="s">
        <v>42</v>
      </c>
      <c r="C4513" s="10" t="s">
        <v>344</v>
      </c>
      <c r="D4513" s="10" t="s">
        <v>1205</v>
      </c>
      <c r="E4513" s="14">
        <v>2.0</v>
      </c>
      <c r="F4513" s="15">
        <f>ROUND(2.29,3)</f>
        <v>2.29</v>
      </c>
      <c r="G4513" s="12">
        <f t="shared" si="721"/>
        <v>4.58</v>
      </c>
    </row>
    <row r="4514" ht="30.0" customHeight="1">
      <c r="A4514" s="10" t="s">
        <v>1437</v>
      </c>
      <c r="B4514" s="10" t="s">
        <v>42</v>
      </c>
      <c r="C4514" s="10" t="s">
        <v>325</v>
      </c>
      <c r="D4514" s="10" t="s">
        <v>1438</v>
      </c>
      <c r="E4514" s="14">
        <v>0.16</v>
      </c>
      <c r="F4514" s="15">
        <f>ROUND(30.45,3)</f>
        <v>30.45</v>
      </c>
      <c r="G4514" s="12">
        <f t="shared" si="721"/>
        <v>4.87</v>
      </c>
    </row>
    <row r="4515" ht="39.75" customHeight="1">
      <c r="A4515" s="10" t="s">
        <v>1435</v>
      </c>
      <c r="B4515" s="10" t="s">
        <v>112</v>
      </c>
      <c r="C4515" s="10" t="s">
        <v>23</v>
      </c>
      <c r="D4515" s="10" t="s">
        <v>1436</v>
      </c>
      <c r="E4515" s="14">
        <v>0.25</v>
      </c>
      <c r="F4515" s="15">
        <f>ROUND(2.86,3)</f>
        <v>2.86</v>
      </c>
      <c r="G4515" s="12">
        <f t="shared" si="721"/>
        <v>0.72</v>
      </c>
    </row>
    <row r="4516" ht="30.0" customHeight="1">
      <c r="A4516" s="10" t="s">
        <v>1006</v>
      </c>
      <c r="B4516" s="10" t="s">
        <v>42</v>
      </c>
      <c r="C4516" s="10" t="s">
        <v>184</v>
      </c>
      <c r="D4516" s="10" t="s">
        <v>1007</v>
      </c>
      <c r="E4516" s="14">
        <v>0.8357</v>
      </c>
      <c r="F4516" s="15">
        <f>ROUND(16.81,3)</f>
        <v>16.81</v>
      </c>
      <c r="G4516" s="12">
        <f t="shared" si="721"/>
        <v>14.05</v>
      </c>
    </row>
    <row r="4517" ht="30.0" customHeight="1">
      <c r="A4517" s="10" t="s">
        <v>1004</v>
      </c>
      <c r="B4517" s="10" t="s">
        <v>42</v>
      </c>
      <c r="C4517" s="10" t="s">
        <v>184</v>
      </c>
      <c r="D4517" s="10" t="s">
        <v>1005</v>
      </c>
      <c r="E4517" s="14">
        <v>2.268</v>
      </c>
      <c r="F4517" s="15">
        <f>ROUND(22.45,3)</f>
        <v>22.45</v>
      </c>
      <c r="G4517" s="12">
        <f t="shared" si="721"/>
        <v>50.92</v>
      </c>
    </row>
    <row r="4518" ht="39.75" customHeight="1">
      <c r="A4518" s="10" t="s">
        <v>1315</v>
      </c>
      <c r="B4518" s="10" t="s">
        <v>42</v>
      </c>
      <c r="C4518" s="10" t="s">
        <v>231</v>
      </c>
      <c r="D4518" s="10" t="s">
        <v>1316</v>
      </c>
      <c r="E4518" s="14">
        <v>0.07</v>
      </c>
      <c r="F4518" s="15">
        <f>ROUND(2.63,3)</f>
        <v>2.63</v>
      </c>
      <c r="G4518" s="12">
        <f t="shared" si="721"/>
        <v>0.18</v>
      </c>
    </row>
    <row r="4519" ht="39.75" customHeight="1">
      <c r="A4519" s="10" t="s">
        <v>1349</v>
      </c>
      <c r="B4519" s="10" t="s">
        <v>42</v>
      </c>
      <c r="C4519" s="10" t="s">
        <v>231</v>
      </c>
      <c r="D4519" s="10" t="s">
        <v>1350</v>
      </c>
      <c r="E4519" s="14">
        <v>0.44</v>
      </c>
      <c r="F4519" s="15">
        <f>ROUND(4.05,3)</f>
        <v>4.05</v>
      </c>
      <c r="G4519" s="12">
        <f t="shared" si="721"/>
        <v>1.78</v>
      </c>
    </row>
    <row r="4520" ht="21.0" customHeight="1">
      <c r="A4520" s="10" t="s">
        <v>22</v>
      </c>
      <c r="B4520" s="10" t="s">
        <v>18</v>
      </c>
      <c r="C4520" s="10" t="s">
        <v>23</v>
      </c>
      <c r="D4520" s="10" t="s">
        <v>24</v>
      </c>
      <c r="E4520" s="14">
        <v>0.8</v>
      </c>
      <c r="F4520" s="15">
        <f>F4524</f>
        <v>43.8</v>
      </c>
      <c r="G4520" s="12">
        <f t="shared" si="721"/>
        <v>35.04</v>
      </c>
    </row>
    <row r="4521" ht="24.0" customHeight="1">
      <c r="A4521" s="10" t="s">
        <v>25</v>
      </c>
      <c r="B4521" s="10" t="s">
        <v>26</v>
      </c>
      <c r="C4521" s="10" t="s">
        <v>23</v>
      </c>
      <c r="D4521" s="10" t="s">
        <v>27</v>
      </c>
      <c r="E4521" s="14">
        <v>1.0</v>
      </c>
      <c r="F4521" s="15">
        <f>ROUND(21,3)</f>
        <v>21</v>
      </c>
      <c r="G4521" s="12">
        <f t="shared" si="721"/>
        <v>21</v>
      </c>
    </row>
    <row r="4522" ht="24.0" customHeight="1">
      <c r="A4522" s="10" t="s">
        <v>28</v>
      </c>
      <c r="B4522" s="10" t="s">
        <v>26</v>
      </c>
      <c r="C4522" s="10" t="s">
        <v>23</v>
      </c>
      <c r="D4522" s="10" t="s">
        <v>29</v>
      </c>
      <c r="E4522" s="14">
        <v>1.0</v>
      </c>
      <c r="F4522" s="15">
        <f t="shared" ref="F4522:F4523" si="722">ROUND(19,3)</f>
        <v>19</v>
      </c>
      <c r="G4522" s="12">
        <f t="shared" si="721"/>
        <v>19</v>
      </c>
    </row>
    <row r="4523" ht="24.0" customHeight="1">
      <c r="A4523" s="10" t="s">
        <v>30</v>
      </c>
      <c r="B4523" s="10" t="s">
        <v>26</v>
      </c>
      <c r="C4523" s="10" t="s">
        <v>23</v>
      </c>
      <c r="D4523" s="10" t="s">
        <v>31</v>
      </c>
      <c r="E4523" s="14">
        <v>0.2</v>
      </c>
      <c r="F4523" s="15">
        <f t="shared" si="722"/>
        <v>19</v>
      </c>
      <c r="G4523" s="12">
        <f t="shared" si="721"/>
        <v>3.8</v>
      </c>
    </row>
    <row r="4524" ht="15.0" customHeight="1">
      <c r="A4524" s="11"/>
      <c r="B4524" s="11"/>
      <c r="C4524" s="11"/>
      <c r="D4524" s="10" t="s">
        <v>22</v>
      </c>
      <c r="E4524" s="14">
        <v>0.8</v>
      </c>
      <c r="F4524" s="15">
        <f>ROUND((G4521+G4522+G4523),3)</f>
        <v>43.8</v>
      </c>
      <c r="G4524" s="12">
        <f t="shared" si="721"/>
        <v>35.04</v>
      </c>
    </row>
    <row r="4525" ht="15.0" customHeight="1">
      <c r="A4525" s="10" t="s">
        <v>32</v>
      </c>
      <c r="B4525" s="10"/>
      <c r="C4525" s="10" t="s">
        <v>33</v>
      </c>
      <c r="D4525" s="10" t="s">
        <v>34</v>
      </c>
      <c r="E4525" s="14">
        <v>7.0</v>
      </c>
      <c r="F4525" s="15">
        <f>ROUND(35.04,3)</f>
        <v>35.04</v>
      </c>
      <c r="G4525" s="12">
        <f>ROUND((E4525*F4525)/100,2)</f>
        <v>2.45</v>
      </c>
    </row>
    <row r="4526" ht="15.0" customHeight="1">
      <c r="A4526" s="16"/>
      <c r="B4526" s="16"/>
      <c r="C4526" s="16"/>
      <c r="D4526" s="17" t="s">
        <v>2015</v>
      </c>
      <c r="E4526" s="16"/>
      <c r="F4526" s="18">
        <f>ROUND((G4512+G4513+G4514+G4515+G4516+G4517+G4518+G4519+G4520+G4525)*(1+G2/100),2)</f>
        <v>115.2</v>
      </c>
      <c r="G4526" s="16"/>
    </row>
    <row r="4527" ht="104.25" customHeight="1">
      <c r="A4527" s="19" t="s">
        <v>1408</v>
      </c>
      <c r="B4527" s="20" t="s">
        <v>18</v>
      </c>
      <c r="C4527" s="20" t="s">
        <v>351</v>
      </c>
      <c r="D4527" s="20" t="s">
        <v>1409</v>
      </c>
      <c r="E4527" s="21"/>
      <c r="F4527" s="22">
        <f>F4540</f>
        <v>45.48</v>
      </c>
      <c r="G4527" s="21"/>
    </row>
    <row r="4528" ht="30.0" customHeight="1">
      <c r="A4528" s="11"/>
      <c r="B4528" s="11"/>
      <c r="C4528" s="11"/>
      <c r="D4528" s="10" t="s">
        <v>1410</v>
      </c>
    </row>
    <row r="4529" ht="30.0" customHeight="1">
      <c r="A4529" s="10" t="s">
        <v>1227</v>
      </c>
      <c r="B4529" s="10" t="s">
        <v>42</v>
      </c>
      <c r="C4529" s="10" t="s">
        <v>226</v>
      </c>
      <c r="D4529" s="10" t="s">
        <v>1228</v>
      </c>
      <c r="E4529" s="14">
        <v>0.0077</v>
      </c>
      <c r="F4529" s="15">
        <f>ROUND(27.5,3)</f>
        <v>27.5</v>
      </c>
      <c r="G4529" s="12">
        <f t="shared" ref="G4529:G4538" si="723">ROUND(E4529*F4529,2)</f>
        <v>0.21</v>
      </c>
    </row>
    <row r="4530" ht="48.75" customHeight="1">
      <c r="A4530" s="10" t="s">
        <v>1276</v>
      </c>
      <c r="B4530" s="10" t="s">
        <v>42</v>
      </c>
      <c r="C4530" s="10" t="s">
        <v>43</v>
      </c>
      <c r="D4530" s="10" t="s">
        <v>1277</v>
      </c>
      <c r="E4530" s="14">
        <v>0.11</v>
      </c>
      <c r="F4530" s="15">
        <f>ROUND(45.57,3)</f>
        <v>45.57</v>
      </c>
      <c r="G4530" s="12">
        <f t="shared" si="723"/>
        <v>5.01</v>
      </c>
    </row>
    <row r="4531" ht="30.0" customHeight="1">
      <c r="A4531" s="10" t="s">
        <v>1004</v>
      </c>
      <c r="B4531" s="10" t="s">
        <v>42</v>
      </c>
      <c r="C4531" s="10" t="s">
        <v>184</v>
      </c>
      <c r="D4531" s="10" t="s">
        <v>1005</v>
      </c>
      <c r="E4531" s="14">
        <v>0.4536</v>
      </c>
      <c r="F4531" s="15">
        <f>ROUND(22.45,3)</f>
        <v>22.45</v>
      </c>
      <c r="G4531" s="12">
        <f t="shared" si="723"/>
        <v>10.18</v>
      </c>
    </row>
    <row r="4532" ht="39.75" customHeight="1">
      <c r="A4532" s="10" t="s">
        <v>1315</v>
      </c>
      <c r="B4532" s="10" t="s">
        <v>42</v>
      </c>
      <c r="C4532" s="10" t="s">
        <v>231</v>
      </c>
      <c r="D4532" s="10" t="s">
        <v>1316</v>
      </c>
      <c r="E4532" s="14">
        <v>0.07</v>
      </c>
      <c r="F4532" s="15">
        <f>ROUND(2.63,3)</f>
        <v>2.63</v>
      </c>
      <c r="G4532" s="12">
        <f t="shared" si="723"/>
        <v>0.18</v>
      </c>
    </row>
    <row r="4533" ht="39.75" customHeight="1">
      <c r="A4533" s="10" t="s">
        <v>1349</v>
      </c>
      <c r="B4533" s="10" t="s">
        <v>42</v>
      </c>
      <c r="C4533" s="10" t="s">
        <v>231</v>
      </c>
      <c r="D4533" s="10" t="s">
        <v>1350</v>
      </c>
      <c r="E4533" s="14">
        <v>0.44</v>
      </c>
      <c r="F4533" s="15">
        <f>ROUND(4.05,3)</f>
        <v>4.05</v>
      </c>
      <c r="G4533" s="12">
        <f t="shared" si="723"/>
        <v>1.78</v>
      </c>
    </row>
    <row r="4534" ht="21.0" customHeight="1">
      <c r="A4534" s="10" t="s">
        <v>22</v>
      </c>
      <c r="B4534" s="10" t="s">
        <v>18</v>
      </c>
      <c r="C4534" s="10" t="s">
        <v>23</v>
      </c>
      <c r="D4534" s="10" t="s">
        <v>24</v>
      </c>
      <c r="E4534" s="14">
        <v>0.6</v>
      </c>
      <c r="F4534" s="15">
        <f>F4538</f>
        <v>43.8</v>
      </c>
      <c r="G4534" s="12">
        <f t="shared" si="723"/>
        <v>26.28</v>
      </c>
    </row>
    <row r="4535" ht="24.0" customHeight="1">
      <c r="A4535" s="10" t="s">
        <v>25</v>
      </c>
      <c r="B4535" s="10" t="s">
        <v>26</v>
      </c>
      <c r="C4535" s="10" t="s">
        <v>23</v>
      </c>
      <c r="D4535" s="10" t="s">
        <v>27</v>
      </c>
      <c r="E4535" s="14">
        <v>1.0</v>
      </c>
      <c r="F4535" s="15">
        <f>ROUND(21,3)</f>
        <v>21</v>
      </c>
      <c r="G4535" s="12">
        <f t="shared" si="723"/>
        <v>21</v>
      </c>
    </row>
    <row r="4536" ht="24.0" customHeight="1">
      <c r="A4536" s="10" t="s">
        <v>28</v>
      </c>
      <c r="B4536" s="10" t="s">
        <v>26</v>
      </c>
      <c r="C4536" s="10" t="s">
        <v>23</v>
      </c>
      <c r="D4536" s="10" t="s">
        <v>29</v>
      </c>
      <c r="E4536" s="14">
        <v>1.0</v>
      </c>
      <c r="F4536" s="15">
        <f t="shared" ref="F4536:F4537" si="724">ROUND(19,3)</f>
        <v>19</v>
      </c>
      <c r="G4536" s="12">
        <f t="shared" si="723"/>
        <v>19</v>
      </c>
    </row>
    <row r="4537" ht="24.0" customHeight="1">
      <c r="A4537" s="10" t="s">
        <v>30</v>
      </c>
      <c r="B4537" s="10" t="s">
        <v>26</v>
      </c>
      <c r="C4537" s="10" t="s">
        <v>23</v>
      </c>
      <c r="D4537" s="10" t="s">
        <v>31</v>
      </c>
      <c r="E4537" s="14">
        <v>0.2</v>
      </c>
      <c r="F4537" s="15">
        <f t="shared" si="724"/>
        <v>19</v>
      </c>
      <c r="G4537" s="12">
        <f t="shared" si="723"/>
        <v>3.8</v>
      </c>
    </row>
    <row r="4538" ht="15.0" customHeight="1">
      <c r="A4538" s="11"/>
      <c r="B4538" s="11"/>
      <c r="C4538" s="11"/>
      <c r="D4538" s="10" t="s">
        <v>22</v>
      </c>
      <c r="E4538" s="14">
        <v>0.6</v>
      </c>
      <c r="F4538" s="15">
        <f>ROUND((G4535+G4536+G4537),3)</f>
        <v>43.8</v>
      </c>
      <c r="G4538" s="12">
        <f t="shared" si="723"/>
        <v>26.28</v>
      </c>
    </row>
    <row r="4539" ht="15.0" customHeight="1">
      <c r="A4539" s="10" t="s">
        <v>32</v>
      </c>
      <c r="B4539" s="10"/>
      <c r="C4539" s="10" t="s">
        <v>33</v>
      </c>
      <c r="D4539" s="10" t="s">
        <v>34</v>
      </c>
      <c r="E4539" s="14">
        <v>7.0</v>
      </c>
      <c r="F4539" s="15">
        <f>ROUND(26.28,3)</f>
        <v>26.28</v>
      </c>
      <c r="G4539" s="12">
        <f>ROUND((E4539*F4539)/100,2)</f>
        <v>1.84</v>
      </c>
    </row>
    <row r="4540" ht="15.0" customHeight="1">
      <c r="A4540" s="16"/>
      <c r="B4540" s="16"/>
      <c r="C4540" s="16"/>
      <c r="D4540" s="17" t="s">
        <v>1408</v>
      </c>
      <c r="E4540" s="16"/>
      <c r="F4540" s="18">
        <f>ROUND((G4529+G4530+G4531+G4532+G4533+G4534+G4539)*(1+G2/100),2)</f>
        <v>45.48</v>
      </c>
      <c r="G4540" s="16"/>
    </row>
    <row r="4541" ht="95.25" customHeight="1">
      <c r="A4541" s="19" t="s">
        <v>2018</v>
      </c>
      <c r="B4541" s="20" t="s">
        <v>18</v>
      </c>
      <c r="C4541" s="20" t="s">
        <v>19</v>
      </c>
      <c r="D4541" s="20" t="s">
        <v>2019</v>
      </c>
      <c r="E4541" s="21"/>
      <c r="F4541" s="22">
        <f>F4554</f>
        <v>76.82</v>
      </c>
      <c r="G4541" s="21"/>
    </row>
    <row r="4542" ht="30.0" customHeight="1">
      <c r="A4542" s="11"/>
      <c r="B4542" s="11"/>
      <c r="C4542" s="11"/>
      <c r="D4542" s="10" t="s">
        <v>2020</v>
      </c>
    </row>
    <row r="4543" ht="30.0" customHeight="1">
      <c r="A4543" s="10" t="s">
        <v>1227</v>
      </c>
      <c r="B4543" s="10" t="s">
        <v>42</v>
      </c>
      <c r="C4543" s="10" t="s">
        <v>226</v>
      </c>
      <c r="D4543" s="10" t="s">
        <v>1228</v>
      </c>
      <c r="E4543" s="14">
        <v>0.022</v>
      </c>
      <c r="F4543" s="15">
        <f>ROUND(27.5,3)</f>
        <v>27.5</v>
      </c>
      <c r="G4543" s="12">
        <f t="shared" ref="G4543:G4552" si="725">ROUND(E4543*F4543,2)</f>
        <v>0.61</v>
      </c>
    </row>
    <row r="4544" ht="48.75" customHeight="1">
      <c r="A4544" s="10" t="s">
        <v>1276</v>
      </c>
      <c r="B4544" s="10" t="s">
        <v>42</v>
      </c>
      <c r="C4544" s="10" t="s">
        <v>43</v>
      </c>
      <c r="D4544" s="10" t="s">
        <v>1277</v>
      </c>
      <c r="E4544" s="14">
        <v>0.25</v>
      </c>
      <c r="F4544" s="15">
        <f>ROUND(45.57,3)</f>
        <v>45.57</v>
      </c>
      <c r="G4544" s="12">
        <f t="shared" si="725"/>
        <v>11.39</v>
      </c>
    </row>
    <row r="4545" ht="30.0" customHeight="1">
      <c r="A4545" s="10" t="s">
        <v>1004</v>
      </c>
      <c r="B4545" s="10" t="s">
        <v>42</v>
      </c>
      <c r="C4545" s="10" t="s">
        <v>184</v>
      </c>
      <c r="D4545" s="10" t="s">
        <v>1005</v>
      </c>
      <c r="E4545" s="14">
        <v>1.13</v>
      </c>
      <c r="F4545" s="15">
        <f>ROUND(22.45,3)</f>
        <v>22.45</v>
      </c>
      <c r="G4545" s="12">
        <f t="shared" si="725"/>
        <v>25.37</v>
      </c>
    </row>
    <row r="4546" ht="39.75" customHeight="1">
      <c r="A4546" s="10" t="s">
        <v>1315</v>
      </c>
      <c r="B4546" s="10" t="s">
        <v>42</v>
      </c>
      <c r="C4546" s="10" t="s">
        <v>231</v>
      </c>
      <c r="D4546" s="10" t="s">
        <v>1316</v>
      </c>
      <c r="E4546" s="14">
        <v>0.07</v>
      </c>
      <c r="F4546" s="15">
        <f>ROUND(2.63,3)</f>
        <v>2.63</v>
      </c>
      <c r="G4546" s="12">
        <f t="shared" si="725"/>
        <v>0.18</v>
      </c>
    </row>
    <row r="4547" ht="39.75" customHeight="1">
      <c r="A4547" s="10" t="s">
        <v>1349</v>
      </c>
      <c r="B4547" s="10" t="s">
        <v>42</v>
      </c>
      <c r="C4547" s="10" t="s">
        <v>231</v>
      </c>
      <c r="D4547" s="10" t="s">
        <v>1350</v>
      </c>
      <c r="E4547" s="14">
        <v>0.44</v>
      </c>
      <c r="F4547" s="15">
        <f>ROUND(4.05,3)</f>
        <v>4.05</v>
      </c>
      <c r="G4547" s="12">
        <f t="shared" si="725"/>
        <v>1.78</v>
      </c>
    </row>
    <row r="4548" ht="21.0" customHeight="1">
      <c r="A4548" s="10" t="s">
        <v>22</v>
      </c>
      <c r="B4548" s="10" t="s">
        <v>18</v>
      </c>
      <c r="C4548" s="10" t="s">
        <v>23</v>
      </c>
      <c r="D4548" s="10" t="s">
        <v>24</v>
      </c>
      <c r="E4548" s="14">
        <v>0.8</v>
      </c>
      <c r="F4548" s="15">
        <f>F4552</f>
        <v>43.8</v>
      </c>
      <c r="G4548" s="12">
        <f t="shared" si="725"/>
        <v>35.04</v>
      </c>
    </row>
    <row r="4549" ht="24.0" customHeight="1">
      <c r="A4549" s="10" t="s">
        <v>25</v>
      </c>
      <c r="B4549" s="10" t="s">
        <v>26</v>
      </c>
      <c r="C4549" s="10" t="s">
        <v>23</v>
      </c>
      <c r="D4549" s="10" t="s">
        <v>27</v>
      </c>
      <c r="E4549" s="14">
        <v>1.0</v>
      </c>
      <c r="F4549" s="15">
        <f>ROUND(21,3)</f>
        <v>21</v>
      </c>
      <c r="G4549" s="12">
        <f t="shared" si="725"/>
        <v>21</v>
      </c>
    </row>
    <row r="4550" ht="24.0" customHeight="1">
      <c r="A4550" s="10" t="s">
        <v>28</v>
      </c>
      <c r="B4550" s="10" t="s">
        <v>26</v>
      </c>
      <c r="C4550" s="10" t="s">
        <v>23</v>
      </c>
      <c r="D4550" s="10" t="s">
        <v>29</v>
      </c>
      <c r="E4550" s="14">
        <v>1.0</v>
      </c>
      <c r="F4550" s="15">
        <f t="shared" ref="F4550:F4551" si="726">ROUND(19,3)</f>
        <v>19</v>
      </c>
      <c r="G4550" s="12">
        <f t="shared" si="725"/>
        <v>19</v>
      </c>
    </row>
    <row r="4551" ht="24.0" customHeight="1">
      <c r="A4551" s="10" t="s">
        <v>30</v>
      </c>
      <c r="B4551" s="10" t="s">
        <v>26</v>
      </c>
      <c r="C4551" s="10" t="s">
        <v>23</v>
      </c>
      <c r="D4551" s="10" t="s">
        <v>31</v>
      </c>
      <c r="E4551" s="14">
        <v>0.2</v>
      </c>
      <c r="F4551" s="15">
        <f t="shared" si="726"/>
        <v>19</v>
      </c>
      <c r="G4551" s="12">
        <f t="shared" si="725"/>
        <v>3.8</v>
      </c>
    </row>
    <row r="4552" ht="15.0" customHeight="1">
      <c r="A4552" s="11"/>
      <c r="B4552" s="11"/>
      <c r="C4552" s="11"/>
      <c r="D4552" s="10" t="s">
        <v>22</v>
      </c>
      <c r="E4552" s="14">
        <v>0.8</v>
      </c>
      <c r="F4552" s="15">
        <f>ROUND((G4549+G4550+G4551),3)</f>
        <v>43.8</v>
      </c>
      <c r="G4552" s="12">
        <f t="shared" si="725"/>
        <v>35.04</v>
      </c>
    </row>
    <row r="4553" ht="15.0" customHeight="1">
      <c r="A4553" s="10" t="s">
        <v>32</v>
      </c>
      <c r="B4553" s="10"/>
      <c r="C4553" s="10" t="s">
        <v>33</v>
      </c>
      <c r="D4553" s="10" t="s">
        <v>34</v>
      </c>
      <c r="E4553" s="14">
        <v>7.0</v>
      </c>
      <c r="F4553" s="15">
        <f>ROUND(35.04,3)</f>
        <v>35.04</v>
      </c>
      <c r="G4553" s="12">
        <f>ROUND((E4553*F4553)/100,2)</f>
        <v>2.45</v>
      </c>
    </row>
    <row r="4554" ht="15.0" customHeight="1">
      <c r="A4554" s="16"/>
      <c r="B4554" s="16"/>
      <c r="C4554" s="16"/>
      <c r="D4554" s="17" t="s">
        <v>2018</v>
      </c>
      <c r="E4554" s="16"/>
      <c r="F4554" s="18">
        <f>ROUND((G4543+G4544+G4545+G4546+G4547+G4548+G4553)*(1+G2/100),2)</f>
        <v>76.82</v>
      </c>
      <c r="G4554" s="16"/>
    </row>
    <row r="4555" ht="57.75" customHeight="1">
      <c r="A4555" s="19" t="s">
        <v>2021</v>
      </c>
      <c r="B4555" s="20" t="s">
        <v>18</v>
      </c>
      <c r="C4555" s="20" t="s">
        <v>19</v>
      </c>
      <c r="D4555" s="20" t="s">
        <v>2022</v>
      </c>
      <c r="E4555" s="21"/>
      <c r="F4555" s="22">
        <f>F4570</f>
        <v>66.61</v>
      </c>
      <c r="G4555" s="21"/>
    </row>
    <row r="4556" ht="21.0" customHeight="1">
      <c r="A4556" s="11"/>
      <c r="B4556" s="11"/>
      <c r="C4556" s="11"/>
      <c r="D4556" s="10" t="s">
        <v>2023</v>
      </c>
    </row>
    <row r="4557" ht="39.75" customHeight="1">
      <c r="A4557" s="10" t="s">
        <v>2024</v>
      </c>
      <c r="B4557" s="10" t="s">
        <v>42</v>
      </c>
      <c r="C4557" s="10" t="s">
        <v>184</v>
      </c>
      <c r="D4557" s="10" t="s">
        <v>2025</v>
      </c>
      <c r="E4557" s="14">
        <v>0.378</v>
      </c>
      <c r="F4557" s="15">
        <f>ROUND(11.26,3)</f>
        <v>11.26</v>
      </c>
      <c r="G4557" s="12">
        <f t="shared" ref="G4557:G4568" si="727">ROUND(E4557*F4557,2)</f>
        <v>4.26</v>
      </c>
    </row>
    <row r="4558" ht="30.0" customHeight="1">
      <c r="A4558" s="10" t="s">
        <v>1899</v>
      </c>
      <c r="B4558" s="10" t="s">
        <v>42</v>
      </c>
      <c r="C4558" s="10" t="s">
        <v>226</v>
      </c>
      <c r="D4558" s="10" t="s">
        <v>1900</v>
      </c>
      <c r="E4558" s="14">
        <v>0.02182</v>
      </c>
      <c r="F4558" s="15">
        <f>ROUND(75.52,3)</f>
        <v>75.52</v>
      </c>
      <c r="G4558" s="12">
        <f t="shared" si="727"/>
        <v>1.65</v>
      </c>
    </row>
    <row r="4559" ht="30.0" customHeight="1">
      <c r="A4559" s="10" t="s">
        <v>2026</v>
      </c>
      <c r="B4559" s="10" t="s">
        <v>42</v>
      </c>
      <c r="C4559" s="10" t="s">
        <v>1997</v>
      </c>
      <c r="D4559" s="10" t="s">
        <v>2027</v>
      </c>
      <c r="E4559" s="14">
        <v>0.12</v>
      </c>
      <c r="F4559" s="15">
        <f>ROUND(11.1,3)</f>
        <v>11.1</v>
      </c>
      <c r="G4559" s="12">
        <f t="shared" si="727"/>
        <v>1.33</v>
      </c>
    </row>
    <row r="4560" ht="30.0" customHeight="1">
      <c r="A4560" s="10" t="s">
        <v>2028</v>
      </c>
      <c r="B4560" s="10" t="s">
        <v>42</v>
      </c>
      <c r="C4560" s="10" t="s">
        <v>1997</v>
      </c>
      <c r="D4560" s="10" t="s">
        <v>2029</v>
      </c>
      <c r="E4560" s="14">
        <v>0.24</v>
      </c>
      <c r="F4560" s="15">
        <f>ROUND(2.8,3)</f>
        <v>2.8</v>
      </c>
      <c r="G4560" s="12">
        <f t="shared" si="727"/>
        <v>0.67</v>
      </c>
    </row>
    <row r="4561" ht="39.75" customHeight="1">
      <c r="A4561" s="10" t="s">
        <v>1996</v>
      </c>
      <c r="B4561" s="10" t="s">
        <v>42</v>
      </c>
      <c r="C4561" s="10" t="s">
        <v>1997</v>
      </c>
      <c r="D4561" s="10" t="s">
        <v>1998</v>
      </c>
      <c r="E4561" s="14">
        <v>0.1237</v>
      </c>
      <c r="F4561" s="15">
        <f>ROUND(5.04,3)</f>
        <v>5.04</v>
      </c>
      <c r="G4561" s="12">
        <f t="shared" si="727"/>
        <v>0.62</v>
      </c>
    </row>
    <row r="4562" ht="39.75" customHeight="1">
      <c r="A4562" s="10" t="s">
        <v>2030</v>
      </c>
      <c r="B4562" s="10" t="s">
        <v>42</v>
      </c>
      <c r="C4562" s="10" t="s">
        <v>184</v>
      </c>
      <c r="D4562" s="10" t="s">
        <v>2031</v>
      </c>
      <c r="E4562" s="14">
        <v>0.11</v>
      </c>
      <c r="F4562" s="15">
        <f>ROUND(133.31,3)</f>
        <v>133.31</v>
      </c>
      <c r="G4562" s="12">
        <f t="shared" si="727"/>
        <v>14.66</v>
      </c>
    </row>
    <row r="4563" ht="39.75" customHeight="1">
      <c r="A4563" s="10" t="s">
        <v>2032</v>
      </c>
      <c r="B4563" s="10" t="s">
        <v>42</v>
      </c>
      <c r="C4563" s="10" t="s">
        <v>226</v>
      </c>
      <c r="D4563" s="10" t="s">
        <v>2033</v>
      </c>
      <c r="E4563" s="14">
        <v>0.022</v>
      </c>
      <c r="F4563" s="15">
        <f>ROUND(301.4,3)</f>
        <v>301.4</v>
      </c>
      <c r="G4563" s="12">
        <f t="shared" si="727"/>
        <v>6.63</v>
      </c>
    </row>
    <row r="4564" ht="21.0" customHeight="1">
      <c r="A4564" s="10" t="s">
        <v>22</v>
      </c>
      <c r="B4564" s="10" t="s">
        <v>18</v>
      </c>
      <c r="C4564" s="10" t="s">
        <v>23</v>
      </c>
      <c r="D4564" s="10" t="s">
        <v>24</v>
      </c>
      <c r="E4564" s="14">
        <v>0.8</v>
      </c>
      <c r="F4564" s="15">
        <f>F4568</f>
        <v>43.8</v>
      </c>
      <c r="G4564" s="12">
        <f t="shared" si="727"/>
        <v>35.04</v>
      </c>
    </row>
    <row r="4565" ht="24.0" customHeight="1">
      <c r="A4565" s="10" t="s">
        <v>25</v>
      </c>
      <c r="B4565" s="10" t="s">
        <v>26</v>
      </c>
      <c r="C4565" s="10" t="s">
        <v>23</v>
      </c>
      <c r="D4565" s="10" t="s">
        <v>27</v>
      </c>
      <c r="E4565" s="14">
        <v>1.0</v>
      </c>
      <c r="F4565" s="15">
        <f>ROUND(21,3)</f>
        <v>21</v>
      </c>
      <c r="G4565" s="12">
        <f t="shared" si="727"/>
        <v>21</v>
      </c>
    </row>
    <row r="4566" ht="24.0" customHeight="1">
      <c r="A4566" s="10" t="s">
        <v>28</v>
      </c>
      <c r="B4566" s="10" t="s">
        <v>26</v>
      </c>
      <c r="C4566" s="10" t="s">
        <v>23</v>
      </c>
      <c r="D4566" s="10" t="s">
        <v>29</v>
      </c>
      <c r="E4566" s="14">
        <v>1.0</v>
      </c>
      <c r="F4566" s="15">
        <f t="shared" ref="F4566:F4567" si="728">ROUND(19,3)</f>
        <v>19</v>
      </c>
      <c r="G4566" s="12">
        <f t="shared" si="727"/>
        <v>19</v>
      </c>
    </row>
    <row r="4567" ht="24.0" customHeight="1">
      <c r="A4567" s="10" t="s">
        <v>30</v>
      </c>
      <c r="B4567" s="10" t="s">
        <v>26</v>
      </c>
      <c r="C4567" s="10" t="s">
        <v>23</v>
      </c>
      <c r="D4567" s="10" t="s">
        <v>31</v>
      </c>
      <c r="E4567" s="14">
        <v>0.2</v>
      </c>
      <c r="F4567" s="15">
        <f t="shared" si="728"/>
        <v>19</v>
      </c>
      <c r="G4567" s="12">
        <f t="shared" si="727"/>
        <v>3.8</v>
      </c>
    </row>
    <row r="4568" ht="15.0" customHeight="1">
      <c r="A4568" s="11"/>
      <c r="B4568" s="11"/>
      <c r="C4568" s="11"/>
      <c r="D4568" s="10" t="s">
        <v>22</v>
      </c>
      <c r="E4568" s="14">
        <v>0.8</v>
      </c>
      <c r="F4568" s="15">
        <f>ROUND((G4565+G4566+G4567),3)</f>
        <v>43.8</v>
      </c>
      <c r="G4568" s="12">
        <f t="shared" si="727"/>
        <v>35.04</v>
      </c>
    </row>
    <row r="4569" ht="15.0" customHeight="1">
      <c r="A4569" s="10" t="s">
        <v>32</v>
      </c>
      <c r="B4569" s="10"/>
      <c r="C4569" s="10" t="s">
        <v>33</v>
      </c>
      <c r="D4569" s="10" t="s">
        <v>34</v>
      </c>
      <c r="E4569" s="14">
        <v>5.0</v>
      </c>
      <c r="F4569" s="15">
        <f>ROUND(35.04,3)</f>
        <v>35.04</v>
      </c>
      <c r="G4569" s="12">
        <f>ROUND((E4569*F4569)/100,2)</f>
        <v>1.75</v>
      </c>
    </row>
    <row r="4570" ht="15.0" customHeight="1">
      <c r="A4570" s="16"/>
      <c r="B4570" s="16"/>
      <c r="C4570" s="16"/>
      <c r="D4570" s="17" t="s">
        <v>2021</v>
      </c>
      <c r="E4570" s="16"/>
      <c r="F4570" s="18">
        <f>ROUND((G4557+G4558+G4559+G4560+G4561+G4562+G4563+G4564+G4569)*(1+G2/100),2)</f>
        <v>66.61</v>
      </c>
      <c r="G4570" s="16"/>
    </row>
    <row r="4571" ht="57.75" customHeight="1">
      <c r="A4571" s="19" t="s">
        <v>2034</v>
      </c>
      <c r="B4571" s="20" t="s">
        <v>18</v>
      </c>
      <c r="C4571" s="20" t="s">
        <v>19</v>
      </c>
      <c r="D4571" s="20" t="s">
        <v>2035</v>
      </c>
      <c r="E4571" s="21"/>
      <c r="F4571" s="22">
        <f>F4586</f>
        <v>92.64</v>
      </c>
      <c r="G4571" s="21"/>
    </row>
    <row r="4572" ht="21.0" customHeight="1">
      <c r="A4572" s="11"/>
      <c r="B4572" s="11"/>
      <c r="C4572" s="11"/>
      <c r="D4572" s="10" t="s">
        <v>2036</v>
      </c>
    </row>
    <row r="4573" ht="48.75" customHeight="1">
      <c r="A4573" s="10" t="s">
        <v>2037</v>
      </c>
      <c r="B4573" s="10" t="s">
        <v>42</v>
      </c>
      <c r="C4573" s="10" t="s">
        <v>276</v>
      </c>
      <c r="D4573" s="10" t="s">
        <v>2038</v>
      </c>
      <c r="E4573" s="14">
        <v>0.2</v>
      </c>
      <c r="F4573" s="15">
        <f>ROUND(151.46,3)</f>
        <v>151.46</v>
      </c>
      <c r="G4573" s="12">
        <f t="shared" ref="G4573:G4584" si="729">ROUND(E4573*F4573,2)</f>
        <v>30.29</v>
      </c>
    </row>
    <row r="4574" ht="30.0" customHeight="1">
      <c r="A4574" s="10" t="s">
        <v>1899</v>
      </c>
      <c r="B4574" s="10" t="s">
        <v>42</v>
      </c>
      <c r="C4574" s="10" t="s">
        <v>226</v>
      </c>
      <c r="D4574" s="10" t="s">
        <v>1900</v>
      </c>
      <c r="E4574" s="14">
        <v>0.02182</v>
      </c>
      <c r="F4574" s="15">
        <f>ROUND(75.52,3)</f>
        <v>75.52</v>
      </c>
      <c r="G4574" s="12">
        <f t="shared" si="729"/>
        <v>1.65</v>
      </c>
    </row>
    <row r="4575" ht="30.0" customHeight="1">
      <c r="A4575" s="10" t="s">
        <v>2026</v>
      </c>
      <c r="B4575" s="10" t="s">
        <v>42</v>
      </c>
      <c r="C4575" s="10" t="s">
        <v>1997</v>
      </c>
      <c r="D4575" s="10" t="s">
        <v>2027</v>
      </c>
      <c r="E4575" s="14">
        <v>0.12</v>
      </c>
      <c r="F4575" s="15">
        <f>ROUND(11.1,3)</f>
        <v>11.1</v>
      </c>
      <c r="G4575" s="12">
        <f t="shared" si="729"/>
        <v>1.33</v>
      </c>
    </row>
    <row r="4576" ht="30.0" customHeight="1">
      <c r="A4576" s="10" t="s">
        <v>2028</v>
      </c>
      <c r="B4576" s="10" t="s">
        <v>42</v>
      </c>
      <c r="C4576" s="10" t="s">
        <v>1997</v>
      </c>
      <c r="D4576" s="10" t="s">
        <v>2029</v>
      </c>
      <c r="E4576" s="14">
        <v>0.24</v>
      </c>
      <c r="F4576" s="15">
        <f>ROUND(2.8,3)</f>
        <v>2.8</v>
      </c>
      <c r="G4576" s="12">
        <f t="shared" si="729"/>
        <v>0.67</v>
      </c>
    </row>
    <row r="4577" ht="39.75" customHeight="1">
      <c r="A4577" s="10" t="s">
        <v>1996</v>
      </c>
      <c r="B4577" s="10" t="s">
        <v>42</v>
      </c>
      <c r="C4577" s="10" t="s">
        <v>1997</v>
      </c>
      <c r="D4577" s="10" t="s">
        <v>1998</v>
      </c>
      <c r="E4577" s="14">
        <v>0.1237</v>
      </c>
      <c r="F4577" s="15">
        <f>ROUND(5.04,3)</f>
        <v>5.04</v>
      </c>
      <c r="G4577" s="12">
        <f t="shared" si="729"/>
        <v>0.62</v>
      </c>
    </row>
    <row r="4578" ht="39.75" customHeight="1">
      <c r="A4578" s="10" t="s">
        <v>2030</v>
      </c>
      <c r="B4578" s="10" t="s">
        <v>42</v>
      </c>
      <c r="C4578" s="10" t="s">
        <v>184</v>
      </c>
      <c r="D4578" s="10" t="s">
        <v>2031</v>
      </c>
      <c r="E4578" s="14">
        <v>0.11</v>
      </c>
      <c r="F4578" s="15">
        <f>ROUND(133.31,3)</f>
        <v>133.31</v>
      </c>
      <c r="G4578" s="12">
        <f t="shared" si="729"/>
        <v>14.66</v>
      </c>
    </row>
    <row r="4579" ht="39.75" customHeight="1">
      <c r="A4579" s="10" t="s">
        <v>2032</v>
      </c>
      <c r="B4579" s="10" t="s">
        <v>42</v>
      </c>
      <c r="C4579" s="10" t="s">
        <v>226</v>
      </c>
      <c r="D4579" s="10" t="s">
        <v>2033</v>
      </c>
      <c r="E4579" s="14">
        <v>0.022</v>
      </c>
      <c r="F4579" s="15">
        <f>ROUND(301.4,3)</f>
        <v>301.4</v>
      </c>
      <c r="G4579" s="12">
        <f t="shared" si="729"/>
        <v>6.63</v>
      </c>
    </row>
    <row r="4580" ht="21.0" customHeight="1">
      <c r="A4580" s="10" t="s">
        <v>22</v>
      </c>
      <c r="B4580" s="10" t="s">
        <v>18</v>
      </c>
      <c r="C4580" s="10" t="s">
        <v>23</v>
      </c>
      <c r="D4580" s="10" t="s">
        <v>24</v>
      </c>
      <c r="E4580" s="14">
        <v>0.8</v>
      </c>
      <c r="F4580" s="15">
        <f>F4584</f>
        <v>43.8</v>
      </c>
      <c r="G4580" s="12">
        <f t="shared" si="729"/>
        <v>35.04</v>
      </c>
    </row>
    <row r="4581" ht="24.0" customHeight="1">
      <c r="A4581" s="10" t="s">
        <v>25</v>
      </c>
      <c r="B4581" s="10" t="s">
        <v>26</v>
      </c>
      <c r="C4581" s="10" t="s">
        <v>23</v>
      </c>
      <c r="D4581" s="10" t="s">
        <v>27</v>
      </c>
      <c r="E4581" s="14">
        <v>1.0</v>
      </c>
      <c r="F4581" s="15">
        <f>ROUND(21,3)</f>
        <v>21</v>
      </c>
      <c r="G4581" s="12">
        <f t="shared" si="729"/>
        <v>21</v>
      </c>
    </row>
    <row r="4582" ht="24.0" customHeight="1">
      <c r="A4582" s="10" t="s">
        <v>28</v>
      </c>
      <c r="B4582" s="10" t="s">
        <v>26</v>
      </c>
      <c r="C4582" s="10" t="s">
        <v>23</v>
      </c>
      <c r="D4582" s="10" t="s">
        <v>29</v>
      </c>
      <c r="E4582" s="14">
        <v>1.0</v>
      </c>
      <c r="F4582" s="15">
        <f t="shared" ref="F4582:F4583" si="730">ROUND(19,3)</f>
        <v>19</v>
      </c>
      <c r="G4582" s="12">
        <f t="shared" si="729"/>
        <v>19</v>
      </c>
    </row>
    <row r="4583" ht="24.0" customHeight="1">
      <c r="A4583" s="10" t="s">
        <v>30</v>
      </c>
      <c r="B4583" s="10" t="s">
        <v>26</v>
      </c>
      <c r="C4583" s="10" t="s">
        <v>23</v>
      </c>
      <c r="D4583" s="10" t="s">
        <v>31</v>
      </c>
      <c r="E4583" s="14">
        <v>0.2</v>
      </c>
      <c r="F4583" s="15">
        <f t="shared" si="730"/>
        <v>19</v>
      </c>
      <c r="G4583" s="12">
        <f t="shared" si="729"/>
        <v>3.8</v>
      </c>
    </row>
    <row r="4584" ht="15.0" customHeight="1">
      <c r="A4584" s="11"/>
      <c r="B4584" s="11"/>
      <c r="C4584" s="11"/>
      <c r="D4584" s="10" t="s">
        <v>22</v>
      </c>
      <c r="E4584" s="14">
        <v>0.8</v>
      </c>
      <c r="F4584" s="15">
        <f>ROUND((G4581+G4582+G4583),3)</f>
        <v>43.8</v>
      </c>
      <c r="G4584" s="12">
        <f t="shared" si="729"/>
        <v>35.04</v>
      </c>
    </row>
    <row r="4585" ht="15.0" customHeight="1">
      <c r="A4585" s="10" t="s">
        <v>32</v>
      </c>
      <c r="B4585" s="10"/>
      <c r="C4585" s="10" t="s">
        <v>33</v>
      </c>
      <c r="D4585" s="10" t="s">
        <v>34</v>
      </c>
      <c r="E4585" s="14">
        <v>5.0</v>
      </c>
      <c r="F4585" s="15">
        <f>ROUND(35.04,3)</f>
        <v>35.04</v>
      </c>
      <c r="G4585" s="12">
        <f>ROUND((E4585*F4585)/100,2)</f>
        <v>1.75</v>
      </c>
    </row>
    <row r="4586" ht="24.75" customHeight="1">
      <c r="A4586" s="16"/>
      <c r="B4586" s="16"/>
      <c r="C4586" s="16"/>
      <c r="D4586" s="17" t="s">
        <v>2034</v>
      </c>
      <c r="E4586" s="16"/>
      <c r="F4586" s="18">
        <f>ROUND((G4573+G4574+G4575+G4576+G4577+G4578+G4579+G4580+G4585)*(1+G2/100),2)</f>
        <v>92.64</v>
      </c>
      <c r="G4586" s="16"/>
    </row>
    <row r="4587" ht="24.75" customHeight="1">
      <c r="A4587" s="26" t="s">
        <v>2039</v>
      </c>
      <c r="B4587" s="26" t="s">
        <v>10</v>
      </c>
      <c r="C4587" s="27"/>
      <c r="D4587" s="26" t="s">
        <v>2040</v>
      </c>
      <c r="E4587" s="27"/>
      <c r="F4587" s="27"/>
      <c r="G4587" s="27"/>
    </row>
    <row r="4588" ht="24.75" customHeight="1">
      <c r="A4588" s="28" t="s">
        <v>2041</v>
      </c>
      <c r="B4588" s="28" t="s">
        <v>10</v>
      </c>
      <c r="C4588" s="29"/>
      <c r="D4588" s="28" t="s">
        <v>2042</v>
      </c>
      <c r="E4588" s="29"/>
      <c r="F4588" s="29"/>
      <c r="G4588" s="29"/>
    </row>
    <row r="4589" ht="39.75" customHeight="1">
      <c r="A4589" s="13" t="s">
        <v>2043</v>
      </c>
      <c r="B4589" s="10" t="s">
        <v>18</v>
      </c>
      <c r="C4589" s="10" t="s">
        <v>19</v>
      </c>
      <c r="D4589" s="10" t="s">
        <v>2044</v>
      </c>
      <c r="E4589" s="11"/>
      <c r="F4589" s="12">
        <f>F4601</f>
        <v>92.13</v>
      </c>
      <c r="G4589" s="11"/>
    </row>
    <row r="4590" ht="21.0" customHeight="1">
      <c r="A4590" s="11"/>
      <c r="B4590" s="11"/>
      <c r="C4590" s="11"/>
      <c r="D4590" s="10" t="s">
        <v>2044</v>
      </c>
    </row>
    <row r="4591" ht="21.0" customHeight="1">
      <c r="A4591" s="10" t="s">
        <v>1783</v>
      </c>
      <c r="B4591" s="10" t="s">
        <v>42</v>
      </c>
      <c r="C4591" s="10" t="s">
        <v>344</v>
      </c>
      <c r="D4591" s="10" t="s">
        <v>1784</v>
      </c>
      <c r="E4591" s="14">
        <v>69.3</v>
      </c>
      <c r="F4591" s="15">
        <f>ROUND(0.66,3)</f>
        <v>0.66</v>
      </c>
      <c r="G4591" s="12">
        <f t="shared" ref="G4591:G4599" si="731">ROUND(E4591*F4591,2)</f>
        <v>45.74</v>
      </c>
    </row>
    <row r="4592" ht="57.75" customHeight="1">
      <c r="A4592" s="10" t="s">
        <v>1785</v>
      </c>
      <c r="B4592" s="10" t="s">
        <v>42</v>
      </c>
      <c r="C4592" s="10" t="s">
        <v>584</v>
      </c>
      <c r="D4592" s="10" t="s">
        <v>1786</v>
      </c>
      <c r="E4592" s="14">
        <v>0.05</v>
      </c>
      <c r="F4592" s="15">
        <f>ROUND(123.14,3)</f>
        <v>123.14</v>
      </c>
      <c r="G4592" s="12">
        <f t="shared" si="731"/>
        <v>6.16</v>
      </c>
    </row>
    <row r="4593" ht="39.75" customHeight="1">
      <c r="A4593" s="10" t="s">
        <v>1303</v>
      </c>
      <c r="B4593" s="10" t="s">
        <v>42</v>
      </c>
      <c r="C4593" s="10" t="s">
        <v>184</v>
      </c>
      <c r="D4593" s="10" t="s">
        <v>1304</v>
      </c>
      <c r="E4593" s="14">
        <v>1.0</v>
      </c>
      <c r="F4593" s="15">
        <f>ROUND(24.84,3)</f>
        <v>24.84</v>
      </c>
      <c r="G4593" s="12">
        <f t="shared" si="731"/>
        <v>24.84</v>
      </c>
    </row>
    <row r="4594" ht="30.0" customHeight="1">
      <c r="A4594" s="10" t="s">
        <v>1787</v>
      </c>
      <c r="B4594" s="10" t="s">
        <v>42</v>
      </c>
      <c r="C4594" s="10" t="s">
        <v>226</v>
      </c>
      <c r="D4594" s="10" t="s">
        <v>1788</v>
      </c>
      <c r="E4594" s="14">
        <v>0.022</v>
      </c>
      <c r="F4594" s="15">
        <f>ROUND(30.51,3)</f>
        <v>30.51</v>
      </c>
      <c r="G4594" s="12">
        <f t="shared" si="731"/>
        <v>0.67</v>
      </c>
    </row>
    <row r="4595" ht="21.0" customHeight="1">
      <c r="A4595" s="10" t="s">
        <v>22</v>
      </c>
      <c r="B4595" s="10" t="s">
        <v>18</v>
      </c>
      <c r="C4595" s="10" t="s">
        <v>23</v>
      </c>
      <c r="D4595" s="10" t="s">
        <v>24</v>
      </c>
      <c r="E4595" s="14">
        <v>0.32</v>
      </c>
      <c r="F4595" s="15">
        <f>F4599</f>
        <v>43.8</v>
      </c>
      <c r="G4595" s="12">
        <f t="shared" si="731"/>
        <v>14.02</v>
      </c>
    </row>
    <row r="4596" ht="24.0" customHeight="1">
      <c r="A4596" s="10" t="s">
        <v>25</v>
      </c>
      <c r="B4596" s="10" t="s">
        <v>26</v>
      </c>
      <c r="C4596" s="10" t="s">
        <v>23</v>
      </c>
      <c r="D4596" s="10" t="s">
        <v>27</v>
      </c>
      <c r="E4596" s="14">
        <v>1.0</v>
      </c>
      <c r="F4596" s="15">
        <f>ROUND(21,3)</f>
        <v>21</v>
      </c>
      <c r="G4596" s="12">
        <f t="shared" si="731"/>
        <v>21</v>
      </c>
    </row>
    <row r="4597" ht="24.0" customHeight="1">
      <c r="A4597" s="10" t="s">
        <v>28</v>
      </c>
      <c r="B4597" s="10" t="s">
        <v>26</v>
      </c>
      <c r="C4597" s="10" t="s">
        <v>23</v>
      </c>
      <c r="D4597" s="10" t="s">
        <v>29</v>
      </c>
      <c r="E4597" s="14">
        <v>1.0</v>
      </c>
      <c r="F4597" s="15">
        <f t="shared" ref="F4597:F4598" si="732">ROUND(19,3)</f>
        <v>19</v>
      </c>
      <c r="G4597" s="12">
        <f t="shared" si="731"/>
        <v>19</v>
      </c>
    </row>
    <row r="4598" ht="24.0" customHeight="1">
      <c r="A4598" s="10" t="s">
        <v>30</v>
      </c>
      <c r="B4598" s="10" t="s">
        <v>26</v>
      </c>
      <c r="C4598" s="10" t="s">
        <v>23</v>
      </c>
      <c r="D4598" s="10" t="s">
        <v>31</v>
      </c>
      <c r="E4598" s="14">
        <v>0.2</v>
      </c>
      <c r="F4598" s="15">
        <f t="shared" si="732"/>
        <v>19</v>
      </c>
      <c r="G4598" s="12">
        <f t="shared" si="731"/>
        <v>3.8</v>
      </c>
    </row>
    <row r="4599" ht="15.0" customHeight="1">
      <c r="A4599" s="11"/>
      <c r="B4599" s="11"/>
      <c r="C4599" s="11"/>
      <c r="D4599" s="10" t="s">
        <v>22</v>
      </c>
      <c r="E4599" s="14">
        <v>0.32</v>
      </c>
      <c r="F4599" s="15">
        <f>ROUND((G4596+G4597+G4598),3)</f>
        <v>43.8</v>
      </c>
      <c r="G4599" s="12">
        <f t="shared" si="731"/>
        <v>14.02</v>
      </c>
    </row>
    <row r="4600" ht="15.0" customHeight="1">
      <c r="A4600" s="10" t="s">
        <v>32</v>
      </c>
      <c r="B4600" s="10"/>
      <c r="C4600" s="10" t="s">
        <v>33</v>
      </c>
      <c r="D4600" s="10" t="s">
        <v>34</v>
      </c>
      <c r="E4600" s="14">
        <v>5.0</v>
      </c>
      <c r="F4600" s="15">
        <f>ROUND(14.02,3)</f>
        <v>14.02</v>
      </c>
      <c r="G4600" s="12">
        <f>ROUND((E4600*F4600)/100,2)</f>
        <v>0.7</v>
      </c>
    </row>
    <row r="4601" ht="24.75" customHeight="1">
      <c r="A4601" s="16"/>
      <c r="B4601" s="16"/>
      <c r="C4601" s="16"/>
      <c r="D4601" s="17" t="s">
        <v>2043</v>
      </c>
      <c r="E4601" s="16"/>
      <c r="F4601" s="18">
        <f>ROUND((G4591+G4592+G4593+G4594+G4595+G4600)*(1+G2/100),2)</f>
        <v>92.13</v>
      </c>
      <c r="G4601" s="16"/>
    </row>
    <row r="4602" ht="30.0" customHeight="1">
      <c r="A4602" s="19" t="s">
        <v>1780</v>
      </c>
      <c r="B4602" s="20" t="s">
        <v>18</v>
      </c>
      <c r="C4602" s="20" t="s">
        <v>19</v>
      </c>
      <c r="D4602" s="20" t="s">
        <v>1781</v>
      </c>
      <c r="E4602" s="21"/>
      <c r="F4602" s="22">
        <f>F4614</f>
        <v>96.12</v>
      </c>
      <c r="G4602" s="21"/>
    </row>
    <row r="4603" ht="21.0" customHeight="1">
      <c r="A4603" s="11"/>
      <c r="B4603" s="11"/>
      <c r="C4603" s="11"/>
      <c r="D4603" s="10" t="s">
        <v>1782</v>
      </c>
    </row>
    <row r="4604" ht="21.0" customHeight="1">
      <c r="A4604" s="10" t="s">
        <v>1783</v>
      </c>
      <c r="B4604" s="10" t="s">
        <v>42</v>
      </c>
      <c r="C4604" s="10" t="s">
        <v>344</v>
      </c>
      <c r="D4604" s="10" t="s">
        <v>1784</v>
      </c>
      <c r="E4604" s="14">
        <v>66.89</v>
      </c>
      <c r="F4604" s="15">
        <f>ROUND(0.66,3)</f>
        <v>0.66</v>
      </c>
      <c r="G4604" s="12">
        <f t="shared" ref="G4604:G4612" si="733">ROUND(E4604*F4604,2)</f>
        <v>44.15</v>
      </c>
    </row>
    <row r="4605" ht="57.75" customHeight="1">
      <c r="A4605" s="10" t="s">
        <v>1785</v>
      </c>
      <c r="B4605" s="10" t="s">
        <v>42</v>
      </c>
      <c r="C4605" s="10" t="s">
        <v>584</v>
      </c>
      <c r="D4605" s="10" t="s">
        <v>1786</v>
      </c>
      <c r="E4605" s="14">
        <v>0.05</v>
      </c>
      <c r="F4605" s="15">
        <f>ROUND(123.14,3)</f>
        <v>123.14</v>
      </c>
      <c r="G4605" s="12">
        <f t="shared" si="733"/>
        <v>6.16</v>
      </c>
    </row>
    <row r="4606" ht="39.75" customHeight="1">
      <c r="A4606" s="10" t="s">
        <v>1303</v>
      </c>
      <c r="B4606" s="10" t="s">
        <v>42</v>
      </c>
      <c r="C4606" s="10" t="s">
        <v>184</v>
      </c>
      <c r="D4606" s="10" t="s">
        <v>1304</v>
      </c>
      <c r="E4606" s="14">
        <v>1.0</v>
      </c>
      <c r="F4606" s="15">
        <f>ROUND(24.84,3)</f>
        <v>24.84</v>
      </c>
      <c r="G4606" s="12">
        <f t="shared" si="733"/>
        <v>24.84</v>
      </c>
    </row>
    <row r="4607" ht="30.0" customHeight="1">
      <c r="A4607" s="10" t="s">
        <v>1787</v>
      </c>
      <c r="B4607" s="10" t="s">
        <v>42</v>
      </c>
      <c r="C4607" s="10" t="s">
        <v>226</v>
      </c>
      <c r="D4607" s="10" t="s">
        <v>1788</v>
      </c>
      <c r="E4607" s="14">
        <v>0.022</v>
      </c>
      <c r="F4607" s="15">
        <f>ROUND(30.51,3)</f>
        <v>30.51</v>
      </c>
      <c r="G4607" s="12">
        <f t="shared" si="733"/>
        <v>0.67</v>
      </c>
    </row>
    <row r="4608" ht="21.0" customHeight="1">
      <c r="A4608" s="10" t="s">
        <v>22</v>
      </c>
      <c r="B4608" s="10" t="s">
        <v>18</v>
      </c>
      <c r="C4608" s="10" t="s">
        <v>23</v>
      </c>
      <c r="D4608" s="10" t="s">
        <v>24</v>
      </c>
      <c r="E4608" s="14">
        <v>0.45</v>
      </c>
      <c r="F4608" s="15">
        <f>F4612</f>
        <v>43.8</v>
      </c>
      <c r="G4608" s="12">
        <f t="shared" si="733"/>
        <v>19.71</v>
      </c>
    </row>
    <row r="4609" ht="24.0" customHeight="1">
      <c r="A4609" s="10" t="s">
        <v>25</v>
      </c>
      <c r="B4609" s="10" t="s">
        <v>26</v>
      </c>
      <c r="C4609" s="10" t="s">
        <v>23</v>
      </c>
      <c r="D4609" s="10" t="s">
        <v>27</v>
      </c>
      <c r="E4609" s="14">
        <v>1.0</v>
      </c>
      <c r="F4609" s="15">
        <f>ROUND(21,3)</f>
        <v>21</v>
      </c>
      <c r="G4609" s="12">
        <f t="shared" si="733"/>
        <v>21</v>
      </c>
    </row>
    <row r="4610" ht="24.0" customHeight="1">
      <c r="A4610" s="10" t="s">
        <v>28</v>
      </c>
      <c r="B4610" s="10" t="s">
        <v>26</v>
      </c>
      <c r="C4610" s="10" t="s">
        <v>23</v>
      </c>
      <c r="D4610" s="10" t="s">
        <v>29</v>
      </c>
      <c r="E4610" s="14">
        <v>1.0</v>
      </c>
      <c r="F4610" s="15">
        <f t="shared" ref="F4610:F4611" si="734">ROUND(19,3)</f>
        <v>19</v>
      </c>
      <c r="G4610" s="12">
        <f t="shared" si="733"/>
        <v>19</v>
      </c>
    </row>
    <row r="4611" ht="24.0" customHeight="1">
      <c r="A4611" s="10" t="s">
        <v>30</v>
      </c>
      <c r="B4611" s="10" t="s">
        <v>26</v>
      </c>
      <c r="C4611" s="10" t="s">
        <v>23</v>
      </c>
      <c r="D4611" s="10" t="s">
        <v>31</v>
      </c>
      <c r="E4611" s="14">
        <v>0.2</v>
      </c>
      <c r="F4611" s="15">
        <f t="shared" si="734"/>
        <v>19</v>
      </c>
      <c r="G4611" s="12">
        <f t="shared" si="733"/>
        <v>3.8</v>
      </c>
    </row>
    <row r="4612" ht="15.0" customHeight="1">
      <c r="A4612" s="11"/>
      <c r="B4612" s="11"/>
      <c r="C4612" s="11"/>
      <c r="D4612" s="10" t="s">
        <v>22</v>
      </c>
      <c r="E4612" s="14">
        <v>0.45</v>
      </c>
      <c r="F4612" s="15">
        <f>ROUND((G4609+G4610+G4611),3)</f>
        <v>43.8</v>
      </c>
      <c r="G4612" s="12">
        <f t="shared" si="733"/>
        <v>19.71</v>
      </c>
    </row>
    <row r="4613" ht="15.0" customHeight="1">
      <c r="A4613" s="10" t="s">
        <v>32</v>
      </c>
      <c r="B4613" s="10"/>
      <c r="C4613" s="10" t="s">
        <v>33</v>
      </c>
      <c r="D4613" s="10" t="s">
        <v>34</v>
      </c>
      <c r="E4613" s="14">
        <v>3.0</v>
      </c>
      <c r="F4613" s="15">
        <f>ROUND(19.71,3)</f>
        <v>19.71</v>
      </c>
      <c r="G4613" s="12">
        <f>ROUND((E4613*F4613)/100,2)</f>
        <v>0.59</v>
      </c>
    </row>
    <row r="4614" ht="15.0" customHeight="1">
      <c r="A4614" s="16"/>
      <c r="B4614" s="16"/>
      <c r="C4614" s="16"/>
      <c r="D4614" s="17" t="s">
        <v>1780</v>
      </c>
      <c r="E4614" s="16"/>
      <c r="F4614" s="18">
        <f>ROUND((G4604+G4605+G4606+G4607+G4608+G4613)*(1+G2/100),2)</f>
        <v>96.12</v>
      </c>
      <c r="G4614" s="16"/>
    </row>
    <row r="4615" ht="15.0" customHeight="1">
      <c r="A4615" s="23"/>
      <c r="B4615" s="23"/>
      <c r="C4615" s="23"/>
      <c r="D4615" s="30" t="s">
        <v>2041</v>
      </c>
      <c r="E4615" s="31"/>
      <c r="F4615" s="31"/>
      <c r="G4615" s="31"/>
    </row>
    <row r="4616" ht="24.75" customHeight="1">
      <c r="A4616" s="50" t="s">
        <v>2045</v>
      </c>
      <c r="B4616" s="50" t="s">
        <v>10</v>
      </c>
      <c r="C4616" s="51"/>
      <c r="D4616" s="50" t="s">
        <v>2046</v>
      </c>
      <c r="E4616" s="51"/>
      <c r="F4616" s="51"/>
      <c r="G4616" s="51"/>
    </row>
    <row r="4617" ht="48.75" customHeight="1">
      <c r="A4617" s="13" t="s">
        <v>2047</v>
      </c>
      <c r="B4617" s="10" t="s">
        <v>18</v>
      </c>
      <c r="C4617" s="10" t="s">
        <v>19</v>
      </c>
      <c r="D4617" s="10" t="s">
        <v>2048</v>
      </c>
      <c r="E4617" s="11"/>
      <c r="F4617" s="12">
        <f>F4629</f>
        <v>71.73</v>
      </c>
      <c r="G4617" s="11"/>
    </row>
    <row r="4618" ht="21.0" customHeight="1">
      <c r="A4618" s="11"/>
      <c r="B4618" s="11"/>
      <c r="C4618" s="11"/>
      <c r="D4618" s="10" t="s">
        <v>2048</v>
      </c>
    </row>
    <row r="4619" ht="30.0" customHeight="1">
      <c r="A4619" s="10" t="s">
        <v>1938</v>
      </c>
      <c r="B4619" s="10" t="s">
        <v>42</v>
      </c>
      <c r="C4619" s="10" t="s">
        <v>1939</v>
      </c>
      <c r="D4619" s="10" t="s">
        <v>1940</v>
      </c>
      <c r="E4619" s="14">
        <v>0.06667</v>
      </c>
      <c r="F4619" s="15">
        <f>ROUND(29.17,3)</f>
        <v>29.17</v>
      </c>
      <c r="G4619" s="12">
        <f t="shared" ref="G4619:G4627" si="735">ROUND(E4619*F4619,2)</f>
        <v>1.94</v>
      </c>
    </row>
    <row r="4620" ht="48.75" customHeight="1">
      <c r="A4620" s="10" t="s">
        <v>2049</v>
      </c>
      <c r="B4620" s="10" t="s">
        <v>42</v>
      </c>
      <c r="C4620" s="10" t="s">
        <v>184</v>
      </c>
      <c r="D4620" s="10" t="s">
        <v>2050</v>
      </c>
      <c r="E4620" s="14">
        <v>0.231</v>
      </c>
      <c r="F4620" s="15">
        <f>ROUND(33.2,3)</f>
        <v>33.2</v>
      </c>
      <c r="G4620" s="12">
        <f t="shared" si="735"/>
        <v>7.67</v>
      </c>
    </row>
    <row r="4621" ht="39.75" customHeight="1">
      <c r="A4621" s="10" t="s">
        <v>2051</v>
      </c>
      <c r="B4621" s="10" t="s">
        <v>42</v>
      </c>
      <c r="C4621" s="10" t="s">
        <v>19</v>
      </c>
      <c r="D4621" s="10" t="s">
        <v>2052</v>
      </c>
      <c r="E4621" s="14">
        <v>1.1</v>
      </c>
      <c r="F4621" s="15">
        <f>ROUND(40.95,3)</f>
        <v>40.95</v>
      </c>
      <c r="G4621" s="12">
        <f t="shared" si="735"/>
        <v>45.05</v>
      </c>
    </row>
    <row r="4622" ht="30.0" customHeight="1">
      <c r="A4622" s="10" t="s">
        <v>2053</v>
      </c>
      <c r="B4622" s="10" t="s">
        <v>42</v>
      </c>
      <c r="C4622" s="10" t="s">
        <v>184</v>
      </c>
      <c r="D4622" s="10" t="s">
        <v>2054</v>
      </c>
      <c r="E4622" s="14">
        <v>0.2</v>
      </c>
      <c r="F4622" s="15">
        <f>ROUND(11.74,3)</f>
        <v>11.74</v>
      </c>
      <c r="G4622" s="12">
        <f t="shared" si="735"/>
        <v>2.35</v>
      </c>
    </row>
    <row r="4623" ht="21.0" customHeight="1">
      <c r="A4623" s="10" t="s">
        <v>22</v>
      </c>
      <c r="B4623" s="10" t="s">
        <v>18</v>
      </c>
      <c r="C4623" s="10" t="s">
        <v>23</v>
      </c>
      <c r="D4623" s="10" t="s">
        <v>24</v>
      </c>
      <c r="E4623" s="14">
        <v>0.32</v>
      </c>
      <c r="F4623" s="15">
        <f>F4627</f>
        <v>43.8</v>
      </c>
      <c r="G4623" s="12">
        <f t="shared" si="735"/>
        <v>14.02</v>
      </c>
    </row>
    <row r="4624" ht="24.0" customHeight="1">
      <c r="A4624" s="10" t="s">
        <v>25</v>
      </c>
      <c r="B4624" s="10" t="s">
        <v>26</v>
      </c>
      <c r="C4624" s="10" t="s">
        <v>23</v>
      </c>
      <c r="D4624" s="10" t="s">
        <v>27</v>
      </c>
      <c r="E4624" s="14">
        <v>1.0</v>
      </c>
      <c r="F4624" s="15">
        <f>ROUND(21,3)</f>
        <v>21</v>
      </c>
      <c r="G4624" s="12">
        <f t="shared" si="735"/>
        <v>21</v>
      </c>
    </row>
    <row r="4625" ht="24.0" customHeight="1">
      <c r="A4625" s="10" t="s">
        <v>28</v>
      </c>
      <c r="B4625" s="10" t="s">
        <v>26</v>
      </c>
      <c r="C4625" s="10" t="s">
        <v>23</v>
      </c>
      <c r="D4625" s="10" t="s">
        <v>29</v>
      </c>
      <c r="E4625" s="14">
        <v>1.0</v>
      </c>
      <c r="F4625" s="15">
        <f t="shared" ref="F4625:F4626" si="736">ROUND(19,3)</f>
        <v>19</v>
      </c>
      <c r="G4625" s="12">
        <f t="shared" si="735"/>
        <v>19</v>
      </c>
    </row>
    <row r="4626" ht="24.0" customHeight="1">
      <c r="A4626" s="10" t="s">
        <v>30</v>
      </c>
      <c r="B4626" s="10" t="s">
        <v>26</v>
      </c>
      <c r="C4626" s="10" t="s">
        <v>23</v>
      </c>
      <c r="D4626" s="10" t="s">
        <v>31</v>
      </c>
      <c r="E4626" s="14">
        <v>0.2</v>
      </c>
      <c r="F4626" s="15">
        <f t="shared" si="736"/>
        <v>19</v>
      </c>
      <c r="G4626" s="12">
        <f t="shared" si="735"/>
        <v>3.8</v>
      </c>
    </row>
    <row r="4627" ht="15.0" customHeight="1">
      <c r="A4627" s="11"/>
      <c r="B4627" s="11"/>
      <c r="C4627" s="11"/>
      <c r="D4627" s="10" t="s">
        <v>22</v>
      </c>
      <c r="E4627" s="14">
        <v>0.32</v>
      </c>
      <c r="F4627" s="15">
        <f>ROUND((G4624+G4625+G4626),3)</f>
        <v>43.8</v>
      </c>
      <c r="G4627" s="12">
        <f t="shared" si="735"/>
        <v>14.02</v>
      </c>
    </row>
    <row r="4628" ht="15.0" customHeight="1">
      <c r="A4628" s="10" t="s">
        <v>32</v>
      </c>
      <c r="B4628" s="10"/>
      <c r="C4628" s="10" t="s">
        <v>33</v>
      </c>
      <c r="D4628" s="10" t="s">
        <v>34</v>
      </c>
      <c r="E4628" s="14">
        <v>5.0</v>
      </c>
      <c r="F4628" s="15">
        <f>ROUND(14.02,3)</f>
        <v>14.02</v>
      </c>
      <c r="G4628" s="12">
        <f>ROUND((E4628*F4628)/100,2)</f>
        <v>0.7</v>
      </c>
    </row>
    <row r="4629" ht="15.0" customHeight="1">
      <c r="A4629" s="16"/>
      <c r="B4629" s="16"/>
      <c r="C4629" s="16"/>
      <c r="D4629" s="17" t="s">
        <v>2047</v>
      </c>
      <c r="E4629" s="16"/>
      <c r="F4629" s="18">
        <f>ROUND((G4619+G4620+G4621+G4622+G4623+G4628)*(1+G2/100),2)</f>
        <v>71.73</v>
      </c>
      <c r="G4629" s="16"/>
    </row>
    <row r="4630" ht="48.75" customHeight="1">
      <c r="A4630" s="19" t="s">
        <v>2055</v>
      </c>
      <c r="B4630" s="20" t="s">
        <v>18</v>
      </c>
      <c r="C4630" s="20" t="s">
        <v>19</v>
      </c>
      <c r="D4630" s="20" t="s">
        <v>2056</v>
      </c>
      <c r="E4630" s="21"/>
      <c r="F4630" s="22">
        <f>F4642</f>
        <v>67.36</v>
      </c>
      <c r="G4630" s="21"/>
    </row>
    <row r="4631" ht="21.0" customHeight="1">
      <c r="A4631" s="11"/>
      <c r="B4631" s="11"/>
      <c r="C4631" s="11"/>
      <c r="D4631" s="10" t="s">
        <v>2056</v>
      </c>
    </row>
    <row r="4632" ht="30.0" customHeight="1">
      <c r="A4632" s="10" t="s">
        <v>1938</v>
      </c>
      <c r="B4632" s="10" t="s">
        <v>42</v>
      </c>
      <c r="C4632" s="10" t="s">
        <v>1939</v>
      </c>
      <c r="D4632" s="10" t="s">
        <v>1940</v>
      </c>
      <c r="E4632" s="14">
        <v>0.06667</v>
      </c>
      <c r="F4632" s="15">
        <f>ROUND(29.17,3)</f>
        <v>29.17</v>
      </c>
      <c r="G4632" s="12">
        <f t="shared" ref="G4632:G4640" si="737">ROUND(E4632*F4632,2)</f>
        <v>1.94</v>
      </c>
    </row>
    <row r="4633" ht="48.75" customHeight="1">
      <c r="A4633" s="10" t="s">
        <v>2049</v>
      </c>
      <c r="B4633" s="10" t="s">
        <v>42</v>
      </c>
      <c r="C4633" s="10" t="s">
        <v>184</v>
      </c>
      <c r="D4633" s="10" t="s">
        <v>2050</v>
      </c>
      <c r="E4633" s="14">
        <v>0.231</v>
      </c>
      <c r="F4633" s="15">
        <f>ROUND(33.2,3)</f>
        <v>33.2</v>
      </c>
      <c r="G4633" s="12">
        <f t="shared" si="737"/>
        <v>7.67</v>
      </c>
    </row>
    <row r="4634" ht="48.75" customHeight="1">
      <c r="A4634" s="10" t="s">
        <v>2057</v>
      </c>
      <c r="B4634" s="10" t="s">
        <v>42</v>
      </c>
      <c r="C4634" s="10" t="s">
        <v>19</v>
      </c>
      <c r="D4634" s="10" t="s">
        <v>2058</v>
      </c>
      <c r="E4634" s="14">
        <v>1.1</v>
      </c>
      <c r="F4634" s="15">
        <f>ROUND(36.98,3)</f>
        <v>36.98</v>
      </c>
      <c r="G4634" s="12">
        <f t="shared" si="737"/>
        <v>40.68</v>
      </c>
    </row>
    <row r="4635" ht="30.0" customHeight="1">
      <c r="A4635" s="10" t="s">
        <v>2053</v>
      </c>
      <c r="B4635" s="10" t="s">
        <v>42</v>
      </c>
      <c r="C4635" s="10" t="s">
        <v>184</v>
      </c>
      <c r="D4635" s="10" t="s">
        <v>2054</v>
      </c>
      <c r="E4635" s="14">
        <v>0.2</v>
      </c>
      <c r="F4635" s="15">
        <f>ROUND(11.74,3)</f>
        <v>11.74</v>
      </c>
      <c r="G4635" s="12">
        <f t="shared" si="737"/>
        <v>2.35</v>
      </c>
    </row>
    <row r="4636" ht="21.0" customHeight="1">
      <c r="A4636" s="10" t="s">
        <v>22</v>
      </c>
      <c r="B4636" s="10" t="s">
        <v>18</v>
      </c>
      <c r="C4636" s="10" t="s">
        <v>23</v>
      </c>
      <c r="D4636" s="10" t="s">
        <v>24</v>
      </c>
      <c r="E4636" s="14">
        <v>0.32</v>
      </c>
      <c r="F4636" s="15">
        <f>F4640</f>
        <v>43.8</v>
      </c>
      <c r="G4636" s="12">
        <f t="shared" si="737"/>
        <v>14.02</v>
      </c>
    </row>
    <row r="4637" ht="24.0" customHeight="1">
      <c r="A4637" s="10" t="s">
        <v>25</v>
      </c>
      <c r="B4637" s="10" t="s">
        <v>26</v>
      </c>
      <c r="C4637" s="10" t="s">
        <v>23</v>
      </c>
      <c r="D4637" s="10" t="s">
        <v>27</v>
      </c>
      <c r="E4637" s="14">
        <v>1.0</v>
      </c>
      <c r="F4637" s="15">
        <f>ROUND(21,3)</f>
        <v>21</v>
      </c>
      <c r="G4637" s="12">
        <f t="shared" si="737"/>
        <v>21</v>
      </c>
    </row>
    <row r="4638" ht="24.0" customHeight="1">
      <c r="A4638" s="10" t="s">
        <v>28</v>
      </c>
      <c r="B4638" s="10" t="s">
        <v>26</v>
      </c>
      <c r="C4638" s="10" t="s">
        <v>23</v>
      </c>
      <c r="D4638" s="10" t="s">
        <v>29</v>
      </c>
      <c r="E4638" s="14">
        <v>1.0</v>
      </c>
      <c r="F4638" s="15">
        <f t="shared" ref="F4638:F4639" si="738">ROUND(19,3)</f>
        <v>19</v>
      </c>
      <c r="G4638" s="12">
        <f t="shared" si="737"/>
        <v>19</v>
      </c>
    </row>
    <row r="4639" ht="24.0" customHeight="1">
      <c r="A4639" s="10" t="s">
        <v>30</v>
      </c>
      <c r="B4639" s="10" t="s">
        <v>26</v>
      </c>
      <c r="C4639" s="10" t="s">
        <v>23</v>
      </c>
      <c r="D4639" s="10" t="s">
        <v>31</v>
      </c>
      <c r="E4639" s="14">
        <v>0.2</v>
      </c>
      <c r="F4639" s="15">
        <f t="shared" si="738"/>
        <v>19</v>
      </c>
      <c r="G4639" s="12">
        <f t="shared" si="737"/>
        <v>3.8</v>
      </c>
    </row>
    <row r="4640" ht="15.0" customHeight="1">
      <c r="A4640" s="11"/>
      <c r="B4640" s="11"/>
      <c r="C4640" s="11"/>
      <c r="D4640" s="10" t="s">
        <v>22</v>
      </c>
      <c r="E4640" s="14">
        <v>0.32</v>
      </c>
      <c r="F4640" s="15">
        <f>ROUND((G4637+G4638+G4639),3)</f>
        <v>43.8</v>
      </c>
      <c r="G4640" s="12">
        <f t="shared" si="737"/>
        <v>14.02</v>
      </c>
    </row>
    <row r="4641" ht="15.0" customHeight="1">
      <c r="A4641" s="10" t="s">
        <v>32</v>
      </c>
      <c r="B4641" s="10"/>
      <c r="C4641" s="10" t="s">
        <v>33</v>
      </c>
      <c r="D4641" s="10" t="s">
        <v>34</v>
      </c>
      <c r="E4641" s="14">
        <v>5.0</v>
      </c>
      <c r="F4641" s="15">
        <f>ROUND(14.02,3)</f>
        <v>14.02</v>
      </c>
      <c r="G4641" s="12">
        <f>ROUND((E4641*F4641)/100,2)</f>
        <v>0.7</v>
      </c>
    </row>
    <row r="4642" ht="15.0" customHeight="1">
      <c r="A4642" s="16"/>
      <c r="B4642" s="16"/>
      <c r="C4642" s="16"/>
      <c r="D4642" s="17" t="s">
        <v>2055</v>
      </c>
      <c r="E4642" s="16"/>
      <c r="F4642" s="18">
        <f>ROUND((G4632+G4633+G4634+G4635+G4636+G4641)*(1+G2/100),2)</f>
        <v>67.36</v>
      </c>
      <c r="G4642" s="16"/>
    </row>
    <row r="4643" ht="57.75" customHeight="1">
      <c r="A4643" s="19" t="s">
        <v>2059</v>
      </c>
      <c r="B4643" s="20" t="s">
        <v>18</v>
      </c>
      <c r="C4643" s="20" t="s">
        <v>19</v>
      </c>
      <c r="D4643" s="20" t="s">
        <v>2060</v>
      </c>
      <c r="E4643" s="21"/>
      <c r="F4643" s="22">
        <f>F4655</f>
        <v>77.71</v>
      </c>
      <c r="G4643" s="21"/>
    </row>
    <row r="4644" ht="21.0" customHeight="1">
      <c r="A4644" s="11"/>
      <c r="B4644" s="11"/>
      <c r="C4644" s="11"/>
      <c r="D4644" s="10" t="s">
        <v>2060</v>
      </c>
    </row>
    <row r="4645" ht="30.0" customHeight="1">
      <c r="A4645" s="10" t="s">
        <v>1938</v>
      </c>
      <c r="B4645" s="10" t="s">
        <v>42</v>
      </c>
      <c r="C4645" s="10" t="s">
        <v>1939</v>
      </c>
      <c r="D4645" s="10" t="s">
        <v>1940</v>
      </c>
      <c r="E4645" s="14">
        <v>0.06667</v>
      </c>
      <c r="F4645" s="15">
        <f>ROUND(29.17,3)</f>
        <v>29.17</v>
      </c>
      <c r="G4645" s="12">
        <f t="shared" ref="G4645:G4653" si="739">ROUND(E4645*F4645,2)</f>
        <v>1.94</v>
      </c>
    </row>
    <row r="4646" ht="48.75" customHeight="1">
      <c r="A4646" s="10" t="s">
        <v>2049</v>
      </c>
      <c r="B4646" s="10" t="s">
        <v>42</v>
      </c>
      <c r="C4646" s="10" t="s">
        <v>184</v>
      </c>
      <c r="D4646" s="10" t="s">
        <v>2050</v>
      </c>
      <c r="E4646" s="14">
        <v>0.231</v>
      </c>
      <c r="F4646" s="15">
        <f>ROUND(33.2,3)</f>
        <v>33.2</v>
      </c>
      <c r="G4646" s="12">
        <f t="shared" si="739"/>
        <v>7.67</v>
      </c>
    </row>
    <row r="4647" ht="39.75" customHeight="1">
      <c r="A4647" s="10" t="s">
        <v>2051</v>
      </c>
      <c r="B4647" s="10" t="s">
        <v>42</v>
      </c>
      <c r="C4647" s="10" t="s">
        <v>19</v>
      </c>
      <c r="D4647" s="10" t="s">
        <v>2052</v>
      </c>
      <c r="E4647" s="14">
        <v>1.1</v>
      </c>
      <c r="F4647" s="15">
        <f>ROUND(40.95,3)</f>
        <v>40.95</v>
      </c>
      <c r="G4647" s="12">
        <f t="shared" si="739"/>
        <v>45.05</v>
      </c>
    </row>
    <row r="4648" ht="30.0" customHeight="1">
      <c r="A4648" s="10" t="s">
        <v>2053</v>
      </c>
      <c r="B4648" s="10" t="s">
        <v>42</v>
      </c>
      <c r="C4648" s="10" t="s">
        <v>184</v>
      </c>
      <c r="D4648" s="10" t="s">
        <v>2054</v>
      </c>
      <c r="E4648" s="14">
        <v>0.2</v>
      </c>
      <c r="F4648" s="15">
        <f>ROUND(11.74,3)</f>
        <v>11.74</v>
      </c>
      <c r="G4648" s="12">
        <f t="shared" si="739"/>
        <v>2.35</v>
      </c>
    </row>
    <row r="4649" ht="21.0" customHeight="1">
      <c r="A4649" s="10" t="s">
        <v>22</v>
      </c>
      <c r="B4649" s="10" t="s">
        <v>18</v>
      </c>
      <c r="C4649" s="10" t="s">
        <v>23</v>
      </c>
      <c r="D4649" s="10" t="s">
        <v>24</v>
      </c>
      <c r="E4649" s="14">
        <v>0.45</v>
      </c>
      <c r="F4649" s="15">
        <f>F4653</f>
        <v>43.8</v>
      </c>
      <c r="G4649" s="12">
        <f t="shared" si="739"/>
        <v>19.71</v>
      </c>
    </row>
    <row r="4650" ht="24.0" customHeight="1">
      <c r="A4650" s="10" t="s">
        <v>25</v>
      </c>
      <c r="B4650" s="10" t="s">
        <v>26</v>
      </c>
      <c r="C4650" s="10" t="s">
        <v>23</v>
      </c>
      <c r="D4650" s="10" t="s">
        <v>27</v>
      </c>
      <c r="E4650" s="14">
        <v>1.0</v>
      </c>
      <c r="F4650" s="15">
        <f>ROUND(21,3)</f>
        <v>21</v>
      </c>
      <c r="G4650" s="12">
        <f t="shared" si="739"/>
        <v>21</v>
      </c>
    </row>
    <row r="4651" ht="24.0" customHeight="1">
      <c r="A4651" s="10" t="s">
        <v>28</v>
      </c>
      <c r="B4651" s="10" t="s">
        <v>26</v>
      </c>
      <c r="C4651" s="10" t="s">
        <v>23</v>
      </c>
      <c r="D4651" s="10" t="s">
        <v>29</v>
      </c>
      <c r="E4651" s="14">
        <v>1.0</v>
      </c>
      <c r="F4651" s="15">
        <f t="shared" ref="F4651:F4652" si="740">ROUND(19,3)</f>
        <v>19</v>
      </c>
      <c r="G4651" s="12">
        <f t="shared" si="739"/>
        <v>19</v>
      </c>
    </row>
    <row r="4652" ht="24.0" customHeight="1">
      <c r="A4652" s="10" t="s">
        <v>30</v>
      </c>
      <c r="B4652" s="10" t="s">
        <v>26</v>
      </c>
      <c r="C4652" s="10" t="s">
        <v>23</v>
      </c>
      <c r="D4652" s="10" t="s">
        <v>31</v>
      </c>
      <c r="E4652" s="14">
        <v>0.2</v>
      </c>
      <c r="F4652" s="15">
        <f t="shared" si="740"/>
        <v>19</v>
      </c>
      <c r="G4652" s="12">
        <f t="shared" si="739"/>
        <v>3.8</v>
      </c>
    </row>
    <row r="4653" ht="15.0" customHeight="1">
      <c r="A4653" s="11"/>
      <c r="B4653" s="11"/>
      <c r="C4653" s="11"/>
      <c r="D4653" s="10" t="s">
        <v>22</v>
      </c>
      <c r="E4653" s="14">
        <v>0.45</v>
      </c>
      <c r="F4653" s="15">
        <f>ROUND((G4650+G4651+G4652),3)</f>
        <v>43.8</v>
      </c>
      <c r="G4653" s="12">
        <f t="shared" si="739"/>
        <v>19.71</v>
      </c>
    </row>
    <row r="4654" ht="15.0" customHeight="1">
      <c r="A4654" s="10" t="s">
        <v>32</v>
      </c>
      <c r="B4654" s="10"/>
      <c r="C4654" s="10" t="s">
        <v>33</v>
      </c>
      <c r="D4654" s="10" t="s">
        <v>34</v>
      </c>
      <c r="E4654" s="14">
        <v>5.0</v>
      </c>
      <c r="F4654" s="15">
        <f>ROUND(19.71,3)</f>
        <v>19.71</v>
      </c>
      <c r="G4654" s="12">
        <f>ROUND((E4654*F4654)/100,2)</f>
        <v>0.99</v>
      </c>
    </row>
    <row r="4655" ht="15.0" customHeight="1">
      <c r="A4655" s="16"/>
      <c r="B4655" s="16"/>
      <c r="C4655" s="16"/>
      <c r="D4655" s="17" t="s">
        <v>2059</v>
      </c>
      <c r="E4655" s="16"/>
      <c r="F4655" s="18">
        <f>ROUND((G4645+G4646+G4647+G4648+G4649+G4654)*(1+G2/100),2)</f>
        <v>77.71</v>
      </c>
      <c r="G4655" s="16"/>
    </row>
    <row r="4656" ht="48.75" customHeight="1">
      <c r="A4656" s="19" t="s">
        <v>2061</v>
      </c>
      <c r="B4656" s="20" t="s">
        <v>18</v>
      </c>
      <c r="C4656" s="20" t="s">
        <v>19</v>
      </c>
      <c r="D4656" s="20" t="s">
        <v>2062</v>
      </c>
      <c r="E4656" s="21"/>
      <c r="F4656" s="22">
        <f>F4668</f>
        <v>73.34</v>
      </c>
      <c r="G4656" s="21"/>
    </row>
    <row r="4657" ht="21.0" customHeight="1">
      <c r="A4657" s="11"/>
      <c r="B4657" s="11"/>
      <c r="C4657" s="11"/>
      <c r="D4657" s="10" t="s">
        <v>2062</v>
      </c>
    </row>
    <row r="4658" ht="30.0" customHeight="1">
      <c r="A4658" s="10" t="s">
        <v>1938</v>
      </c>
      <c r="B4658" s="10" t="s">
        <v>42</v>
      </c>
      <c r="C4658" s="10" t="s">
        <v>1939</v>
      </c>
      <c r="D4658" s="10" t="s">
        <v>1940</v>
      </c>
      <c r="E4658" s="14">
        <v>0.06667</v>
      </c>
      <c r="F4658" s="15">
        <f>ROUND(29.17,3)</f>
        <v>29.17</v>
      </c>
      <c r="G4658" s="12">
        <f t="shared" ref="G4658:G4666" si="741">ROUND(E4658*F4658,2)</f>
        <v>1.94</v>
      </c>
    </row>
    <row r="4659" ht="48.75" customHeight="1">
      <c r="A4659" s="10" t="s">
        <v>2049</v>
      </c>
      <c r="B4659" s="10" t="s">
        <v>42</v>
      </c>
      <c r="C4659" s="10" t="s">
        <v>184</v>
      </c>
      <c r="D4659" s="10" t="s">
        <v>2050</v>
      </c>
      <c r="E4659" s="14">
        <v>0.231</v>
      </c>
      <c r="F4659" s="15">
        <f>ROUND(33.2,3)</f>
        <v>33.2</v>
      </c>
      <c r="G4659" s="12">
        <f t="shared" si="741"/>
        <v>7.67</v>
      </c>
    </row>
    <row r="4660" ht="48.75" customHeight="1">
      <c r="A4660" s="10" t="s">
        <v>2057</v>
      </c>
      <c r="B4660" s="10" t="s">
        <v>42</v>
      </c>
      <c r="C4660" s="10" t="s">
        <v>19</v>
      </c>
      <c r="D4660" s="10" t="s">
        <v>2058</v>
      </c>
      <c r="E4660" s="14">
        <v>1.1</v>
      </c>
      <c r="F4660" s="15">
        <f>ROUND(36.98,3)</f>
        <v>36.98</v>
      </c>
      <c r="G4660" s="12">
        <f t="shared" si="741"/>
        <v>40.68</v>
      </c>
    </row>
    <row r="4661" ht="30.0" customHeight="1">
      <c r="A4661" s="10" t="s">
        <v>2053</v>
      </c>
      <c r="B4661" s="10" t="s">
        <v>42</v>
      </c>
      <c r="C4661" s="10" t="s">
        <v>184</v>
      </c>
      <c r="D4661" s="10" t="s">
        <v>2054</v>
      </c>
      <c r="E4661" s="14">
        <v>0.2</v>
      </c>
      <c r="F4661" s="15">
        <f>ROUND(11.74,3)</f>
        <v>11.74</v>
      </c>
      <c r="G4661" s="12">
        <f t="shared" si="741"/>
        <v>2.35</v>
      </c>
    </row>
    <row r="4662" ht="21.0" customHeight="1">
      <c r="A4662" s="10" t="s">
        <v>22</v>
      </c>
      <c r="B4662" s="10" t="s">
        <v>18</v>
      </c>
      <c r="C4662" s="10" t="s">
        <v>23</v>
      </c>
      <c r="D4662" s="10" t="s">
        <v>24</v>
      </c>
      <c r="E4662" s="14">
        <v>0.45</v>
      </c>
      <c r="F4662" s="15">
        <f>F4666</f>
        <v>43.8</v>
      </c>
      <c r="G4662" s="12">
        <f t="shared" si="741"/>
        <v>19.71</v>
      </c>
    </row>
    <row r="4663" ht="24.0" customHeight="1">
      <c r="A4663" s="10" t="s">
        <v>25</v>
      </c>
      <c r="B4663" s="10" t="s">
        <v>26</v>
      </c>
      <c r="C4663" s="10" t="s">
        <v>23</v>
      </c>
      <c r="D4663" s="10" t="s">
        <v>27</v>
      </c>
      <c r="E4663" s="14">
        <v>1.0</v>
      </c>
      <c r="F4663" s="15">
        <f>ROUND(21,3)</f>
        <v>21</v>
      </c>
      <c r="G4663" s="12">
        <f t="shared" si="741"/>
        <v>21</v>
      </c>
    </row>
    <row r="4664" ht="24.0" customHeight="1">
      <c r="A4664" s="10" t="s">
        <v>28</v>
      </c>
      <c r="B4664" s="10" t="s">
        <v>26</v>
      </c>
      <c r="C4664" s="10" t="s">
        <v>23</v>
      </c>
      <c r="D4664" s="10" t="s">
        <v>29</v>
      </c>
      <c r="E4664" s="14">
        <v>1.0</v>
      </c>
      <c r="F4664" s="15">
        <f t="shared" ref="F4664:F4665" si="742">ROUND(19,3)</f>
        <v>19</v>
      </c>
      <c r="G4664" s="12">
        <f t="shared" si="741"/>
        <v>19</v>
      </c>
    </row>
    <row r="4665" ht="24.0" customHeight="1">
      <c r="A4665" s="10" t="s">
        <v>30</v>
      </c>
      <c r="B4665" s="10" t="s">
        <v>26</v>
      </c>
      <c r="C4665" s="10" t="s">
        <v>23</v>
      </c>
      <c r="D4665" s="10" t="s">
        <v>31</v>
      </c>
      <c r="E4665" s="14">
        <v>0.2</v>
      </c>
      <c r="F4665" s="15">
        <f t="shared" si="742"/>
        <v>19</v>
      </c>
      <c r="G4665" s="12">
        <f t="shared" si="741"/>
        <v>3.8</v>
      </c>
    </row>
    <row r="4666" ht="15.0" customHeight="1">
      <c r="A4666" s="11"/>
      <c r="B4666" s="11"/>
      <c r="C4666" s="11"/>
      <c r="D4666" s="10" t="s">
        <v>22</v>
      </c>
      <c r="E4666" s="14">
        <v>0.45</v>
      </c>
      <c r="F4666" s="15">
        <f>ROUND((G4663+G4664+G4665),3)</f>
        <v>43.8</v>
      </c>
      <c r="G4666" s="12">
        <f t="shared" si="741"/>
        <v>19.71</v>
      </c>
    </row>
    <row r="4667" ht="15.0" customHeight="1">
      <c r="A4667" s="10" t="s">
        <v>32</v>
      </c>
      <c r="B4667" s="10"/>
      <c r="C4667" s="10" t="s">
        <v>33</v>
      </c>
      <c r="D4667" s="10" t="s">
        <v>34</v>
      </c>
      <c r="E4667" s="14">
        <v>5.0</v>
      </c>
      <c r="F4667" s="15">
        <f>ROUND(19.71,3)</f>
        <v>19.71</v>
      </c>
      <c r="G4667" s="12">
        <f>ROUND((E4667*F4667)/100,2)</f>
        <v>0.99</v>
      </c>
    </row>
    <row r="4668" ht="15.0" customHeight="1">
      <c r="A4668" s="16"/>
      <c r="B4668" s="16"/>
      <c r="C4668" s="16"/>
      <c r="D4668" s="17" t="s">
        <v>2061</v>
      </c>
      <c r="E4668" s="16"/>
      <c r="F4668" s="18">
        <f>ROUND((G4658+G4659+G4660+G4661+G4662+G4667)*(1+G2/100),2)</f>
        <v>73.34</v>
      </c>
      <c r="G4668" s="16"/>
    </row>
    <row r="4669" ht="15.0" customHeight="1">
      <c r="A4669" s="23"/>
      <c r="B4669" s="23"/>
      <c r="C4669" s="23"/>
      <c r="D4669" s="30" t="s">
        <v>2045</v>
      </c>
      <c r="E4669" s="31"/>
      <c r="F4669" s="31"/>
      <c r="G4669" s="31"/>
    </row>
    <row r="4670" ht="24.75" customHeight="1">
      <c r="A4670" s="50" t="s">
        <v>2063</v>
      </c>
      <c r="B4670" s="50" t="s">
        <v>10</v>
      </c>
      <c r="C4670" s="51"/>
      <c r="D4670" s="50" t="s">
        <v>2064</v>
      </c>
      <c r="E4670" s="51"/>
      <c r="F4670" s="51"/>
      <c r="G4670" s="51"/>
    </row>
    <row r="4671" ht="39.75" customHeight="1">
      <c r="A4671" s="13" t="s">
        <v>2065</v>
      </c>
      <c r="B4671" s="10" t="s">
        <v>18</v>
      </c>
      <c r="C4671" s="10" t="s">
        <v>251</v>
      </c>
      <c r="D4671" s="10" t="s">
        <v>2066</v>
      </c>
      <c r="E4671" s="11"/>
      <c r="F4671" s="12">
        <f>F4682</f>
        <v>126.79</v>
      </c>
      <c r="G4671" s="11"/>
    </row>
    <row r="4672" ht="21.0" customHeight="1">
      <c r="A4672" s="11"/>
      <c r="B4672" s="11"/>
      <c r="C4672" s="11"/>
      <c r="D4672" s="10" t="s">
        <v>2066</v>
      </c>
    </row>
    <row r="4673" ht="30.0" customHeight="1">
      <c r="A4673" s="10" t="s">
        <v>2067</v>
      </c>
      <c r="B4673" s="10" t="s">
        <v>42</v>
      </c>
      <c r="C4673" s="10" t="s">
        <v>19</v>
      </c>
      <c r="D4673" s="10" t="s">
        <v>2068</v>
      </c>
      <c r="E4673" s="14">
        <v>1.1</v>
      </c>
      <c r="F4673" s="15">
        <f>ROUND(50,3)</f>
        <v>50</v>
      </c>
      <c r="G4673" s="12">
        <f t="shared" ref="G4673:G4680" si="743">ROUND(E4673*F4673,2)</f>
        <v>55</v>
      </c>
    </row>
    <row r="4674" ht="48.75" customHeight="1">
      <c r="A4674" s="10" t="s">
        <v>2069</v>
      </c>
      <c r="B4674" s="10" t="s">
        <v>42</v>
      </c>
      <c r="C4674" s="10" t="s">
        <v>184</v>
      </c>
      <c r="D4674" s="10" t="s">
        <v>2070</v>
      </c>
      <c r="E4674" s="14">
        <v>0.252</v>
      </c>
      <c r="F4674" s="15">
        <f>ROUND(10.25,3)</f>
        <v>10.25</v>
      </c>
      <c r="G4674" s="12">
        <f t="shared" si="743"/>
        <v>2.58</v>
      </c>
    </row>
    <row r="4675" ht="30.0" customHeight="1">
      <c r="A4675" s="10" t="s">
        <v>2071</v>
      </c>
      <c r="B4675" s="10" t="s">
        <v>42</v>
      </c>
      <c r="C4675" s="10" t="s">
        <v>184</v>
      </c>
      <c r="D4675" s="10" t="s">
        <v>2072</v>
      </c>
      <c r="E4675" s="14">
        <v>0.02</v>
      </c>
      <c r="F4675" s="15">
        <f>ROUND(11,3)</f>
        <v>11</v>
      </c>
      <c r="G4675" s="12">
        <f t="shared" si="743"/>
        <v>0.22</v>
      </c>
    </row>
    <row r="4676" ht="21.0" customHeight="1">
      <c r="A4676" s="10" t="s">
        <v>22</v>
      </c>
      <c r="B4676" s="10" t="s">
        <v>18</v>
      </c>
      <c r="C4676" s="10" t="s">
        <v>23</v>
      </c>
      <c r="D4676" s="10" t="s">
        <v>24</v>
      </c>
      <c r="E4676" s="14">
        <v>1.5</v>
      </c>
      <c r="F4676" s="15">
        <f>F4680</f>
        <v>43.8</v>
      </c>
      <c r="G4676" s="12">
        <f t="shared" si="743"/>
        <v>65.7</v>
      </c>
    </row>
    <row r="4677" ht="24.0" customHeight="1">
      <c r="A4677" s="10" t="s">
        <v>25</v>
      </c>
      <c r="B4677" s="10" t="s">
        <v>26</v>
      </c>
      <c r="C4677" s="10" t="s">
        <v>23</v>
      </c>
      <c r="D4677" s="10" t="s">
        <v>27</v>
      </c>
      <c r="E4677" s="14">
        <v>1.0</v>
      </c>
      <c r="F4677" s="15">
        <f>ROUND(21,3)</f>
        <v>21</v>
      </c>
      <c r="G4677" s="12">
        <f t="shared" si="743"/>
        <v>21</v>
      </c>
    </row>
    <row r="4678" ht="24.0" customHeight="1">
      <c r="A4678" s="10" t="s">
        <v>28</v>
      </c>
      <c r="B4678" s="10" t="s">
        <v>26</v>
      </c>
      <c r="C4678" s="10" t="s">
        <v>23</v>
      </c>
      <c r="D4678" s="10" t="s">
        <v>29</v>
      </c>
      <c r="E4678" s="14">
        <v>1.0</v>
      </c>
      <c r="F4678" s="15">
        <f t="shared" ref="F4678:F4679" si="744">ROUND(19,3)</f>
        <v>19</v>
      </c>
      <c r="G4678" s="12">
        <f t="shared" si="743"/>
        <v>19</v>
      </c>
    </row>
    <row r="4679" ht="24.0" customHeight="1">
      <c r="A4679" s="10" t="s">
        <v>30</v>
      </c>
      <c r="B4679" s="10" t="s">
        <v>26</v>
      </c>
      <c r="C4679" s="10" t="s">
        <v>23</v>
      </c>
      <c r="D4679" s="10" t="s">
        <v>31</v>
      </c>
      <c r="E4679" s="14">
        <v>0.2</v>
      </c>
      <c r="F4679" s="15">
        <f t="shared" si="744"/>
        <v>19</v>
      </c>
      <c r="G4679" s="12">
        <f t="shared" si="743"/>
        <v>3.8</v>
      </c>
    </row>
    <row r="4680" ht="15.0" customHeight="1">
      <c r="A4680" s="11"/>
      <c r="B4680" s="11"/>
      <c r="C4680" s="11"/>
      <c r="D4680" s="10" t="s">
        <v>22</v>
      </c>
      <c r="E4680" s="14">
        <v>1.5</v>
      </c>
      <c r="F4680" s="15">
        <f>ROUND((G4677+G4678+G4679),3)</f>
        <v>43.8</v>
      </c>
      <c r="G4680" s="12">
        <f t="shared" si="743"/>
        <v>65.7</v>
      </c>
    </row>
    <row r="4681" ht="15.0" customHeight="1">
      <c r="A4681" s="10" t="s">
        <v>32</v>
      </c>
      <c r="B4681" s="10"/>
      <c r="C4681" s="10" t="s">
        <v>33</v>
      </c>
      <c r="D4681" s="10" t="s">
        <v>34</v>
      </c>
      <c r="E4681" s="14">
        <v>5.0</v>
      </c>
      <c r="F4681" s="15">
        <f>ROUND(65.7,3)</f>
        <v>65.7</v>
      </c>
      <c r="G4681" s="12">
        <f>ROUND((E4681*F4681)/100,2)</f>
        <v>3.29</v>
      </c>
    </row>
    <row r="4682" ht="15.0" customHeight="1">
      <c r="A4682" s="16"/>
      <c r="B4682" s="16"/>
      <c r="C4682" s="16"/>
      <c r="D4682" s="17" t="s">
        <v>2065</v>
      </c>
      <c r="E4682" s="16"/>
      <c r="F4682" s="18">
        <f>ROUND((G4673+G4674+G4675+G4676+G4681)*(1+G2/100),2)</f>
        <v>126.79</v>
      </c>
      <c r="G4682" s="16"/>
    </row>
    <row r="4683" ht="48.75" customHeight="1">
      <c r="A4683" s="19" t="s">
        <v>2073</v>
      </c>
      <c r="B4683" s="20" t="s">
        <v>18</v>
      </c>
      <c r="C4683" s="20" t="s">
        <v>19</v>
      </c>
      <c r="D4683" s="20" t="s">
        <v>2074</v>
      </c>
      <c r="E4683" s="21"/>
      <c r="F4683" s="22">
        <f>F4694</f>
        <v>142.77</v>
      </c>
      <c r="G4683" s="21"/>
    </row>
    <row r="4684" ht="21.0" customHeight="1">
      <c r="A4684" s="11"/>
      <c r="B4684" s="11"/>
      <c r="C4684" s="11"/>
      <c r="D4684" s="10" t="s">
        <v>2074</v>
      </c>
    </row>
    <row r="4685" ht="21.0" customHeight="1">
      <c r="A4685" s="10" t="s">
        <v>2075</v>
      </c>
      <c r="B4685" s="10" t="s">
        <v>42</v>
      </c>
      <c r="C4685" s="10" t="s">
        <v>19</v>
      </c>
      <c r="D4685" s="10" t="s">
        <v>2076</v>
      </c>
      <c r="E4685" s="14">
        <v>1.1</v>
      </c>
      <c r="F4685" s="15">
        <f>ROUND(64.5,3)</f>
        <v>64.5</v>
      </c>
      <c r="G4685" s="12">
        <f t="shared" ref="G4685:G4692" si="745">ROUND(E4685*F4685,2)</f>
        <v>70.95</v>
      </c>
    </row>
    <row r="4686" ht="48.75" customHeight="1">
      <c r="A4686" s="10" t="s">
        <v>2069</v>
      </c>
      <c r="B4686" s="10" t="s">
        <v>42</v>
      </c>
      <c r="C4686" s="10" t="s">
        <v>184</v>
      </c>
      <c r="D4686" s="10" t="s">
        <v>2070</v>
      </c>
      <c r="E4686" s="14">
        <v>0.252</v>
      </c>
      <c r="F4686" s="15">
        <f>ROUND(10.25,3)</f>
        <v>10.25</v>
      </c>
      <c r="G4686" s="12">
        <f t="shared" si="745"/>
        <v>2.58</v>
      </c>
    </row>
    <row r="4687" ht="30.0" customHeight="1">
      <c r="A4687" s="10" t="s">
        <v>2071</v>
      </c>
      <c r="B4687" s="10" t="s">
        <v>42</v>
      </c>
      <c r="C4687" s="10" t="s">
        <v>184</v>
      </c>
      <c r="D4687" s="10" t="s">
        <v>2072</v>
      </c>
      <c r="E4687" s="14">
        <v>0.023</v>
      </c>
      <c r="F4687" s="15">
        <f>ROUND(11,3)</f>
        <v>11</v>
      </c>
      <c r="G4687" s="12">
        <f t="shared" si="745"/>
        <v>0.25</v>
      </c>
    </row>
    <row r="4688" ht="21.0" customHeight="1">
      <c r="A4688" s="10" t="s">
        <v>22</v>
      </c>
      <c r="B4688" s="10" t="s">
        <v>18</v>
      </c>
      <c r="C4688" s="10" t="s">
        <v>23</v>
      </c>
      <c r="D4688" s="10" t="s">
        <v>24</v>
      </c>
      <c r="E4688" s="14">
        <v>1.5</v>
      </c>
      <c r="F4688" s="15">
        <f>F4692</f>
        <v>43.8</v>
      </c>
      <c r="G4688" s="12">
        <f t="shared" si="745"/>
        <v>65.7</v>
      </c>
    </row>
    <row r="4689" ht="24.0" customHeight="1">
      <c r="A4689" s="10" t="s">
        <v>25</v>
      </c>
      <c r="B4689" s="10" t="s">
        <v>26</v>
      </c>
      <c r="C4689" s="10" t="s">
        <v>23</v>
      </c>
      <c r="D4689" s="10" t="s">
        <v>27</v>
      </c>
      <c r="E4689" s="14">
        <v>1.0</v>
      </c>
      <c r="F4689" s="15">
        <f>ROUND(21,3)</f>
        <v>21</v>
      </c>
      <c r="G4689" s="12">
        <f t="shared" si="745"/>
        <v>21</v>
      </c>
    </row>
    <row r="4690" ht="24.0" customHeight="1">
      <c r="A4690" s="10" t="s">
        <v>28</v>
      </c>
      <c r="B4690" s="10" t="s">
        <v>26</v>
      </c>
      <c r="C4690" s="10" t="s">
        <v>23</v>
      </c>
      <c r="D4690" s="10" t="s">
        <v>29</v>
      </c>
      <c r="E4690" s="14">
        <v>1.0</v>
      </c>
      <c r="F4690" s="15">
        <f t="shared" ref="F4690:F4691" si="746">ROUND(19,3)</f>
        <v>19</v>
      </c>
      <c r="G4690" s="12">
        <f t="shared" si="745"/>
        <v>19</v>
      </c>
    </row>
    <row r="4691" ht="24.0" customHeight="1">
      <c r="A4691" s="10" t="s">
        <v>30</v>
      </c>
      <c r="B4691" s="10" t="s">
        <v>26</v>
      </c>
      <c r="C4691" s="10" t="s">
        <v>23</v>
      </c>
      <c r="D4691" s="10" t="s">
        <v>31</v>
      </c>
      <c r="E4691" s="14">
        <v>0.2</v>
      </c>
      <c r="F4691" s="15">
        <f t="shared" si="746"/>
        <v>19</v>
      </c>
      <c r="G4691" s="12">
        <f t="shared" si="745"/>
        <v>3.8</v>
      </c>
    </row>
    <row r="4692" ht="15.0" customHeight="1">
      <c r="A4692" s="11"/>
      <c r="B4692" s="11"/>
      <c r="C4692" s="11"/>
      <c r="D4692" s="10" t="s">
        <v>22</v>
      </c>
      <c r="E4692" s="14">
        <v>1.5</v>
      </c>
      <c r="F4692" s="15">
        <f>ROUND((G4689+G4690+G4691),3)</f>
        <v>43.8</v>
      </c>
      <c r="G4692" s="12">
        <f t="shared" si="745"/>
        <v>65.7</v>
      </c>
    </row>
    <row r="4693" ht="15.0" customHeight="1">
      <c r="A4693" s="10" t="s">
        <v>32</v>
      </c>
      <c r="B4693" s="10"/>
      <c r="C4693" s="10" t="s">
        <v>33</v>
      </c>
      <c r="D4693" s="10" t="s">
        <v>34</v>
      </c>
      <c r="E4693" s="14">
        <v>5.0</v>
      </c>
      <c r="F4693" s="15">
        <f>ROUND(65.7,3)</f>
        <v>65.7</v>
      </c>
      <c r="G4693" s="12">
        <f>ROUND((E4693*F4693)/100,2)</f>
        <v>3.29</v>
      </c>
    </row>
    <row r="4694" ht="24.75" customHeight="1">
      <c r="A4694" s="16"/>
      <c r="B4694" s="16"/>
      <c r="C4694" s="16"/>
      <c r="D4694" s="17" t="s">
        <v>2073</v>
      </c>
      <c r="E4694" s="16"/>
      <c r="F4694" s="18">
        <f>ROUND((G4685+G4686+G4687+G4688+G4693)*(1+G2/100),2)</f>
        <v>142.77</v>
      </c>
      <c r="G4694" s="16"/>
    </row>
    <row r="4695" ht="48.75" customHeight="1">
      <c r="A4695" s="19" t="s">
        <v>2077</v>
      </c>
      <c r="B4695" s="20" t="s">
        <v>18</v>
      </c>
      <c r="C4695" s="20" t="s">
        <v>19</v>
      </c>
      <c r="D4695" s="20" t="s">
        <v>2078</v>
      </c>
      <c r="E4695" s="21"/>
      <c r="F4695" s="22">
        <f>F4706</f>
        <v>165.76</v>
      </c>
      <c r="G4695" s="21"/>
    </row>
    <row r="4696" ht="21.0" customHeight="1">
      <c r="A4696" s="11"/>
      <c r="B4696" s="11"/>
      <c r="C4696" s="11"/>
      <c r="D4696" s="10" t="s">
        <v>2078</v>
      </c>
    </row>
    <row r="4697" ht="21.0" customHeight="1">
      <c r="A4697" s="10" t="s">
        <v>2075</v>
      </c>
      <c r="B4697" s="10" t="s">
        <v>42</v>
      </c>
      <c r="C4697" s="10" t="s">
        <v>19</v>
      </c>
      <c r="D4697" s="10" t="s">
        <v>2076</v>
      </c>
      <c r="E4697" s="14">
        <v>1.1</v>
      </c>
      <c r="F4697" s="15">
        <f>ROUND(64.5,3)</f>
        <v>64.5</v>
      </c>
      <c r="G4697" s="12">
        <f t="shared" ref="G4697:G4704" si="747">ROUND(E4697*F4697,2)</f>
        <v>70.95</v>
      </c>
    </row>
    <row r="4698" ht="48.75" customHeight="1">
      <c r="A4698" s="10" t="s">
        <v>2069</v>
      </c>
      <c r="B4698" s="10" t="s">
        <v>42</v>
      </c>
      <c r="C4698" s="10" t="s">
        <v>184</v>
      </c>
      <c r="D4698" s="10" t="s">
        <v>2070</v>
      </c>
      <c r="E4698" s="14">
        <v>0.252</v>
      </c>
      <c r="F4698" s="15">
        <f>ROUND(10.25,3)</f>
        <v>10.25</v>
      </c>
      <c r="G4698" s="12">
        <f t="shared" si="747"/>
        <v>2.58</v>
      </c>
    </row>
    <row r="4699" ht="30.0" customHeight="1">
      <c r="A4699" s="10" t="s">
        <v>2071</v>
      </c>
      <c r="B4699" s="10" t="s">
        <v>42</v>
      </c>
      <c r="C4699" s="10" t="s">
        <v>184</v>
      </c>
      <c r="D4699" s="10" t="s">
        <v>2072</v>
      </c>
      <c r="E4699" s="14">
        <v>0.023</v>
      </c>
      <c r="F4699" s="15">
        <f>ROUND(11,3)</f>
        <v>11</v>
      </c>
      <c r="G4699" s="12">
        <f t="shared" si="747"/>
        <v>0.25</v>
      </c>
    </row>
    <row r="4700" ht="21.0" customHeight="1">
      <c r="A4700" s="10" t="s">
        <v>22</v>
      </c>
      <c r="B4700" s="10" t="s">
        <v>18</v>
      </c>
      <c r="C4700" s="10" t="s">
        <v>23</v>
      </c>
      <c r="D4700" s="10" t="s">
        <v>24</v>
      </c>
      <c r="E4700" s="14">
        <v>2.0</v>
      </c>
      <c r="F4700" s="15">
        <f>F4704</f>
        <v>43.8</v>
      </c>
      <c r="G4700" s="12">
        <f t="shared" si="747"/>
        <v>87.6</v>
      </c>
    </row>
    <row r="4701" ht="24.0" customHeight="1">
      <c r="A4701" s="10" t="s">
        <v>25</v>
      </c>
      <c r="B4701" s="10" t="s">
        <v>26</v>
      </c>
      <c r="C4701" s="10" t="s">
        <v>23</v>
      </c>
      <c r="D4701" s="10" t="s">
        <v>27</v>
      </c>
      <c r="E4701" s="14">
        <v>1.0</v>
      </c>
      <c r="F4701" s="15">
        <f>ROUND(21,3)</f>
        <v>21</v>
      </c>
      <c r="G4701" s="12">
        <f t="shared" si="747"/>
        <v>21</v>
      </c>
    </row>
    <row r="4702" ht="24.0" customHeight="1">
      <c r="A4702" s="10" t="s">
        <v>28</v>
      </c>
      <c r="B4702" s="10" t="s">
        <v>26</v>
      </c>
      <c r="C4702" s="10" t="s">
        <v>23</v>
      </c>
      <c r="D4702" s="10" t="s">
        <v>29</v>
      </c>
      <c r="E4702" s="14">
        <v>1.0</v>
      </c>
      <c r="F4702" s="15">
        <f t="shared" ref="F4702:F4703" si="748">ROUND(19,3)</f>
        <v>19</v>
      </c>
      <c r="G4702" s="12">
        <f t="shared" si="747"/>
        <v>19</v>
      </c>
    </row>
    <row r="4703" ht="24.0" customHeight="1">
      <c r="A4703" s="10" t="s">
        <v>30</v>
      </c>
      <c r="B4703" s="10" t="s">
        <v>26</v>
      </c>
      <c r="C4703" s="10" t="s">
        <v>23</v>
      </c>
      <c r="D4703" s="10" t="s">
        <v>31</v>
      </c>
      <c r="E4703" s="14">
        <v>0.2</v>
      </c>
      <c r="F4703" s="15">
        <f t="shared" si="748"/>
        <v>19</v>
      </c>
      <c r="G4703" s="12">
        <f t="shared" si="747"/>
        <v>3.8</v>
      </c>
    </row>
    <row r="4704" ht="15.0" customHeight="1">
      <c r="A4704" s="11"/>
      <c r="B4704" s="11"/>
      <c r="C4704" s="11"/>
      <c r="D4704" s="10" t="s">
        <v>22</v>
      </c>
      <c r="E4704" s="14">
        <v>2.0</v>
      </c>
      <c r="F4704" s="15">
        <f>ROUND((G4701+G4702+G4703),3)</f>
        <v>43.8</v>
      </c>
      <c r="G4704" s="12">
        <f t="shared" si="747"/>
        <v>87.6</v>
      </c>
    </row>
    <row r="4705" ht="15.0" customHeight="1">
      <c r="A4705" s="10" t="s">
        <v>32</v>
      </c>
      <c r="B4705" s="10"/>
      <c r="C4705" s="10" t="s">
        <v>33</v>
      </c>
      <c r="D4705" s="10" t="s">
        <v>34</v>
      </c>
      <c r="E4705" s="14">
        <v>5.0</v>
      </c>
      <c r="F4705" s="15">
        <f>ROUND(87.6,3)</f>
        <v>87.6</v>
      </c>
      <c r="G4705" s="12">
        <f>ROUND((E4705*F4705)/100,2)</f>
        <v>4.38</v>
      </c>
    </row>
    <row r="4706" ht="24.75" customHeight="1">
      <c r="A4706" s="16"/>
      <c r="B4706" s="16"/>
      <c r="C4706" s="16"/>
      <c r="D4706" s="17" t="s">
        <v>2077</v>
      </c>
      <c r="E4706" s="16"/>
      <c r="F4706" s="18">
        <f>ROUND((G4697+G4698+G4699+G4700+G4705)*(1+G2/100),2)</f>
        <v>165.76</v>
      </c>
      <c r="G4706" s="16"/>
    </row>
    <row r="4707" ht="15.0" customHeight="1">
      <c r="A4707" s="23"/>
      <c r="B4707" s="23"/>
      <c r="C4707" s="23"/>
      <c r="D4707" s="30" t="s">
        <v>2063</v>
      </c>
      <c r="E4707" s="31"/>
      <c r="F4707" s="31"/>
      <c r="G4707" s="31"/>
    </row>
    <row r="4708" ht="15.0" customHeight="1">
      <c r="A4708" s="23"/>
      <c r="B4708" s="23"/>
      <c r="C4708" s="23"/>
      <c r="D4708" s="24" t="s">
        <v>2039</v>
      </c>
      <c r="E4708" s="25"/>
      <c r="F4708" s="25"/>
      <c r="G4708" s="25"/>
    </row>
    <row r="4709" ht="95.25" customHeight="1">
      <c r="A4709" s="19" t="s">
        <v>2079</v>
      </c>
      <c r="B4709" s="20" t="s">
        <v>18</v>
      </c>
      <c r="C4709" s="20" t="s">
        <v>351</v>
      </c>
      <c r="D4709" s="20" t="s">
        <v>2080</v>
      </c>
      <c r="E4709" s="21"/>
      <c r="F4709" s="22">
        <f>F4725</f>
        <v>77.01</v>
      </c>
      <c r="G4709" s="21"/>
    </row>
    <row r="4710" ht="39.75" customHeight="1">
      <c r="A4710" s="11"/>
      <c r="B4710" s="11"/>
      <c r="C4710" s="11"/>
      <c r="D4710" s="10" t="s">
        <v>2080</v>
      </c>
    </row>
    <row r="4711" ht="30.0" customHeight="1">
      <c r="A4711" s="10" t="s">
        <v>1227</v>
      </c>
      <c r="B4711" s="10" t="s">
        <v>42</v>
      </c>
      <c r="C4711" s="10" t="s">
        <v>226</v>
      </c>
      <c r="D4711" s="10" t="s">
        <v>1228</v>
      </c>
      <c r="E4711" s="14">
        <v>0.0077</v>
      </c>
      <c r="F4711" s="15">
        <f>ROUND(27.5,3)</f>
        <v>27.5</v>
      </c>
      <c r="G4711" s="12">
        <f t="shared" ref="G4711:G4723" si="749">ROUND(E4711*F4711,2)</f>
        <v>0.21</v>
      </c>
    </row>
    <row r="4712" ht="21.0" customHeight="1">
      <c r="A4712" s="10" t="s">
        <v>1204</v>
      </c>
      <c r="B4712" s="10" t="s">
        <v>42</v>
      </c>
      <c r="C4712" s="10" t="s">
        <v>344</v>
      </c>
      <c r="D4712" s="10" t="s">
        <v>1205</v>
      </c>
      <c r="E4712" s="14">
        <v>1.0</v>
      </c>
      <c r="F4712" s="15">
        <f>ROUND(2.29,3)</f>
        <v>2.29</v>
      </c>
      <c r="G4712" s="12">
        <f t="shared" si="749"/>
        <v>2.29</v>
      </c>
    </row>
    <row r="4713" ht="30.0" customHeight="1">
      <c r="A4713" s="10" t="s">
        <v>1437</v>
      </c>
      <c r="B4713" s="10" t="s">
        <v>42</v>
      </c>
      <c r="C4713" s="10" t="s">
        <v>325</v>
      </c>
      <c r="D4713" s="10" t="s">
        <v>1438</v>
      </c>
      <c r="E4713" s="14">
        <v>0.08</v>
      </c>
      <c r="F4713" s="15">
        <f>ROUND(30.45,3)</f>
        <v>30.45</v>
      </c>
      <c r="G4713" s="12">
        <f t="shared" si="749"/>
        <v>2.44</v>
      </c>
    </row>
    <row r="4714" ht="39.75" customHeight="1">
      <c r="A4714" s="10" t="s">
        <v>1435</v>
      </c>
      <c r="B4714" s="10" t="s">
        <v>112</v>
      </c>
      <c r="C4714" s="10" t="s">
        <v>23</v>
      </c>
      <c r="D4714" s="10" t="s">
        <v>1436</v>
      </c>
      <c r="E4714" s="14">
        <v>0.25</v>
      </c>
      <c r="F4714" s="15">
        <f>ROUND(2.86,3)</f>
        <v>2.86</v>
      </c>
      <c r="G4714" s="12">
        <f t="shared" si="749"/>
        <v>0.72</v>
      </c>
    </row>
    <row r="4715" ht="30.0" customHeight="1">
      <c r="A4715" s="10" t="s">
        <v>1006</v>
      </c>
      <c r="B4715" s="10" t="s">
        <v>42</v>
      </c>
      <c r="C4715" s="10" t="s">
        <v>184</v>
      </c>
      <c r="D4715" s="10" t="s">
        <v>1007</v>
      </c>
      <c r="E4715" s="14">
        <v>0.336</v>
      </c>
      <c r="F4715" s="15">
        <f>ROUND(16.81,3)</f>
        <v>16.81</v>
      </c>
      <c r="G4715" s="12">
        <f t="shared" si="749"/>
        <v>5.65</v>
      </c>
    </row>
    <row r="4716" ht="30.0" customHeight="1">
      <c r="A4716" s="10" t="s">
        <v>1004</v>
      </c>
      <c r="B4716" s="10" t="s">
        <v>42</v>
      </c>
      <c r="C4716" s="10" t="s">
        <v>184</v>
      </c>
      <c r="D4716" s="10" t="s">
        <v>1005</v>
      </c>
      <c r="E4716" s="14">
        <v>0.7938</v>
      </c>
      <c r="F4716" s="15">
        <f>ROUND(22.45,3)</f>
        <v>22.45</v>
      </c>
      <c r="G4716" s="12">
        <f t="shared" si="749"/>
        <v>17.82</v>
      </c>
    </row>
    <row r="4717" ht="39.75" customHeight="1">
      <c r="A4717" s="10" t="s">
        <v>1315</v>
      </c>
      <c r="B4717" s="10" t="s">
        <v>42</v>
      </c>
      <c r="C4717" s="10" t="s">
        <v>231</v>
      </c>
      <c r="D4717" s="10" t="s">
        <v>1316</v>
      </c>
      <c r="E4717" s="14">
        <v>0.07</v>
      </c>
      <c r="F4717" s="15">
        <f>ROUND(2.63,3)</f>
        <v>2.63</v>
      </c>
      <c r="G4717" s="12">
        <f t="shared" si="749"/>
        <v>0.18</v>
      </c>
    </row>
    <row r="4718" ht="39.75" customHeight="1">
      <c r="A4718" s="10" t="s">
        <v>1349</v>
      </c>
      <c r="B4718" s="10" t="s">
        <v>42</v>
      </c>
      <c r="C4718" s="10" t="s">
        <v>231</v>
      </c>
      <c r="D4718" s="10" t="s">
        <v>1350</v>
      </c>
      <c r="E4718" s="14">
        <v>0.44</v>
      </c>
      <c r="F4718" s="15">
        <f>ROUND(4.05,3)</f>
        <v>4.05</v>
      </c>
      <c r="G4718" s="12">
        <f t="shared" si="749"/>
        <v>1.78</v>
      </c>
    </row>
    <row r="4719" ht="21.0" customHeight="1">
      <c r="A4719" s="10" t="s">
        <v>22</v>
      </c>
      <c r="B4719" s="10" t="s">
        <v>18</v>
      </c>
      <c r="C4719" s="10" t="s">
        <v>23</v>
      </c>
      <c r="D4719" s="10" t="s">
        <v>24</v>
      </c>
      <c r="E4719" s="14">
        <v>0.98</v>
      </c>
      <c r="F4719" s="15">
        <f>F4723</f>
        <v>43.8</v>
      </c>
      <c r="G4719" s="12">
        <f t="shared" si="749"/>
        <v>42.92</v>
      </c>
    </row>
    <row r="4720" ht="24.0" customHeight="1">
      <c r="A4720" s="10" t="s">
        <v>25</v>
      </c>
      <c r="B4720" s="10" t="s">
        <v>26</v>
      </c>
      <c r="C4720" s="10" t="s">
        <v>23</v>
      </c>
      <c r="D4720" s="10" t="s">
        <v>27</v>
      </c>
      <c r="E4720" s="14">
        <v>1.0</v>
      </c>
      <c r="F4720" s="15">
        <f>ROUND(21,3)</f>
        <v>21</v>
      </c>
      <c r="G4720" s="12">
        <f t="shared" si="749"/>
        <v>21</v>
      </c>
    </row>
    <row r="4721" ht="24.0" customHeight="1">
      <c r="A4721" s="10" t="s">
        <v>28</v>
      </c>
      <c r="B4721" s="10" t="s">
        <v>26</v>
      </c>
      <c r="C4721" s="10" t="s">
        <v>23</v>
      </c>
      <c r="D4721" s="10" t="s">
        <v>29</v>
      </c>
      <c r="E4721" s="14">
        <v>1.0</v>
      </c>
      <c r="F4721" s="15">
        <f t="shared" ref="F4721:F4722" si="750">ROUND(19,3)</f>
        <v>19</v>
      </c>
      <c r="G4721" s="12">
        <f t="shared" si="749"/>
        <v>19</v>
      </c>
    </row>
    <row r="4722" ht="24.0" customHeight="1">
      <c r="A4722" s="10" t="s">
        <v>30</v>
      </c>
      <c r="B4722" s="10" t="s">
        <v>26</v>
      </c>
      <c r="C4722" s="10" t="s">
        <v>23</v>
      </c>
      <c r="D4722" s="10" t="s">
        <v>31</v>
      </c>
      <c r="E4722" s="14">
        <v>0.2</v>
      </c>
      <c r="F4722" s="15">
        <f t="shared" si="750"/>
        <v>19</v>
      </c>
      <c r="G4722" s="12">
        <f t="shared" si="749"/>
        <v>3.8</v>
      </c>
    </row>
    <row r="4723" ht="15.0" customHeight="1">
      <c r="A4723" s="11"/>
      <c r="B4723" s="11"/>
      <c r="C4723" s="11"/>
      <c r="D4723" s="10" t="s">
        <v>22</v>
      </c>
      <c r="E4723" s="14">
        <v>0.98</v>
      </c>
      <c r="F4723" s="15">
        <f>ROUND((G4720+G4721+G4722),3)</f>
        <v>43.8</v>
      </c>
      <c r="G4723" s="12">
        <f t="shared" si="749"/>
        <v>42.92</v>
      </c>
    </row>
    <row r="4724" ht="15.0" customHeight="1">
      <c r="A4724" s="10" t="s">
        <v>32</v>
      </c>
      <c r="B4724" s="10"/>
      <c r="C4724" s="10" t="s">
        <v>33</v>
      </c>
      <c r="D4724" s="10" t="s">
        <v>34</v>
      </c>
      <c r="E4724" s="14">
        <v>7.0</v>
      </c>
      <c r="F4724" s="15">
        <f>ROUND(42.92,3)</f>
        <v>42.92</v>
      </c>
      <c r="G4724" s="12">
        <f>ROUND((E4724*F4724)/100,2)</f>
        <v>3</v>
      </c>
    </row>
    <row r="4725" ht="15.0" customHeight="1">
      <c r="A4725" s="16"/>
      <c r="B4725" s="16"/>
      <c r="C4725" s="16"/>
      <c r="D4725" s="17" t="s">
        <v>2079</v>
      </c>
      <c r="E4725" s="16"/>
      <c r="F4725" s="18">
        <f>ROUND((G4711+G4712+G4713+G4714+G4715+G4716+G4717+G4718+G4719+G4724)*(1+G2/100),2)</f>
        <v>77.01</v>
      </c>
      <c r="G4725" s="16"/>
    </row>
    <row r="4726" ht="104.25" customHeight="1">
      <c r="A4726" s="19" t="s">
        <v>2081</v>
      </c>
      <c r="B4726" s="20" t="s">
        <v>18</v>
      </c>
      <c r="C4726" s="20" t="s">
        <v>351</v>
      </c>
      <c r="D4726" s="20" t="s">
        <v>2082</v>
      </c>
      <c r="E4726" s="21"/>
      <c r="F4726" s="22">
        <f>F4739</f>
        <v>56.73</v>
      </c>
      <c r="G4726" s="21"/>
    </row>
    <row r="4727" ht="39.75" customHeight="1">
      <c r="A4727" s="11"/>
      <c r="B4727" s="11"/>
      <c r="C4727" s="11"/>
      <c r="D4727" s="10" t="s">
        <v>2082</v>
      </c>
    </row>
    <row r="4728" ht="30.0" customHeight="1">
      <c r="A4728" s="10" t="s">
        <v>1227</v>
      </c>
      <c r="B4728" s="10" t="s">
        <v>42</v>
      </c>
      <c r="C4728" s="10" t="s">
        <v>226</v>
      </c>
      <c r="D4728" s="10" t="s">
        <v>1228</v>
      </c>
      <c r="E4728" s="14">
        <v>0.0077</v>
      </c>
      <c r="F4728" s="15">
        <f>ROUND(27.5,3)</f>
        <v>27.5</v>
      </c>
      <c r="G4728" s="12">
        <f t="shared" ref="G4728:G4737" si="751">ROUND(E4728*F4728,2)</f>
        <v>0.21</v>
      </c>
    </row>
    <row r="4729" ht="48.75" customHeight="1">
      <c r="A4729" s="10" t="s">
        <v>1276</v>
      </c>
      <c r="B4729" s="10" t="s">
        <v>42</v>
      </c>
      <c r="C4729" s="10" t="s">
        <v>43</v>
      </c>
      <c r="D4729" s="10" t="s">
        <v>1277</v>
      </c>
      <c r="E4729" s="14">
        <v>0.11</v>
      </c>
      <c r="F4729" s="15">
        <f>ROUND(45.57,3)</f>
        <v>45.57</v>
      </c>
      <c r="G4729" s="12">
        <f t="shared" si="751"/>
        <v>5.01</v>
      </c>
    </row>
    <row r="4730" ht="30.0" customHeight="1">
      <c r="A4730" s="10" t="s">
        <v>1004</v>
      </c>
      <c r="B4730" s="10" t="s">
        <v>42</v>
      </c>
      <c r="C4730" s="10" t="s">
        <v>184</v>
      </c>
      <c r="D4730" s="10" t="s">
        <v>1005</v>
      </c>
      <c r="E4730" s="14">
        <v>0.4536</v>
      </c>
      <c r="F4730" s="15">
        <f>ROUND(22.45,3)</f>
        <v>22.45</v>
      </c>
      <c r="G4730" s="12">
        <f t="shared" si="751"/>
        <v>10.18</v>
      </c>
    </row>
    <row r="4731" ht="39.75" customHeight="1">
      <c r="A4731" s="10" t="s">
        <v>1315</v>
      </c>
      <c r="B4731" s="10" t="s">
        <v>42</v>
      </c>
      <c r="C4731" s="10" t="s">
        <v>231</v>
      </c>
      <c r="D4731" s="10" t="s">
        <v>1316</v>
      </c>
      <c r="E4731" s="14">
        <v>0.07</v>
      </c>
      <c r="F4731" s="15">
        <f>ROUND(2.63,3)</f>
        <v>2.63</v>
      </c>
      <c r="G4731" s="12">
        <f t="shared" si="751"/>
        <v>0.18</v>
      </c>
    </row>
    <row r="4732" ht="39.75" customHeight="1">
      <c r="A4732" s="10" t="s">
        <v>1349</v>
      </c>
      <c r="B4732" s="10" t="s">
        <v>42</v>
      </c>
      <c r="C4732" s="10" t="s">
        <v>231</v>
      </c>
      <c r="D4732" s="10" t="s">
        <v>1350</v>
      </c>
      <c r="E4732" s="14">
        <v>0.44</v>
      </c>
      <c r="F4732" s="15">
        <f>ROUND(4.05,3)</f>
        <v>4.05</v>
      </c>
      <c r="G4732" s="12">
        <f t="shared" si="751"/>
        <v>1.78</v>
      </c>
    </row>
    <row r="4733" ht="21.0" customHeight="1">
      <c r="A4733" s="10" t="s">
        <v>22</v>
      </c>
      <c r="B4733" s="10" t="s">
        <v>18</v>
      </c>
      <c r="C4733" s="10" t="s">
        <v>23</v>
      </c>
      <c r="D4733" s="10" t="s">
        <v>24</v>
      </c>
      <c r="E4733" s="14">
        <v>0.84</v>
      </c>
      <c r="F4733" s="15">
        <f>F4737</f>
        <v>43.8</v>
      </c>
      <c r="G4733" s="12">
        <f t="shared" si="751"/>
        <v>36.79</v>
      </c>
    </row>
    <row r="4734" ht="24.0" customHeight="1">
      <c r="A4734" s="10" t="s">
        <v>25</v>
      </c>
      <c r="B4734" s="10" t="s">
        <v>26</v>
      </c>
      <c r="C4734" s="10" t="s">
        <v>23</v>
      </c>
      <c r="D4734" s="10" t="s">
        <v>27</v>
      </c>
      <c r="E4734" s="14">
        <v>1.0</v>
      </c>
      <c r="F4734" s="15">
        <f>ROUND(21,3)</f>
        <v>21</v>
      </c>
      <c r="G4734" s="12">
        <f t="shared" si="751"/>
        <v>21</v>
      </c>
    </row>
    <row r="4735" ht="24.0" customHeight="1">
      <c r="A4735" s="10" t="s">
        <v>28</v>
      </c>
      <c r="B4735" s="10" t="s">
        <v>26</v>
      </c>
      <c r="C4735" s="10" t="s">
        <v>23</v>
      </c>
      <c r="D4735" s="10" t="s">
        <v>29</v>
      </c>
      <c r="E4735" s="14">
        <v>1.0</v>
      </c>
      <c r="F4735" s="15">
        <f t="shared" ref="F4735:F4736" si="752">ROUND(19,3)</f>
        <v>19</v>
      </c>
      <c r="G4735" s="12">
        <f t="shared" si="751"/>
        <v>19</v>
      </c>
    </row>
    <row r="4736" ht="24.0" customHeight="1">
      <c r="A4736" s="10" t="s">
        <v>30</v>
      </c>
      <c r="B4736" s="10" t="s">
        <v>26</v>
      </c>
      <c r="C4736" s="10" t="s">
        <v>23</v>
      </c>
      <c r="D4736" s="10" t="s">
        <v>31</v>
      </c>
      <c r="E4736" s="14">
        <v>0.2</v>
      </c>
      <c r="F4736" s="15">
        <f t="shared" si="752"/>
        <v>19</v>
      </c>
      <c r="G4736" s="12">
        <f t="shared" si="751"/>
        <v>3.8</v>
      </c>
    </row>
    <row r="4737" ht="15.0" customHeight="1">
      <c r="A4737" s="11"/>
      <c r="B4737" s="11"/>
      <c r="C4737" s="11"/>
      <c r="D4737" s="10" t="s">
        <v>22</v>
      </c>
      <c r="E4737" s="14">
        <v>0.84</v>
      </c>
      <c r="F4737" s="15">
        <f>ROUND((G4734+G4735+G4736),3)</f>
        <v>43.8</v>
      </c>
      <c r="G4737" s="12">
        <f t="shared" si="751"/>
        <v>36.79</v>
      </c>
    </row>
    <row r="4738" ht="15.0" customHeight="1">
      <c r="A4738" s="10" t="s">
        <v>32</v>
      </c>
      <c r="B4738" s="10"/>
      <c r="C4738" s="10" t="s">
        <v>33</v>
      </c>
      <c r="D4738" s="10" t="s">
        <v>34</v>
      </c>
      <c r="E4738" s="14">
        <v>7.0</v>
      </c>
      <c r="F4738" s="15">
        <f>ROUND(36.79,3)</f>
        <v>36.79</v>
      </c>
      <c r="G4738" s="12">
        <f>ROUND((E4738*F4738)/100,2)</f>
        <v>2.58</v>
      </c>
    </row>
    <row r="4739" ht="15.0" customHeight="1">
      <c r="A4739" s="16"/>
      <c r="B4739" s="16"/>
      <c r="C4739" s="16"/>
      <c r="D4739" s="17" t="s">
        <v>2081</v>
      </c>
      <c r="E4739" s="16"/>
      <c r="F4739" s="18">
        <f>ROUND((G4728+G4729+G4730+G4731+G4732+G4733+G4738)*(1+G2/100),2)</f>
        <v>56.73</v>
      </c>
      <c r="G4739" s="16"/>
    </row>
    <row r="4740" ht="95.25" customHeight="1">
      <c r="A4740" s="19" t="s">
        <v>2083</v>
      </c>
      <c r="B4740" s="20" t="s">
        <v>18</v>
      </c>
      <c r="C4740" s="20" t="s">
        <v>19</v>
      </c>
      <c r="D4740" s="20" t="s">
        <v>2084</v>
      </c>
      <c r="E4740" s="21"/>
      <c r="F4740" s="22">
        <f>F4756</f>
        <v>130.2</v>
      </c>
      <c r="G4740" s="21"/>
    </row>
    <row r="4741" ht="39.75" customHeight="1">
      <c r="A4741" s="11"/>
      <c r="B4741" s="11"/>
      <c r="C4741" s="11"/>
      <c r="D4741" s="10" t="s">
        <v>2084</v>
      </c>
    </row>
    <row r="4742" ht="30.0" customHeight="1">
      <c r="A4742" s="10" t="s">
        <v>1227</v>
      </c>
      <c r="B4742" s="10" t="s">
        <v>42</v>
      </c>
      <c r="C4742" s="10" t="s">
        <v>226</v>
      </c>
      <c r="D4742" s="10" t="s">
        <v>1228</v>
      </c>
      <c r="E4742" s="14">
        <v>0.022</v>
      </c>
      <c r="F4742" s="15">
        <f>ROUND(27.5,3)</f>
        <v>27.5</v>
      </c>
      <c r="G4742" s="12">
        <f t="shared" ref="G4742:G4754" si="753">ROUND(E4742*F4742,2)</f>
        <v>0.61</v>
      </c>
    </row>
    <row r="4743" ht="21.0" customHeight="1">
      <c r="A4743" s="10" t="s">
        <v>1204</v>
      </c>
      <c r="B4743" s="10" t="s">
        <v>42</v>
      </c>
      <c r="C4743" s="10" t="s">
        <v>344</v>
      </c>
      <c r="D4743" s="10" t="s">
        <v>1205</v>
      </c>
      <c r="E4743" s="14">
        <v>2.0</v>
      </c>
      <c r="F4743" s="15">
        <f>ROUND(2.29,3)</f>
        <v>2.29</v>
      </c>
      <c r="G4743" s="12">
        <f t="shared" si="753"/>
        <v>4.58</v>
      </c>
    </row>
    <row r="4744" ht="30.0" customHeight="1">
      <c r="A4744" s="10" t="s">
        <v>1437</v>
      </c>
      <c r="B4744" s="10" t="s">
        <v>42</v>
      </c>
      <c r="C4744" s="10" t="s">
        <v>325</v>
      </c>
      <c r="D4744" s="10" t="s">
        <v>1438</v>
      </c>
      <c r="E4744" s="14">
        <v>0.16</v>
      </c>
      <c r="F4744" s="15">
        <f>ROUND(30.45,3)</f>
        <v>30.45</v>
      </c>
      <c r="G4744" s="12">
        <f t="shared" si="753"/>
        <v>4.87</v>
      </c>
    </row>
    <row r="4745" ht="39.75" customHeight="1">
      <c r="A4745" s="10" t="s">
        <v>1435</v>
      </c>
      <c r="B4745" s="10" t="s">
        <v>112</v>
      </c>
      <c r="C4745" s="10" t="s">
        <v>23</v>
      </c>
      <c r="D4745" s="10" t="s">
        <v>1436</v>
      </c>
      <c r="E4745" s="14">
        <v>0.25</v>
      </c>
      <c r="F4745" s="15">
        <f>ROUND(2.86,3)</f>
        <v>2.86</v>
      </c>
      <c r="G4745" s="12">
        <f t="shared" si="753"/>
        <v>0.72</v>
      </c>
    </row>
    <row r="4746" ht="30.0" customHeight="1">
      <c r="A4746" s="10" t="s">
        <v>1006</v>
      </c>
      <c r="B4746" s="10" t="s">
        <v>42</v>
      </c>
      <c r="C4746" s="10" t="s">
        <v>184</v>
      </c>
      <c r="D4746" s="10" t="s">
        <v>1007</v>
      </c>
      <c r="E4746" s="14">
        <v>0.8357</v>
      </c>
      <c r="F4746" s="15">
        <f>ROUND(16.81,3)</f>
        <v>16.81</v>
      </c>
      <c r="G4746" s="12">
        <f t="shared" si="753"/>
        <v>14.05</v>
      </c>
    </row>
    <row r="4747" ht="30.0" customHeight="1">
      <c r="A4747" s="10" t="s">
        <v>1004</v>
      </c>
      <c r="B4747" s="10" t="s">
        <v>42</v>
      </c>
      <c r="C4747" s="10" t="s">
        <v>184</v>
      </c>
      <c r="D4747" s="10" t="s">
        <v>1005</v>
      </c>
      <c r="E4747" s="14">
        <v>2.268</v>
      </c>
      <c r="F4747" s="15">
        <f>ROUND(22.45,3)</f>
        <v>22.45</v>
      </c>
      <c r="G4747" s="12">
        <f t="shared" si="753"/>
        <v>50.92</v>
      </c>
    </row>
    <row r="4748" ht="39.75" customHeight="1">
      <c r="A4748" s="10" t="s">
        <v>1315</v>
      </c>
      <c r="B4748" s="10" t="s">
        <v>42</v>
      </c>
      <c r="C4748" s="10" t="s">
        <v>231</v>
      </c>
      <c r="D4748" s="10" t="s">
        <v>1316</v>
      </c>
      <c r="E4748" s="14">
        <v>0.07</v>
      </c>
      <c r="F4748" s="15">
        <f>ROUND(2.63,3)</f>
        <v>2.63</v>
      </c>
      <c r="G4748" s="12">
        <f t="shared" si="753"/>
        <v>0.18</v>
      </c>
    </row>
    <row r="4749" ht="39.75" customHeight="1">
      <c r="A4749" s="10" t="s">
        <v>1349</v>
      </c>
      <c r="B4749" s="10" t="s">
        <v>42</v>
      </c>
      <c r="C4749" s="10" t="s">
        <v>231</v>
      </c>
      <c r="D4749" s="10" t="s">
        <v>1350</v>
      </c>
      <c r="E4749" s="14">
        <v>0.44</v>
      </c>
      <c r="F4749" s="15">
        <f>ROUND(4.05,3)</f>
        <v>4.05</v>
      </c>
      <c r="G4749" s="12">
        <f t="shared" si="753"/>
        <v>1.78</v>
      </c>
    </row>
    <row r="4750" ht="21.0" customHeight="1">
      <c r="A4750" s="10" t="s">
        <v>22</v>
      </c>
      <c r="B4750" s="10" t="s">
        <v>18</v>
      </c>
      <c r="C4750" s="10" t="s">
        <v>23</v>
      </c>
      <c r="D4750" s="10" t="s">
        <v>24</v>
      </c>
      <c r="E4750" s="14">
        <v>1.12</v>
      </c>
      <c r="F4750" s="15">
        <f>F4754</f>
        <v>43.8</v>
      </c>
      <c r="G4750" s="12">
        <f t="shared" si="753"/>
        <v>49.06</v>
      </c>
    </row>
    <row r="4751" ht="24.0" customHeight="1">
      <c r="A4751" s="10" t="s">
        <v>25</v>
      </c>
      <c r="B4751" s="10" t="s">
        <v>26</v>
      </c>
      <c r="C4751" s="10" t="s">
        <v>23</v>
      </c>
      <c r="D4751" s="10" t="s">
        <v>27</v>
      </c>
      <c r="E4751" s="14">
        <v>1.0</v>
      </c>
      <c r="F4751" s="15">
        <f>ROUND(21,3)</f>
        <v>21</v>
      </c>
      <c r="G4751" s="12">
        <f t="shared" si="753"/>
        <v>21</v>
      </c>
    </row>
    <row r="4752" ht="24.0" customHeight="1">
      <c r="A4752" s="10" t="s">
        <v>28</v>
      </c>
      <c r="B4752" s="10" t="s">
        <v>26</v>
      </c>
      <c r="C4752" s="10" t="s">
        <v>23</v>
      </c>
      <c r="D4752" s="10" t="s">
        <v>29</v>
      </c>
      <c r="E4752" s="14">
        <v>1.0</v>
      </c>
      <c r="F4752" s="15">
        <f t="shared" ref="F4752:F4753" si="754">ROUND(19,3)</f>
        <v>19</v>
      </c>
      <c r="G4752" s="12">
        <f t="shared" si="753"/>
        <v>19</v>
      </c>
    </row>
    <row r="4753" ht="24.0" customHeight="1">
      <c r="A4753" s="10" t="s">
        <v>30</v>
      </c>
      <c r="B4753" s="10" t="s">
        <v>26</v>
      </c>
      <c r="C4753" s="10" t="s">
        <v>23</v>
      </c>
      <c r="D4753" s="10" t="s">
        <v>31</v>
      </c>
      <c r="E4753" s="14">
        <v>0.2</v>
      </c>
      <c r="F4753" s="15">
        <f t="shared" si="754"/>
        <v>19</v>
      </c>
      <c r="G4753" s="12">
        <f t="shared" si="753"/>
        <v>3.8</v>
      </c>
    </row>
    <row r="4754" ht="15.0" customHeight="1">
      <c r="A4754" s="11"/>
      <c r="B4754" s="11"/>
      <c r="C4754" s="11"/>
      <c r="D4754" s="10" t="s">
        <v>22</v>
      </c>
      <c r="E4754" s="14">
        <v>1.12</v>
      </c>
      <c r="F4754" s="15">
        <f>ROUND((G4751+G4752+G4753),3)</f>
        <v>43.8</v>
      </c>
      <c r="G4754" s="12">
        <f t="shared" si="753"/>
        <v>49.06</v>
      </c>
    </row>
    <row r="4755" ht="15.0" customHeight="1">
      <c r="A4755" s="10" t="s">
        <v>32</v>
      </c>
      <c r="B4755" s="10"/>
      <c r="C4755" s="10" t="s">
        <v>33</v>
      </c>
      <c r="D4755" s="10" t="s">
        <v>34</v>
      </c>
      <c r="E4755" s="14">
        <v>7.0</v>
      </c>
      <c r="F4755" s="15">
        <f>ROUND(49.06,3)</f>
        <v>49.06</v>
      </c>
      <c r="G4755" s="12">
        <f>ROUND((E4755*F4755)/100,2)</f>
        <v>3.43</v>
      </c>
    </row>
    <row r="4756" ht="15.0" customHeight="1">
      <c r="A4756" s="16"/>
      <c r="B4756" s="16"/>
      <c r="C4756" s="16"/>
      <c r="D4756" s="17" t="s">
        <v>2083</v>
      </c>
      <c r="E4756" s="16"/>
      <c r="F4756" s="18">
        <f>ROUND((G4742+G4743+G4744+G4745+G4746+G4747+G4748+G4749+G4750+G4755)*(1+G2/100),2)</f>
        <v>130.2</v>
      </c>
      <c r="G4756" s="16"/>
    </row>
    <row r="4757" ht="95.25" customHeight="1">
      <c r="A4757" s="19" t="s">
        <v>2085</v>
      </c>
      <c r="B4757" s="20" t="s">
        <v>18</v>
      </c>
      <c r="C4757" s="20" t="s">
        <v>19</v>
      </c>
      <c r="D4757" s="20" t="s">
        <v>2084</v>
      </c>
      <c r="E4757" s="21"/>
      <c r="F4757" s="22">
        <f>F4770</f>
        <v>91.82</v>
      </c>
      <c r="G4757" s="21"/>
    </row>
    <row r="4758" ht="39.75" customHeight="1">
      <c r="A4758" s="11"/>
      <c r="B4758" s="11"/>
      <c r="C4758" s="11"/>
      <c r="D4758" s="10" t="s">
        <v>2084</v>
      </c>
    </row>
    <row r="4759" ht="30.0" customHeight="1">
      <c r="A4759" s="10" t="s">
        <v>1227</v>
      </c>
      <c r="B4759" s="10" t="s">
        <v>42</v>
      </c>
      <c r="C4759" s="10" t="s">
        <v>226</v>
      </c>
      <c r="D4759" s="10" t="s">
        <v>1228</v>
      </c>
      <c r="E4759" s="14">
        <v>0.022</v>
      </c>
      <c r="F4759" s="15">
        <f>ROUND(27.5,3)</f>
        <v>27.5</v>
      </c>
      <c r="G4759" s="12">
        <f t="shared" ref="G4759:G4768" si="755">ROUND(E4759*F4759,2)</f>
        <v>0.61</v>
      </c>
    </row>
    <row r="4760" ht="48.75" customHeight="1">
      <c r="A4760" s="10" t="s">
        <v>1276</v>
      </c>
      <c r="B4760" s="10" t="s">
        <v>42</v>
      </c>
      <c r="C4760" s="10" t="s">
        <v>43</v>
      </c>
      <c r="D4760" s="10" t="s">
        <v>1277</v>
      </c>
      <c r="E4760" s="14">
        <v>0.25</v>
      </c>
      <c r="F4760" s="15">
        <f>ROUND(45.57,3)</f>
        <v>45.57</v>
      </c>
      <c r="G4760" s="12">
        <f t="shared" si="755"/>
        <v>11.39</v>
      </c>
    </row>
    <row r="4761" ht="30.0" customHeight="1">
      <c r="A4761" s="10" t="s">
        <v>1004</v>
      </c>
      <c r="B4761" s="10" t="s">
        <v>42</v>
      </c>
      <c r="C4761" s="10" t="s">
        <v>184</v>
      </c>
      <c r="D4761" s="10" t="s">
        <v>1005</v>
      </c>
      <c r="E4761" s="14">
        <v>1.13</v>
      </c>
      <c r="F4761" s="15">
        <f>ROUND(22.45,3)</f>
        <v>22.45</v>
      </c>
      <c r="G4761" s="12">
        <f t="shared" si="755"/>
        <v>25.37</v>
      </c>
    </row>
    <row r="4762" ht="39.75" customHeight="1">
      <c r="A4762" s="10" t="s">
        <v>1315</v>
      </c>
      <c r="B4762" s="10" t="s">
        <v>42</v>
      </c>
      <c r="C4762" s="10" t="s">
        <v>231</v>
      </c>
      <c r="D4762" s="10" t="s">
        <v>1316</v>
      </c>
      <c r="E4762" s="14">
        <v>0.07</v>
      </c>
      <c r="F4762" s="15">
        <f>ROUND(2.63,3)</f>
        <v>2.63</v>
      </c>
      <c r="G4762" s="12">
        <f t="shared" si="755"/>
        <v>0.18</v>
      </c>
    </row>
    <row r="4763" ht="39.75" customHeight="1">
      <c r="A4763" s="10" t="s">
        <v>1349</v>
      </c>
      <c r="B4763" s="10" t="s">
        <v>42</v>
      </c>
      <c r="C4763" s="10" t="s">
        <v>231</v>
      </c>
      <c r="D4763" s="10" t="s">
        <v>1350</v>
      </c>
      <c r="E4763" s="14">
        <v>0.44</v>
      </c>
      <c r="F4763" s="15">
        <f>ROUND(4.05,3)</f>
        <v>4.05</v>
      </c>
      <c r="G4763" s="12">
        <f t="shared" si="755"/>
        <v>1.78</v>
      </c>
    </row>
    <row r="4764" ht="21.0" customHeight="1">
      <c r="A4764" s="10" t="s">
        <v>22</v>
      </c>
      <c r="B4764" s="10" t="s">
        <v>18</v>
      </c>
      <c r="C4764" s="10" t="s">
        <v>23</v>
      </c>
      <c r="D4764" s="10" t="s">
        <v>24</v>
      </c>
      <c r="E4764" s="14">
        <v>1.12</v>
      </c>
      <c r="F4764" s="15">
        <f>F4768</f>
        <v>43.8</v>
      </c>
      <c r="G4764" s="12">
        <f t="shared" si="755"/>
        <v>49.06</v>
      </c>
    </row>
    <row r="4765" ht="24.0" customHeight="1">
      <c r="A4765" s="10" t="s">
        <v>25</v>
      </c>
      <c r="B4765" s="10" t="s">
        <v>26</v>
      </c>
      <c r="C4765" s="10" t="s">
        <v>23</v>
      </c>
      <c r="D4765" s="10" t="s">
        <v>27</v>
      </c>
      <c r="E4765" s="14">
        <v>1.0</v>
      </c>
      <c r="F4765" s="15">
        <f>ROUND(21,3)</f>
        <v>21</v>
      </c>
      <c r="G4765" s="12">
        <f t="shared" si="755"/>
        <v>21</v>
      </c>
    </row>
    <row r="4766" ht="24.0" customHeight="1">
      <c r="A4766" s="10" t="s">
        <v>28</v>
      </c>
      <c r="B4766" s="10" t="s">
        <v>26</v>
      </c>
      <c r="C4766" s="10" t="s">
        <v>23</v>
      </c>
      <c r="D4766" s="10" t="s">
        <v>29</v>
      </c>
      <c r="E4766" s="14">
        <v>1.0</v>
      </c>
      <c r="F4766" s="15">
        <f t="shared" ref="F4766:F4767" si="756">ROUND(19,3)</f>
        <v>19</v>
      </c>
      <c r="G4766" s="12">
        <f t="shared" si="755"/>
        <v>19</v>
      </c>
    </row>
    <row r="4767" ht="24.0" customHeight="1">
      <c r="A4767" s="10" t="s">
        <v>30</v>
      </c>
      <c r="B4767" s="10" t="s">
        <v>26</v>
      </c>
      <c r="C4767" s="10" t="s">
        <v>23</v>
      </c>
      <c r="D4767" s="10" t="s">
        <v>31</v>
      </c>
      <c r="E4767" s="14">
        <v>0.2</v>
      </c>
      <c r="F4767" s="15">
        <f t="shared" si="756"/>
        <v>19</v>
      </c>
      <c r="G4767" s="12">
        <f t="shared" si="755"/>
        <v>3.8</v>
      </c>
    </row>
    <row r="4768" ht="15.0" customHeight="1">
      <c r="A4768" s="11"/>
      <c r="B4768" s="11"/>
      <c r="C4768" s="11"/>
      <c r="D4768" s="10" t="s">
        <v>22</v>
      </c>
      <c r="E4768" s="14">
        <v>1.12</v>
      </c>
      <c r="F4768" s="15">
        <f>ROUND((G4765+G4766+G4767),3)</f>
        <v>43.8</v>
      </c>
      <c r="G4768" s="12">
        <f t="shared" si="755"/>
        <v>49.06</v>
      </c>
    </row>
    <row r="4769" ht="15.0" customHeight="1">
      <c r="A4769" s="10" t="s">
        <v>32</v>
      </c>
      <c r="B4769" s="10"/>
      <c r="C4769" s="10" t="s">
        <v>33</v>
      </c>
      <c r="D4769" s="10" t="s">
        <v>34</v>
      </c>
      <c r="E4769" s="14">
        <v>7.0</v>
      </c>
      <c r="F4769" s="15">
        <f>ROUND(49.06,3)</f>
        <v>49.06</v>
      </c>
      <c r="G4769" s="12">
        <f>ROUND((E4769*F4769)/100,2)</f>
        <v>3.43</v>
      </c>
    </row>
    <row r="4770" ht="15.0" customHeight="1">
      <c r="A4770" s="16"/>
      <c r="B4770" s="16"/>
      <c r="C4770" s="16"/>
      <c r="D4770" s="17" t="s">
        <v>2085</v>
      </c>
      <c r="E4770" s="16"/>
      <c r="F4770" s="18">
        <f>ROUND((G4759+G4760+G4761+G4762+G4763+G4764+G4769)*(1+G2/100),2)</f>
        <v>91.82</v>
      </c>
      <c r="G4770" s="16"/>
    </row>
    <row r="4771" ht="21.75" customHeight="1">
      <c r="A4771" s="26" t="s">
        <v>2086</v>
      </c>
      <c r="B4771" s="26" t="s">
        <v>10</v>
      </c>
      <c r="C4771" s="27"/>
      <c r="D4771" s="26" t="s">
        <v>2087</v>
      </c>
      <c r="E4771" s="27"/>
      <c r="F4771" s="27"/>
      <c r="G4771" s="27"/>
    </row>
    <row r="4772" ht="21.75" customHeight="1">
      <c r="A4772" s="28" t="s">
        <v>2088</v>
      </c>
      <c r="B4772" s="28" t="s">
        <v>10</v>
      </c>
      <c r="C4772" s="29"/>
      <c r="D4772" s="28" t="s">
        <v>2089</v>
      </c>
      <c r="E4772" s="29"/>
      <c r="F4772" s="29"/>
      <c r="G4772" s="29"/>
    </row>
    <row r="4773" ht="39.75" customHeight="1">
      <c r="A4773" s="13" t="s">
        <v>2090</v>
      </c>
      <c r="B4773" s="10" t="s">
        <v>18</v>
      </c>
      <c r="C4773" s="10" t="s">
        <v>19</v>
      </c>
      <c r="D4773" s="10" t="s">
        <v>2091</v>
      </c>
      <c r="E4773" s="11"/>
      <c r="F4773" s="12">
        <f>F4789</f>
        <v>78.7</v>
      </c>
      <c r="G4773" s="11"/>
    </row>
    <row r="4774" ht="21.0" customHeight="1">
      <c r="A4774" s="11"/>
      <c r="B4774" s="11"/>
      <c r="C4774" s="11"/>
      <c r="D4774" s="10" t="s">
        <v>2091</v>
      </c>
    </row>
    <row r="4775" ht="48.75" customHeight="1">
      <c r="A4775" s="10" t="s">
        <v>2092</v>
      </c>
      <c r="B4775" s="10" t="s">
        <v>42</v>
      </c>
      <c r="C4775" s="10" t="s">
        <v>341</v>
      </c>
      <c r="D4775" s="10" t="s">
        <v>2093</v>
      </c>
      <c r="E4775" s="14">
        <v>0.044</v>
      </c>
      <c r="F4775" s="15">
        <f>ROUND(80.15,3)</f>
        <v>80.15</v>
      </c>
      <c r="G4775" s="12">
        <f t="shared" ref="G4775:G4787" si="757">ROUND(E4775*F4775,2)</f>
        <v>3.53</v>
      </c>
    </row>
    <row r="4776" ht="39.75" customHeight="1">
      <c r="A4776" s="10" t="s">
        <v>2094</v>
      </c>
      <c r="B4776" s="10" t="s">
        <v>42</v>
      </c>
      <c r="C4776" s="10" t="s">
        <v>184</v>
      </c>
      <c r="D4776" s="10" t="s">
        <v>2095</v>
      </c>
      <c r="E4776" s="14">
        <v>0.22</v>
      </c>
      <c r="F4776" s="15">
        <f>ROUND(22,3)</f>
        <v>22</v>
      </c>
      <c r="G4776" s="12">
        <f t="shared" si="757"/>
        <v>4.84</v>
      </c>
    </row>
    <row r="4777" ht="39.75" customHeight="1">
      <c r="A4777" s="10" t="s">
        <v>2096</v>
      </c>
      <c r="B4777" s="10" t="s">
        <v>42</v>
      </c>
      <c r="C4777" s="10" t="s">
        <v>226</v>
      </c>
      <c r="D4777" s="10" t="s">
        <v>2097</v>
      </c>
      <c r="E4777" s="14">
        <v>0.022</v>
      </c>
      <c r="F4777" s="15">
        <f>ROUND(67.6,3)</f>
        <v>67.6</v>
      </c>
      <c r="G4777" s="12">
        <f t="shared" si="757"/>
        <v>1.49</v>
      </c>
    </row>
    <row r="4778" ht="30.0" customHeight="1">
      <c r="A4778" s="10" t="s">
        <v>2098</v>
      </c>
      <c r="B4778" s="10" t="s">
        <v>42</v>
      </c>
      <c r="C4778" s="10" t="s">
        <v>226</v>
      </c>
      <c r="D4778" s="10" t="s">
        <v>2099</v>
      </c>
      <c r="E4778" s="14">
        <v>0.022</v>
      </c>
      <c r="F4778" s="15">
        <f>ROUND(69.2,3)</f>
        <v>69.2</v>
      </c>
      <c r="G4778" s="12">
        <f t="shared" si="757"/>
        <v>1.52</v>
      </c>
    </row>
    <row r="4779" ht="39.75" customHeight="1">
      <c r="A4779" s="10" t="s">
        <v>1315</v>
      </c>
      <c r="B4779" s="10" t="s">
        <v>42</v>
      </c>
      <c r="C4779" s="10" t="s">
        <v>231</v>
      </c>
      <c r="D4779" s="10" t="s">
        <v>1316</v>
      </c>
      <c r="E4779" s="14">
        <v>0.247</v>
      </c>
      <c r="F4779" s="15">
        <f>ROUND(2.63,3)</f>
        <v>2.63</v>
      </c>
      <c r="G4779" s="12">
        <f t="shared" si="757"/>
        <v>0.65</v>
      </c>
    </row>
    <row r="4780" ht="39.75" customHeight="1">
      <c r="A4780" s="10" t="s">
        <v>1349</v>
      </c>
      <c r="B4780" s="10" t="s">
        <v>42</v>
      </c>
      <c r="C4780" s="10" t="s">
        <v>231</v>
      </c>
      <c r="D4780" s="10" t="s">
        <v>1350</v>
      </c>
      <c r="E4780" s="14">
        <v>0.123</v>
      </c>
      <c r="F4780" s="15">
        <f>ROUND(4.05,3)</f>
        <v>4.05</v>
      </c>
      <c r="G4780" s="12">
        <f t="shared" si="757"/>
        <v>0.5</v>
      </c>
    </row>
    <row r="4781" ht="39.75" customHeight="1">
      <c r="A4781" s="10" t="s">
        <v>2100</v>
      </c>
      <c r="B4781" s="10" t="s">
        <v>42</v>
      </c>
      <c r="C4781" s="10" t="s">
        <v>341</v>
      </c>
      <c r="D4781" s="10" t="s">
        <v>2101</v>
      </c>
      <c r="E4781" s="14">
        <v>0.11</v>
      </c>
      <c r="F4781" s="15">
        <f>ROUND(68.65,3)</f>
        <v>68.65</v>
      </c>
      <c r="G4781" s="12">
        <f t="shared" si="757"/>
        <v>7.55</v>
      </c>
    </row>
    <row r="4782" ht="48.75" customHeight="1">
      <c r="A4782" s="10" t="s">
        <v>2102</v>
      </c>
      <c r="B4782" s="10" t="s">
        <v>42</v>
      </c>
      <c r="C4782" s="10" t="s">
        <v>325</v>
      </c>
      <c r="D4782" s="10" t="s">
        <v>2103</v>
      </c>
      <c r="E4782" s="14">
        <v>0.01</v>
      </c>
      <c r="F4782" s="15">
        <f>ROUND(113.25,3)</f>
        <v>113.25</v>
      </c>
      <c r="G4782" s="12">
        <f t="shared" si="757"/>
        <v>1.13</v>
      </c>
    </row>
    <row r="4783" ht="21.0" customHeight="1">
      <c r="A4783" s="10" t="s">
        <v>22</v>
      </c>
      <c r="B4783" s="10" t="s">
        <v>18</v>
      </c>
      <c r="C4783" s="10" t="s">
        <v>23</v>
      </c>
      <c r="D4783" s="10" t="s">
        <v>24</v>
      </c>
      <c r="E4783" s="14">
        <v>1.25</v>
      </c>
      <c r="F4783" s="15">
        <f>F4787</f>
        <v>43.8</v>
      </c>
      <c r="G4783" s="12">
        <f t="shared" si="757"/>
        <v>54.75</v>
      </c>
    </row>
    <row r="4784" ht="24.0" customHeight="1">
      <c r="A4784" s="10" t="s">
        <v>25</v>
      </c>
      <c r="B4784" s="10" t="s">
        <v>26</v>
      </c>
      <c r="C4784" s="10" t="s">
        <v>23</v>
      </c>
      <c r="D4784" s="10" t="s">
        <v>27</v>
      </c>
      <c r="E4784" s="14">
        <v>1.0</v>
      </c>
      <c r="F4784" s="15">
        <f>ROUND(21,3)</f>
        <v>21</v>
      </c>
      <c r="G4784" s="12">
        <f t="shared" si="757"/>
        <v>21</v>
      </c>
    </row>
    <row r="4785" ht="24.0" customHeight="1">
      <c r="A4785" s="10" t="s">
        <v>28</v>
      </c>
      <c r="B4785" s="10" t="s">
        <v>26</v>
      </c>
      <c r="C4785" s="10" t="s">
        <v>23</v>
      </c>
      <c r="D4785" s="10" t="s">
        <v>29</v>
      </c>
      <c r="E4785" s="14">
        <v>1.0</v>
      </c>
      <c r="F4785" s="15">
        <f t="shared" ref="F4785:F4786" si="758">ROUND(19,3)</f>
        <v>19</v>
      </c>
      <c r="G4785" s="12">
        <f t="shared" si="757"/>
        <v>19</v>
      </c>
    </row>
    <row r="4786" ht="24.0" customHeight="1">
      <c r="A4786" s="10" t="s">
        <v>30</v>
      </c>
      <c r="B4786" s="10" t="s">
        <v>26</v>
      </c>
      <c r="C4786" s="10" t="s">
        <v>23</v>
      </c>
      <c r="D4786" s="10" t="s">
        <v>31</v>
      </c>
      <c r="E4786" s="14">
        <v>0.2</v>
      </c>
      <c r="F4786" s="15">
        <f t="shared" si="758"/>
        <v>19</v>
      </c>
      <c r="G4786" s="12">
        <f t="shared" si="757"/>
        <v>3.8</v>
      </c>
    </row>
    <row r="4787" ht="15.0" customHeight="1">
      <c r="A4787" s="11"/>
      <c r="B4787" s="11"/>
      <c r="C4787" s="11"/>
      <c r="D4787" s="10" t="s">
        <v>22</v>
      </c>
      <c r="E4787" s="14">
        <v>1.25</v>
      </c>
      <c r="F4787" s="15">
        <f>ROUND((G4784+G4785+G4786),3)</f>
        <v>43.8</v>
      </c>
      <c r="G4787" s="12">
        <f t="shared" si="757"/>
        <v>54.75</v>
      </c>
    </row>
    <row r="4788" ht="15.0" customHeight="1">
      <c r="A4788" s="10" t="s">
        <v>32</v>
      </c>
      <c r="B4788" s="10"/>
      <c r="C4788" s="10" t="s">
        <v>33</v>
      </c>
      <c r="D4788" s="10" t="s">
        <v>34</v>
      </c>
      <c r="E4788" s="14">
        <v>5.0</v>
      </c>
      <c r="F4788" s="15">
        <f>ROUND(54.75,3)</f>
        <v>54.75</v>
      </c>
      <c r="G4788" s="12">
        <f>ROUND((E4788*F4788)/100,2)</f>
        <v>2.74</v>
      </c>
    </row>
    <row r="4789" ht="15.0" customHeight="1">
      <c r="A4789" s="16"/>
      <c r="B4789" s="16"/>
      <c r="C4789" s="16"/>
      <c r="D4789" s="17" t="s">
        <v>2090</v>
      </c>
      <c r="E4789" s="16"/>
      <c r="F4789" s="18">
        <f>ROUND((G4775+G4776+G4777+G4778+G4779+G4780+G4781+G4782+G4783+G4788)*(1+G2/100),2)</f>
        <v>78.7</v>
      </c>
      <c r="G4789" s="16"/>
    </row>
    <row r="4790" ht="15.0" customHeight="1">
      <c r="A4790" s="23"/>
      <c r="B4790" s="23"/>
      <c r="C4790" s="23"/>
      <c r="D4790" s="30" t="s">
        <v>2088</v>
      </c>
      <c r="E4790" s="31"/>
      <c r="F4790" s="31"/>
      <c r="G4790" s="31"/>
    </row>
    <row r="4791" ht="57.75" customHeight="1">
      <c r="A4791" s="19" t="s">
        <v>2104</v>
      </c>
      <c r="B4791" s="20" t="s">
        <v>18</v>
      </c>
      <c r="C4791" s="20" t="s">
        <v>1357</v>
      </c>
      <c r="D4791" s="20" t="s">
        <v>2105</v>
      </c>
      <c r="E4791" s="21"/>
      <c r="F4791" s="22">
        <f>F4812</f>
        <v>118.76</v>
      </c>
      <c r="G4791" s="21"/>
    </row>
    <row r="4792" ht="243.0" customHeight="1">
      <c r="A4792" s="11"/>
      <c r="B4792" s="11"/>
      <c r="C4792" s="11"/>
      <c r="D4792" s="10" t="s">
        <v>2106</v>
      </c>
    </row>
    <row r="4793" ht="67.5" customHeight="1">
      <c r="A4793" s="10" t="s">
        <v>2107</v>
      </c>
      <c r="B4793" s="10" t="s">
        <v>42</v>
      </c>
      <c r="C4793" s="10" t="s">
        <v>351</v>
      </c>
      <c r="D4793" s="10" t="s">
        <v>2108</v>
      </c>
      <c r="E4793" s="14">
        <v>0.6</v>
      </c>
      <c r="F4793" s="15">
        <f>ROUND(3.55,3)</f>
        <v>3.55</v>
      </c>
      <c r="G4793" s="12">
        <f t="shared" ref="G4793:G4810" si="759">ROUND(E4793*F4793,2)</f>
        <v>2.13</v>
      </c>
    </row>
    <row r="4794" ht="48.75" customHeight="1">
      <c r="A4794" s="10" t="s">
        <v>2109</v>
      </c>
      <c r="B4794" s="10" t="s">
        <v>42</v>
      </c>
      <c r="C4794" s="10" t="s">
        <v>351</v>
      </c>
      <c r="D4794" s="10" t="s">
        <v>2110</v>
      </c>
      <c r="E4794" s="14">
        <v>0.17</v>
      </c>
      <c r="F4794" s="15">
        <f>ROUND(12.05,3)</f>
        <v>12.05</v>
      </c>
      <c r="G4794" s="12">
        <f t="shared" si="759"/>
        <v>2.05</v>
      </c>
    </row>
    <row r="4795" ht="30.0" customHeight="1">
      <c r="A4795" s="10" t="s">
        <v>2111</v>
      </c>
      <c r="B4795" s="10" t="s">
        <v>42</v>
      </c>
      <c r="C4795" s="10" t="s">
        <v>1207</v>
      </c>
      <c r="D4795" s="10" t="s">
        <v>2112</v>
      </c>
      <c r="E4795" s="14">
        <v>12.0</v>
      </c>
      <c r="F4795" s="15">
        <f>ROUND(0.96,3)</f>
        <v>0.96</v>
      </c>
      <c r="G4795" s="12">
        <f t="shared" si="759"/>
        <v>11.52</v>
      </c>
    </row>
    <row r="4796" ht="168.75" customHeight="1">
      <c r="A4796" s="10" t="s">
        <v>2113</v>
      </c>
      <c r="B4796" s="10" t="s">
        <v>42</v>
      </c>
      <c r="C4796" s="10" t="s">
        <v>1357</v>
      </c>
      <c r="D4796" s="10" t="s">
        <v>2114</v>
      </c>
      <c r="E4796" s="14">
        <v>1.1</v>
      </c>
      <c r="F4796" s="15">
        <f>ROUND(19.6,3)</f>
        <v>19.6</v>
      </c>
      <c r="G4796" s="12">
        <f t="shared" si="759"/>
        <v>21.56</v>
      </c>
    </row>
    <row r="4797" ht="39.75" customHeight="1">
      <c r="A4797" s="10" t="s">
        <v>2115</v>
      </c>
      <c r="B4797" s="10" t="s">
        <v>42</v>
      </c>
      <c r="C4797" s="10" t="s">
        <v>5</v>
      </c>
      <c r="D4797" s="10" t="s">
        <v>2116</v>
      </c>
      <c r="E4797" s="14">
        <v>8.0</v>
      </c>
      <c r="F4797" s="15">
        <f>ROUND(0.433,3)</f>
        <v>0.433</v>
      </c>
      <c r="G4797" s="12">
        <f t="shared" si="759"/>
        <v>3.46</v>
      </c>
    </row>
    <row r="4798" ht="30.0" customHeight="1">
      <c r="A4798" s="10" t="s">
        <v>2117</v>
      </c>
      <c r="B4798" s="10" t="s">
        <v>42</v>
      </c>
      <c r="C4798" s="10" t="s">
        <v>351</v>
      </c>
      <c r="D4798" s="10" t="s">
        <v>2118</v>
      </c>
      <c r="E4798" s="14">
        <v>0.3</v>
      </c>
      <c r="F4798" s="15">
        <f>ROUND(3.2,3)</f>
        <v>3.2</v>
      </c>
      <c r="G4798" s="12">
        <f t="shared" si="759"/>
        <v>0.96</v>
      </c>
    </row>
    <row r="4799" ht="30.0" customHeight="1">
      <c r="A4799" s="10" t="s">
        <v>2119</v>
      </c>
      <c r="B4799" s="10" t="s">
        <v>42</v>
      </c>
      <c r="C4799" s="10" t="s">
        <v>351</v>
      </c>
      <c r="D4799" s="10" t="s">
        <v>2120</v>
      </c>
      <c r="E4799" s="14">
        <v>0.3</v>
      </c>
      <c r="F4799" s="15">
        <f>ROUND(1.3,3)</f>
        <v>1.3</v>
      </c>
      <c r="G4799" s="12">
        <f t="shared" si="759"/>
        <v>0.39</v>
      </c>
    </row>
    <row r="4800" ht="30.0" customHeight="1">
      <c r="A4800" s="10" t="s">
        <v>2121</v>
      </c>
      <c r="B4800" s="10" t="s">
        <v>42</v>
      </c>
      <c r="C4800" s="10" t="s">
        <v>351</v>
      </c>
      <c r="D4800" s="10" t="s">
        <v>2122</v>
      </c>
      <c r="E4800" s="14">
        <v>0.3</v>
      </c>
      <c r="F4800" s="15">
        <f>ROUND(9.6,3)</f>
        <v>9.6</v>
      </c>
      <c r="G4800" s="12">
        <f t="shared" si="759"/>
        <v>2.88</v>
      </c>
    </row>
    <row r="4801" ht="48.75" customHeight="1">
      <c r="A4801" s="10" t="s">
        <v>2123</v>
      </c>
      <c r="B4801" s="10" t="s">
        <v>42</v>
      </c>
      <c r="C4801" s="10" t="s">
        <v>1357</v>
      </c>
      <c r="D4801" s="10" t="s">
        <v>2124</v>
      </c>
      <c r="E4801" s="14">
        <v>1.1</v>
      </c>
      <c r="F4801" s="15">
        <f>ROUND(1.77,3)</f>
        <v>1.77</v>
      </c>
      <c r="G4801" s="12">
        <f t="shared" si="759"/>
        <v>1.95</v>
      </c>
    </row>
    <row r="4802" ht="39.75" customHeight="1">
      <c r="A4802" s="10" t="s">
        <v>2125</v>
      </c>
      <c r="B4802" s="10" t="s">
        <v>42</v>
      </c>
      <c r="C4802" s="10" t="s">
        <v>1207</v>
      </c>
      <c r="D4802" s="10" t="s">
        <v>2126</v>
      </c>
      <c r="E4802" s="14">
        <v>0.35</v>
      </c>
      <c r="F4802" s="15">
        <f>ROUND(12.06,3)</f>
        <v>12.06</v>
      </c>
      <c r="G4802" s="12">
        <f t="shared" si="759"/>
        <v>4.22</v>
      </c>
    </row>
    <row r="4803" ht="85.5" customHeight="1">
      <c r="A4803" s="10" t="s">
        <v>2127</v>
      </c>
      <c r="B4803" s="10" t="s">
        <v>42</v>
      </c>
      <c r="C4803" s="10" t="s">
        <v>1207</v>
      </c>
      <c r="D4803" s="10" t="s">
        <v>2128</v>
      </c>
      <c r="E4803" s="14">
        <v>2.5</v>
      </c>
      <c r="F4803" s="15">
        <f>ROUND(7.18,3)</f>
        <v>7.18</v>
      </c>
      <c r="G4803" s="12">
        <f t="shared" si="759"/>
        <v>17.95</v>
      </c>
    </row>
    <row r="4804" ht="39.75" customHeight="1">
      <c r="A4804" s="10" t="s">
        <v>2129</v>
      </c>
      <c r="B4804" s="10" t="s">
        <v>42</v>
      </c>
      <c r="C4804" s="10" t="s">
        <v>351</v>
      </c>
      <c r="D4804" s="10" t="s">
        <v>2130</v>
      </c>
      <c r="E4804" s="14">
        <v>0.17</v>
      </c>
      <c r="F4804" s="15">
        <f>ROUND(0.44,3)</f>
        <v>0.44</v>
      </c>
      <c r="G4804" s="12">
        <f t="shared" si="759"/>
        <v>0.07</v>
      </c>
    </row>
    <row r="4805" ht="95.25" customHeight="1">
      <c r="A4805" s="10" t="s">
        <v>2131</v>
      </c>
      <c r="B4805" s="10" t="s">
        <v>42</v>
      </c>
      <c r="C4805" s="10" t="s">
        <v>5</v>
      </c>
      <c r="D4805" s="10" t="s">
        <v>2132</v>
      </c>
      <c r="E4805" s="14">
        <v>0.02</v>
      </c>
      <c r="F4805" s="15">
        <f>ROUND(8.24,3)</f>
        <v>8.24</v>
      </c>
      <c r="G4805" s="12">
        <f t="shared" si="759"/>
        <v>0.16</v>
      </c>
    </row>
    <row r="4806" ht="21.0" customHeight="1">
      <c r="A4806" s="10" t="s">
        <v>22</v>
      </c>
      <c r="B4806" s="10" t="s">
        <v>18</v>
      </c>
      <c r="C4806" s="10" t="s">
        <v>23</v>
      </c>
      <c r="D4806" s="10" t="s">
        <v>24</v>
      </c>
      <c r="E4806" s="14">
        <v>1.0</v>
      </c>
      <c r="F4806" s="15">
        <f>F4810</f>
        <v>43.8</v>
      </c>
      <c r="G4806" s="12">
        <f t="shared" si="759"/>
        <v>43.8</v>
      </c>
    </row>
    <row r="4807" ht="24.0" customHeight="1">
      <c r="A4807" s="10" t="s">
        <v>25</v>
      </c>
      <c r="B4807" s="10" t="s">
        <v>26</v>
      </c>
      <c r="C4807" s="10" t="s">
        <v>23</v>
      </c>
      <c r="D4807" s="10" t="s">
        <v>27</v>
      </c>
      <c r="E4807" s="14">
        <v>1.0</v>
      </c>
      <c r="F4807" s="15">
        <f>ROUND(21,3)</f>
        <v>21</v>
      </c>
      <c r="G4807" s="12">
        <f t="shared" si="759"/>
        <v>21</v>
      </c>
    </row>
    <row r="4808" ht="24.0" customHeight="1">
      <c r="A4808" s="10" t="s">
        <v>28</v>
      </c>
      <c r="B4808" s="10" t="s">
        <v>26</v>
      </c>
      <c r="C4808" s="10" t="s">
        <v>23</v>
      </c>
      <c r="D4808" s="10" t="s">
        <v>29</v>
      </c>
      <c r="E4808" s="14">
        <v>1.0</v>
      </c>
      <c r="F4808" s="15">
        <f t="shared" ref="F4808:F4809" si="760">ROUND(19,3)</f>
        <v>19</v>
      </c>
      <c r="G4808" s="12">
        <f t="shared" si="759"/>
        <v>19</v>
      </c>
    </row>
    <row r="4809" ht="24.0" customHeight="1">
      <c r="A4809" s="10" t="s">
        <v>30</v>
      </c>
      <c r="B4809" s="10" t="s">
        <v>26</v>
      </c>
      <c r="C4809" s="10" t="s">
        <v>23</v>
      </c>
      <c r="D4809" s="10" t="s">
        <v>31</v>
      </c>
      <c r="E4809" s="14">
        <v>0.2</v>
      </c>
      <c r="F4809" s="15">
        <f t="shared" si="760"/>
        <v>19</v>
      </c>
      <c r="G4809" s="12">
        <f t="shared" si="759"/>
        <v>3.8</v>
      </c>
    </row>
    <row r="4810" ht="15.0" customHeight="1">
      <c r="A4810" s="11"/>
      <c r="B4810" s="11"/>
      <c r="C4810" s="11"/>
      <c r="D4810" s="10" t="s">
        <v>22</v>
      </c>
      <c r="E4810" s="14">
        <v>1.0</v>
      </c>
      <c r="F4810" s="15">
        <f>ROUND((G4807+G4808+G4809),3)</f>
        <v>43.8</v>
      </c>
      <c r="G4810" s="12">
        <f t="shared" si="759"/>
        <v>43.8</v>
      </c>
    </row>
    <row r="4811" ht="15.0" customHeight="1">
      <c r="A4811" s="10" t="s">
        <v>33</v>
      </c>
      <c r="B4811" s="10"/>
      <c r="C4811" s="10" t="s">
        <v>33</v>
      </c>
      <c r="D4811" s="10" t="s">
        <v>424</v>
      </c>
      <c r="E4811" s="14">
        <v>5.0</v>
      </c>
      <c r="F4811" s="15">
        <f>ROUND(113.1,3)</f>
        <v>113.1</v>
      </c>
      <c r="G4811" s="12">
        <f>ROUND((E4811*F4811)/100,2)</f>
        <v>5.66</v>
      </c>
    </row>
    <row r="4812" ht="15.0" customHeight="1">
      <c r="A4812" s="16"/>
      <c r="B4812" s="16"/>
      <c r="C4812" s="16"/>
      <c r="D4812" s="17" t="s">
        <v>2104</v>
      </c>
      <c r="E4812" s="16"/>
      <c r="F4812" s="18">
        <f>ROUND((G4793+G4794+G4795+G4796+G4797+G4798+G4799+G4800+G4801+G4802+G4803+G4804+G4805+G4806+G4811)*(1+G2/100),2)</f>
        <v>118.76</v>
      </c>
      <c r="G4812" s="16"/>
    </row>
    <row r="4813" ht="57.75" customHeight="1">
      <c r="A4813" s="19" t="s">
        <v>2133</v>
      </c>
      <c r="B4813" s="20" t="s">
        <v>18</v>
      </c>
      <c r="C4813" s="20" t="s">
        <v>19</v>
      </c>
      <c r="D4813" s="20" t="s">
        <v>2134</v>
      </c>
      <c r="E4813" s="21"/>
      <c r="F4813" s="22">
        <f>F4834</f>
        <v>128.87</v>
      </c>
      <c r="G4813" s="21"/>
    </row>
    <row r="4814" ht="243.0" customHeight="1">
      <c r="A4814" s="11"/>
      <c r="B4814" s="11"/>
      <c r="C4814" s="11"/>
      <c r="D4814" s="10" t="s">
        <v>2135</v>
      </c>
    </row>
    <row r="4815" ht="67.5" customHeight="1">
      <c r="A4815" s="10" t="s">
        <v>2107</v>
      </c>
      <c r="B4815" s="10" t="s">
        <v>42</v>
      </c>
      <c r="C4815" s="10" t="s">
        <v>351</v>
      </c>
      <c r="D4815" s="10" t="s">
        <v>2108</v>
      </c>
      <c r="E4815" s="14">
        <v>0.6</v>
      </c>
      <c r="F4815" s="15">
        <f>ROUND(3.55,3)</f>
        <v>3.55</v>
      </c>
      <c r="G4815" s="12">
        <f t="shared" ref="G4815:G4832" si="761">ROUND(E4815*F4815,2)</f>
        <v>2.13</v>
      </c>
    </row>
    <row r="4816" ht="48.75" customHeight="1">
      <c r="A4816" s="10" t="s">
        <v>2109</v>
      </c>
      <c r="B4816" s="10" t="s">
        <v>42</v>
      </c>
      <c r="C4816" s="10" t="s">
        <v>351</v>
      </c>
      <c r="D4816" s="10" t="s">
        <v>2110</v>
      </c>
      <c r="E4816" s="14">
        <v>0.17</v>
      </c>
      <c r="F4816" s="15">
        <f>ROUND(12.05,3)</f>
        <v>12.05</v>
      </c>
      <c r="G4816" s="12">
        <f t="shared" si="761"/>
        <v>2.05</v>
      </c>
    </row>
    <row r="4817" ht="30.0" customHeight="1">
      <c r="A4817" s="10" t="s">
        <v>2111</v>
      </c>
      <c r="B4817" s="10" t="s">
        <v>42</v>
      </c>
      <c r="C4817" s="10" t="s">
        <v>1207</v>
      </c>
      <c r="D4817" s="10" t="s">
        <v>2112</v>
      </c>
      <c r="E4817" s="14">
        <v>12.0</v>
      </c>
      <c r="F4817" s="15">
        <f>ROUND(0.96,3)</f>
        <v>0.96</v>
      </c>
      <c r="G4817" s="12">
        <f t="shared" si="761"/>
        <v>11.52</v>
      </c>
    </row>
    <row r="4818" ht="168.75" customHeight="1">
      <c r="A4818" s="10" t="s">
        <v>2136</v>
      </c>
      <c r="B4818" s="10" t="s">
        <v>42</v>
      </c>
      <c r="C4818" s="10" t="s">
        <v>19</v>
      </c>
      <c r="D4818" s="10" t="s">
        <v>2114</v>
      </c>
      <c r="E4818" s="14">
        <v>1.1</v>
      </c>
      <c r="F4818" s="15">
        <f>ROUND(28.35,3)</f>
        <v>28.35</v>
      </c>
      <c r="G4818" s="12">
        <f t="shared" si="761"/>
        <v>31.19</v>
      </c>
    </row>
    <row r="4819" ht="39.75" customHeight="1">
      <c r="A4819" s="10" t="s">
        <v>2115</v>
      </c>
      <c r="B4819" s="10" t="s">
        <v>42</v>
      </c>
      <c r="C4819" s="10" t="s">
        <v>5</v>
      </c>
      <c r="D4819" s="10" t="s">
        <v>2116</v>
      </c>
      <c r="E4819" s="14">
        <v>8.0</v>
      </c>
      <c r="F4819" s="15">
        <f>ROUND(0.433,3)</f>
        <v>0.433</v>
      </c>
      <c r="G4819" s="12">
        <f t="shared" si="761"/>
        <v>3.46</v>
      </c>
    </row>
    <row r="4820" ht="30.0" customHeight="1">
      <c r="A4820" s="10" t="s">
        <v>2117</v>
      </c>
      <c r="B4820" s="10" t="s">
        <v>42</v>
      </c>
      <c r="C4820" s="10" t="s">
        <v>351</v>
      </c>
      <c r="D4820" s="10" t="s">
        <v>2118</v>
      </c>
      <c r="E4820" s="14">
        <v>0.3</v>
      </c>
      <c r="F4820" s="15">
        <f>ROUND(3.2,3)</f>
        <v>3.2</v>
      </c>
      <c r="G4820" s="12">
        <f t="shared" si="761"/>
        <v>0.96</v>
      </c>
    </row>
    <row r="4821" ht="30.0" customHeight="1">
      <c r="A4821" s="10" t="s">
        <v>2119</v>
      </c>
      <c r="B4821" s="10" t="s">
        <v>42</v>
      </c>
      <c r="C4821" s="10" t="s">
        <v>351</v>
      </c>
      <c r="D4821" s="10" t="s">
        <v>2120</v>
      </c>
      <c r="E4821" s="14">
        <v>0.3</v>
      </c>
      <c r="F4821" s="15">
        <f>ROUND(1.3,3)</f>
        <v>1.3</v>
      </c>
      <c r="G4821" s="12">
        <f t="shared" si="761"/>
        <v>0.39</v>
      </c>
    </row>
    <row r="4822" ht="30.0" customHeight="1">
      <c r="A4822" s="10" t="s">
        <v>2121</v>
      </c>
      <c r="B4822" s="10" t="s">
        <v>42</v>
      </c>
      <c r="C4822" s="10" t="s">
        <v>351</v>
      </c>
      <c r="D4822" s="10" t="s">
        <v>2122</v>
      </c>
      <c r="E4822" s="14">
        <v>0.3</v>
      </c>
      <c r="F4822" s="15">
        <f>ROUND(9.6,3)</f>
        <v>9.6</v>
      </c>
      <c r="G4822" s="12">
        <f t="shared" si="761"/>
        <v>2.88</v>
      </c>
    </row>
    <row r="4823" ht="48.75" customHeight="1">
      <c r="A4823" s="10" t="s">
        <v>2123</v>
      </c>
      <c r="B4823" s="10" t="s">
        <v>42</v>
      </c>
      <c r="C4823" s="10" t="s">
        <v>1357</v>
      </c>
      <c r="D4823" s="10" t="s">
        <v>2124</v>
      </c>
      <c r="E4823" s="14">
        <v>1.1</v>
      </c>
      <c r="F4823" s="15">
        <f>ROUND(1.77,3)</f>
        <v>1.77</v>
      </c>
      <c r="G4823" s="12">
        <f t="shared" si="761"/>
        <v>1.95</v>
      </c>
    </row>
    <row r="4824" ht="39.75" customHeight="1">
      <c r="A4824" s="10" t="s">
        <v>2125</v>
      </c>
      <c r="B4824" s="10" t="s">
        <v>42</v>
      </c>
      <c r="C4824" s="10" t="s">
        <v>1207</v>
      </c>
      <c r="D4824" s="10" t="s">
        <v>2126</v>
      </c>
      <c r="E4824" s="14">
        <v>0.35</v>
      </c>
      <c r="F4824" s="15">
        <f>ROUND(12.06,3)</f>
        <v>12.06</v>
      </c>
      <c r="G4824" s="12">
        <f t="shared" si="761"/>
        <v>4.22</v>
      </c>
    </row>
    <row r="4825" ht="85.5" customHeight="1">
      <c r="A4825" s="10" t="s">
        <v>2127</v>
      </c>
      <c r="B4825" s="10" t="s">
        <v>42</v>
      </c>
      <c r="C4825" s="10" t="s">
        <v>1207</v>
      </c>
      <c r="D4825" s="10" t="s">
        <v>2128</v>
      </c>
      <c r="E4825" s="14">
        <v>2.5</v>
      </c>
      <c r="F4825" s="15">
        <f>ROUND(7.18,3)</f>
        <v>7.18</v>
      </c>
      <c r="G4825" s="12">
        <f t="shared" si="761"/>
        <v>17.95</v>
      </c>
    </row>
    <row r="4826" ht="39.75" customHeight="1">
      <c r="A4826" s="10" t="s">
        <v>2129</v>
      </c>
      <c r="B4826" s="10" t="s">
        <v>42</v>
      </c>
      <c r="C4826" s="10" t="s">
        <v>351</v>
      </c>
      <c r="D4826" s="10" t="s">
        <v>2130</v>
      </c>
      <c r="E4826" s="14">
        <v>0.17</v>
      </c>
      <c r="F4826" s="15">
        <f>ROUND(0.44,3)</f>
        <v>0.44</v>
      </c>
      <c r="G4826" s="12">
        <f t="shared" si="761"/>
        <v>0.07</v>
      </c>
    </row>
    <row r="4827" ht="95.25" customHeight="1">
      <c r="A4827" s="10" t="s">
        <v>2131</v>
      </c>
      <c r="B4827" s="10" t="s">
        <v>42</v>
      </c>
      <c r="C4827" s="10" t="s">
        <v>5</v>
      </c>
      <c r="D4827" s="10" t="s">
        <v>2132</v>
      </c>
      <c r="E4827" s="14">
        <v>0.02</v>
      </c>
      <c r="F4827" s="15">
        <f>ROUND(8.24,3)</f>
        <v>8.24</v>
      </c>
      <c r="G4827" s="12">
        <f t="shared" si="761"/>
        <v>0.16</v>
      </c>
    </row>
    <row r="4828" ht="21.0" customHeight="1">
      <c r="A4828" s="10" t="s">
        <v>22</v>
      </c>
      <c r="B4828" s="10" t="s">
        <v>18</v>
      </c>
      <c r="C4828" s="10" t="s">
        <v>23</v>
      </c>
      <c r="D4828" s="10" t="s">
        <v>24</v>
      </c>
      <c r="E4828" s="14">
        <v>1.0</v>
      </c>
      <c r="F4828" s="15">
        <f>F4832</f>
        <v>43.8</v>
      </c>
      <c r="G4828" s="12">
        <f t="shared" si="761"/>
        <v>43.8</v>
      </c>
    </row>
    <row r="4829" ht="24.0" customHeight="1">
      <c r="A4829" s="10" t="s">
        <v>25</v>
      </c>
      <c r="B4829" s="10" t="s">
        <v>26</v>
      </c>
      <c r="C4829" s="10" t="s">
        <v>23</v>
      </c>
      <c r="D4829" s="10" t="s">
        <v>27</v>
      </c>
      <c r="E4829" s="14">
        <v>1.0</v>
      </c>
      <c r="F4829" s="15">
        <f>ROUND(21,3)</f>
        <v>21</v>
      </c>
      <c r="G4829" s="12">
        <f t="shared" si="761"/>
        <v>21</v>
      </c>
    </row>
    <row r="4830" ht="24.0" customHeight="1">
      <c r="A4830" s="10" t="s">
        <v>28</v>
      </c>
      <c r="B4830" s="10" t="s">
        <v>26</v>
      </c>
      <c r="C4830" s="10" t="s">
        <v>23</v>
      </c>
      <c r="D4830" s="10" t="s">
        <v>29</v>
      </c>
      <c r="E4830" s="14">
        <v>1.0</v>
      </c>
      <c r="F4830" s="15">
        <f t="shared" ref="F4830:F4831" si="762">ROUND(19,3)</f>
        <v>19</v>
      </c>
      <c r="G4830" s="12">
        <f t="shared" si="761"/>
        <v>19</v>
      </c>
    </row>
    <row r="4831" ht="24.0" customHeight="1">
      <c r="A4831" s="10" t="s">
        <v>30</v>
      </c>
      <c r="B4831" s="10" t="s">
        <v>26</v>
      </c>
      <c r="C4831" s="10" t="s">
        <v>23</v>
      </c>
      <c r="D4831" s="10" t="s">
        <v>31</v>
      </c>
      <c r="E4831" s="14">
        <v>0.2</v>
      </c>
      <c r="F4831" s="15">
        <f t="shared" si="762"/>
        <v>19</v>
      </c>
      <c r="G4831" s="12">
        <f t="shared" si="761"/>
        <v>3.8</v>
      </c>
    </row>
    <row r="4832" ht="15.0" customHeight="1">
      <c r="A4832" s="11"/>
      <c r="B4832" s="11"/>
      <c r="C4832" s="11"/>
      <c r="D4832" s="10" t="s">
        <v>22</v>
      </c>
      <c r="E4832" s="14">
        <v>1.0</v>
      </c>
      <c r="F4832" s="15">
        <f>ROUND((G4829+G4830+G4831),3)</f>
        <v>43.8</v>
      </c>
      <c r="G4832" s="12">
        <f t="shared" si="761"/>
        <v>43.8</v>
      </c>
    </row>
    <row r="4833" ht="15.0" customHeight="1">
      <c r="A4833" s="10" t="s">
        <v>33</v>
      </c>
      <c r="B4833" s="10"/>
      <c r="C4833" s="10" t="s">
        <v>33</v>
      </c>
      <c r="D4833" s="10" t="s">
        <v>424</v>
      </c>
      <c r="E4833" s="14">
        <v>5.0</v>
      </c>
      <c r="F4833" s="15">
        <f>ROUND(122.73,3)</f>
        <v>122.73</v>
      </c>
      <c r="G4833" s="12">
        <f>ROUND((E4833*F4833)/100,2)</f>
        <v>6.14</v>
      </c>
    </row>
    <row r="4834" ht="15.0" customHeight="1">
      <c r="A4834" s="16"/>
      <c r="B4834" s="16"/>
      <c r="C4834" s="16"/>
      <c r="D4834" s="17" t="s">
        <v>2133</v>
      </c>
      <c r="E4834" s="16"/>
      <c r="F4834" s="18">
        <f>ROUND((G4815+G4816+G4817+G4818+G4819+G4820+G4821+G4822+G4823+G4824+G4825+G4826+G4827+G4828+G4833)*(1+G2/100),2)</f>
        <v>128.87</v>
      </c>
      <c r="G4834" s="16"/>
    </row>
    <row r="4835" ht="34.5" customHeight="1">
      <c r="A4835" s="19" t="s">
        <v>2137</v>
      </c>
      <c r="B4835" s="20" t="s">
        <v>18</v>
      </c>
      <c r="C4835" s="20" t="s">
        <v>19</v>
      </c>
      <c r="D4835" s="20" t="s">
        <v>2138</v>
      </c>
      <c r="E4835" s="21"/>
      <c r="F4835" s="22">
        <f>F4846</f>
        <v>40.56</v>
      </c>
      <c r="G4835" s="21"/>
    </row>
    <row r="4836" ht="12.0" customHeight="1">
      <c r="A4836" s="11"/>
      <c r="B4836" s="11"/>
      <c r="C4836" s="11"/>
      <c r="D4836" s="10" t="s">
        <v>2139</v>
      </c>
    </row>
    <row r="4837" ht="30.0" customHeight="1">
      <c r="A4837" s="10" t="s">
        <v>2140</v>
      </c>
      <c r="B4837" s="10" t="s">
        <v>42</v>
      </c>
      <c r="C4837" s="10" t="s">
        <v>276</v>
      </c>
      <c r="D4837" s="10" t="s">
        <v>2141</v>
      </c>
      <c r="E4837" s="14">
        <v>0.0165</v>
      </c>
      <c r="F4837" s="15">
        <f>ROUND(143.22,3)</f>
        <v>143.22</v>
      </c>
      <c r="G4837" s="12">
        <f t="shared" ref="G4837:G4844" si="763">ROUND(E4837*F4837,2)</f>
        <v>2.36</v>
      </c>
    </row>
    <row r="4838" ht="39.75" customHeight="1">
      <c r="A4838" s="10" t="s">
        <v>2142</v>
      </c>
      <c r="B4838" s="10" t="s">
        <v>42</v>
      </c>
      <c r="C4838" s="10" t="s">
        <v>184</v>
      </c>
      <c r="D4838" s="10" t="s">
        <v>2143</v>
      </c>
      <c r="E4838" s="14">
        <v>1.0</v>
      </c>
      <c r="F4838" s="15">
        <f>ROUND(6.8,3)</f>
        <v>6.8</v>
      </c>
      <c r="G4838" s="12">
        <f t="shared" si="763"/>
        <v>6.8</v>
      </c>
    </row>
    <row r="4839" ht="39.75" customHeight="1">
      <c r="A4839" s="10" t="s">
        <v>2144</v>
      </c>
      <c r="B4839" s="10" t="s">
        <v>42</v>
      </c>
      <c r="C4839" s="10" t="s">
        <v>226</v>
      </c>
      <c r="D4839" s="10" t="s">
        <v>2145</v>
      </c>
      <c r="E4839" s="14">
        <v>0.02</v>
      </c>
      <c r="F4839" s="15">
        <f>ROUND(104.03,3)</f>
        <v>104.03</v>
      </c>
      <c r="G4839" s="12">
        <f t="shared" si="763"/>
        <v>2.08</v>
      </c>
    </row>
    <row r="4840" ht="21.0" customHeight="1">
      <c r="A4840" s="10" t="s">
        <v>22</v>
      </c>
      <c r="B4840" s="10" t="s">
        <v>18</v>
      </c>
      <c r="C4840" s="10" t="s">
        <v>23</v>
      </c>
      <c r="D4840" s="10" t="s">
        <v>24</v>
      </c>
      <c r="E4840" s="14">
        <v>0.65</v>
      </c>
      <c r="F4840" s="15">
        <f>F4844</f>
        <v>43.8</v>
      </c>
      <c r="G4840" s="12">
        <f t="shared" si="763"/>
        <v>28.47</v>
      </c>
    </row>
    <row r="4841" ht="24.0" customHeight="1">
      <c r="A4841" s="10" t="s">
        <v>25</v>
      </c>
      <c r="B4841" s="10" t="s">
        <v>26</v>
      </c>
      <c r="C4841" s="10" t="s">
        <v>23</v>
      </c>
      <c r="D4841" s="10" t="s">
        <v>27</v>
      </c>
      <c r="E4841" s="14">
        <v>1.0</v>
      </c>
      <c r="F4841" s="15">
        <f>ROUND(21,3)</f>
        <v>21</v>
      </c>
      <c r="G4841" s="12">
        <f t="shared" si="763"/>
        <v>21</v>
      </c>
    </row>
    <row r="4842" ht="24.0" customHeight="1">
      <c r="A4842" s="10" t="s">
        <v>28</v>
      </c>
      <c r="B4842" s="10" t="s">
        <v>26</v>
      </c>
      <c r="C4842" s="10" t="s">
        <v>23</v>
      </c>
      <c r="D4842" s="10" t="s">
        <v>29</v>
      </c>
      <c r="E4842" s="14">
        <v>1.0</v>
      </c>
      <c r="F4842" s="15">
        <f t="shared" ref="F4842:F4843" si="764">ROUND(19,3)</f>
        <v>19</v>
      </c>
      <c r="G4842" s="12">
        <f t="shared" si="763"/>
        <v>19</v>
      </c>
    </row>
    <row r="4843" ht="24.0" customHeight="1">
      <c r="A4843" s="10" t="s">
        <v>30</v>
      </c>
      <c r="B4843" s="10" t="s">
        <v>26</v>
      </c>
      <c r="C4843" s="10" t="s">
        <v>23</v>
      </c>
      <c r="D4843" s="10" t="s">
        <v>31</v>
      </c>
      <c r="E4843" s="14">
        <v>0.2</v>
      </c>
      <c r="F4843" s="15">
        <f t="shared" si="764"/>
        <v>19</v>
      </c>
      <c r="G4843" s="12">
        <f t="shared" si="763"/>
        <v>3.8</v>
      </c>
    </row>
    <row r="4844" ht="15.0" customHeight="1">
      <c r="A4844" s="11"/>
      <c r="B4844" s="11"/>
      <c r="C4844" s="11"/>
      <c r="D4844" s="10" t="s">
        <v>22</v>
      </c>
      <c r="E4844" s="14">
        <v>0.65</v>
      </c>
      <c r="F4844" s="15">
        <f>ROUND((G4841+G4842+G4843),3)</f>
        <v>43.8</v>
      </c>
      <c r="G4844" s="12">
        <f t="shared" si="763"/>
        <v>28.47</v>
      </c>
    </row>
    <row r="4845" ht="15.0" customHeight="1">
      <c r="A4845" s="10" t="s">
        <v>32</v>
      </c>
      <c r="B4845" s="10"/>
      <c r="C4845" s="10" t="s">
        <v>33</v>
      </c>
      <c r="D4845" s="10" t="s">
        <v>34</v>
      </c>
      <c r="E4845" s="14">
        <v>3.0</v>
      </c>
      <c r="F4845" s="15">
        <f>ROUND(28.47,3)</f>
        <v>28.47</v>
      </c>
      <c r="G4845" s="12">
        <f>ROUND((E4845*F4845)/100,2)</f>
        <v>0.85</v>
      </c>
    </row>
    <row r="4846" ht="24.75" customHeight="1">
      <c r="A4846" s="16"/>
      <c r="B4846" s="16"/>
      <c r="C4846" s="16"/>
      <c r="D4846" s="17" t="s">
        <v>2137</v>
      </c>
      <c r="E4846" s="16"/>
      <c r="F4846" s="18">
        <f>ROUND((G4837+G4838+G4839+G4840+G4845)*(1+G2/100),2)</f>
        <v>40.56</v>
      </c>
      <c r="G4846" s="16"/>
    </row>
    <row r="4847" ht="21.0" customHeight="1">
      <c r="A4847" s="19" t="s">
        <v>2146</v>
      </c>
      <c r="B4847" s="20" t="s">
        <v>18</v>
      </c>
      <c r="C4847" s="20" t="s">
        <v>251</v>
      </c>
      <c r="D4847" s="20" t="s">
        <v>2147</v>
      </c>
      <c r="E4847" s="21"/>
      <c r="F4847" s="22">
        <f>F4863</f>
        <v>70.42</v>
      </c>
      <c r="G4847" s="21"/>
    </row>
    <row r="4848" ht="12.0" customHeight="1">
      <c r="A4848" s="11"/>
      <c r="B4848" s="11"/>
      <c r="C4848" s="11"/>
      <c r="D4848" s="10" t="s">
        <v>2147</v>
      </c>
    </row>
    <row r="4849" ht="39.75" customHeight="1">
      <c r="A4849" s="10" t="s">
        <v>1878</v>
      </c>
      <c r="B4849" s="10" t="s">
        <v>42</v>
      </c>
      <c r="C4849" s="10" t="s">
        <v>184</v>
      </c>
      <c r="D4849" s="10" t="s">
        <v>1879</v>
      </c>
      <c r="E4849" s="14">
        <v>0.14</v>
      </c>
      <c r="F4849" s="15">
        <f>ROUND(13.45,3)</f>
        <v>13.45</v>
      </c>
      <c r="G4849" s="12">
        <f t="shared" ref="G4849:G4862" si="765">ROUND(E4849*F4849,2)</f>
        <v>1.88</v>
      </c>
    </row>
    <row r="4850" ht="30.0" customHeight="1">
      <c r="A4850" s="10" t="s">
        <v>2148</v>
      </c>
      <c r="B4850" s="10" t="s">
        <v>42</v>
      </c>
      <c r="C4850" s="10" t="s">
        <v>1881</v>
      </c>
      <c r="D4850" s="10" t="s">
        <v>2149</v>
      </c>
      <c r="E4850" s="14">
        <v>2.2</v>
      </c>
      <c r="F4850" s="15">
        <f>ROUND(3.38,3)</f>
        <v>3.38</v>
      </c>
      <c r="G4850" s="12">
        <f t="shared" si="765"/>
        <v>7.44</v>
      </c>
    </row>
    <row r="4851" ht="48.75" customHeight="1">
      <c r="A4851" s="10" t="s">
        <v>1885</v>
      </c>
      <c r="B4851" s="10" t="s">
        <v>42</v>
      </c>
      <c r="C4851" s="10" t="s">
        <v>325</v>
      </c>
      <c r="D4851" s="10" t="s">
        <v>1886</v>
      </c>
      <c r="E4851" s="14">
        <v>0.035</v>
      </c>
      <c r="F4851" s="15">
        <f>ROUND(35.69,3)</f>
        <v>35.69</v>
      </c>
      <c r="G4851" s="12">
        <f t="shared" si="765"/>
        <v>1.25</v>
      </c>
    </row>
    <row r="4852" ht="30.0" customHeight="1">
      <c r="A4852" s="10" t="s">
        <v>1911</v>
      </c>
      <c r="B4852" s="10" t="s">
        <v>42</v>
      </c>
      <c r="C4852" s="10" t="s">
        <v>226</v>
      </c>
      <c r="D4852" s="10" t="s">
        <v>1912</v>
      </c>
      <c r="E4852" s="14">
        <v>0.06</v>
      </c>
      <c r="F4852" s="15">
        <f>ROUND(52.25,3)</f>
        <v>52.25</v>
      </c>
      <c r="G4852" s="12">
        <f t="shared" si="765"/>
        <v>3.14</v>
      </c>
    </row>
    <row r="4853" ht="39.75" customHeight="1">
      <c r="A4853" s="10" t="s">
        <v>2150</v>
      </c>
      <c r="B4853" s="10" t="s">
        <v>42</v>
      </c>
      <c r="C4853" s="10" t="s">
        <v>1997</v>
      </c>
      <c r="D4853" s="10" t="s">
        <v>2151</v>
      </c>
      <c r="E4853" s="14">
        <v>0.08</v>
      </c>
      <c r="F4853" s="15">
        <f>ROUND(15.78,3)</f>
        <v>15.78</v>
      </c>
      <c r="G4853" s="12">
        <f t="shared" si="765"/>
        <v>1.26</v>
      </c>
    </row>
    <row r="4854" ht="39.75" customHeight="1">
      <c r="A4854" s="10" t="s">
        <v>1349</v>
      </c>
      <c r="B4854" s="10" t="s">
        <v>42</v>
      </c>
      <c r="C4854" s="10" t="s">
        <v>231</v>
      </c>
      <c r="D4854" s="10" t="s">
        <v>1350</v>
      </c>
      <c r="E4854" s="14">
        <v>0.1</v>
      </c>
      <c r="F4854" s="15">
        <f>ROUND(4.05,3)</f>
        <v>4.05</v>
      </c>
      <c r="G4854" s="12">
        <f t="shared" si="765"/>
        <v>0.41</v>
      </c>
    </row>
    <row r="4855" ht="39.75" customHeight="1">
      <c r="A4855" s="10" t="s">
        <v>1315</v>
      </c>
      <c r="B4855" s="10" t="s">
        <v>42</v>
      </c>
      <c r="C4855" s="10" t="s">
        <v>231</v>
      </c>
      <c r="D4855" s="10" t="s">
        <v>1316</v>
      </c>
      <c r="E4855" s="14">
        <v>0.2</v>
      </c>
      <c r="F4855" s="15">
        <f>ROUND(2.63,3)</f>
        <v>2.63</v>
      </c>
      <c r="G4855" s="12">
        <f t="shared" si="765"/>
        <v>0.53</v>
      </c>
    </row>
    <row r="4856" ht="30.0" customHeight="1">
      <c r="A4856" s="10" t="s">
        <v>2152</v>
      </c>
      <c r="B4856" s="10" t="s">
        <v>42</v>
      </c>
      <c r="C4856" s="10" t="s">
        <v>276</v>
      </c>
      <c r="D4856" s="10" t="s">
        <v>2153</v>
      </c>
      <c r="E4856" s="14">
        <v>0.275</v>
      </c>
      <c r="F4856" s="15">
        <f>ROUND(55.5,3)</f>
        <v>55.5</v>
      </c>
      <c r="G4856" s="12">
        <f t="shared" si="765"/>
        <v>15.26</v>
      </c>
    </row>
    <row r="4857" ht="30.0" customHeight="1">
      <c r="A4857" s="10" t="s">
        <v>2154</v>
      </c>
      <c r="B4857" s="10" t="s">
        <v>42</v>
      </c>
      <c r="C4857" s="10" t="s">
        <v>276</v>
      </c>
      <c r="D4857" s="10" t="s">
        <v>2155</v>
      </c>
      <c r="E4857" s="14">
        <v>0.135</v>
      </c>
      <c r="F4857" s="15">
        <f>ROUND(60.4,3)</f>
        <v>60.4</v>
      </c>
      <c r="G4857" s="12">
        <f t="shared" si="765"/>
        <v>8.15</v>
      </c>
    </row>
    <row r="4858" ht="21.0" customHeight="1">
      <c r="A4858" s="10" t="s">
        <v>22</v>
      </c>
      <c r="B4858" s="10" t="s">
        <v>18</v>
      </c>
      <c r="C4858" s="10" t="s">
        <v>23</v>
      </c>
      <c r="D4858" s="10" t="s">
        <v>24</v>
      </c>
      <c r="E4858" s="14">
        <v>0.71</v>
      </c>
      <c r="F4858" s="15">
        <f>F4862</f>
        <v>43.8</v>
      </c>
      <c r="G4858" s="12">
        <f t="shared" si="765"/>
        <v>31.1</v>
      </c>
    </row>
    <row r="4859" ht="24.0" customHeight="1">
      <c r="A4859" s="10" t="s">
        <v>25</v>
      </c>
      <c r="B4859" s="10" t="s">
        <v>26</v>
      </c>
      <c r="C4859" s="10" t="s">
        <v>23</v>
      </c>
      <c r="D4859" s="10" t="s">
        <v>27</v>
      </c>
      <c r="E4859" s="14">
        <v>1.0</v>
      </c>
      <c r="F4859" s="15">
        <f>ROUND(21,3)</f>
        <v>21</v>
      </c>
      <c r="G4859" s="12">
        <f t="shared" si="765"/>
        <v>21</v>
      </c>
    </row>
    <row r="4860" ht="24.0" customHeight="1">
      <c r="A4860" s="10" t="s">
        <v>28</v>
      </c>
      <c r="B4860" s="10" t="s">
        <v>26</v>
      </c>
      <c r="C4860" s="10" t="s">
        <v>23</v>
      </c>
      <c r="D4860" s="10" t="s">
        <v>29</v>
      </c>
      <c r="E4860" s="14">
        <v>1.0</v>
      </c>
      <c r="F4860" s="15">
        <f t="shared" ref="F4860:F4861" si="766">ROUND(19,3)</f>
        <v>19</v>
      </c>
      <c r="G4860" s="12">
        <f t="shared" si="765"/>
        <v>19</v>
      </c>
    </row>
    <row r="4861" ht="24.0" customHeight="1">
      <c r="A4861" s="10" t="s">
        <v>30</v>
      </c>
      <c r="B4861" s="10" t="s">
        <v>26</v>
      </c>
      <c r="C4861" s="10" t="s">
        <v>23</v>
      </c>
      <c r="D4861" s="10" t="s">
        <v>31</v>
      </c>
      <c r="E4861" s="14">
        <v>0.2</v>
      </c>
      <c r="F4861" s="15">
        <f t="shared" si="766"/>
        <v>19</v>
      </c>
      <c r="G4861" s="12">
        <f t="shared" si="765"/>
        <v>3.8</v>
      </c>
    </row>
    <row r="4862" ht="15.0" customHeight="1">
      <c r="A4862" s="11"/>
      <c r="B4862" s="11"/>
      <c r="C4862" s="11"/>
      <c r="D4862" s="10" t="s">
        <v>22</v>
      </c>
      <c r="E4862" s="14">
        <v>0.71</v>
      </c>
      <c r="F4862" s="15">
        <f>ROUND((G4859+G4860+G4861),3)</f>
        <v>43.8</v>
      </c>
      <c r="G4862" s="12">
        <f t="shared" si="765"/>
        <v>31.1</v>
      </c>
    </row>
    <row r="4863" ht="15.0" customHeight="1">
      <c r="A4863" s="16"/>
      <c r="B4863" s="16"/>
      <c r="C4863" s="16"/>
      <c r="D4863" s="17" t="s">
        <v>2146</v>
      </c>
      <c r="E4863" s="16"/>
      <c r="F4863" s="18">
        <f>ROUND((G4849+G4850+G4851+G4852+G4853+G4854+G4855+G4856+G4857+G4858)*(1+G2/100),2)</f>
        <v>70.42</v>
      </c>
      <c r="G4863" s="16"/>
    </row>
    <row r="4864" ht="30.0" customHeight="1">
      <c r="A4864" s="19" t="s">
        <v>2156</v>
      </c>
      <c r="B4864" s="20" t="s">
        <v>18</v>
      </c>
      <c r="C4864" s="20" t="s">
        <v>251</v>
      </c>
      <c r="D4864" s="20" t="s">
        <v>2157</v>
      </c>
      <c r="E4864" s="21"/>
      <c r="F4864" s="22">
        <f>F4881</f>
        <v>77.47</v>
      </c>
      <c r="G4864" s="21"/>
    </row>
    <row r="4865" ht="270.75" customHeight="1">
      <c r="A4865" s="11"/>
      <c r="B4865" s="11"/>
      <c r="C4865" s="11"/>
      <c r="D4865" s="10" t="s">
        <v>2158</v>
      </c>
    </row>
    <row r="4866" ht="48.75" customHeight="1">
      <c r="A4866" s="10" t="s">
        <v>2159</v>
      </c>
      <c r="B4866" s="10" t="s">
        <v>42</v>
      </c>
      <c r="C4866" s="10" t="s">
        <v>184</v>
      </c>
      <c r="D4866" s="10" t="s">
        <v>2160</v>
      </c>
      <c r="E4866" s="14">
        <v>0.2</v>
      </c>
      <c r="F4866" s="15">
        <f>ROUND(21.75,3)</f>
        <v>21.75</v>
      </c>
      <c r="G4866" s="12">
        <f t="shared" ref="G4866:G4880" si="767">ROUND(E4866*F4866,2)</f>
        <v>4.35</v>
      </c>
    </row>
    <row r="4867" ht="67.5" customHeight="1">
      <c r="A4867" s="10" t="s">
        <v>2161</v>
      </c>
      <c r="B4867" s="10" t="s">
        <v>42</v>
      </c>
      <c r="C4867" s="10" t="s">
        <v>1825</v>
      </c>
      <c r="D4867" s="10" t="s">
        <v>2162</v>
      </c>
      <c r="E4867" s="14">
        <v>0.20833</v>
      </c>
      <c r="F4867" s="15">
        <f>ROUND(47.87,3)</f>
        <v>47.87</v>
      </c>
      <c r="G4867" s="12">
        <f t="shared" si="767"/>
        <v>9.97</v>
      </c>
    </row>
    <row r="4868" ht="48.75" customHeight="1">
      <c r="A4868" s="10" t="s">
        <v>2163</v>
      </c>
      <c r="B4868" s="10" t="s">
        <v>42</v>
      </c>
      <c r="C4868" s="10" t="s">
        <v>344</v>
      </c>
      <c r="D4868" s="10" t="s">
        <v>2164</v>
      </c>
      <c r="E4868" s="14">
        <v>6.0</v>
      </c>
      <c r="F4868" s="15">
        <f>ROUND(0.254,3)</f>
        <v>0.254</v>
      </c>
      <c r="G4868" s="12">
        <f t="shared" si="767"/>
        <v>1.52</v>
      </c>
    </row>
    <row r="4869" ht="48.75" customHeight="1">
      <c r="A4869" s="10" t="s">
        <v>2165</v>
      </c>
      <c r="B4869" s="10" t="s">
        <v>42</v>
      </c>
      <c r="C4869" s="10" t="s">
        <v>43</v>
      </c>
      <c r="D4869" s="10" t="s">
        <v>2166</v>
      </c>
      <c r="E4869" s="14">
        <v>0.16</v>
      </c>
      <c r="F4869" s="15">
        <f>ROUND(56.25,3)</f>
        <v>56.25</v>
      </c>
      <c r="G4869" s="12">
        <f t="shared" si="767"/>
        <v>9</v>
      </c>
    </row>
    <row r="4870" ht="48.75" customHeight="1">
      <c r="A4870" s="10" t="s">
        <v>2167</v>
      </c>
      <c r="B4870" s="10" t="s">
        <v>42</v>
      </c>
      <c r="C4870" s="10" t="s">
        <v>226</v>
      </c>
      <c r="D4870" s="10" t="s">
        <v>2168</v>
      </c>
      <c r="E4870" s="14">
        <v>0.022</v>
      </c>
      <c r="F4870" s="15">
        <f>ROUND(83.54,3)</f>
        <v>83.54</v>
      </c>
      <c r="G4870" s="12">
        <f t="shared" si="767"/>
        <v>1.84</v>
      </c>
    </row>
    <row r="4871" ht="39.75" customHeight="1">
      <c r="A4871" s="10" t="s">
        <v>2169</v>
      </c>
      <c r="B4871" s="10" t="s">
        <v>42</v>
      </c>
      <c r="C4871" s="10" t="s">
        <v>341</v>
      </c>
      <c r="D4871" s="10" t="s">
        <v>2170</v>
      </c>
      <c r="E4871" s="14">
        <v>0.1</v>
      </c>
      <c r="F4871" s="15">
        <f>ROUND(129,3)</f>
        <v>129</v>
      </c>
      <c r="G4871" s="12">
        <f t="shared" si="767"/>
        <v>12.9</v>
      </c>
    </row>
    <row r="4872" ht="48.75" customHeight="1">
      <c r="A4872" s="10" t="s">
        <v>2171</v>
      </c>
      <c r="B4872" s="10" t="s">
        <v>42</v>
      </c>
      <c r="C4872" s="10" t="s">
        <v>1997</v>
      </c>
      <c r="D4872" s="10" t="s">
        <v>2172</v>
      </c>
      <c r="E4872" s="14">
        <v>0.055</v>
      </c>
      <c r="F4872" s="15">
        <f>ROUND(15,3)</f>
        <v>15</v>
      </c>
      <c r="G4872" s="12">
        <f t="shared" si="767"/>
        <v>0.83</v>
      </c>
    </row>
    <row r="4873" ht="48.75" customHeight="1">
      <c r="A4873" s="10" t="s">
        <v>2173</v>
      </c>
      <c r="B4873" s="10" t="s">
        <v>42</v>
      </c>
      <c r="C4873" s="10" t="s">
        <v>344</v>
      </c>
      <c r="D4873" s="10" t="s">
        <v>2174</v>
      </c>
      <c r="E4873" s="14">
        <v>0.184</v>
      </c>
      <c r="F4873" s="15">
        <f>ROUND(3.16,3)</f>
        <v>3.16</v>
      </c>
      <c r="G4873" s="12">
        <f t="shared" si="767"/>
        <v>0.58</v>
      </c>
    </row>
    <row r="4874" ht="48.75" customHeight="1">
      <c r="A4874" s="10" t="s">
        <v>2175</v>
      </c>
      <c r="B4874" s="10" t="s">
        <v>42</v>
      </c>
      <c r="C4874" s="10" t="s">
        <v>344</v>
      </c>
      <c r="D4874" s="10" t="s">
        <v>2176</v>
      </c>
      <c r="E4874" s="14">
        <v>0.0871</v>
      </c>
      <c r="F4874" s="15">
        <f>ROUND(7.54,3)</f>
        <v>7.54</v>
      </c>
      <c r="G4874" s="12">
        <f t="shared" si="767"/>
        <v>0.66</v>
      </c>
    </row>
    <row r="4875" ht="48.75" customHeight="1">
      <c r="A4875" s="10" t="s">
        <v>2177</v>
      </c>
      <c r="B4875" s="10" t="s">
        <v>42</v>
      </c>
      <c r="C4875" s="10" t="s">
        <v>226</v>
      </c>
      <c r="D4875" s="10" t="s">
        <v>2178</v>
      </c>
      <c r="E4875" s="14">
        <v>0.087</v>
      </c>
      <c r="F4875" s="15">
        <f>ROUND(9.01,3)</f>
        <v>9.01</v>
      </c>
      <c r="G4875" s="12">
        <f t="shared" si="767"/>
        <v>0.78</v>
      </c>
    </row>
    <row r="4876" ht="21.0" customHeight="1">
      <c r="A4876" s="10" t="s">
        <v>22</v>
      </c>
      <c r="B4876" s="10" t="s">
        <v>18</v>
      </c>
      <c r="C4876" s="10" t="s">
        <v>23</v>
      </c>
      <c r="D4876" s="10" t="s">
        <v>24</v>
      </c>
      <c r="E4876" s="14">
        <v>0.8</v>
      </c>
      <c r="F4876" s="15">
        <f>F4880</f>
        <v>43.8</v>
      </c>
      <c r="G4876" s="12">
        <f t="shared" si="767"/>
        <v>35.04</v>
      </c>
    </row>
    <row r="4877" ht="24.0" customHeight="1">
      <c r="A4877" s="10" t="s">
        <v>25</v>
      </c>
      <c r="B4877" s="10" t="s">
        <v>26</v>
      </c>
      <c r="C4877" s="10" t="s">
        <v>23</v>
      </c>
      <c r="D4877" s="10" t="s">
        <v>27</v>
      </c>
      <c r="E4877" s="14">
        <v>1.0</v>
      </c>
      <c r="F4877" s="15">
        <f>ROUND(21,3)</f>
        <v>21</v>
      </c>
      <c r="G4877" s="12">
        <f t="shared" si="767"/>
        <v>21</v>
      </c>
    </row>
    <row r="4878" ht="24.0" customHeight="1">
      <c r="A4878" s="10" t="s">
        <v>28</v>
      </c>
      <c r="B4878" s="10" t="s">
        <v>26</v>
      </c>
      <c r="C4878" s="10" t="s">
        <v>23</v>
      </c>
      <c r="D4878" s="10" t="s">
        <v>29</v>
      </c>
      <c r="E4878" s="14">
        <v>1.0</v>
      </c>
      <c r="F4878" s="15">
        <f t="shared" ref="F4878:F4879" si="768">ROUND(19,3)</f>
        <v>19</v>
      </c>
      <c r="G4878" s="12">
        <f t="shared" si="767"/>
        <v>19</v>
      </c>
    </row>
    <row r="4879" ht="24.0" customHeight="1">
      <c r="A4879" s="10" t="s">
        <v>30</v>
      </c>
      <c r="B4879" s="10" t="s">
        <v>26</v>
      </c>
      <c r="C4879" s="10" t="s">
        <v>23</v>
      </c>
      <c r="D4879" s="10" t="s">
        <v>31</v>
      </c>
      <c r="E4879" s="14">
        <v>0.2</v>
      </c>
      <c r="F4879" s="15">
        <f t="shared" si="768"/>
        <v>19</v>
      </c>
      <c r="G4879" s="12">
        <f t="shared" si="767"/>
        <v>3.8</v>
      </c>
    </row>
    <row r="4880" ht="15.0" customHeight="1">
      <c r="A4880" s="11"/>
      <c r="B4880" s="11"/>
      <c r="C4880" s="11"/>
      <c r="D4880" s="10" t="s">
        <v>22</v>
      </c>
      <c r="E4880" s="14">
        <v>0.8</v>
      </c>
      <c r="F4880" s="15">
        <f>ROUND((G4877+G4878+G4879),3)</f>
        <v>43.8</v>
      </c>
      <c r="G4880" s="12">
        <f t="shared" si="767"/>
        <v>35.04</v>
      </c>
    </row>
    <row r="4881" ht="15.0" customHeight="1">
      <c r="A4881" s="16"/>
      <c r="B4881" s="16"/>
      <c r="C4881" s="16"/>
      <c r="D4881" s="17" t="s">
        <v>2156</v>
      </c>
      <c r="E4881" s="16"/>
      <c r="F4881" s="18">
        <f>ROUND((G4866+G4867+G4868+G4869+G4870+G4871+G4872+G4873+G4874+G4875+G4876)*(1+G2/100),2)</f>
        <v>77.47</v>
      </c>
      <c r="G4881" s="16"/>
    </row>
    <row r="4882" ht="21.0" customHeight="1">
      <c r="A4882" s="19" t="s">
        <v>2179</v>
      </c>
      <c r="B4882" s="20" t="s">
        <v>18</v>
      </c>
      <c r="C4882" s="20" t="s">
        <v>251</v>
      </c>
      <c r="D4882" s="20" t="s">
        <v>2180</v>
      </c>
      <c r="E4882" s="21"/>
      <c r="F4882" s="22">
        <f>F4903</f>
        <v>63.53</v>
      </c>
      <c r="G4882" s="21"/>
    </row>
    <row r="4883" ht="141.0" customHeight="1">
      <c r="A4883" s="11"/>
      <c r="B4883" s="11"/>
      <c r="C4883" s="11"/>
      <c r="D4883" s="10" t="s">
        <v>2181</v>
      </c>
    </row>
    <row r="4884" ht="39.75" customHeight="1">
      <c r="A4884" s="10" t="s">
        <v>2182</v>
      </c>
      <c r="B4884" s="10" t="s">
        <v>42</v>
      </c>
      <c r="C4884" s="10" t="s">
        <v>184</v>
      </c>
      <c r="D4884" s="10" t="s">
        <v>2183</v>
      </c>
      <c r="E4884" s="14">
        <v>0.418</v>
      </c>
      <c r="F4884" s="15">
        <f>ROUND(14.85,3)</f>
        <v>14.85</v>
      </c>
      <c r="G4884" s="12">
        <f t="shared" ref="G4884:G4902" si="769">ROUND(E4884*F4884,2)</f>
        <v>6.21</v>
      </c>
    </row>
    <row r="4885" ht="24.0" customHeight="1">
      <c r="A4885" s="10" t="s">
        <v>2184</v>
      </c>
      <c r="B4885" s="10" t="s">
        <v>42</v>
      </c>
      <c r="C4885" s="10" t="s">
        <v>19</v>
      </c>
      <c r="D4885" s="10" t="s">
        <v>2185</v>
      </c>
      <c r="E4885" s="14">
        <v>1.05</v>
      </c>
      <c r="F4885" s="15">
        <f>ROUND(6.55,3)</f>
        <v>6.55</v>
      </c>
      <c r="G4885" s="12">
        <f t="shared" si="769"/>
        <v>6.88</v>
      </c>
    </row>
    <row r="4886" ht="21.0" customHeight="1">
      <c r="A4886" s="10" t="s">
        <v>2186</v>
      </c>
      <c r="B4886" s="10" t="s">
        <v>42</v>
      </c>
      <c r="C4886" s="10" t="s">
        <v>226</v>
      </c>
      <c r="D4886" s="10" t="s">
        <v>2187</v>
      </c>
      <c r="E4886" s="14">
        <v>0.022</v>
      </c>
      <c r="F4886" s="15">
        <f>ROUND(63.25,3)</f>
        <v>63.25</v>
      </c>
      <c r="G4886" s="12">
        <f t="shared" si="769"/>
        <v>1.39</v>
      </c>
    </row>
    <row r="4887" ht="30.0" customHeight="1">
      <c r="A4887" s="10" t="s">
        <v>2188</v>
      </c>
      <c r="B4887" s="10" t="s">
        <v>42</v>
      </c>
      <c r="C4887" s="10" t="s">
        <v>19</v>
      </c>
      <c r="D4887" s="10" t="s">
        <v>2189</v>
      </c>
      <c r="E4887" s="14">
        <v>0.01</v>
      </c>
      <c r="F4887" s="15">
        <f>ROUND(4.31,3)</f>
        <v>4.31</v>
      </c>
      <c r="G4887" s="12">
        <f t="shared" si="769"/>
        <v>0.04</v>
      </c>
    </row>
    <row r="4888" ht="39.75" customHeight="1">
      <c r="A4888" s="10" t="s">
        <v>2190</v>
      </c>
      <c r="B4888" s="10" t="s">
        <v>42</v>
      </c>
      <c r="C4888" s="10" t="s">
        <v>325</v>
      </c>
      <c r="D4888" s="10" t="s">
        <v>2191</v>
      </c>
      <c r="E4888" s="14">
        <v>0.06</v>
      </c>
      <c r="F4888" s="15">
        <f>ROUND(15.45,3)</f>
        <v>15.45</v>
      </c>
      <c r="G4888" s="12">
        <f t="shared" si="769"/>
        <v>0.93</v>
      </c>
    </row>
    <row r="4889" ht="30.0" customHeight="1">
      <c r="A4889" s="10" t="s">
        <v>2192</v>
      </c>
      <c r="B4889" s="10" t="s">
        <v>42</v>
      </c>
      <c r="C4889" s="10" t="s">
        <v>1997</v>
      </c>
      <c r="D4889" s="10" t="s">
        <v>2193</v>
      </c>
      <c r="E4889" s="14">
        <v>0.092</v>
      </c>
      <c r="F4889" s="15">
        <f>ROUND(8.53,3)</f>
        <v>8.53</v>
      </c>
      <c r="G4889" s="12">
        <f t="shared" si="769"/>
        <v>0.78</v>
      </c>
    </row>
    <row r="4890" ht="30.0" customHeight="1">
      <c r="A4890" s="10" t="s">
        <v>2194</v>
      </c>
      <c r="B4890" s="10" t="s">
        <v>42</v>
      </c>
      <c r="C4890" s="10" t="s">
        <v>1997</v>
      </c>
      <c r="D4890" s="10" t="s">
        <v>2195</v>
      </c>
      <c r="E4890" s="14">
        <v>0.076</v>
      </c>
      <c r="F4890" s="15">
        <f>ROUND(2.42,3)</f>
        <v>2.42</v>
      </c>
      <c r="G4890" s="12">
        <f t="shared" si="769"/>
        <v>0.18</v>
      </c>
    </row>
    <row r="4891" ht="30.0" customHeight="1">
      <c r="A4891" s="10" t="s">
        <v>2196</v>
      </c>
      <c r="B4891" s="10" t="s">
        <v>42</v>
      </c>
      <c r="C4891" s="10" t="s">
        <v>1997</v>
      </c>
      <c r="D4891" s="10" t="s">
        <v>2197</v>
      </c>
      <c r="E4891" s="14">
        <v>0.06</v>
      </c>
      <c r="F4891" s="15">
        <f>ROUND(11,3)</f>
        <v>11</v>
      </c>
      <c r="G4891" s="12">
        <f t="shared" si="769"/>
        <v>0.66</v>
      </c>
    </row>
    <row r="4892" ht="30.0" customHeight="1">
      <c r="A4892" s="10" t="s">
        <v>2198</v>
      </c>
      <c r="B4892" s="10" t="s">
        <v>42</v>
      </c>
      <c r="C4892" s="10" t="s">
        <v>1997</v>
      </c>
      <c r="D4892" s="10" t="s">
        <v>2199</v>
      </c>
      <c r="E4892" s="14">
        <v>0.001</v>
      </c>
      <c r="F4892" s="15">
        <f>ROUND(5.76,3)</f>
        <v>5.76</v>
      </c>
      <c r="G4892" s="12">
        <f t="shared" si="769"/>
        <v>0.01</v>
      </c>
    </row>
    <row r="4893" ht="39.75" customHeight="1">
      <c r="A4893" s="10" t="s">
        <v>2200</v>
      </c>
      <c r="B4893" s="10" t="s">
        <v>42</v>
      </c>
      <c r="C4893" s="10" t="s">
        <v>1997</v>
      </c>
      <c r="D4893" s="10" t="s">
        <v>2201</v>
      </c>
      <c r="E4893" s="14">
        <v>0.001</v>
      </c>
      <c r="F4893" s="15">
        <f>ROUND(29.11,3)</f>
        <v>29.11</v>
      </c>
      <c r="G4893" s="12">
        <f t="shared" si="769"/>
        <v>0.03</v>
      </c>
    </row>
    <row r="4894" ht="39.75" customHeight="1">
      <c r="A4894" s="10" t="s">
        <v>2202</v>
      </c>
      <c r="B4894" s="10" t="s">
        <v>42</v>
      </c>
      <c r="C4894" s="10" t="s">
        <v>1997</v>
      </c>
      <c r="D4894" s="10" t="s">
        <v>2203</v>
      </c>
      <c r="E4894" s="14">
        <v>0.06</v>
      </c>
      <c r="F4894" s="15">
        <f t="shared" ref="F4894:F4895" si="770">ROUND(9.99,3)</f>
        <v>9.99</v>
      </c>
      <c r="G4894" s="12">
        <f t="shared" si="769"/>
        <v>0.6</v>
      </c>
    </row>
    <row r="4895" ht="39.75" customHeight="1">
      <c r="A4895" s="10" t="s">
        <v>2204</v>
      </c>
      <c r="B4895" s="10" t="s">
        <v>42</v>
      </c>
      <c r="C4895" s="10" t="s">
        <v>1997</v>
      </c>
      <c r="D4895" s="10" t="s">
        <v>2205</v>
      </c>
      <c r="E4895" s="14">
        <v>0.112</v>
      </c>
      <c r="F4895" s="15">
        <f t="shared" si="770"/>
        <v>9.99</v>
      </c>
      <c r="G4895" s="12">
        <f t="shared" si="769"/>
        <v>1.12</v>
      </c>
    </row>
    <row r="4896" ht="39.75" customHeight="1">
      <c r="A4896" s="10" t="s">
        <v>2206</v>
      </c>
      <c r="B4896" s="10" t="s">
        <v>42</v>
      </c>
      <c r="C4896" s="10" t="s">
        <v>276</v>
      </c>
      <c r="D4896" s="10" t="s">
        <v>2207</v>
      </c>
      <c r="E4896" s="14">
        <v>0.011</v>
      </c>
      <c r="F4896" s="15">
        <f>ROUND(53.23,3)</f>
        <v>53.23</v>
      </c>
      <c r="G4896" s="12">
        <f t="shared" si="769"/>
        <v>0.59</v>
      </c>
    </row>
    <row r="4897" ht="48.75" customHeight="1">
      <c r="A4897" s="10" t="s">
        <v>2208</v>
      </c>
      <c r="B4897" s="10" t="s">
        <v>42</v>
      </c>
      <c r="C4897" s="10" t="s">
        <v>276</v>
      </c>
      <c r="D4897" s="10" t="s">
        <v>2209</v>
      </c>
      <c r="E4897" s="14">
        <v>0.088</v>
      </c>
      <c r="F4897" s="15">
        <f>ROUND(53.35,3)</f>
        <v>53.35</v>
      </c>
      <c r="G4897" s="12">
        <f t="shared" si="769"/>
        <v>4.69</v>
      </c>
    </row>
    <row r="4898" ht="21.0" customHeight="1">
      <c r="A4898" s="10" t="s">
        <v>22</v>
      </c>
      <c r="B4898" s="10" t="s">
        <v>18</v>
      </c>
      <c r="C4898" s="10" t="s">
        <v>23</v>
      </c>
      <c r="D4898" s="10" t="s">
        <v>24</v>
      </c>
      <c r="E4898" s="14">
        <v>0.9</v>
      </c>
      <c r="F4898" s="15">
        <f>F4902</f>
        <v>43.8</v>
      </c>
      <c r="G4898" s="12">
        <f t="shared" si="769"/>
        <v>39.42</v>
      </c>
    </row>
    <row r="4899" ht="24.0" customHeight="1">
      <c r="A4899" s="10" t="s">
        <v>25</v>
      </c>
      <c r="B4899" s="10" t="s">
        <v>26</v>
      </c>
      <c r="C4899" s="10" t="s">
        <v>23</v>
      </c>
      <c r="D4899" s="10" t="s">
        <v>27</v>
      </c>
      <c r="E4899" s="14">
        <v>1.0</v>
      </c>
      <c r="F4899" s="15">
        <f>ROUND(21,3)</f>
        <v>21</v>
      </c>
      <c r="G4899" s="12">
        <f t="shared" si="769"/>
        <v>21</v>
      </c>
    </row>
    <row r="4900" ht="24.0" customHeight="1">
      <c r="A4900" s="10" t="s">
        <v>28</v>
      </c>
      <c r="B4900" s="10" t="s">
        <v>26</v>
      </c>
      <c r="C4900" s="10" t="s">
        <v>23</v>
      </c>
      <c r="D4900" s="10" t="s">
        <v>29</v>
      </c>
      <c r="E4900" s="14">
        <v>1.0</v>
      </c>
      <c r="F4900" s="15">
        <f t="shared" ref="F4900:F4901" si="771">ROUND(19,3)</f>
        <v>19</v>
      </c>
      <c r="G4900" s="12">
        <f t="shared" si="769"/>
        <v>19</v>
      </c>
    </row>
    <row r="4901" ht="24.0" customHeight="1">
      <c r="A4901" s="10" t="s">
        <v>30</v>
      </c>
      <c r="B4901" s="10" t="s">
        <v>26</v>
      </c>
      <c r="C4901" s="10" t="s">
        <v>23</v>
      </c>
      <c r="D4901" s="10" t="s">
        <v>31</v>
      </c>
      <c r="E4901" s="14">
        <v>0.2</v>
      </c>
      <c r="F4901" s="15">
        <f t="shared" si="771"/>
        <v>19</v>
      </c>
      <c r="G4901" s="12">
        <f t="shared" si="769"/>
        <v>3.8</v>
      </c>
    </row>
    <row r="4902" ht="15.0" customHeight="1">
      <c r="A4902" s="11"/>
      <c r="B4902" s="11"/>
      <c r="C4902" s="11"/>
      <c r="D4902" s="10" t="s">
        <v>22</v>
      </c>
      <c r="E4902" s="14">
        <v>0.9</v>
      </c>
      <c r="F4902" s="15">
        <f>ROUND((G4899+G4900+G4901),3)</f>
        <v>43.8</v>
      </c>
      <c r="G4902" s="12">
        <f t="shared" si="769"/>
        <v>39.42</v>
      </c>
    </row>
    <row r="4903" ht="15.0" customHeight="1">
      <c r="A4903" s="16"/>
      <c r="B4903" s="16"/>
      <c r="C4903" s="16"/>
      <c r="D4903" s="17" t="s">
        <v>2179</v>
      </c>
      <c r="E4903" s="16"/>
      <c r="F4903" s="18">
        <f>ROUND((G4884+G4885+G4886+G4887+G4888+G4889+G4890+G4891+G4892+G4893+G4894+G4895+G4896+G4897+G4898)*(1+G2/100),2)</f>
        <v>63.53</v>
      </c>
      <c r="G4903" s="16"/>
    </row>
    <row r="4904" ht="30.0" customHeight="1">
      <c r="A4904" s="19" t="s">
        <v>2210</v>
      </c>
      <c r="B4904" s="20" t="s">
        <v>18</v>
      </c>
      <c r="C4904" s="20" t="s">
        <v>19</v>
      </c>
      <c r="D4904" s="20" t="s">
        <v>2211</v>
      </c>
      <c r="E4904" s="21"/>
      <c r="F4904" s="22">
        <f>F4931</f>
        <v>79.4</v>
      </c>
      <c r="G4904" s="21"/>
    </row>
    <row r="4905" ht="12.0" customHeight="1">
      <c r="A4905" s="11"/>
      <c r="B4905" s="11"/>
      <c r="C4905" s="11"/>
      <c r="D4905" s="10" t="s">
        <v>2211</v>
      </c>
    </row>
    <row r="4906" ht="48.75" customHeight="1">
      <c r="A4906" s="10" t="s">
        <v>2212</v>
      </c>
      <c r="B4906" s="10" t="s">
        <v>42</v>
      </c>
      <c r="C4906" s="10" t="s">
        <v>276</v>
      </c>
      <c r="D4906" s="10" t="s">
        <v>2213</v>
      </c>
      <c r="E4906" s="14">
        <v>0.03333</v>
      </c>
      <c r="F4906" s="15">
        <f>ROUND(138.59,3)</f>
        <v>138.59</v>
      </c>
      <c r="G4906" s="12">
        <f t="shared" ref="G4906:G4929" si="772">ROUND(E4906*F4906,2)</f>
        <v>4.62</v>
      </c>
    </row>
    <row r="4907" ht="48.75" customHeight="1">
      <c r="A4907" s="10" t="s">
        <v>2159</v>
      </c>
      <c r="B4907" s="10" t="s">
        <v>42</v>
      </c>
      <c r="C4907" s="10" t="s">
        <v>184</v>
      </c>
      <c r="D4907" s="10" t="s">
        <v>2160</v>
      </c>
      <c r="E4907" s="14">
        <v>0.198</v>
      </c>
      <c r="F4907" s="15">
        <f>ROUND(21.75,3)</f>
        <v>21.75</v>
      </c>
      <c r="G4907" s="12">
        <f t="shared" si="772"/>
        <v>4.31</v>
      </c>
    </row>
    <row r="4908" ht="57.75" customHeight="1">
      <c r="A4908" s="10" t="s">
        <v>2214</v>
      </c>
      <c r="B4908" s="10" t="s">
        <v>42</v>
      </c>
      <c r="C4908" s="10" t="s">
        <v>1881</v>
      </c>
      <c r="D4908" s="10" t="s">
        <v>2215</v>
      </c>
      <c r="E4908" s="14">
        <v>1.45833</v>
      </c>
      <c r="F4908" s="15">
        <f>ROUND(5.12,3)</f>
        <v>5.12</v>
      </c>
      <c r="G4908" s="12">
        <f t="shared" si="772"/>
        <v>7.47</v>
      </c>
    </row>
    <row r="4909" ht="57.75" customHeight="1">
      <c r="A4909" s="10" t="s">
        <v>2216</v>
      </c>
      <c r="B4909" s="10" t="s">
        <v>42</v>
      </c>
      <c r="C4909" s="10" t="s">
        <v>1825</v>
      </c>
      <c r="D4909" s="10" t="s">
        <v>2217</v>
      </c>
      <c r="E4909" s="14">
        <v>0.00556</v>
      </c>
      <c r="F4909" s="15">
        <f>ROUND(85.48,3)</f>
        <v>85.48</v>
      </c>
      <c r="G4909" s="12">
        <f t="shared" si="772"/>
        <v>0.48</v>
      </c>
    </row>
    <row r="4910" ht="48.75" customHeight="1">
      <c r="A4910" s="10" t="s">
        <v>2218</v>
      </c>
      <c r="B4910" s="10" t="s">
        <v>42</v>
      </c>
      <c r="C4910" s="10" t="s">
        <v>344</v>
      </c>
      <c r="D4910" s="10" t="s">
        <v>2219</v>
      </c>
      <c r="E4910" s="14">
        <v>6.0</v>
      </c>
      <c r="F4910" s="15">
        <f>ROUND(0.23,3)</f>
        <v>0.23</v>
      </c>
      <c r="G4910" s="12">
        <f t="shared" si="772"/>
        <v>1.38</v>
      </c>
    </row>
    <row r="4911" ht="48.75" customHeight="1">
      <c r="A4911" s="10" t="s">
        <v>2177</v>
      </c>
      <c r="B4911" s="10" t="s">
        <v>42</v>
      </c>
      <c r="C4911" s="10" t="s">
        <v>226</v>
      </c>
      <c r="D4911" s="10" t="s">
        <v>2178</v>
      </c>
      <c r="E4911" s="14">
        <v>0.014</v>
      </c>
      <c r="F4911" s="15">
        <f>ROUND(9.01,3)</f>
        <v>9.01</v>
      </c>
      <c r="G4911" s="12">
        <f t="shared" si="772"/>
        <v>0.13</v>
      </c>
    </row>
    <row r="4912" ht="48.75" customHeight="1">
      <c r="A4912" s="10" t="s">
        <v>2220</v>
      </c>
      <c r="B4912" s="10" t="s">
        <v>42</v>
      </c>
      <c r="C4912" s="10" t="s">
        <v>1245</v>
      </c>
      <c r="D4912" s="10" t="s">
        <v>2221</v>
      </c>
      <c r="E4912" s="14">
        <v>0.005</v>
      </c>
      <c r="F4912" s="15">
        <f>ROUND(11.83,3)</f>
        <v>11.83</v>
      </c>
      <c r="G4912" s="12">
        <f t="shared" si="772"/>
        <v>0.06</v>
      </c>
    </row>
    <row r="4913" ht="48.75" customHeight="1">
      <c r="A4913" s="10" t="s">
        <v>2165</v>
      </c>
      <c r="B4913" s="10" t="s">
        <v>42</v>
      </c>
      <c r="C4913" s="10" t="s">
        <v>43</v>
      </c>
      <c r="D4913" s="10" t="s">
        <v>2166</v>
      </c>
      <c r="E4913" s="14">
        <v>0.1575</v>
      </c>
      <c r="F4913" s="15">
        <f>ROUND(56.25,3)</f>
        <v>56.25</v>
      </c>
      <c r="G4913" s="12">
        <f t="shared" si="772"/>
        <v>8.86</v>
      </c>
    </row>
    <row r="4914" ht="48.75" customHeight="1">
      <c r="A4914" s="10" t="s">
        <v>2167</v>
      </c>
      <c r="B4914" s="10" t="s">
        <v>42</v>
      </c>
      <c r="C4914" s="10" t="s">
        <v>226</v>
      </c>
      <c r="D4914" s="10" t="s">
        <v>2168</v>
      </c>
      <c r="E4914" s="14">
        <v>0.02</v>
      </c>
      <c r="F4914" s="15">
        <f>ROUND(83.54,3)</f>
        <v>83.54</v>
      </c>
      <c r="G4914" s="12">
        <f t="shared" si="772"/>
        <v>1.67</v>
      </c>
    </row>
    <row r="4915" ht="48.75" customHeight="1">
      <c r="A4915" s="10" t="s">
        <v>2171</v>
      </c>
      <c r="B4915" s="10" t="s">
        <v>42</v>
      </c>
      <c r="C4915" s="10" t="s">
        <v>1997</v>
      </c>
      <c r="D4915" s="10" t="s">
        <v>2172</v>
      </c>
      <c r="E4915" s="14">
        <v>0.16</v>
      </c>
      <c r="F4915" s="15">
        <f>ROUND(15,3)</f>
        <v>15</v>
      </c>
      <c r="G4915" s="12">
        <f t="shared" si="772"/>
        <v>2.4</v>
      </c>
    </row>
    <row r="4916" ht="48.75" customHeight="1">
      <c r="A4916" s="10" t="s">
        <v>2222</v>
      </c>
      <c r="B4916" s="10" t="s">
        <v>42</v>
      </c>
      <c r="C4916" s="10" t="s">
        <v>341</v>
      </c>
      <c r="D4916" s="10" t="s">
        <v>2223</v>
      </c>
      <c r="E4916" s="14">
        <v>0.0048</v>
      </c>
      <c r="F4916" s="15">
        <f>ROUND(21.38,3)</f>
        <v>21.38</v>
      </c>
      <c r="G4916" s="12">
        <f t="shared" si="772"/>
        <v>0.1</v>
      </c>
    </row>
    <row r="4917" ht="21.0" customHeight="1">
      <c r="A4917" s="10" t="s">
        <v>967</v>
      </c>
      <c r="B4917" s="10" t="s">
        <v>42</v>
      </c>
      <c r="C4917" s="10" t="s">
        <v>325</v>
      </c>
      <c r="D4917" s="10" t="s">
        <v>968</v>
      </c>
      <c r="E4917" s="14">
        <v>0.00444</v>
      </c>
      <c r="F4917" s="15">
        <f>ROUND(6.49,3)</f>
        <v>6.49</v>
      </c>
      <c r="G4917" s="12">
        <f t="shared" si="772"/>
        <v>0.03</v>
      </c>
    </row>
    <row r="4918" ht="57.75" customHeight="1">
      <c r="A4918" s="10" t="s">
        <v>2224</v>
      </c>
      <c r="B4918" s="10" t="s">
        <v>42</v>
      </c>
      <c r="C4918" s="10" t="s">
        <v>330</v>
      </c>
      <c r="D4918" s="10" t="s">
        <v>2225</v>
      </c>
      <c r="E4918" s="14">
        <v>0.0048</v>
      </c>
      <c r="F4918" s="15">
        <f>ROUND(14.51,3)</f>
        <v>14.51</v>
      </c>
      <c r="G4918" s="12">
        <f t="shared" si="772"/>
        <v>0.07</v>
      </c>
    </row>
    <row r="4919" ht="57.75" customHeight="1">
      <c r="A4919" s="10" t="s">
        <v>2226</v>
      </c>
      <c r="B4919" s="10" t="s">
        <v>42</v>
      </c>
      <c r="C4919" s="10" t="s">
        <v>330</v>
      </c>
      <c r="D4919" s="10" t="s">
        <v>2227</v>
      </c>
      <c r="E4919" s="14">
        <v>0.0048</v>
      </c>
      <c r="F4919" s="15">
        <f>ROUND(16.04,3)</f>
        <v>16.04</v>
      </c>
      <c r="G4919" s="12">
        <f t="shared" si="772"/>
        <v>0.08</v>
      </c>
    </row>
    <row r="4920" ht="48.75" customHeight="1">
      <c r="A4920" s="10" t="s">
        <v>2175</v>
      </c>
      <c r="B4920" s="10" t="s">
        <v>42</v>
      </c>
      <c r="C4920" s="10" t="s">
        <v>344</v>
      </c>
      <c r="D4920" s="10" t="s">
        <v>2176</v>
      </c>
      <c r="E4920" s="14">
        <v>0.12</v>
      </c>
      <c r="F4920" s="15">
        <f>ROUND(7.54,3)</f>
        <v>7.54</v>
      </c>
      <c r="G4920" s="12">
        <f t="shared" si="772"/>
        <v>0.9</v>
      </c>
    </row>
    <row r="4921" ht="48.75" customHeight="1">
      <c r="A4921" s="10" t="s">
        <v>2173</v>
      </c>
      <c r="B4921" s="10" t="s">
        <v>42</v>
      </c>
      <c r="C4921" s="10" t="s">
        <v>344</v>
      </c>
      <c r="D4921" s="10" t="s">
        <v>2174</v>
      </c>
      <c r="E4921" s="14">
        <v>0.24</v>
      </c>
      <c r="F4921" s="15">
        <f>ROUND(3.16,3)</f>
        <v>3.16</v>
      </c>
      <c r="G4921" s="12">
        <f t="shared" si="772"/>
        <v>0.76</v>
      </c>
    </row>
    <row r="4922" ht="39.75" customHeight="1">
      <c r="A4922" s="10" t="s">
        <v>2228</v>
      </c>
      <c r="B4922" s="10" t="s">
        <v>42</v>
      </c>
      <c r="C4922" s="10" t="s">
        <v>43</v>
      </c>
      <c r="D4922" s="10" t="s">
        <v>2229</v>
      </c>
      <c r="E4922" s="14">
        <v>0.096</v>
      </c>
      <c r="F4922" s="15">
        <f>ROUND(100,3)</f>
        <v>100</v>
      </c>
      <c r="G4922" s="12">
        <f t="shared" si="772"/>
        <v>9.6</v>
      </c>
    </row>
    <row r="4923" ht="21.0" customHeight="1">
      <c r="A4923" s="10" t="s">
        <v>969</v>
      </c>
      <c r="B4923" s="10" t="s">
        <v>112</v>
      </c>
      <c r="C4923" s="10" t="s">
        <v>23</v>
      </c>
      <c r="D4923" s="10" t="s">
        <v>970</v>
      </c>
      <c r="E4923" s="14">
        <v>0.5</v>
      </c>
      <c r="F4923" s="15">
        <f>ROUND(2,3)</f>
        <v>2</v>
      </c>
      <c r="G4923" s="12">
        <f t="shared" si="772"/>
        <v>1</v>
      </c>
    </row>
    <row r="4924" ht="30.0" customHeight="1">
      <c r="A4924" s="10" t="s">
        <v>971</v>
      </c>
      <c r="B4924" s="10" t="s">
        <v>42</v>
      </c>
      <c r="C4924" s="10" t="s">
        <v>231</v>
      </c>
      <c r="D4924" s="10" t="s">
        <v>972</v>
      </c>
      <c r="E4924" s="14">
        <v>0.33333</v>
      </c>
      <c r="F4924" s="15">
        <f>ROUND(4.92,3)</f>
        <v>4.92</v>
      </c>
      <c r="G4924" s="12">
        <f t="shared" si="772"/>
        <v>1.64</v>
      </c>
    </row>
    <row r="4925" ht="21.0" customHeight="1">
      <c r="A4925" s="10" t="s">
        <v>22</v>
      </c>
      <c r="B4925" s="10" t="s">
        <v>18</v>
      </c>
      <c r="C4925" s="10" t="s">
        <v>23</v>
      </c>
      <c r="D4925" s="10" t="s">
        <v>24</v>
      </c>
      <c r="E4925" s="14">
        <v>0.75</v>
      </c>
      <c r="F4925" s="15">
        <f>F4929</f>
        <v>43.8</v>
      </c>
      <c r="G4925" s="12">
        <f t="shared" si="772"/>
        <v>32.85</v>
      </c>
    </row>
    <row r="4926" ht="24.0" customHeight="1">
      <c r="A4926" s="10" t="s">
        <v>25</v>
      </c>
      <c r="B4926" s="10" t="s">
        <v>26</v>
      </c>
      <c r="C4926" s="10" t="s">
        <v>23</v>
      </c>
      <c r="D4926" s="10" t="s">
        <v>27</v>
      </c>
      <c r="E4926" s="14">
        <v>1.0</v>
      </c>
      <c r="F4926" s="15">
        <f>ROUND(21,3)</f>
        <v>21</v>
      </c>
      <c r="G4926" s="12">
        <f t="shared" si="772"/>
        <v>21</v>
      </c>
    </row>
    <row r="4927" ht="24.0" customHeight="1">
      <c r="A4927" s="10" t="s">
        <v>28</v>
      </c>
      <c r="B4927" s="10" t="s">
        <v>26</v>
      </c>
      <c r="C4927" s="10" t="s">
        <v>23</v>
      </c>
      <c r="D4927" s="10" t="s">
        <v>29</v>
      </c>
      <c r="E4927" s="14">
        <v>1.0</v>
      </c>
      <c r="F4927" s="15">
        <f t="shared" ref="F4927:F4928" si="773">ROUND(19,3)</f>
        <v>19</v>
      </c>
      <c r="G4927" s="12">
        <f t="shared" si="772"/>
        <v>19</v>
      </c>
    </row>
    <row r="4928" ht="24.0" customHeight="1">
      <c r="A4928" s="10" t="s">
        <v>30</v>
      </c>
      <c r="B4928" s="10" t="s">
        <v>26</v>
      </c>
      <c r="C4928" s="10" t="s">
        <v>23</v>
      </c>
      <c r="D4928" s="10" t="s">
        <v>31</v>
      </c>
      <c r="E4928" s="14">
        <v>0.2</v>
      </c>
      <c r="F4928" s="15">
        <f t="shared" si="773"/>
        <v>19</v>
      </c>
      <c r="G4928" s="12">
        <f t="shared" si="772"/>
        <v>3.8</v>
      </c>
    </row>
    <row r="4929" ht="15.0" customHeight="1">
      <c r="A4929" s="11"/>
      <c r="B4929" s="11"/>
      <c r="C4929" s="11"/>
      <c r="D4929" s="10" t="s">
        <v>22</v>
      </c>
      <c r="E4929" s="14">
        <v>0.75</v>
      </c>
      <c r="F4929" s="15">
        <f>ROUND((G4926+G4927+G4928),3)</f>
        <v>43.8</v>
      </c>
      <c r="G4929" s="12">
        <f t="shared" si="772"/>
        <v>32.85</v>
      </c>
    </row>
    <row r="4930" ht="15.0" customHeight="1">
      <c r="A4930" s="10" t="s">
        <v>32</v>
      </c>
      <c r="B4930" s="10"/>
      <c r="C4930" s="10" t="s">
        <v>33</v>
      </c>
      <c r="D4930" s="10" t="s">
        <v>34</v>
      </c>
      <c r="E4930" s="14">
        <v>3.0</v>
      </c>
      <c r="F4930" s="15">
        <f>ROUND(32.85,3)</f>
        <v>32.85</v>
      </c>
      <c r="G4930" s="12">
        <f>ROUND((E4930*F4930)/100,2)</f>
        <v>0.99</v>
      </c>
    </row>
    <row r="4931" ht="15.0" customHeight="1">
      <c r="A4931" s="16"/>
      <c r="B4931" s="16"/>
      <c r="C4931" s="16"/>
      <c r="D4931" s="17" t="s">
        <v>2210</v>
      </c>
      <c r="E4931" s="16"/>
      <c r="F4931" s="18">
        <f>ROUND((G4906+G4907+G4908+G4909+G4910+G4911+G4912+G4913+G4914+G4915+G4916+G4917+G4918+G4919+G4920+G4921+G4922+G4923+G4924+G4925+G4930)*(1+G2/100),2)</f>
        <v>79.4</v>
      </c>
      <c r="G4931" s="16"/>
    </row>
    <row r="4932" ht="30.0" customHeight="1">
      <c r="A4932" s="19" t="s">
        <v>2230</v>
      </c>
      <c r="B4932" s="20" t="s">
        <v>18</v>
      </c>
      <c r="C4932" s="20" t="s">
        <v>19</v>
      </c>
      <c r="D4932" s="20" t="s">
        <v>2231</v>
      </c>
      <c r="E4932" s="21"/>
      <c r="F4932" s="22">
        <f>F4959</f>
        <v>80.86</v>
      </c>
      <c r="G4932" s="21"/>
    </row>
    <row r="4933" ht="12.0" customHeight="1">
      <c r="A4933" s="11"/>
      <c r="B4933" s="11"/>
      <c r="C4933" s="11"/>
      <c r="D4933" s="10" t="s">
        <v>2231</v>
      </c>
    </row>
    <row r="4934" ht="48.75" customHeight="1">
      <c r="A4934" s="10" t="s">
        <v>2212</v>
      </c>
      <c r="B4934" s="10" t="s">
        <v>42</v>
      </c>
      <c r="C4934" s="10" t="s">
        <v>276</v>
      </c>
      <c r="D4934" s="10" t="s">
        <v>2213</v>
      </c>
      <c r="E4934" s="14">
        <v>0.03333</v>
      </c>
      <c r="F4934" s="15">
        <f>ROUND(138.59,3)</f>
        <v>138.59</v>
      </c>
      <c r="G4934" s="12">
        <f t="shared" ref="G4934:G4957" si="774">ROUND(E4934*F4934,2)</f>
        <v>4.62</v>
      </c>
    </row>
    <row r="4935" ht="48.75" customHeight="1">
      <c r="A4935" s="10" t="s">
        <v>2159</v>
      </c>
      <c r="B4935" s="10" t="s">
        <v>42</v>
      </c>
      <c r="C4935" s="10" t="s">
        <v>184</v>
      </c>
      <c r="D4935" s="10" t="s">
        <v>2160</v>
      </c>
      <c r="E4935" s="14">
        <v>0.198</v>
      </c>
      <c r="F4935" s="15">
        <f>ROUND(21.75,3)</f>
        <v>21.75</v>
      </c>
      <c r="G4935" s="12">
        <f t="shared" si="774"/>
        <v>4.31</v>
      </c>
    </row>
    <row r="4936" ht="67.5" customHeight="1">
      <c r="A4936" s="10" t="s">
        <v>2161</v>
      </c>
      <c r="B4936" s="10" t="s">
        <v>42</v>
      </c>
      <c r="C4936" s="10" t="s">
        <v>1825</v>
      </c>
      <c r="D4936" s="10" t="s">
        <v>2162</v>
      </c>
      <c r="E4936" s="14">
        <v>0.22</v>
      </c>
      <c r="F4936" s="15">
        <f>ROUND(47.87,3)</f>
        <v>47.87</v>
      </c>
      <c r="G4936" s="12">
        <f t="shared" si="774"/>
        <v>10.53</v>
      </c>
    </row>
    <row r="4937" ht="57.75" customHeight="1">
      <c r="A4937" s="10" t="s">
        <v>2216</v>
      </c>
      <c r="B4937" s="10" t="s">
        <v>42</v>
      </c>
      <c r="C4937" s="10" t="s">
        <v>1825</v>
      </c>
      <c r="D4937" s="10" t="s">
        <v>2217</v>
      </c>
      <c r="E4937" s="14">
        <v>0.00556</v>
      </c>
      <c r="F4937" s="15">
        <f>ROUND(85.48,3)</f>
        <v>85.48</v>
      </c>
      <c r="G4937" s="12">
        <f t="shared" si="774"/>
        <v>0.48</v>
      </c>
    </row>
    <row r="4938" ht="48.75" customHeight="1">
      <c r="A4938" s="10" t="s">
        <v>2218</v>
      </c>
      <c r="B4938" s="10" t="s">
        <v>42</v>
      </c>
      <c r="C4938" s="10" t="s">
        <v>344</v>
      </c>
      <c r="D4938" s="10" t="s">
        <v>2219</v>
      </c>
      <c r="E4938" s="14">
        <v>6.0</v>
      </c>
      <c r="F4938" s="15">
        <f>ROUND(0.23,3)</f>
        <v>0.23</v>
      </c>
      <c r="G4938" s="12">
        <f t="shared" si="774"/>
        <v>1.38</v>
      </c>
    </row>
    <row r="4939" ht="48.75" customHeight="1">
      <c r="A4939" s="10" t="s">
        <v>2177</v>
      </c>
      <c r="B4939" s="10" t="s">
        <v>42</v>
      </c>
      <c r="C4939" s="10" t="s">
        <v>226</v>
      </c>
      <c r="D4939" s="10" t="s">
        <v>2178</v>
      </c>
      <c r="E4939" s="14">
        <v>0.014</v>
      </c>
      <c r="F4939" s="15">
        <f>ROUND(9.01,3)</f>
        <v>9.01</v>
      </c>
      <c r="G4939" s="12">
        <f t="shared" si="774"/>
        <v>0.13</v>
      </c>
    </row>
    <row r="4940" ht="48.75" customHeight="1">
      <c r="A4940" s="10" t="s">
        <v>2220</v>
      </c>
      <c r="B4940" s="10" t="s">
        <v>42</v>
      </c>
      <c r="C4940" s="10" t="s">
        <v>1245</v>
      </c>
      <c r="D4940" s="10" t="s">
        <v>2221</v>
      </c>
      <c r="E4940" s="14">
        <v>0.005</v>
      </c>
      <c r="F4940" s="15">
        <f>ROUND(11.83,3)</f>
        <v>11.83</v>
      </c>
      <c r="G4940" s="12">
        <f t="shared" si="774"/>
        <v>0.06</v>
      </c>
    </row>
    <row r="4941" ht="48.75" customHeight="1">
      <c r="A4941" s="10" t="s">
        <v>2165</v>
      </c>
      <c r="B4941" s="10" t="s">
        <v>42</v>
      </c>
      <c r="C4941" s="10" t="s">
        <v>43</v>
      </c>
      <c r="D4941" s="10" t="s">
        <v>2166</v>
      </c>
      <c r="E4941" s="14">
        <v>0.1575</v>
      </c>
      <c r="F4941" s="15">
        <f>ROUND(56.25,3)</f>
        <v>56.25</v>
      </c>
      <c r="G4941" s="12">
        <f t="shared" si="774"/>
        <v>8.86</v>
      </c>
    </row>
    <row r="4942" ht="48.75" customHeight="1">
      <c r="A4942" s="10" t="s">
        <v>2167</v>
      </c>
      <c r="B4942" s="10" t="s">
        <v>42</v>
      </c>
      <c r="C4942" s="10" t="s">
        <v>226</v>
      </c>
      <c r="D4942" s="10" t="s">
        <v>2168</v>
      </c>
      <c r="E4942" s="14">
        <v>0.02</v>
      </c>
      <c r="F4942" s="15">
        <f>ROUND(83.54,3)</f>
        <v>83.54</v>
      </c>
      <c r="G4942" s="12">
        <f t="shared" si="774"/>
        <v>1.67</v>
      </c>
    </row>
    <row r="4943" ht="48.75" customHeight="1">
      <c r="A4943" s="10" t="s">
        <v>2171</v>
      </c>
      <c r="B4943" s="10" t="s">
        <v>42</v>
      </c>
      <c r="C4943" s="10" t="s">
        <v>1997</v>
      </c>
      <c r="D4943" s="10" t="s">
        <v>2172</v>
      </c>
      <c r="E4943" s="14">
        <v>0.16</v>
      </c>
      <c r="F4943" s="15">
        <f>ROUND(15,3)</f>
        <v>15</v>
      </c>
      <c r="G4943" s="12">
        <f t="shared" si="774"/>
        <v>2.4</v>
      </c>
    </row>
    <row r="4944" ht="48.75" customHeight="1">
      <c r="A4944" s="10" t="s">
        <v>2222</v>
      </c>
      <c r="B4944" s="10" t="s">
        <v>42</v>
      </c>
      <c r="C4944" s="10" t="s">
        <v>341</v>
      </c>
      <c r="D4944" s="10" t="s">
        <v>2223</v>
      </c>
      <c r="E4944" s="14">
        <v>0.0048</v>
      </c>
      <c r="F4944" s="15">
        <f>ROUND(21.38,3)</f>
        <v>21.38</v>
      </c>
      <c r="G4944" s="12">
        <f t="shared" si="774"/>
        <v>0.1</v>
      </c>
    </row>
    <row r="4945" ht="21.0" customHeight="1">
      <c r="A4945" s="10" t="s">
        <v>967</v>
      </c>
      <c r="B4945" s="10" t="s">
        <v>42</v>
      </c>
      <c r="C4945" s="10" t="s">
        <v>325</v>
      </c>
      <c r="D4945" s="10" t="s">
        <v>968</v>
      </c>
      <c r="E4945" s="14">
        <v>0.00444</v>
      </c>
      <c r="F4945" s="15">
        <f>ROUND(6.49,3)</f>
        <v>6.49</v>
      </c>
      <c r="G4945" s="12">
        <f t="shared" si="774"/>
        <v>0.03</v>
      </c>
    </row>
    <row r="4946" ht="57.75" customHeight="1">
      <c r="A4946" s="10" t="s">
        <v>2224</v>
      </c>
      <c r="B4946" s="10" t="s">
        <v>42</v>
      </c>
      <c r="C4946" s="10" t="s">
        <v>330</v>
      </c>
      <c r="D4946" s="10" t="s">
        <v>2225</v>
      </c>
      <c r="E4946" s="14">
        <v>0.0048</v>
      </c>
      <c r="F4946" s="15">
        <f>ROUND(14.51,3)</f>
        <v>14.51</v>
      </c>
      <c r="G4946" s="12">
        <f t="shared" si="774"/>
        <v>0.07</v>
      </c>
    </row>
    <row r="4947" ht="57.75" customHeight="1">
      <c r="A4947" s="10" t="s">
        <v>2226</v>
      </c>
      <c r="B4947" s="10" t="s">
        <v>42</v>
      </c>
      <c r="C4947" s="10" t="s">
        <v>330</v>
      </c>
      <c r="D4947" s="10" t="s">
        <v>2227</v>
      </c>
      <c r="E4947" s="14">
        <v>0.0048</v>
      </c>
      <c r="F4947" s="15">
        <f>ROUND(16.04,3)</f>
        <v>16.04</v>
      </c>
      <c r="G4947" s="12">
        <f t="shared" si="774"/>
        <v>0.08</v>
      </c>
    </row>
    <row r="4948" ht="48.75" customHeight="1">
      <c r="A4948" s="10" t="s">
        <v>2175</v>
      </c>
      <c r="B4948" s="10" t="s">
        <v>42</v>
      </c>
      <c r="C4948" s="10" t="s">
        <v>344</v>
      </c>
      <c r="D4948" s="10" t="s">
        <v>2176</v>
      </c>
      <c r="E4948" s="14">
        <v>0.12</v>
      </c>
      <c r="F4948" s="15">
        <f>ROUND(7.54,3)</f>
        <v>7.54</v>
      </c>
      <c r="G4948" s="12">
        <f t="shared" si="774"/>
        <v>0.9</v>
      </c>
    </row>
    <row r="4949" ht="48.75" customHeight="1">
      <c r="A4949" s="10" t="s">
        <v>2173</v>
      </c>
      <c r="B4949" s="10" t="s">
        <v>42</v>
      </c>
      <c r="C4949" s="10" t="s">
        <v>344</v>
      </c>
      <c r="D4949" s="10" t="s">
        <v>2174</v>
      </c>
      <c r="E4949" s="14">
        <v>0.24</v>
      </c>
      <c r="F4949" s="15">
        <f>ROUND(3.16,3)</f>
        <v>3.16</v>
      </c>
      <c r="G4949" s="12">
        <f t="shared" si="774"/>
        <v>0.76</v>
      </c>
    </row>
    <row r="4950" ht="39.75" customHeight="1">
      <c r="A4950" s="10" t="s">
        <v>2228</v>
      </c>
      <c r="B4950" s="10" t="s">
        <v>42</v>
      </c>
      <c r="C4950" s="10" t="s">
        <v>43</v>
      </c>
      <c r="D4950" s="10" t="s">
        <v>2229</v>
      </c>
      <c r="E4950" s="14">
        <v>0.08</v>
      </c>
      <c r="F4950" s="15">
        <f>ROUND(100,3)</f>
        <v>100</v>
      </c>
      <c r="G4950" s="12">
        <f t="shared" si="774"/>
        <v>8</v>
      </c>
    </row>
    <row r="4951" ht="21.0" customHeight="1">
      <c r="A4951" s="10" t="s">
        <v>969</v>
      </c>
      <c r="B4951" s="10" t="s">
        <v>112</v>
      </c>
      <c r="C4951" s="10" t="s">
        <v>23</v>
      </c>
      <c r="D4951" s="10" t="s">
        <v>970</v>
      </c>
      <c r="E4951" s="14">
        <v>0.5</v>
      </c>
      <c r="F4951" s="15">
        <f>ROUND(2,3)</f>
        <v>2</v>
      </c>
      <c r="G4951" s="12">
        <f t="shared" si="774"/>
        <v>1</v>
      </c>
    </row>
    <row r="4952" ht="30.0" customHeight="1">
      <c r="A4952" s="10" t="s">
        <v>971</v>
      </c>
      <c r="B4952" s="10" t="s">
        <v>42</v>
      </c>
      <c r="C4952" s="10" t="s">
        <v>231</v>
      </c>
      <c r="D4952" s="10" t="s">
        <v>972</v>
      </c>
      <c r="E4952" s="14">
        <v>0.33333</v>
      </c>
      <c r="F4952" s="15">
        <f>ROUND(4.92,3)</f>
        <v>4.92</v>
      </c>
      <c r="G4952" s="12">
        <f t="shared" si="774"/>
        <v>1.64</v>
      </c>
    </row>
    <row r="4953" ht="21.0" customHeight="1">
      <c r="A4953" s="10" t="s">
        <v>22</v>
      </c>
      <c r="B4953" s="10" t="s">
        <v>18</v>
      </c>
      <c r="C4953" s="10" t="s">
        <v>23</v>
      </c>
      <c r="D4953" s="10" t="s">
        <v>24</v>
      </c>
      <c r="E4953" s="14">
        <v>0.75</v>
      </c>
      <c r="F4953" s="15">
        <f>F4957</f>
        <v>43.8</v>
      </c>
      <c r="G4953" s="12">
        <f t="shared" si="774"/>
        <v>32.85</v>
      </c>
    </row>
    <row r="4954" ht="24.0" customHeight="1">
      <c r="A4954" s="10" t="s">
        <v>25</v>
      </c>
      <c r="B4954" s="10" t="s">
        <v>26</v>
      </c>
      <c r="C4954" s="10" t="s">
        <v>23</v>
      </c>
      <c r="D4954" s="10" t="s">
        <v>27</v>
      </c>
      <c r="E4954" s="14">
        <v>1.0</v>
      </c>
      <c r="F4954" s="15">
        <f>ROUND(21,3)</f>
        <v>21</v>
      </c>
      <c r="G4954" s="12">
        <f t="shared" si="774"/>
        <v>21</v>
      </c>
    </row>
    <row r="4955" ht="24.0" customHeight="1">
      <c r="A4955" s="10" t="s">
        <v>28</v>
      </c>
      <c r="B4955" s="10" t="s">
        <v>26</v>
      </c>
      <c r="C4955" s="10" t="s">
        <v>23</v>
      </c>
      <c r="D4955" s="10" t="s">
        <v>29</v>
      </c>
      <c r="E4955" s="14">
        <v>1.0</v>
      </c>
      <c r="F4955" s="15">
        <f t="shared" ref="F4955:F4956" si="775">ROUND(19,3)</f>
        <v>19</v>
      </c>
      <c r="G4955" s="12">
        <f t="shared" si="774"/>
        <v>19</v>
      </c>
    </row>
    <row r="4956" ht="24.0" customHeight="1">
      <c r="A4956" s="10" t="s">
        <v>30</v>
      </c>
      <c r="B4956" s="10" t="s">
        <v>26</v>
      </c>
      <c r="C4956" s="10" t="s">
        <v>23</v>
      </c>
      <c r="D4956" s="10" t="s">
        <v>31</v>
      </c>
      <c r="E4956" s="14">
        <v>0.2</v>
      </c>
      <c r="F4956" s="15">
        <f t="shared" si="775"/>
        <v>19</v>
      </c>
      <c r="G4956" s="12">
        <f t="shared" si="774"/>
        <v>3.8</v>
      </c>
    </row>
    <row r="4957" ht="15.0" customHeight="1">
      <c r="A4957" s="11"/>
      <c r="B4957" s="11"/>
      <c r="C4957" s="11"/>
      <c r="D4957" s="10" t="s">
        <v>22</v>
      </c>
      <c r="E4957" s="14">
        <v>0.75</v>
      </c>
      <c r="F4957" s="15">
        <f>ROUND((G4954+G4955+G4956),3)</f>
        <v>43.8</v>
      </c>
      <c r="G4957" s="12">
        <f t="shared" si="774"/>
        <v>32.85</v>
      </c>
    </row>
    <row r="4958" ht="15.0" customHeight="1">
      <c r="A4958" s="10" t="s">
        <v>32</v>
      </c>
      <c r="B4958" s="10"/>
      <c r="C4958" s="10" t="s">
        <v>33</v>
      </c>
      <c r="D4958" s="10" t="s">
        <v>34</v>
      </c>
      <c r="E4958" s="14">
        <v>3.0</v>
      </c>
      <c r="F4958" s="15">
        <f>ROUND(32.85,3)</f>
        <v>32.85</v>
      </c>
      <c r="G4958" s="12">
        <f>ROUND((E4958*F4958)/100,2)</f>
        <v>0.99</v>
      </c>
    </row>
    <row r="4959" ht="15.0" customHeight="1">
      <c r="A4959" s="16"/>
      <c r="B4959" s="16"/>
      <c r="C4959" s="16"/>
      <c r="D4959" s="17" t="s">
        <v>2230</v>
      </c>
      <c r="E4959" s="16"/>
      <c r="F4959" s="18">
        <f>ROUND((G4934+G4935+G4936+G4937+G4938+G4939+G4940+G4941+G4942+G4943+G4944+G4945+G4946+G4947+G4948+G4949+G4950+G4951+G4952+G4953+G4958)*(1+G2/100),2)</f>
        <v>80.86</v>
      </c>
      <c r="G4959" s="16"/>
    </row>
    <row r="4960" ht="30.0" customHeight="1">
      <c r="A4960" s="19" t="s">
        <v>2232</v>
      </c>
      <c r="B4960" s="20" t="s">
        <v>18</v>
      </c>
      <c r="C4960" s="20" t="s">
        <v>19</v>
      </c>
      <c r="D4960" s="20" t="s">
        <v>2233</v>
      </c>
      <c r="E4960" s="21"/>
      <c r="F4960" s="22">
        <f>F4985</f>
        <v>79.71</v>
      </c>
      <c r="G4960" s="21"/>
    </row>
    <row r="4961" ht="21.0" customHeight="1">
      <c r="A4961" s="11"/>
      <c r="B4961" s="11"/>
      <c r="C4961" s="11"/>
      <c r="D4961" s="10" t="s">
        <v>2233</v>
      </c>
    </row>
    <row r="4962" ht="48.75" customHeight="1">
      <c r="A4962" s="10" t="s">
        <v>2212</v>
      </c>
      <c r="B4962" s="10" t="s">
        <v>42</v>
      </c>
      <c r="C4962" s="10" t="s">
        <v>276</v>
      </c>
      <c r="D4962" s="10" t="s">
        <v>2213</v>
      </c>
      <c r="E4962" s="14">
        <v>0.03333</v>
      </c>
      <c r="F4962" s="15">
        <f>ROUND(138.59,3)</f>
        <v>138.59</v>
      </c>
      <c r="G4962" s="12">
        <f t="shared" ref="G4962:G4983" si="776">ROUND(E4962*F4962,2)</f>
        <v>4.62</v>
      </c>
    </row>
    <row r="4963" ht="48.75" customHeight="1">
      <c r="A4963" s="10" t="s">
        <v>2159</v>
      </c>
      <c r="B4963" s="10" t="s">
        <v>42</v>
      </c>
      <c r="C4963" s="10" t="s">
        <v>184</v>
      </c>
      <c r="D4963" s="10" t="s">
        <v>2160</v>
      </c>
      <c r="E4963" s="14">
        <v>0.198</v>
      </c>
      <c r="F4963" s="15">
        <f>ROUND(21.75,3)</f>
        <v>21.75</v>
      </c>
      <c r="G4963" s="12">
        <f t="shared" si="776"/>
        <v>4.31</v>
      </c>
    </row>
    <row r="4964" ht="48.75" customHeight="1">
      <c r="A4964" s="10" t="s">
        <v>2234</v>
      </c>
      <c r="B4964" s="10" t="s">
        <v>42</v>
      </c>
      <c r="C4964" s="10" t="s">
        <v>1825</v>
      </c>
      <c r="D4964" s="10" t="s">
        <v>2235</v>
      </c>
      <c r="E4964" s="14">
        <v>0.1358</v>
      </c>
      <c r="F4964" s="15">
        <f>ROUND(65.37,3)</f>
        <v>65.37</v>
      </c>
      <c r="G4964" s="12">
        <f t="shared" si="776"/>
        <v>8.88</v>
      </c>
    </row>
    <row r="4965" ht="57.75" customHeight="1">
      <c r="A4965" s="10" t="s">
        <v>2216</v>
      </c>
      <c r="B4965" s="10" t="s">
        <v>42</v>
      </c>
      <c r="C4965" s="10" t="s">
        <v>1825</v>
      </c>
      <c r="D4965" s="10" t="s">
        <v>2217</v>
      </c>
      <c r="E4965" s="14">
        <v>0.00556</v>
      </c>
      <c r="F4965" s="15">
        <f>ROUND(85.48,3)</f>
        <v>85.48</v>
      </c>
      <c r="G4965" s="12">
        <f t="shared" si="776"/>
        <v>0.48</v>
      </c>
    </row>
    <row r="4966" ht="48.75" customHeight="1">
      <c r="A4966" s="10" t="s">
        <v>2218</v>
      </c>
      <c r="B4966" s="10" t="s">
        <v>42</v>
      </c>
      <c r="C4966" s="10" t="s">
        <v>344</v>
      </c>
      <c r="D4966" s="10" t="s">
        <v>2219</v>
      </c>
      <c r="E4966" s="14">
        <v>6.0</v>
      </c>
      <c r="F4966" s="15">
        <f>ROUND(0.23,3)</f>
        <v>0.23</v>
      </c>
      <c r="G4966" s="12">
        <f t="shared" si="776"/>
        <v>1.38</v>
      </c>
    </row>
    <row r="4967" ht="48.75" customHeight="1">
      <c r="A4967" s="10" t="s">
        <v>2177</v>
      </c>
      <c r="B4967" s="10" t="s">
        <v>42</v>
      </c>
      <c r="C4967" s="10" t="s">
        <v>226</v>
      </c>
      <c r="D4967" s="10" t="s">
        <v>2178</v>
      </c>
      <c r="E4967" s="14">
        <v>0.014</v>
      </c>
      <c r="F4967" s="15">
        <f>ROUND(9.01,3)</f>
        <v>9.01</v>
      </c>
      <c r="G4967" s="12">
        <f t="shared" si="776"/>
        <v>0.13</v>
      </c>
    </row>
    <row r="4968" ht="48.75" customHeight="1">
      <c r="A4968" s="10" t="s">
        <v>2220</v>
      </c>
      <c r="B4968" s="10" t="s">
        <v>42</v>
      </c>
      <c r="C4968" s="10" t="s">
        <v>1245</v>
      </c>
      <c r="D4968" s="10" t="s">
        <v>2221</v>
      </c>
      <c r="E4968" s="14">
        <v>0.005</v>
      </c>
      <c r="F4968" s="15">
        <f>ROUND(11.83,3)</f>
        <v>11.83</v>
      </c>
      <c r="G4968" s="12">
        <f t="shared" si="776"/>
        <v>0.06</v>
      </c>
    </row>
    <row r="4969" ht="48.75" customHeight="1">
      <c r="A4969" s="10" t="s">
        <v>2165</v>
      </c>
      <c r="B4969" s="10" t="s">
        <v>42</v>
      </c>
      <c r="C4969" s="10" t="s">
        <v>43</v>
      </c>
      <c r="D4969" s="10" t="s">
        <v>2166</v>
      </c>
      <c r="E4969" s="14">
        <v>0.1575</v>
      </c>
      <c r="F4969" s="15">
        <f>ROUND(56.25,3)</f>
        <v>56.25</v>
      </c>
      <c r="G4969" s="12">
        <f t="shared" si="776"/>
        <v>8.86</v>
      </c>
    </row>
    <row r="4970" ht="48.75" customHeight="1">
      <c r="A4970" s="10" t="s">
        <v>2171</v>
      </c>
      <c r="B4970" s="10" t="s">
        <v>42</v>
      </c>
      <c r="C4970" s="10" t="s">
        <v>1997</v>
      </c>
      <c r="D4970" s="10" t="s">
        <v>2172</v>
      </c>
      <c r="E4970" s="14">
        <v>0.16</v>
      </c>
      <c r="F4970" s="15">
        <f>ROUND(15,3)</f>
        <v>15</v>
      </c>
      <c r="G4970" s="12">
        <f t="shared" si="776"/>
        <v>2.4</v>
      </c>
    </row>
    <row r="4971" ht="48.75" customHeight="1">
      <c r="A4971" s="10" t="s">
        <v>2222</v>
      </c>
      <c r="B4971" s="10" t="s">
        <v>42</v>
      </c>
      <c r="C4971" s="10" t="s">
        <v>341</v>
      </c>
      <c r="D4971" s="10" t="s">
        <v>2223</v>
      </c>
      <c r="E4971" s="14">
        <v>0.0048</v>
      </c>
      <c r="F4971" s="15">
        <f>ROUND(21.38,3)</f>
        <v>21.38</v>
      </c>
      <c r="G4971" s="12">
        <f t="shared" si="776"/>
        <v>0.1</v>
      </c>
    </row>
    <row r="4972" ht="21.0" customHeight="1">
      <c r="A4972" s="10" t="s">
        <v>967</v>
      </c>
      <c r="B4972" s="10" t="s">
        <v>42</v>
      </c>
      <c r="C4972" s="10" t="s">
        <v>325</v>
      </c>
      <c r="D4972" s="10" t="s">
        <v>968</v>
      </c>
      <c r="E4972" s="14">
        <v>0.00444</v>
      </c>
      <c r="F4972" s="15">
        <f>ROUND(6.49,3)</f>
        <v>6.49</v>
      </c>
      <c r="G4972" s="12">
        <f t="shared" si="776"/>
        <v>0.03</v>
      </c>
    </row>
    <row r="4973" ht="57.75" customHeight="1">
      <c r="A4973" s="10" t="s">
        <v>2224</v>
      </c>
      <c r="B4973" s="10" t="s">
        <v>42</v>
      </c>
      <c r="C4973" s="10" t="s">
        <v>330</v>
      </c>
      <c r="D4973" s="10" t="s">
        <v>2225</v>
      </c>
      <c r="E4973" s="14">
        <v>0.0048</v>
      </c>
      <c r="F4973" s="15">
        <f>ROUND(14.51,3)</f>
        <v>14.51</v>
      </c>
      <c r="G4973" s="12">
        <f t="shared" si="776"/>
        <v>0.07</v>
      </c>
    </row>
    <row r="4974" ht="48.75" customHeight="1">
      <c r="A4974" s="10" t="s">
        <v>2175</v>
      </c>
      <c r="B4974" s="10" t="s">
        <v>42</v>
      </c>
      <c r="C4974" s="10" t="s">
        <v>344</v>
      </c>
      <c r="D4974" s="10" t="s">
        <v>2176</v>
      </c>
      <c r="E4974" s="14">
        <v>0.12</v>
      </c>
      <c r="F4974" s="15">
        <f>ROUND(7.54,3)</f>
        <v>7.54</v>
      </c>
      <c r="G4974" s="12">
        <f t="shared" si="776"/>
        <v>0.9</v>
      </c>
    </row>
    <row r="4975" ht="48.75" customHeight="1">
      <c r="A4975" s="10" t="s">
        <v>2173</v>
      </c>
      <c r="B4975" s="10" t="s">
        <v>42</v>
      </c>
      <c r="C4975" s="10" t="s">
        <v>344</v>
      </c>
      <c r="D4975" s="10" t="s">
        <v>2174</v>
      </c>
      <c r="E4975" s="14">
        <v>0.24</v>
      </c>
      <c r="F4975" s="15">
        <f>ROUND(3.16,3)</f>
        <v>3.16</v>
      </c>
      <c r="G4975" s="12">
        <f t="shared" si="776"/>
        <v>0.76</v>
      </c>
    </row>
    <row r="4976" ht="39.75" customHeight="1">
      <c r="A4976" s="10" t="s">
        <v>2228</v>
      </c>
      <c r="B4976" s="10" t="s">
        <v>42</v>
      </c>
      <c r="C4976" s="10" t="s">
        <v>43</v>
      </c>
      <c r="D4976" s="10" t="s">
        <v>2229</v>
      </c>
      <c r="E4976" s="14">
        <v>0.096</v>
      </c>
      <c r="F4976" s="15">
        <f>ROUND(100,3)</f>
        <v>100</v>
      </c>
      <c r="G4976" s="12">
        <f t="shared" si="776"/>
        <v>9.6</v>
      </c>
    </row>
    <row r="4977" ht="21.0" customHeight="1">
      <c r="A4977" s="10" t="s">
        <v>969</v>
      </c>
      <c r="B4977" s="10" t="s">
        <v>112</v>
      </c>
      <c r="C4977" s="10" t="s">
        <v>23</v>
      </c>
      <c r="D4977" s="10" t="s">
        <v>970</v>
      </c>
      <c r="E4977" s="14">
        <v>0.5</v>
      </c>
      <c r="F4977" s="15">
        <f>ROUND(2,3)</f>
        <v>2</v>
      </c>
      <c r="G4977" s="12">
        <f t="shared" si="776"/>
        <v>1</v>
      </c>
    </row>
    <row r="4978" ht="30.0" customHeight="1">
      <c r="A4978" s="10" t="s">
        <v>971</v>
      </c>
      <c r="B4978" s="10" t="s">
        <v>42</v>
      </c>
      <c r="C4978" s="10" t="s">
        <v>231</v>
      </c>
      <c r="D4978" s="10" t="s">
        <v>972</v>
      </c>
      <c r="E4978" s="14">
        <v>0.33333</v>
      </c>
      <c r="F4978" s="15">
        <f>ROUND(4.92,3)</f>
        <v>4.92</v>
      </c>
      <c r="G4978" s="12">
        <f t="shared" si="776"/>
        <v>1.64</v>
      </c>
    </row>
    <row r="4979" ht="21.0" customHeight="1">
      <c r="A4979" s="10" t="s">
        <v>22</v>
      </c>
      <c r="B4979" s="10" t="s">
        <v>18</v>
      </c>
      <c r="C4979" s="10" t="s">
        <v>23</v>
      </c>
      <c r="D4979" s="10" t="s">
        <v>24</v>
      </c>
      <c r="E4979" s="14">
        <v>0.75</v>
      </c>
      <c r="F4979" s="15">
        <f>F4983</f>
        <v>43.8</v>
      </c>
      <c r="G4979" s="12">
        <f t="shared" si="776"/>
        <v>32.85</v>
      </c>
    </row>
    <row r="4980" ht="24.0" customHeight="1">
      <c r="A4980" s="10" t="s">
        <v>25</v>
      </c>
      <c r="B4980" s="10" t="s">
        <v>26</v>
      </c>
      <c r="C4980" s="10" t="s">
        <v>23</v>
      </c>
      <c r="D4980" s="10" t="s">
        <v>27</v>
      </c>
      <c r="E4980" s="14">
        <v>1.0</v>
      </c>
      <c r="F4980" s="15">
        <f>ROUND(21,3)</f>
        <v>21</v>
      </c>
      <c r="G4980" s="12">
        <f t="shared" si="776"/>
        <v>21</v>
      </c>
    </row>
    <row r="4981" ht="24.0" customHeight="1">
      <c r="A4981" s="10" t="s">
        <v>28</v>
      </c>
      <c r="B4981" s="10" t="s">
        <v>26</v>
      </c>
      <c r="C4981" s="10" t="s">
        <v>23</v>
      </c>
      <c r="D4981" s="10" t="s">
        <v>29</v>
      </c>
      <c r="E4981" s="14">
        <v>1.0</v>
      </c>
      <c r="F4981" s="15">
        <f t="shared" ref="F4981:F4982" si="777">ROUND(19,3)</f>
        <v>19</v>
      </c>
      <c r="G4981" s="12">
        <f t="shared" si="776"/>
        <v>19</v>
      </c>
    </row>
    <row r="4982" ht="24.0" customHeight="1">
      <c r="A4982" s="10" t="s">
        <v>30</v>
      </c>
      <c r="B4982" s="10" t="s">
        <v>26</v>
      </c>
      <c r="C4982" s="10" t="s">
        <v>23</v>
      </c>
      <c r="D4982" s="10" t="s">
        <v>31</v>
      </c>
      <c r="E4982" s="14">
        <v>0.2</v>
      </c>
      <c r="F4982" s="15">
        <f t="shared" si="777"/>
        <v>19</v>
      </c>
      <c r="G4982" s="12">
        <f t="shared" si="776"/>
        <v>3.8</v>
      </c>
    </row>
    <row r="4983" ht="15.0" customHeight="1">
      <c r="A4983" s="11"/>
      <c r="B4983" s="11"/>
      <c r="C4983" s="11"/>
      <c r="D4983" s="10" t="s">
        <v>22</v>
      </c>
      <c r="E4983" s="14">
        <v>0.75</v>
      </c>
      <c r="F4983" s="15">
        <f>ROUND((G4980+G4981+G4982),3)</f>
        <v>43.8</v>
      </c>
      <c r="G4983" s="12">
        <f t="shared" si="776"/>
        <v>32.85</v>
      </c>
    </row>
    <row r="4984" ht="15.0" customHeight="1">
      <c r="A4984" s="10" t="s">
        <v>32</v>
      </c>
      <c r="B4984" s="10"/>
      <c r="C4984" s="10" t="s">
        <v>33</v>
      </c>
      <c r="D4984" s="10" t="s">
        <v>34</v>
      </c>
      <c r="E4984" s="14">
        <v>5.0</v>
      </c>
      <c r="F4984" s="15">
        <f>ROUND(32.85,3)</f>
        <v>32.85</v>
      </c>
      <c r="G4984" s="12">
        <f>ROUND((E4984*F4984)/100,2)</f>
        <v>1.64</v>
      </c>
    </row>
    <row r="4985" ht="15.0" customHeight="1">
      <c r="A4985" s="16"/>
      <c r="B4985" s="16"/>
      <c r="C4985" s="16"/>
      <c r="D4985" s="17" t="s">
        <v>2232</v>
      </c>
      <c r="E4985" s="16"/>
      <c r="F4985" s="18">
        <f>ROUND((G4962+G4963+G4964+G4965+G4966+G4967+G4968+G4969+G4970+G4971+G4972+G4973+G4974+G4975+G4976+G4977+G4978+G4979+G4984)*(1+G2/100),2)</f>
        <v>79.71</v>
      </c>
      <c r="G4985" s="16"/>
    </row>
    <row r="4986" ht="39.75" customHeight="1">
      <c r="A4986" s="19" t="s">
        <v>2236</v>
      </c>
      <c r="B4986" s="20" t="s">
        <v>18</v>
      </c>
      <c r="C4986" s="20" t="s">
        <v>19</v>
      </c>
      <c r="D4986" s="20" t="s">
        <v>2237</v>
      </c>
      <c r="E4986" s="21"/>
      <c r="F4986" s="22">
        <f>F5008</f>
        <v>104.59</v>
      </c>
      <c r="G4986" s="21"/>
    </row>
    <row r="4987" ht="21.0" customHeight="1">
      <c r="A4987" s="11"/>
      <c r="B4987" s="11"/>
      <c r="C4987" s="11"/>
      <c r="D4987" s="10" t="s">
        <v>2237</v>
      </c>
    </row>
    <row r="4988" ht="39.75" customHeight="1">
      <c r="A4988" s="10" t="s">
        <v>2238</v>
      </c>
      <c r="B4988" s="10" t="s">
        <v>42</v>
      </c>
      <c r="C4988" s="10" t="s">
        <v>184</v>
      </c>
      <c r="D4988" s="10" t="s">
        <v>2239</v>
      </c>
      <c r="E4988" s="14">
        <v>0.01</v>
      </c>
      <c r="F4988" s="15">
        <f>ROUND(93.67,3)</f>
        <v>93.67</v>
      </c>
      <c r="G4988" s="12">
        <f t="shared" ref="G4988:G5006" si="778">ROUND(E4988*F4988,2)</f>
        <v>0.94</v>
      </c>
    </row>
    <row r="4989" ht="39.75" customHeight="1">
      <c r="A4989" s="10" t="s">
        <v>2240</v>
      </c>
      <c r="B4989" s="10" t="s">
        <v>42</v>
      </c>
      <c r="C4989" s="10" t="s">
        <v>344</v>
      </c>
      <c r="D4989" s="10" t="s">
        <v>2241</v>
      </c>
      <c r="E4989" s="14">
        <v>0.19832</v>
      </c>
      <c r="F4989" s="15">
        <f>ROUND(10.49,3)</f>
        <v>10.49</v>
      </c>
      <c r="G4989" s="12">
        <f t="shared" si="778"/>
        <v>2.08</v>
      </c>
    </row>
    <row r="4990" ht="39.75" customHeight="1">
      <c r="A4990" s="10" t="s">
        <v>2024</v>
      </c>
      <c r="B4990" s="10" t="s">
        <v>42</v>
      </c>
      <c r="C4990" s="10" t="s">
        <v>184</v>
      </c>
      <c r="D4990" s="10" t="s">
        <v>2025</v>
      </c>
      <c r="E4990" s="14">
        <v>0.636</v>
      </c>
      <c r="F4990" s="15">
        <f>ROUND(11.26,3)</f>
        <v>11.26</v>
      </c>
      <c r="G4990" s="12">
        <f t="shared" si="778"/>
        <v>7.16</v>
      </c>
    </row>
    <row r="4991" ht="21.0" customHeight="1">
      <c r="A4991" s="10" t="s">
        <v>967</v>
      </c>
      <c r="B4991" s="10" t="s">
        <v>42</v>
      </c>
      <c r="C4991" s="10" t="s">
        <v>325</v>
      </c>
      <c r="D4991" s="10" t="s">
        <v>968</v>
      </c>
      <c r="E4991" s="14">
        <v>0.03333</v>
      </c>
      <c r="F4991" s="15">
        <f>ROUND(6.49,3)</f>
        <v>6.49</v>
      </c>
      <c r="G4991" s="12">
        <f t="shared" si="778"/>
        <v>0.22</v>
      </c>
    </row>
    <row r="4992" ht="48.75" customHeight="1">
      <c r="A4992" s="10" t="s">
        <v>2242</v>
      </c>
      <c r="B4992" s="10" t="s">
        <v>42</v>
      </c>
      <c r="C4992" s="10" t="s">
        <v>1825</v>
      </c>
      <c r="D4992" s="10" t="s">
        <v>2243</v>
      </c>
      <c r="E4992" s="14">
        <v>0.15278</v>
      </c>
      <c r="F4992" s="15">
        <f>ROUND(178.46,3)</f>
        <v>178.46</v>
      </c>
      <c r="G4992" s="12">
        <f t="shared" si="778"/>
        <v>27.27</v>
      </c>
    </row>
    <row r="4993" ht="48.75" customHeight="1">
      <c r="A4993" s="10" t="s">
        <v>2244</v>
      </c>
      <c r="B4993" s="10" t="s">
        <v>42</v>
      </c>
      <c r="C4993" s="10" t="s">
        <v>325</v>
      </c>
      <c r="D4993" s="10" t="s">
        <v>2245</v>
      </c>
      <c r="E4993" s="14">
        <v>0.04</v>
      </c>
      <c r="F4993" s="15">
        <f>ROUND(52.27,3)</f>
        <v>52.27</v>
      </c>
      <c r="G4993" s="12">
        <f t="shared" si="778"/>
        <v>2.09</v>
      </c>
    </row>
    <row r="4994" ht="21.0" customHeight="1">
      <c r="A4994" s="10" t="s">
        <v>969</v>
      </c>
      <c r="B4994" s="10" t="s">
        <v>112</v>
      </c>
      <c r="C4994" s="10" t="s">
        <v>23</v>
      </c>
      <c r="D4994" s="10" t="s">
        <v>970</v>
      </c>
      <c r="E4994" s="14">
        <v>0.5</v>
      </c>
      <c r="F4994" s="15">
        <f>ROUND(2,3)</f>
        <v>2</v>
      </c>
      <c r="G4994" s="12">
        <f t="shared" si="778"/>
        <v>1</v>
      </c>
    </row>
    <row r="4995" ht="30.0" customHeight="1">
      <c r="A4995" s="10" t="s">
        <v>971</v>
      </c>
      <c r="B4995" s="10" t="s">
        <v>42</v>
      </c>
      <c r="C4995" s="10" t="s">
        <v>231</v>
      </c>
      <c r="D4995" s="10" t="s">
        <v>972</v>
      </c>
      <c r="E4995" s="14">
        <v>0.33333</v>
      </c>
      <c r="F4995" s="15">
        <f>ROUND(4.92,3)</f>
        <v>4.92</v>
      </c>
      <c r="G4995" s="12">
        <f t="shared" si="778"/>
        <v>1.64</v>
      </c>
    </row>
    <row r="4996" ht="30.0" customHeight="1">
      <c r="A4996" s="10" t="s">
        <v>2026</v>
      </c>
      <c r="B4996" s="10" t="s">
        <v>42</v>
      </c>
      <c r="C4996" s="10" t="s">
        <v>1997</v>
      </c>
      <c r="D4996" s="10" t="s">
        <v>2027</v>
      </c>
      <c r="E4996" s="14">
        <v>0.12</v>
      </c>
      <c r="F4996" s="15">
        <f>ROUND(11.1,3)</f>
        <v>11.1</v>
      </c>
      <c r="G4996" s="12">
        <f t="shared" si="778"/>
        <v>1.33</v>
      </c>
    </row>
    <row r="4997" ht="30.0" customHeight="1">
      <c r="A4997" s="10" t="s">
        <v>2028</v>
      </c>
      <c r="B4997" s="10" t="s">
        <v>42</v>
      </c>
      <c r="C4997" s="10" t="s">
        <v>1997</v>
      </c>
      <c r="D4997" s="10" t="s">
        <v>2029</v>
      </c>
      <c r="E4997" s="14">
        <v>0.24</v>
      </c>
      <c r="F4997" s="15">
        <f>ROUND(2.8,3)</f>
        <v>2.8</v>
      </c>
      <c r="G4997" s="12">
        <f t="shared" si="778"/>
        <v>0.67</v>
      </c>
    </row>
    <row r="4998" ht="39.75" customHeight="1">
      <c r="A4998" s="10" t="s">
        <v>1996</v>
      </c>
      <c r="B4998" s="10" t="s">
        <v>42</v>
      </c>
      <c r="C4998" s="10" t="s">
        <v>1997</v>
      </c>
      <c r="D4998" s="10" t="s">
        <v>1998</v>
      </c>
      <c r="E4998" s="14">
        <v>0.1237</v>
      </c>
      <c r="F4998" s="15">
        <f>ROUND(5.04,3)</f>
        <v>5.04</v>
      </c>
      <c r="G4998" s="12">
        <f t="shared" si="778"/>
        <v>0.62</v>
      </c>
    </row>
    <row r="4999" ht="30.0" customHeight="1">
      <c r="A4999" s="10" t="s">
        <v>1899</v>
      </c>
      <c r="B4999" s="10" t="s">
        <v>42</v>
      </c>
      <c r="C4999" s="10" t="s">
        <v>226</v>
      </c>
      <c r="D4999" s="10" t="s">
        <v>1900</v>
      </c>
      <c r="E4999" s="14">
        <v>0.01845</v>
      </c>
      <c r="F4999" s="15">
        <f>ROUND(75.52,3)</f>
        <v>75.52</v>
      </c>
      <c r="G4999" s="12">
        <f t="shared" si="778"/>
        <v>1.39</v>
      </c>
    </row>
    <row r="5000" ht="39.75" customHeight="1">
      <c r="A5000" s="10" t="s">
        <v>1901</v>
      </c>
      <c r="B5000" s="10" t="s">
        <v>42</v>
      </c>
      <c r="C5000" s="10" t="s">
        <v>276</v>
      </c>
      <c r="D5000" s="10" t="s">
        <v>1902</v>
      </c>
      <c r="E5000" s="14">
        <v>0.02135</v>
      </c>
      <c r="F5000" s="15">
        <f>ROUND(94.92,3)</f>
        <v>94.92</v>
      </c>
      <c r="G5000" s="12">
        <f t="shared" si="778"/>
        <v>2.03</v>
      </c>
    </row>
    <row r="5001" ht="48.75" customHeight="1">
      <c r="A5001" s="10" t="s">
        <v>1903</v>
      </c>
      <c r="B5001" s="10" t="s">
        <v>42</v>
      </c>
      <c r="C5001" s="10" t="s">
        <v>276</v>
      </c>
      <c r="D5001" s="10" t="s">
        <v>1904</v>
      </c>
      <c r="E5001" s="14">
        <v>0.14942</v>
      </c>
      <c r="F5001" s="15">
        <f>ROUND(123.34,3)</f>
        <v>123.34</v>
      </c>
      <c r="G5001" s="12">
        <f t="shared" si="778"/>
        <v>18.43</v>
      </c>
    </row>
    <row r="5002" ht="21.0" customHeight="1">
      <c r="A5002" s="10" t="s">
        <v>22</v>
      </c>
      <c r="B5002" s="10" t="s">
        <v>18</v>
      </c>
      <c r="C5002" s="10" t="s">
        <v>23</v>
      </c>
      <c r="D5002" s="10" t="s">
        <v>24</v>
      </c>
      <c r="E5002" s="14">
        <v>0.82</v>
      </c>
      <c r="F5002" s="15">
        <f>F5006</f>
        <v>43.8</v>
      </c>
      <c r="G5002" s="12">
        <f t="shared" si="778"/>
        <v>35.92</v>
      </c>
    </row>
    <row r="5003" ht="24.0" customHeight="1">
      <c r="A5003" s="10" t="s">
        <v>25</v>
      </c>
      <c r="B5003" s="10" t="s">
        <v>26</v>
      </c>
      <c r="C5003" s="10" t="s">
        <v>23</v>
      </c>
      <c r="D5003" s="10" t="s">
        <v>27</v>
      </c>
      <c r="E5003" s="14">
        <v>1.0</v>
      </c>
      <c r="F5003" s="15">
        <f>ROUND(21,3)</f>
        <v>21</v>
      </c>
      <c r="G5003" s="12">
        <f t="shared" si="778"/>
        <v>21</v>
      </c>
    </row>
    <row r="5004" ht="24.0" customHeight="1">
      <c r="A5004" s="10" t="s">
        <v>28</v>
      </c>
      <c r="B5004" s="10" t="s">
        <v>26</v>
      </c>
      <c r="C5004" s="10" t="s">
        <v>23</v>
      </c>
      <c r="D5004" s="10" t="s">
        <v>29</v>
      </c>
      <c r="E5004" s="14">
        <v>1.0</v>
      </c>
      <c r="F5004" s="15">
        <f t="shared" ref="F5004:F5005" si="779">ROUND(19,3)</f>
        <v>19</v>
      </c>
      <c r="G5004" s="12">
        <f t="shared" si="778"/>
        <v>19</v>
      </c>
    </row>
    <row r="5005" ht="24.0" customHeight="1">
      <c r="A5005" s="10" t="s">
        <v>30</v>
      </c>
      <c r="B5005" s="10" t="s">
        <v>26</v>
      </c>
      <c r="C5005" s="10" t="s">
        <v>23</v>
      </c>
      <c r="D5005" s="10" t="s">
        <v>31</v>
      </c>
      <c r="E5005" s="14">
        <v>0.2</v>
      </c>
      <c r="F5005" s="15">
        <f t="shared" si="779"/>
        <v>19</v>
      </c>
      <c r="G5005" s="12">
        <f t="shared" si="778"/>
        <v>3.8</v>
      </c>
    </row>
    <row r="5006" ht="15.0" customHeight="1">
      <c r="A5006" s="11"/>
      <c r="B5006" s="11"/>
      <c r="C5006" s="11"/>
      <c r="D5006" s="10" t="s">
        <v>22</v>
      </c>
      <c r="E5006" s="14">
        <v>0.82</v>
      </c>
      <c r="F5006" s="15">
        <f>ROUND((G5003+G5004+G5005),3)</f>
        <v>43.8</v>
      </c>
      <c r="G5006" s="12">
        <f t="shared" si="778"/>
        <v>35.92</v>
      </c>
    </row>
    <row r="5007" ht="15.0" customHeight="1">
      <c r="A5007" s="10" t="s">
        <v>32</v>
      </c>
      <c r="B5007" s="10"/>
      <c r="C5007" s="10" t="s">
        <v>33</v>
      </c>
      <c r="D5007" s="10" t="s">
        <v>34</v>
      </c>
      <c r="E5007" s="14">
        <v>5.0</v>
      </c>
      <c r="F5007" s="15">
        <f>ROUND(35.92,3)</f>
        <v>35.92</v>
      </c>
      <c r="G5007" s="12">
        <f>ROUND((E5007*F5007)/100,2)</f>
        <v>1.8</v>
      </c>
    </row>
    <row r="5008" ht="15.0" customHeight="1">
      <c r="A5008" s="16"/>
      <c r="B5008" s="16"/>
      <c r="C5008" s="16"/>
      <c r="D5008" s="17" t="s">
        <v>2236</v>
      </c>
      <c r="E5008" s="16"/>
      <c r="F5008" s="18">
        <f>ROUND((G4988+G4989+G4990+G4991+G4992+G4993+G4994+G4995+G4996+G4997+G4998+G4999+G5000+G5001+G5002+G5007)*(1+G2/100),2)</f>
        <v>104.59</v>
      </c>
      <c r="G5008" s="16"/>
    </row>
    <row r="5009" ht="39.75" customHeight="1">
      <c r="A5009" s="19" t="s">
        <v>2246</v>
      </c>
      <c r="B5009" s="20" t="s">
        <v>18</v>
      </c>
      <c r="C5009" s="20" t="s">
        <v>19</v>
      </c>
      <c r="D5009" s="20" t="s">
        <v>2247</v>
      </c>
      <c r="E5009" s="21"/>
      <c r="F5009" s="22">
        <f>F5032</f>
        <v>83.11</v>
      </c>
      <c r="G5009" s="21"/>
    </row>
    <row r="5010" ht="12.0" customHeight="1">
      <c r="A5010" s="11"/>
      <c r="B5010" s="11"/>
      <c r="C5010" s="11"/>
      <c r="D5010" s="10" t="s">
        <v>2248</v>
      </c>
    </row>
    <row r="5011" ht="39.75" customHeight="1">
      <c r="A5011" s="10" t="s">
        <v>2238</v>
      </c>
      <c r="B5011" s="10" t="s">
        <v>42</v>
      </c>
      <c r="C5011" s="10" t="s">
        <v>184</v>
      </c>
      <c r="D5011" s="10" t="s">
        <v>2239</v>
      </c>
      <c r="E5011" s="14">
        <v>0.01</v>
      </c>
      <c r="F5011" s="15">
        <f>ROUND(93.67,3)</f>
        <v>93.67</v>
      </c>
      <c r="G5011" s="12">
        <f t="shared" ref="G5011:G5030" si="780">ROUND(E5011*F5011,2)</f>
        <v>0.94</v>
      </c>
    </row>
    <row r="5012" ht="39.75" customHeight="1">
      <c r="A5012" s="10" t="s">
        <v>2240</v>
      </c>
      <c r="B5012" s="10" t="s">
        <v>42</v>
      </c>
      <c r="C5012" s="10" t="s">
        <v>344</v>
      </c>
      <c r="D5012" s="10" t="s">
        <v>2241</v>
      </c>
      <c r="E5012" s="14">
        <v>0.19832</v>
      </c>
      <c r="F5012" s="15">
        <f>ROUND(10.49,3)</f>
        <v>10.49</v>
      </c>
      <c r="G5012" s="12">
        <f t="shared" si="780"/>
        <v>2.08</v>
      </c>
    </row>
    <row r="5013" ht="39.75" customHeight="1">
      <c r="A5013" s="10" t="s">
        <v>2024</v>
      </c>
      <c r="B5013" s="10" t="s">
        <v>42</v>
      </c>
      <c r="C5013" s="10" t="s">
        <v>184</v>
      </c>
      <c r="D5013" s="10" t="s">
        <v>2025</v>
      </c>
      <c r="E5013" s="14">
        <v>0.636</v>
      </c>
      <c r="F5013" s="15">
        <f>ROUND(11.26,3)</f>
        <v>11.26</v>
      </c>
      <c r="G5013" s="12">
        <f t="shared" si="780"/>
        <v>7.16</v>
      </c>
    </row>
    <row r="5014" ht="21.0" customHeight="1">
      <c r="A5014" s="10" t="s">
        <v>967</v>
      </c>
      <c r="B5014" s="10" t="s">
        <v>42</v>
      </c>
      <c r="C5014" s="10" t="s">
        <v>325</v>
      </c>
      <c r="D5014" s="10" t="s">
        <v>968</v>
      </c>
      <c r="E5014" s="14">
        <v>0.03333</v>
      </c>
      <c r="F5014" s="15">
        <f>ROUND(6.49,3)</f>
        <v>6.49</v>
      </c>
      <c r="G5014" s="12">
        <f t="shared" si="780"/>
        <v>0.22</v>
      </c>
    </row>
    <row r="5015" ht="39.75" customHeight="1">
      <c r="A5015" s="10" t="s">
        <v>2249</v>
      </c>
      <c r="B5015" s="10" t="s">
        <v>42</v>
      </c>
      <c r="C5015" s="10" t="s">
        <v>1825</v>
      </c>
      <c r="D5015" s="10" t="s">
        <v>2250</v>
      </c>
      <c r="E5015" s="14">
        <v>0.29333</v>
      </c>
      <c r="F5015" s="15">
        <f>ROUND(19.11,3)</f>
        <v>19.11</v>
      </c>
      <c r="G5015" s="12">
        <f t="shared" si="780"/>
        <v>5.61</v>
      </c>
    </row>
    <row r="5016" ht="39.75" customHeight="1">
      <c r="A5016" s="10" t="s">
        <v>2251</v>
      </c>
      <c r="B5016" s="10" t="s">
        <v>42</v>
      </c>
      <c r="C5016" s="10" t="s">
        <v>1825</v>
      </c>
      <c r="D5016" s="10" t="s">
        <v>2252</v>
      </c>
      <c r="E5016" s="14">
        <v>0.0177</v>
      </c>
      <c r="F5016" s="15">
        <f>ROUND(10.06,3)</f>
        <v>10.06</v>
      </c>
      <c r="G5016" s="12">
        <f t="shared" si="780"/>
        <v>0.18</v>
      </c>
    </row>
    <row r="5017" ht="48.75" customHeight="1">
      <c r="A5017" s="10" t="s">
        <v>2244</v>
      </c>
      <c r="B5017" s="10" t="s">
        <v>42</v>
      </c>
      <c r="C5017" s="10" t="s">
        <v>325</v>
      </c>
      <c r="D5017" s="10" t="s">
        <v>2245</v>
      </c>
      <c r="E5017" s="14">
        <v>0.04</v>
      </c>
      <c r="F5017" s="15">
        <f>ROUND(52.27,3)</f>
        <v>52.27</v>
      </c>
      <c r="G5017" s="12">
        <f t="shared" si="780"/>
        <v>2.09</v>
      </c>
    </row>
    <row r="5018" ht="21.0" customHeight="1">
      <c r="A5018" s="10" t="s">
        <v>969</v>
      </c>
      <c r="B5018" s="10" t="s">
        <v>112</v>
      </c>
      <c r="C5018" s="10" t="s">
        <v>23</v>
      </c>
      <c r="D5018" s="10" t="s">
        <v>970</v>
      </c>
      <c r="E5018" s="14">
        <v>0.5</v>
      </c>
      <c r="F5018" s="15">
        <f>ROUND(2,3)</f>
        <v>2</v>
      </c>
      <c r="G5018" s="12">
        <f t="shared" si="780"/>
        <v>1</v>
      </c>
    </row>
    <row r="5019" ht="30.0" customHeight="1">
      <c r="A5019" s="10" t="s">
        <v>971</v>
      </c>
      <c r="B5019" s="10" t="s">
        <v>42</v>
      </c>
      <c r="C5019" s="10" t="s">
        <v>231</v>
      </c>
      <c r="D5019" s="10" t="s">
        <v>972</v>
      </c>
      <c r="E5019" s="14">
        <v>0.33333</v>
      </c>
      <c r="F5019" s="15">
        <f>ROUND(4.92,3)</f>
        <v>4.92</v>
      </c>
      <c r="G5019" s="12">
        <f t="shared" si="780"/>
        <v>1.64</v>
      </c>
    </row>
    <row r="5020" ht="30.0" customHeight="1">
      <c r="A5020" s="10" t="s">
        <v>2026</v>
      </c>
      <c r="B5020" s="10" t="s">
        <v>42</v>
      </c>
      <c r="C5020" s="10" t="s">
        <v>1997</v>
      </c>
      <c r="D5020" s="10" t="s">
        <v>2027</v>
      </c>
      <c r="E5020" s="14">
        <v>0.12</v>
      </c>
      <c r="F5020" s="15">
        <f>ROUND(11.1,3)</f>
        <v>11.1</v>
      </c>
      <c r="G5020" s="12">
        <f t="shared" si="780"/>
        <v>1.33</v>
      </c>
    </row>
    <row r="5021" ht="30.0" customHeight="1">
      <c r="A5021" s="10" t="s">
        <v>2028</v>
      </c>
      <c r="B5021" s="10" t="s">
        <v>42</v>
      </c>
      <c r="C5021" s="10" t="s">
        <v>1997</v>
      </c>
      <c r="D5021" s="10" t="s">
        <v>2029</v>
      </c>
      <c r="E5021" s="14">
        <v>0.24</v>
      </c>
      <c r="F5021" s="15">
        <f>ROUND(2.8,3)</f>
        <v>2.8</v>
      </c>
      <c r="G5021" s="12">
        <f t="shared" si="780"/>
        <v>0.67</v>
      </c>
    </row>
    <row r="5022" ht="39.75" customHeight="1">
      <c r="A5022" s="10" t="s">
        <v>1996</v>
      </c>
      <c r="B5022" s="10" t="s">
        <v>42</v>
      </c>
      <c r="C5022" s="10" t="s">
        <v>1997</v>
      </c>
      <c r="D5022" s="10" t="s">
        <v>1998</v>
      </c>
      <c r="E5022" s="14">
        <v>0.1237</v>
      </c>
      <c r="F5022" s="15">
        <f>ROUND(5.04,3)</f>
        <v>5.04</v>
      </c>
      <c r="G5022" s="12">
        <f t="shared" si="780"/>
        <v>0.62</v>
      </c>
    </row>
    <row r="5023" ht="30.0" customHeight="1">
      <c r="A5023" s="10" t="s">
        <v>1899</v>
      </c>
      <c r="B5023" s="10" t="s">
        <v>42</v>
      </c>
      <c r="C5023" s="10" t="s">
        <v>226</v>
      </c>
      <c r="D5023" s="10" t="s">
        <v>1900</v>
      </c>
      <c r="E5023" s="14">
        <v>0.01845</v>
      </c>
      <c r="F5023" s="15">
        <f>ROUND(75.52,3)</f>
        <v>75.52</v>
      </c>
      <c r="G5023" s="12">
        <f t="shared" si="780"/>
        <v>1.39</v>
      </c>
    </row>
    <row r="5024" ht="39.75" customHeight="1">
      <c r="A5024" s="10" t="s">
        <v>1901</v>
      </c>
      <c r="B5024" s="10" t="s">
        <v>42</v>
      </c>
      <c r="C5024" s="10" t="s">
        <v>276</v>
      </c>
      <c r="D5024" s="10" t="s">
        <v>1902</v>
      </c>
      <c r="E5024" s="14">
        <v>0.02135</v>
      </c>
      <c r="F5024" s="15">
        <f>ROUND(94.92,3)</f>
        <v>94.92</v>
      </c>
      <c r="G5024" s="12">
        <f t="shared" si="780"/>
        <v>2.03</v>
      </c>
    </row>
    <row r="5025" ht="48.75" customHeight="1">
      <c r="A5025" s="10" t="s">
        <v>1903</v>
      </c>
      <c r="B5025" s="10" t="s">
        <v>42</v>
      </c>
      <c r="C5025" s="10" t="s">
        <v>276</v>
      </c>
      <c r="D5025" s="10" t="s">
        <v>1904</v>
      </c>
      <c r="E5025" s="14">
        <v>0.14942</v>
      </c>
      <c r="F5025" s="15">
        <f>ROUND(123.34,3)</f>
        <v>123.34</v>
      </c>
      <c r="G5025" s="12">
        <f t="shared" si="780"/>
        <v>18.43</v>
      </c>
    </row>
    <row r="5026" ht="21.0" customHeight="1">
      <c r="A5026" s="10" t="s">
        <v>22</v>
      </c>
      <c r="B5026" s="10" t="s">
        <v>18</v>
      </c>
      <c r="C5026" s="10" t="s">
        <v>23</v>
      </c>
      <c r="D5026" s="10" t="s">
        <v>24</v>
      </c>
      <c r="E5026" s="14">
        <v>0.82</v>
      </c>
      <c r="F5026" s="15">
        <f>F5030</f>
        <v>43.8</v>
      </c>
      <c r="G5026" s="12">
        <f t="shared" si="780"/>
        <v>35.92</v>
      </c>
    </row>
    <row r="5027" ht="24.0" customHeight="1">
      <c r="A5027" s="10" t="s">
        <v>25</v>
      </c>
      <c r="B5027" s="10" t="s">
        <v>26</v>
      </c>
      <c r="C5027" s="10" t="s">
        <v>23</v>
      </c>
      <c r="D5027" s="10" t="s">
        <v>27</v>
      </c>
      <c r="E5027" s="14">
        <v>1.0</v>
      </c>
      <c r="F5027" s="15">
        <f>ROUND(21,3)</f>
        <v>21</v>
      </c>
      <c r="G5027" s="12">
        <f t="shared" si="780"/>
        <v>21</v>
      </c>
    </row>
    <row r="5028" ht="24.0" customHeight="1">
      <c r="A5028" s="10" t="s">
        <v>28</v>
      </c>
      <c r="B5028" s="10" t="s">
        <v>26</v>
      </c>
      <c r="C5028" s="10" t="s">
        <v>23</v>
      </c>
      <c r="D5028" s="10" t="s">
        <v>29</v>
      </c>
      <c r="E5028" s="14">
        <v>1.0</v>
      </c>
      <c r="F5028" s="15">
        <f t="shared" ref="F5028:F5029" si="781">ROUND(19,3)</f>
        <v>19</v>
      </c>
      <c r="G5028" s="12">
        <f t="shared" si="780"/>
        <v>19</v>
      </c>
    </row>
    <row r="5029" ht="24.0" customHeight="1">
      <c r="A5029" s="10" t="s">
        <v>30</v>
      </c>
      <c r="B5029" s="10" t="s">
        <v>26</v>
      </c>
      <c r="C5029" s="10" t="s">
        <v>23</v>
      </c>
      <c r="D5029" s="10" t="s">
        <v>31</v>
      </c>
      <c r="E5029" s="14">
        <v>0.2</v>
      </c>
      <c r="F5029" s="15">
        <f t="shared" si="781"/>
        <v>19</v>
      </c>
      <c r="G5029" s="12">
        <f t="shared" si="780"/>
        <v>3.8</v>
      </c>
    </row>
    <row r="5030" ht="15.0" customHeight="1">
      <c r="A5030" s="11"/>
      <c r="B5030" s="11"/>
      <c r="C5030" s="11"/>
      <c r="D5030" s="10" t="s">
        <v>22</v>
      </c>
      <c r="E5030" s="14">
        <v>0.82</v>
      </c>
      <c r="F5030" s="15">
        <f>ROUND((G5027+G5028+G5029),3)</f>
        <v>43.8</v>
      </c>
      <c r="G5030" s="12">
        <f t="shared" si="780"/>
        <v>35.92</v>
      </c>
    </row>
    <row r="5031" ht="15.0" customHeight="1">
      <c r="A5031" s="10" t="s">
        <v>32</v>
      </c>
      <c r="B5031" s="10"/>
      <c r="C5031" s="10" t="s">
        <v>33</v>
      </c>
      <c r="D5031" s="10" t="s">
        <v>34</v>
      </c>
      <c r="E5031" s="14">
        <v>5.0</v>
      </c>
      <c r="F5031" s="15">
        <f>ROUND(35.92,3)</f>
        <v>35.92</v>
      </c>
      <c r="G5031" s="12">
        <f>ROUND((E5031*F5031)/100,2)</f>
        <v>1.8</v>
      </c>
    </row>
    <row r="5032" ht="15.0" customHeight="1">
      <c r="A5032" s="16"/>
      <c r="B5032" s="16"/>
      <c r="C5032" s="16"/>
      <c r="D5032" s="17" t="s">
        <v>2246</v>
      </c>
      <c r="E5032" s="16"/>
      <c r="F5032" s="18">
        <f>ROUND((G5011+G5012+G5013+G5014+G5015+G5016+G5017+G5018+G5019+G5020+G5021+G5022+G5023+G5024+G5025+G5026+G5031)*(1+G2/100),2)</f>
        <v>83.11</v>
      </c>
      <c r="G5032" s="16"/>
    </row>
    <row r="5033" ht="15.0" customHeight="1">
      <c r="A5033" s="23"/>
      <c r="B5033" s="23"/>
      <c r="C5033" s="23"/>
      <c r="D5033" s="24" t="s">
        <v>2086</v>
      </c>
      <c r="E5033" s="25"/>
      <c r="F5033" s="25"/>
      <c r="G5033" s="25"/>
    </row>
    <row r="5034" ht="15.0" customHeight="1">
      <c r="A5034" s="23"/>
      <c r="B5034" s="23"/>
      <c r="C5034" s="23"/>
      <c r="D5034" s="32" t="s">
        <v>1765</v>
      </c>
      <c r="E5034" s="33"/>
      <c r="F5034" s="33"/>
      <c r="G5034" s="33"/>
    </row>
    <row r="5035" ht="15.0" customHeight="1">
      <c r="A5035" s="34" t="s">
        <v>2253</v>
      </c>
      <c r="B5035" s="34" t="s">
        <v>10</v>
      </c>
      <c r="C5035" s="35"/>
      <c r="D5035" s="34" t="s">
        <v>2254</v>
      </c>
      <c r="E5035" s="35"/>
      <c r="F5035" s="35"/>
      <c r="G5035" s="35"/>
    </row>
    <row r="5036" ht="15.0" customHeight="1">
      <c r="A5036" s="13" t="s">
        <v>2255</v>
      </c>
      <c r="B5036" s="10" t="s">
        <v>18</v>
      </c>
      <c r="C5036" s="10" t="s">
        <v>251</v>
      </c>
      <c r="D5036" s="10" t="s">
        <v>2256</v>
      </c>
      <c r="E5036" s="11"/>
      <c r="F5036" s="12">
        <f>F5044</f>
        <v>49.2</v>
      </c>
      <c r="G5036" s="11"/>
    </row>
    <row r="5037" ht="39.75" customHeight="1">
      <c r="A5037" s="11"/>
      <c r="B5037" s="11"/>
      <c r="C5037" s="11"/>
      <c r="D5037" s="10" t="s">
        <v>2257</v>
      </c>
    </row>
    <row r="5038" ht="39.75" customHeight="1">
      <c r="A5038" s="10" t="s">
        <v>1873</v>
      </c>
      <c r="B5038" s="10" t="s">
        <v>42</v>
      </c>
      <c r="C5038" s="10" t="s">
        <v>184</v>
      </c>
      <c r="D5038" s="10" t="s">
        <v>1874</v>
      </c>
      <c r="E5038" s="14">
        <v>1.1</v>
      </c>
      <c r="F5038" s="15">
        <f>ROUND(20.04,3)</f>
        <v>20.04</v>
      </c>
      <c r="G5038" s="12">
        <f t="shared" ref="G5038:G5043" si="782">ROUND(E5038*F5038,2)</f>
        <v>22.04</v>
      </c>
    </row>
    <row r="5039" ht="21.0" customHeight="1">
      <c r="A5039" s="10" t="s">
        <v>22</v>
      </c>
      <c r="B5039" s="10" t="s">
        <v>18</v>
      </c>
      <c r="C5039" s="10" t="s">
        <v>23</v>
      </c>
      <c r="D5039" s="10" t="s">
        <v>24</v>
      </c>
      <c r="E5039" s="14">
        <v>0.62</v>
      </c>
      <c r="F5039" s="15">
        <f>F5043</f>
        <v>43.8</v>
      </c>
      <c r="G5039" s="12">
        <f t="shared" si="782"/>
        <v>27.16</v>
      </c>
    </row>
    <row r="5040" ht="24.0" customHeight="1">
      <c r="A5040" s="10" t="s">
        <v>25</v>
      </c>
      <c r="B5040" s="10" t="s">
        <v>26</v>
      </c>
      <c r="C5040" s="10" t="s">
        <v>23</v>
      </c>
      <c r="D5040" s="10" t="s">
        <v>27</v>
      </c>
      <c r="E5040" s="14">
        <v>1.0</v>
      </c>
      <c r="F5040" s="15">
        <f>ROUND(21,3)</f>
        <v>21</v>
      </c>
      <c r="G5040" s="12">
        <f t="shared" si="782"/>
        <v>21</v>
      </c>
    </row>
    <row r="5041" ht="24.0" customHeight="1">
      <c r="A5041" s="10" t="s">
        <v>28</v>
      </c>
      <c r="B5041" s="10" t="s">
        <v>26</v>
      </c>
      <c r="C5041" s="10" t="s">
        <v>23</v>
      </c>
      <c r="D5041" s="10" t="s">
        <v>29</v>
      </c>
      <c r="E5041" s="14">
        <v>1.0</v>
      </c>
      <c r="F5041" s="15">
        <f t="shared" ref="F5041:F5042" si="783">ROUND(19,3)</f>
        <v>19</v>
      </c>
      <c r="G5041" s="12">
        <f t="shared" si="782"/>
        <v>19</v>
      </c>
    </row>
    <row r="5042" ht="24.0" customHeight="1">
      <c r="A5042" s="10" t="s">
        <v>30</v>
      </c>
      <c r="B5042" s="10" t="s">
        <v>26</v>
      </c>
      <c r="C5042" s="10" t="s">
        <v>23</v>
      </c>
      <c r="D5042" s="10" t="s">
        <v>31</v>
      </c>
      <c r="E5042" s="14">
        <v>0.2</v>
      </c>
      <c r="F5042" s="15">
        <f t="shared" si="783"/>
        <v>19</v>
      </c>
      <c r="G5042" s="12">
        <f t="shared" si="782"/>
        <v>3.8</v>
      </c>
    </row>
    <row r="5043" ht="15.0" customHeight="1">
      <c r="A5043" s="11"/>
      <c r="B5043" s="11"/>
      <c r="C5043" s="11"/>
      <c r="D5043" s="10" t="s">
        <v>22</v>
      </c>
      <c r="E5043" s="14">
        <v>0.62</v>
      </c>
      <c r="F5043" s="15">
        <f>ROUND((G5040+G5041+G5042),3)</f>
        <v>43.8</v>
      </c>
      <c r="G5043" s="12">
        <f t="shared" si="782"/>
        <v>27.16</v>
      </c>
    </row>
    <row r="5044" ht="15.0" customHeight="1">
      <c r="A5044" s="16"/>
      <c r="B5044" s="16"/>
      <c r="C5044" s="16"/>
      <c r="D5044" s="17" t="s">
        <v>2255</v>
      </c>
      <c r="E5044" s="16"/>
      <c r="F5044" s="18">
        <f>ROUND((G5038+G5039)*(1+G2/100),2)</f>
        <v>49.2</v>
      </c>
      <c r="G5044" s="16"/>
    </row>
    <row r="5045" ht="21.0" customHeight="1">
      <c r="A5045" s="19" t="s">
        <v>2258</v>
      </c>
      <c r="B5045" s="20" t="s">
        <v>18</v>
      </c>
      <c r="C5045" s="20" t="s">
        <v>251</v>
      </c>
      <c r="D5045" s="20" t="s">
        <v>2259</v>
      </c>
      <c r="E5045" s="21"/>
      <c r="F5045" s="22">
        <f>F5054</f>
        <v>35.19</v>
      </c>
      <c r="G5045" s="21"/>
    </row>
    <row r="5046" ht="30.0" customHeight="1">
      <c r="A5046" s="11"/>
      <c r="B5046" s="11"/>
      <c r="C5046" s="11"/>
      <c r="D5046" s="10" t="s">
        <v>2260</v>
      </c>
    </row>
    <row r="5047" ht="21.0" customHeight="1">
      <c r="A5047" s="10" t="s">
        <v>2261</v>
      </c>
      <c r="B5047" s="10" t="s">
        <v>42</v>
      </c>
      <c r="C5047" s="10" t="s">
        <v>344</v>
      </c>
      <c r="D5047" s="10" t="s">
        <v>2262</v>
      </c>
      <c r="E5047" s="14">
        <v>10.0</v>
      </c>
      <c r="F5047" s="15">
        <f>ROUND(0.59,3)</f>
        <v>0.59</v>
      </c>
      <c r="G5047" s="12">
        <f t="shared" ref="G5047:G5053" si="784">ROUND(E5047*F5047,2)</f>
        <v>5.9</v>
      </c>
    </row>
    <row r="5048" ht="30.0" customHeight="1">
      <c r="A5048" s="10" t="s">
        <v>1382</v>
      </c>
      <c r="B5048" s="10" t="s">
        <v>42</v>
      </c>
      <c r="C5048" s="10" t="s">
        <v>184</v>
      </c>
      <c r="D5048" s="10" t="s">
        <v>1383</v>
      </c>
      <c r="E5048" s="14">
        <v>0.56</v>
      </c>
      <c r="F5048" s="15">
        <f>ROUND(1.47,3)</f>
        <v>1.47</v>
      </c>
      <c r="G5048" s="12">
        <f t="shared" si="784"/>
        <v>0.82</v>
      </c>
    </row>
    <row r="5049" ht="21.0" customHeight="1">
      <c r="A5049" s="10" t="s">
        <v>22</v>
      </c>
      <c r="B5049" s="10" t="s">
        <v>18</v>
      </c>
      <c r="C5049" s="10" t="s">
        <v>23</v>
      </c>
      <c r="D5049" s="10" t="s">
        <v>24</v>
      </c>
      <c r="E5049" s="14">
        <v>0.65</v>
      </c>
      <c r="F5049" s="15">
        <f>F5053</f>
        <v>43.8</v>
      </c>
      <c r="G5049" s="12">
        <f t="shared" si="784"/>
        <v>28.47</v>
      </c>
    </row>
    <row r="5050" ht="24.0" customHeight="1">
      <c r="A5050" s="10" t="s">
        <v>25</v>
      </c>
      <c r="B5050" s="10" t="s">
        <v>26</v>
      </c>
      <c r="C5050" s="10" t="s">
        <v>23</v>
      </c>
      <c r="D5050" s="10" t="s">
        <v>27</v>
      </c>
      <c r="E5050" s="14">
        <v>1.0</v>
      </c>
      <c r="F5050" s="15">
        <f>ROUND(21,3)</f>
        <v>21</v>
      </c>
      <c r="G5050" s="12">
        <f t="shared" si="784"/>
        <v>21</v>
      </c>
    </row>
    <row r="5051" ht="24.0" customHeight="1">
      <c r="A5051" s="10" t="s">
        <v>28</v>
      </c>
      <c r="B5051" s="10" t="s">
        <v>26</v>
      </c>
      <c r="C5051" s="10" t="s">
        <v>23</v>
      </c>
      <c r="D5051" s="10" t="s">
        <v>29</v>
      </c>
      <c r="E5051" s="14">
        <v>1.0</v>
      </c>
      <c r="F5051" s="15">
        <f t="shared" ref="F5051:F5052" si="785">ROUND(19,3)</f>
        <v>19</v>
      </c>
      <c r="G5051" s="12">
        <f t="shared" si="784"/>
        <v>19</v>
      </c>
    </row>
    <row r="5052" ht="24.0" customHeight="1">
      <c r="A5052" s="10" t="s">
        <v>30</v>
      </c>
      <c r="B5052" s="10" t="s">
        <v>26</v>
      </c>
      <c r="C5052" s="10" t="s">
        <v>23</v>
      </c>
      <c r="D5052" s="10" t="s">
        <v>31</v>
      </c>
      <c r="E5052" s="14">
        <v>0.2</v>
      </c>
      <c r="F5052" s="15">
        <f t="shared" si="785"/>
        <v>19</v>
      </c>
      <c r="G5052" s="12">
        <f t="shared" si="784"/>
        <v>3.8</v>
      </c>
    </row>
    <row r="5053" ht="15.0" customHeight="1">
      <c r="A5053" s="11"/>
      <c r="B5053" s="11"/>
      <c r="C5053" s="11"/>
      <c r="D5053" s="10" t="s">
        <v>22</v>
      </c>
      <c r="E5053" s="14">
        <v>0.65</v>
      </c>
      <c r="F5053" s="15">
        <f>ROUND((G5050+G5051+G5052),3)</f>
        <v>43.8</v>
      </c>
      <c r="G5053" s="12">
        <f t="shared" si="784"/>
        <v>28.47</v>
      </c>
    </row>
    <row r="5054" ht="15.0" customHeight="1">
      <c r="A5054" s="16"/>
      <c r="B5054" s="16"/>
      <c r="C5054" s="16"/>
      <c r="D5054" s="17" t="s">
        <v>2258</v>
      </c>
      <c r="E5054" s="16"/>
      <c r="F5054" s="18">
        <f>ROUND((G5047+G5048+G5049)*(1+G2/100),2)</f>
        <v>35.19</v>
      </c>
      <c r="G5054" s="16"/>
    </row>
    <row r="5055" ht="39.75" customHeight="1">
      <c r="A5055" s="19" t="s">
        <v>2263</v>
      </c>
      <c r="B5055" s="20" t="s">
        <v>18</v>
      </c>
      <c r="C5055" s="20" t="s">
        <v>251</v>
      </c>
      <c r="D5055" s="20" t="s">
        <v>2264</v>
      </c>
      <c r="E5055" s="21"/>
      <c r="F5055" s="22">
        <f>F5071</f>
        <v>37.83</v>
      </c>
      <c r="G5055" s="21"/>
    </row>
    <row r="5056" ht="95.25" customHeight="1">
      <c r="A5056" s="11"/>
      <c r="B5056" s="11"/>
      <c r="C5056" s="11"/>
      <c r="D5056" s="10" t="s">
        <v>2265</v>
      </c>
    </row>
    <row r="5057" ht="30.0" customHeight="1">
      <c r="A5057" s="10" t="s">
        <v>2266</v>
      </c>
      <c r="B5057" s="10" t="s">
        <v>42</v>
      </c>
      <c r="C5057" s="10" t="s">
        <v>226</v>
      </c>
      <c r="D5057" s="10" t="s">
        <v>2267</v>
      </c>
      <c r="E5057" s="14">
        <v>0.012</v>
      </c>
      <c r="F5057" s="15">
        <f>ROUND(10.4,3)</f>
        <v>10.4</v>
      </c>
      <c r="G5057" s="12">
        <f t="shared" ref="G5057:G5070" si="786">ROUND(E5057*F5057,2)</f>
        <v>0.12</v>
      </c>
    </row>
    <row r="5058" ht="30.0" customHeight="1">
      <c r="A5058" s="10" t="s">
        <v>2268</v>
      </c>
      <c r="B5058" s="10" t="s">
        <v>42</v>
      </c>
      <c r="C5058" s="10" t="s">
        <v>1997</v>
      </c>
      <c r="D5058" s="10" t="s">
        <v>2269</v>
      </c>
      <c r="E5058" s="14">
        <v>0.33</v>
      </c>
      <c r="F5058" s="15">
        <f>ROUND(2.37,3)</f>
        <v>2.37</v>
      </c>
      <c r="G5058" s="12">
        <f t="shared" si="786"/>
        <v>0.78</v>
      </c>
    </row>
    <row r="5059" ht="30.0" customHeight="1">
      <c r="A5059" s="10" t="s">
        <v>2270</v>
      </c>
      <c r="B5059" s="10" t="s">
        <v>42</v>
      </c>
      <c r="C5059" s="10" t="s">
        <v>1997</v>
      </c>
      <c r="D5059" s="10" t="s">
        <v>2271</v>
      </c>
      <c r="E5059" s="14">
        <v>1.0</v>
      </c>
      <c r="F5059" s="15">
        <f>ROUND(2.91,3)</f>
        <v>2.91</v>
      </c>
      <c r="G5059" s="12">
        <f t="shared" si="786"/>
        <v>2.91</v>
      </c>
    </row>
    <row r="5060" ht="30.0" customHeight="1">
      <c r="A5060" s="10" t="s">
        <v>2272</v>
      </c>
      <c r="B5060" s="10" t="s">
        <v>42</v>
      </c>
      <c r="C5060" s="10" t="s">
        <v>1881</v>
      </c>
      <c r="D5060" s="10" t="s">
        <v>2273</v>
      </c>
      <c r="E5060" s="14">
        <v>0.675</v>
      </c>
      <c r="F5060" s="15">
        <f>ROUND(9.42,3)</f>
        <v>9.42</v>
      </c>
      <c r="G5060" s="12">
        <f t="shared" si="786"/>
        <v>6.36</v>
      </c>
    </row>
    <row r="5061" ht="21.0" customHeight="1">
      <c r="A5061" s="10" t="s">
        <v>2274</v>
      </c>
      <c r="B5061" s="10" t="s">
        <v>42</v>
      </c>
      <c r="C5061" s="10" t="s">
        <v>325</v>
      </c>
      <c r="D5061" s="10" t="s">
        <v>2275</v>
      </c>
      <c r="E5061" s="14">
        <v>0.05</v>
      </c>
      <c r="F5061" s="15">
        <f>ROUND(6.87,3)</f>
        <v>6.87</v>
      </c>
      <c r="G5061" s="12">
        <f t="shared" si="786"/>
        <v>0.34</v>
      </c>
    </row>
    <row r="5062" ht="21.0" customHeight="1">
      <c r="A5062" s="10" t="s">
        <v>2276</v>
      </c>
      <c r="B5062" s="10" t="s">
        <v>42</v>
      </c>
      <c r="C5062" s="10" t="s">
        <v>1939</v>
      </c>
      <c r="D5062" s="10" t="s">
        <v>2277</v>
      </c>
      <c r="E5062" s="14">
        <v>0.00333</v>
      </c>
      <c r="F5062" s="15">
        <f>ROUND(31.65,3)</f>
        <v>31.65</v>
      </c>
      <c r="G5062" s="12">
        <f t="shared" si="786"/>
        <v>0.11</v>
      </c>
    </row>
    <row r="5063" ht="21.0" customHeight="1">
      <c r="A5063" s="10" t="s">
        <v>2278</v>
      </c>
      <c r="B5063" s="10" t="s">
        <v>42</v>
      </c>
      <c r="C5063" s="10" t="s">
        <v>184</v>
      </c>
      <c r="D5063" s="10" t="s">
        <v>2279</v>
      </c>
      <c r="E5063" s="14">
        <v>0.0055</v>
      </c>
      <c r="F5063" s="15">
        <f>ROUND(8.35,3)</f>
        <v>8.35</v>
      </c>
      <c r="G5063" s="12">
        <f t="shared" si="786"/>
        <v>0.05</v>
      </c>
    </row>
    <row r="5064" ht="30.0" customHeight="1">
      <c r="A5064" s="10" t="s">
        <v>2280</v>
      </c>
      <c r="B5064" s="10" t="s">
        <v>42</v>
      </c>
      <c r="C5064" s="10" t="s">
        <v>276</v>
      </c>
      <c r="D5064" s="10" t="s">
        <v>2281</v>
      </c>
      <c r="E5064" s="14">
        <v>0.03</v>
      </c>
      <c r="F5064" s="15">
        <f>ROUND(20.92,3)</f>
        <v>20.92</v>
      </c>
      <c r="G5064" s="12">
        <f t="shared" si="786"/>
        <v>0.63</v>
      </c>
    </row>
    <row r="5065" ht="39.75" customHeight="1">
      <c r="A5065" s="10" t="s">
        <v>2282</v>
      </c>
      <c r="B5065" s="10" t="s">
        <v>42</v>
      </c>
      <c r="C5065" s="10" t="s">
        <v>226</v>
      </c>
      <c r="D5065" s="10" t="s">
        <v>2283</v>
      </c>
      <c r="E5065" s="14">
        <v>0.045</v>
      </c>
      <c r="F5065" s="15">
        <f>ROUND(5.55,3)</f>
        <v>5.55</v>
      </c>
      <c r="G5065" s="12">
        <f t="shared" si="786"/>
        <v>0.25</v>
      </c>
    </row>
    <row r="5066" ht="21.0" customHeight="1">
      <c r="A5066" s="10" t="s">
        <v>22</v>
      </c>
      <c r="B5066" s="10" t="s">
        <v>18</v>
      </c>
      <c r="C5066" s="10" t="s">
        <v>23</v>
      </c>
      <c r="D5066" s="10" t="s">
        <v>24</v>
      </c>
      <c r="E5066" s="14">
        <v>0.6</v>
      </c>
      <c r="F5066" s="15">
        <f>F5070</f>
        <v>43.8</v>
      </c>
      <c r="G5066" s="12">
        <f t="shared" si="786"/>
        <v>26.28</v>
      </c>
    </row>
    <row r="5067" ht="24.0" customHeight="1">
      <c r="A5067" s="10" t="s">
        <v>25</v>
      </c>
      <c r="B5067" s="10" t="s">
        <v>26</v>
      </c>
      <c r="C5067" s="10" t="s">
        <v>23</v>
      </c>
      <c r="D5067" s="10" t="s">
        <v>27</v>
      </c>
      <c r="E5067" s="14">
        <v>1.0</v>
      </c>
      <c r="F5067" s="15">
        <f>ROUND(21,3)</f>
        <v>21</v>
      </c>
      <c r="G5067" s="12">
        <f t="shared" si="786"/>
        <v>21</v>
      </c>
    </row>
    <row r="5068" ht="24.0" customHeight="1">
      <c r="A5068" s="10" t="s">
        <v>28</v>
      </c>
      <c r="B5068" s="10" t="s">
        <v>26</v>
      </c>
      <c r="C5068" s="10" t="s">
        <v>23</v>
      </c>
      <c r="D5068" s="10" t="s">
        <v>29</v>
      </c>
      <c r="E5068" s="14">
        <v>1.0</v>
      </c>
      <c r="F5068" s="15">
        <f t="shared" ref="F5068:F5069" si="787">ROUND(19,3)</f>
        <v>19</v>
      </c>
      <c r="G5068" s="12">
        <f t="shared" si="786"/>
        <v>19</v>
      </c>
    </row>
    <row r="5069" ht="24.0" customHeight="1">
      <c r="A5069" s="10" t="s">
        <v>30</v>
      </c>
      <c r="B5069" s="10" t="s">
        <v>26</v>
      </c>
      <c r="C5069" s="10" t="s">
        <v>23</v>
      </c>
      <c r="D5069" s="10" t="s">
        <v>31</v>
      </c>
      <c r="E5069" s="14">
        <v>0.2</v>
      </c>
      <c r="F5069" s="15">
        <f t="shared" si="787"/>
        <v>19</v>
      </c>
      <c r="G5069" s="12">
        <f t="shared" si="786"/>
        <v>3.8</v>
      </c>
    </row>
    <row r="5070" ht="15.0" customHeight="1">
      <c r="A5070" s="11"/>
      <c r="B5070" s="11"/>
      <c r="C5070" s="11"/>
      <c r="D5070" s="10" t="s">
        <v>22</v>
      </c>
      <c r="E5070" s="14">
        <v>0.6</v>
      </c>
      <c r="F5070" s="15">
        <f>ROUND((G5067+G5068+G5069),3)</f>
        <v>43.8</v>
      </c>
      <c r="G5070" s="12">
        <f t="shared" si="786"/>
        <v>26.28</v>
      </c>
    </row>
    <row r="5071" ht="15.0" customHeight="1">
      <c r="A5071" s="16"/>
      <c r="B5071" s="16"/>
      <c r="C5071" s="16"/>
      <c r="D5071" s="17" t="s">
        <v>2263</v>
      </c>
      <c r="E5071" s="16"/>
      <c r="F5071" s="18">
        <f>ROUND((G5057+G5058+G5059+G5060+G5061+G5062+G5063+G5064+G5065+G5066)*(1+G2/100),2)</f>
        <v>37.83</v>
      </c>
      <c r="G5071" s="16"/>
    </row>
    <row r="5072" ht="39.75" customHeight="1">
      <c r="A5072" s="19" t="s">
        <v>2284</v>
      </c>
      <c r="B5072" s="20" t="s">
        <v>18</v>
      </c>
      <c r="C5072" s="20" t="s">
        <v>251</v>
      </c>
      <c r="D5072" s="20" t="s">
        <v>2285</v>
      </c>
      <c r="E5072" s="21"/>
      <c r="F5072" s="22">
        <f>F5088</f>
        <v>37.16</v>
      </c>
      <c r="G5072" s="21"/>
    </row>
    <row r="5073" ht="21.0" customHeight="1">
      <c r="A5073" s="11"/>
      <c r="B5073" s="11"/>
      <c r="C5073" s="11"/>
      <c r="D5073" s="10" t="s">
        <v>2285</v>
      </c>
    </row>
    <row r="5074" ht="30.0" customHeight="1">
      <c r="A5074" s="10" t="s">
        <v>2266</v>
      </c>
      <c r="B5074" s="10" t="s">
        <v>42</v>
      </c>
      <c r="C5074" s="10" t="s">
        <v>226</v>
      </c>
      <c r="D5074" s="10" t="s">
        <v>2267</v>
      </c>
      <c r="E5074" s="14">
        <v>0.012</v>
      </c>
      <c r="F5074" s="15">
        <f>ROUND(10.4,3)</f>
        <v>10.4</v>
      </c>
      <c r="G5074" s="12">
        <f t="shared" ref="G5074:G5087" si="788">ROUND(E5074*F5074,2)</f>
        <v>0.12</v>
      </c>
    </row>
    <row r="5075" ht="30.0" customHeight="1">
      <c r="A5075" s="10" t="s">
        <v>2268</v>
      </c>
      <c r="B5075" s="10" t="s">
        <v>42</v>
      </c>
      <c r="C5075" s="10" t="s">
        <v>1997</v>
      </c>
      <c r="D5075" s="10" t="s">
        <v>2269</v>
      </c>
      <c r="E5075" s="14">
        <v>0.33</v>
      </c>
      <c r="F5075" s="15">
        <f>ROUND(2.37,3)</f>
        <v>2.37</v>
      </c>
      <c r="G5075" s="12">
        <f t="shared" si="788"/>
        <v>0.78</v>
      </c>
    </row>
    <row r="5076" ht="30.0" customHeight="1">
      <c r="A5076" s="10" t="s">
        <v>2270</v>
      </c>
      <c r="B5076" s="10" t="s">
        <v>42</v>
      </c>
      <c r="C5076" s="10" t="s">
        <v>1997</v>
      </c>
      <c r="D5076" s="10" t="s">
        <v>2271</v>
      </c>
      <c r="E5076" s="14">
        <v>1.0</v>
      </c>
      <c r="F5076" s="15">
        <f>ROUND(2.91,3)</f>
        <v>2.91</v>
      </c>
      <c r="G5076" s="12">
        <f t="shared" si="788"/>
        <v>2.91</v>
      </c>
    </row>
    <row r="5077" ht="30.0" customHeight="1">
      <c r="A5077" s="10" t="s">
        <v>2286</v>
      </c>
      <c r="B5077" s="10" t="s">
        <v>42</v>
      </c>
      <c r="C5077" s="10" t="s">
        <v>1881</v>
      </c>
      <c r="D5077" s="10" t="s">
        <v>2287</v>
      </c>
      <c r="E5077" s="14">
        <v>0.715</v>
      </c>
      <c r="F5077" s="15">
        <f>ROUND(7.96,3)</f>
        <v>7.96</v>
      </c>
      <c r="G5077" s="12">
        <f t="shared" si="788"/>
        <v>5.69</v>
      </c>
    </row>
    <row r="5078" ht="21.0" customHeight="1">
      <c r="A5078" s="10" t="s">
        <v>2274</v>
      </c>
      <c r="B5078" s="10" t="s">
        <v>42</v>
      </c>
      <c r="C5078" s="10" t="s">
        <v>325</v>
      </c>
      <c r="D5078" s="10" t="s">
        <v>2275</v>
      </c>
      <c r="E5078" s="14">
        <v>0.05</v>
      </c>
      <c r="F5078" s="15">
        <f>ROUND(6.87,3)</f>
        <v>6.87</v>
      </c>
      <c r="G5078" s="12">
        <f t="shared" si="788"/>
        <v>0.34</v>
      </c>
    </row>
    <row r="5079" ht="21.0" customHeight="1">
      <c r="A5079" s="10" t="s">
        <v>2276</v>
      </c>
      <c r="B5079" s="10" t="s">
        <v>42</v>
      </c>
      <c r="C5079" s="10" t="s">
        <v>1939</v>
      </c>
      <c r="D5079" s="10" t="s">
        <v>2277</v>
      </c>
      <c r="E5079" s="14">
        <v>0.00333</v>
      </c>
      <c r="F5079" s="15">
        <f>ROUND(31.65,3)</f>
        <v>31.65</v>
      </c>
      <c r="G5079" s="12">
        <f t="shared" si="788"/>
        <v>0.11</v>
      </c>
    </row>
    <row r="5080" ht="21.0" customHeight="1">
      <c r="A5080" s="10" t="s">
        <v>2278</v>
      </c>
      <c r="B5080" s="10" t="s">
        <v>42</v>
      </c>
      <c r="C5080" s="10" t="s">
        <v>184</v>
      </c>
      <c r="D5080" s="10" t="s">
        <v>2279</v>
      </c>
      <c r="E5080" s="14">
        <v>0.0055</v>
      </c>
      <c r="F5080" s="15">
        <f>ROUND(8.35,3)</f>
        <v>8.35</v>
      </c>
      <c r="G5080" s="12">
        <f t="shared" si="788"/>
        <v>0.05</v>
      </c>
    </row>
    <row r="5081" ht="30.0" customHeight="1">
      <c r="A5081" s="10" t="s">
        <v>2280</v>
      </c>
      <c r="B5081" s="10" t="s">
        <v>42</v>
      </c>
      <c r="C5081" s="10" t="s">
        <v>276</v>
      </c>
      <c r="D5081" s="10" t="s">
        <v>2281</v>
      </c>
      <c r="E5081" s="14">
        <v>0.03</v>
      </c>
      <c r="F5081" s="15">
        <f>ROUND(20.92,3)</f>
        <v>20.92</v>
      </c>
      <c r="G5081" s="12">
        <f t="shared" si="788"/>
        <v>0.63</v>
      </c>
    </row>
    <row r="5082" ht="39.75" customHeight="1">
      <c r="A5082" s="10" t="s">
        <v>2282</v>
      </c>
      <c r="B5082" s="10" t="s">
        <v>42</v>
      </c>
      <c r="C5082" s="10" t="s">
        <v>226</v>
      </c>
      <c r="D5082" s="10" t="s">
        <v>2283</v>
      </c>
      <c r="E5082" s="14">
        <v>0.045</v>
      </c>
      <c r="F5082" s="15">
        <f>ROUND(5.55,3)</f>
        <v>5.55</v>
      </c>
      <c r="G5082" s="12">
        <f t="shared" si="788"/>
        <v>0.25</v>
      </c>
    </row>
    <row r="5083" ht="21.0" customHeight="1">
      <c r="A5083" s="10" t="s">
        <v>22</v>
      </c>
      <c r="B5083" s="10" t="s">
        <v>18</v>
      </c>
      <c r="C5083" s="10" t="s">
        <v>23</v>
      </c>
      <c r="D5083" s="10" t="s">
        <v>24</v>
      </c>
      <c r="E5083" s="14">
        <v>0.6</v>
      </c>
      <c r="F5083" s="15">
        <f>F5087</f>
        <v>43.8</v>
      </c>
      <c r="G5083" s="12">
        <f t="shared" si="788"/>
        <v>26.28</v>
      </c>
    </row>
    <row r="5084" ht="24.0" customHeight="1">
      <c r="A5084" s="10" t="s">
        <v>25</v>
      </c>
      <c r="B5084" s="10" t="s">
        <v>26</v>
      </c>
      <c r="C5084" s="10" t="s">
        <v>23</v>
      </c>
      <c r="D5084" s="10" t="s">
        <v>27</v>
      </c>
      <c r="E5084" s="14">
        <v>1.0</v>
      </c>
      <c r="F5084" s="15">
        <f>ROUND(21,3)</f>
        <v>21</v>
      </c>
      <c r="G5084" s="12">
        <f t="shared" si="788"/>
        <v>21</v>
      </c>
    </row>
    <row r="5085" ht="24.0" customHeight="1">
      <c r="A5085" s="10" t="s">
        <v>28</v>
      </c>
      <c r="B5085" s="10" t="s">
        <v>26</v>
      </c>
      <c r="C5085" s="10" t="s">
        <v>23</v>
      </c>
      <c r="D5085" s="10" t="s">
        <v>29</v>
      </c>
      <c r="E5085" s="14">
        <v>1.0</v>
      </c>
      <c r="F5085" s="15">
        <f t="shared" ref="F5085:F5086" si="789">ROUND(19,3)</f>
        <v>19</v>
      </c>
      <c r="G5085" s="12">
        <f t="shared" si="788"/>
        <v>19</v>
      </c>
    </row>
    <row r="5086" ht="24.0" customHeight="1">
      <c r="A5086" s="10" t="s">
        <v>30</v>
      </c>
      <c r="B5086" s="10" t="s">
        <v>26</v>
      </c>
      <c r="C5086" s="10" t="s">
        <v>23</v>
      </c>
      <c r="D5086" s="10" t="s">
        <v>31</v>
      </c>
      <c r="E5086" s="14">
        <v>0.2</v>
      </c>
      <c r="F5086" s="15">
        <f t="shared" si="789"/>
        <v>19</v>
      </c>
      <c r="G5086" s="12">
        <f t="shared" si="788"/>
        <v>3.8</v>
      </c>
    </row>
    <row r="5087" ht="15.0" customHeight="1">
      <c r="A5087" s="11"/>
      <c r="B5087" s="11"/>
      <c r="C5087" s="11"/>
      <c r="D5087" s="10" t="s">
        <v>22</v>
      </c>
      <c r="E5087" s="14">
        <v>0.6</v>
      </c>
      <c r="F5087" s="15">
        <f>ROUND((G5084+G5085+G5086),3)</f>
        <v>43.8</v>
      </c>
      <c r="G5087" s="12">
        <f t="shared" si="788"/>
        <v>26.28</v>
      </c>
    </row>
    <row r="5088" ht="15.0" customHeight="1">
      <c r="A5088" s="16"/>
      <c r="B5088" s="16"/>
      <c r="C5088" s="16"/>
      <c r="D5088" s="17" t="s">
        <v>2284</v>
      </c>
      <c r="E5088" s="16"/>
      <c r="F5088" s="18">
        <f>ROUND((G5074+G5075+G5076+G5077+G5078+G5079+G5080+G5081+G5082+G5083)*(1+G2/100),2)</f>
        <v>37.16</v>
      </c>
      <c r="G5088" s="16"/>
    </row>
    <row r="5089" ht="21.0" customHeight="1">
      <c r="A5089" s="19" t="s">
        <v>2288</v>
      </c>
      <c r="B5089" s="20" t="s">
        <v>18</v>
      </c>
      <c r="C5089" s="20" t="s">
        <v>251</v>
      </c>
      <c r="D5089" s="20" t="s">
        <v>2289</v>
      </c>
      <c r="E5089" s="21"/>
      <c r="F5089" s="22">
        <f>F5098</f>
        <v>57.82</v>
      </c>
      <c r="G5089" s="21"/>
    </row>
    <row r="5090" ht="48.75" customHeight="1">
      <c r="A5090" s="11"/>
      <c r="B5090" s="11"/>
      <c r="C5090" s="11"/>
      <c r="D5090" s="10" t="s">
        <v>2290</v>
      </c>
    </row>
    <row r="5091" ht="39.75" customHeight="1">
      <c r="A5091" s="10" t="s">
        <v>2291</v>
      </c>
      <c r="B5091" s="10" t="s">
        <v>42</v>
      </c>
      <c r="C5091" s="10" t="s">
        <v>344</v>
      </c>
      <c r="D5091" s="10" t="s">
        <v>2292</v>
      </c>
      <c r="E5091" s="14">
        <v>45.0</v>
      </c>
      <c r="F5091" s="15">
        <f>ROUND(0.45,3)</f>
        <v>0.45</v>
      </c>
      <c r="G5091" s="12">
        <f t="shared" ref="G5091:G5097" si="790">ROUND(E5091*F5091,2)</f>
        <v>20.25</v>
      </c>
    </row>
    <row r="5092" ht="30.0" customHeight="1">
      <c r="A5092" s="10" t="s">
        <v>1382</v>
      </c>
      <c r="B5092" s="10" t="s">
        <v>42</v>
      </c>
      <c r="C5092" s="10" t="s">
        <v>184</v>
      </c>
      <c r="D5092" s="10" t="s">
        <v>1383</v>
      </c>
      <c r="E5092" s="14">
        <v>1.72</v>
      </c>
      <c r="F5092" s="15">
        <f>ROUND(1.47,3)</f>
        <v>1.47</v>
      </c>
      <c r="G5092" s="12">
        <f t="shared" si="790"/>
        <v>2.53</v>
      </c>
    </row>
    <row r="5093" ht="21.0" customHeight="1">
      <c r="A5093" s="10" t="s">
        <v>22</v>
      </c>
      <c r="B5093" s="10" t="s">
        <v>18</v>
      </c>
      <c r="C5093" s="10" t="s">
        <v>23</v>
      </c>
      <c r="D5093" s="10" t="s">
        <v>24</v>
      </c>
      <c r="E5093" s="14">
        <v>0.8</v>
      </c>
      <c r="F5093" s="15">
        <f>F5097</f>
        <v>43.8</v>
      </c>
      <c r="G5093" s="12">
        <f t="shared" si="790"/>
        <v>35.04</v>
      </c>
    </row>
    <row r="5094" ht="24.0" customHeight="1">
      <c r="A5094" s="10" t="s">
        <v>25</v>
      </c>
      <c r="B5094" s="10" t="s">
        <v>26</v>
      </c>
      <c r="C5094" s="10" t="s">
        <v>23</v>
      </c>
      <c r="D5094" s="10" t="s">
        <v>27</v>
      </c>
      <c r="E5094" s="14">
        <v>1.0</v>
      </c>
      <c r="F5094" s="15">
        <f>ROUND(21,3)</f>
        <v>21</v>
      </c>
      <c r="G5094" s="12">
        <f t="shared" si="790"/>
        <v>21</v>
      </c>
    </row>
    <row r="5095" ht="24.0" customHeight="1">
      <c r="A5095" s="10" t="s">
        <v>28</v>
      </c>
      <c r="B5095" s="10" t="s">
        <v>26</v>
      </c>
      <c r="C5095" s="10" t="s">
        <v>23</v>
      </c>
      <c r="D5095" s="10" t="s">
        <v>29</v>
      </c>
      <c r="E5095" s="14">
        <v>1.0</v>
      </c>
      <c r="F5095" s="15">
        <f t="shared" ref="F5095:F5096" si="791">ROUND(19,3)</f>
        <v>19</v>
      </c>
      <c r="G5095" s="12">
        <f t="shared" si="790"/>
        <v>19</v>
      </c>
    </row>
    <row r="5096" ht="24.0" customHeight="1">
      <c r="A5096" s="10" t="s">
        <v>30</v>
      </c>
      <c r="B5096" s="10" t="s">
        <v>26</v>
      </c>
      <c r="C5096" s="10" t="s">
        <v>23</v>
      </c>
      <c r="D5096" s="10" t="s">
        <v>31</v>
      </c>
      <c r="E5096" s="14">
        <v>0.2</v>
      </c>
      <c r="F5096" s="15">
        <f t="shared" si="791"/>
        <v>19</v>
      </c>
      <c r="G5096" s="12">
        <f t="shared" si="790"/>
        <v>3.8</v>
      </c>
    </row>
    <row r="5097" ht="15.0" customHeight="1">
      <c r="A5097" s="11"/>
      <c r="B5097" s="11"/>
      <c r="C5097" s="11"/>
      <c r="D5097" s="10" t="s">
        <v>22</v>
      </c>
      <c r="E5097" s="14">
        <v>0.8</v>
      </c>
      <c r="F5097" s="15">
        <f>ROUND((G5094+G5095+G5096),3)</f>
        <v>43.8</v>
      </c>
      <c r="G5097" s="12">
        <f t="shared" si="790"/>
        <v>35.04</v>
      </c>
    </row>
    <row r="5098" ht="15.0" customHeight="1">
      <c r="A5098" s="16"/>
      <c r="B5098" s="16"/>
      <c r="C5098" s="16"/>
      <c r="D5098" s="17" t="s">
        <v>2288</v>
      </c>
      <c r="E5098" s="16"/>
      <c r="F5098" s="18">
        <f>ROUND((G5091+G5092+G5093)*(1+G2/100),2)</f>
        <v>57.82</v>
      </c>
      <c r="G5098" s="16"/>
    </row>
    <row r="5099" ht="15.0" customHeight="1">
      <c r="A5099" s="23"/>
      <c r="B5099" s="23"/>
      <c r="C5099" s="23"/>
      <c r="D5099" s="32" t="s">
        <v>2253</v>
      </c>
      <c r="E5099" s="33"/>
      <c r="F5099" s="33"/>
      <c r="G5099" s="33"/>
    </row>
    <row r="5100" ht="15.0" customHeight="1">
      <c r="A5100" s="34" t="s">
        <v>2293</v>
      </c>
      <c r="B5100" s="34" t="s">
        <v>10</v>
      </c>
      <c r="C5100" s="35"/>
      <c r="D5100" s="34" t="s">
        <v>2294</v>
      </c>
      <c r="E5100" s="35"/>
      <c r="F5100" s="35"/>
      <c r="G5100" s="35"/>
    </row>
    <row r="5101" ht="24.75" customHeight="1">
      <c r="A5101" s="13" t="s">
        <v>2295</v>
      </c>
      <c r="B5101" s="10" t="s">
        <v>18</v>
      </c>
      <c r="C5101" s="10" t="s">
        <v>295</v>
      </c>
      <c r="D5101" s="10" t="s">
        <v>2296</v>
      </c>
      <c r="E5101" s="11"/>
      <c r="F5101" s="12">
        <f>F5109</f>
        <v>96.58</v>
      </c>
      <c r="G5101" s="11"/>
    </row>
    <row r="5102" ht="12.0" customHeight="1">
      <c r="A5102" s="11"/>
      <c r="B5102" s="11"/>
      <c r="C5102" s="11"/>
      <c r="D5102" s="10" t="s">
        <v>2297</v>
      </c>
    </row>
    <row r="5103" ht="30.0" customHeight="1">
      <c r="A5103" s="10" t="s">
        <v>2298</v>
      </c>
      <c r="B5103" s="10" t="s">
        <v>42</v>
      </c>
      <c r="C5103" s="10" t="s">
        <v>231</v>
      </c>
      <c r="D5103" s="10" t="s">
        <v>2299</v>
      </c>
      <c r="E5103" s="14">
        <v>1.0</v>
      </c>
      <c r="F5103" s="15">
        <f>ROUND(70.3,3)</f>
        <v>70.3</v>
      </c>
      <c r="G5103" s="12">
        <f t="shared" ref="G5103:G5108" si="792">ROUND(E5103*F5103,2)</f>
        <v>70.3</v>
      </c>
    </row>
    <row r="5104" ht="21.0" customHeight="1">
      <c r="A5104" s="10" t="s">
        <v>22</v>
      </c>
      <c r="B5104" s="10" t="s">
        <v>18</v>
      </c>
      <c r="C5104" s="10" t="s">
        <v>23</v>
      </c>
      <c r="D5104" s="10" t="s">
        <v>24</v>
      </c>
      <c r="E5104" s="14">
        <v>0.6</v>
      </c>
      <c r="F5104" s="15">
        <f>F5108</f>
        <v>43.8</v>
      </c>
      <c r="G5104" s="12">
        <f t="shared" si="792"/>
        <v>26.28</v>
      </c>
    </row>
    <row r="5105" ht="24.0" customHeight="1">
      <c r="A5105" s="10" t="s">
        <v>25</v>
      </c>
      <c r="B5105" s="10" t="s">
        <v>26</v>
      </c>
      <c r="C5105" s="10" t="s">
        <v>23</v>
      </c>
      <c r="D5105" s="10" t="s">
        <v>27</v>
      </c>
      <c r="E5105" s="14">
        <v>1.0</v>
      </c>
      <c r="F5105" s="15">
        <f>ROUND(21,3)</f>
        <v>21</v>
      </c>
      <c r="G5105" s="12">
        <f t="shared" si="792"/>
        <v>21</v>
      </c>
    </row>
    <row r="5106" ht="24.0" customHeight="1">
      <c r="A5106" s="10" t="s">
        <v>28</v>
      </c>
      <c r="B5106" s="10" t="s">
        <v>26</v>
      </c>
      <c r="C5106" s="10" t="s">
        <v>23</v>
      </c>
      <c r="D5106" s="10" t="s">
        <v>29</v>
      </c>
      <c r="E5106" s="14">
        <v>1.0</v>
      </c>
      <c r="F5106" s="15">
        <f t="shared" ref="F5106:F5107" si="793">ROUND(19,3)</f>
        <v>19</v>
      </c>
      <c r="G5106" s="12">
        <f t="shared" si="792"/>
        <v>19</v>
      </c>
    </row>
    <row r="5107" ht="24.0" customHeight="1">
      <c r="A5107" s="10" t="s">
        <v>30</v>
      </c>
      <c r="B5107" s="10" t="s">
        <v>26</v>
      </c>
      <c r="C5107" s="10" t="s">
        <v>23</v>
      </c>
      <c r="D5107" s="10" t="s">
        <v>31</v>
      </c>
      <c r="E5107" s="14">
        <v>0.2</v>
      </c>
      <c r="F5107" s="15">
        <f t="shared" si="793"/>
        <v>19</v>
      </c>
      <c r="G5107" s="12">
        <f t="shared" si="792"/>
        <v>3.8</v>
      </c>
    </row>
    <row r="5108" ht="15.0" customHeight="1">
      <c r="A5108" s="11"/>
      <c r="B5108" s="11"/>
      <c r="C5108" s="11"/>
      <c r="D5108" s="10" t="s">
        <v>22</v>
      </c>
      <c r="E5108" s="14">
        <v>0.6</v>
      </c>
      <c r="F5108" s="15">
        <f>ROUND((G5105+G5106+G5107),3)</f>
        <v>43.8</v>
      </c>
      <c r="G5108" s="12">
        <f t="shared" si="792"/>
        <v>26.28</v>
      </c>
    </row>
    <row r="5109" ht="15.0" customHeight="1">
      <c r="A5109" s="16"/>
      <c r="B5109" s="16"/>
      <c r="C5109" s="16"/>
      <c r="D5109" s="17" t="s">
        <v>2295</v>
      </c>
      <c r="E5109" s="16"/>
      <c r="F5109" s="18">
        <f>ROUND((G5103+G5104)*(1+G2/100),2)</f>
        <v>96.58</v>
      </c>
      <c r="G5109" s="16"/>
    </row>
    <row r="5110" ht="24.75" customHeight="1">
      <c r="A5110" s="19" t="s">
        <v>2300</v>
      </c>
      <c r="B5110" s="20" t="s">
        <v>18</v>
      </c>
      <c r="C5110" s="20" t="s">
        <v>295</v>
      </c>
      <c r="D5110" s="20" t="s">
        <v>2301</v>
      </c>
      <c r="E5110" s="21"/>
      <c r="F5110" s="22">
        <f>F5118</f>
        <v>50.5</v>
      </c>
      <c r="G5110" s="21"/>
    </row>
    <row r="5111" ht="30.0" customHeight="1">
      <c r="A5111" s="11"/>
      <c r="B5111" s="11"/>
      <c r="C5111" s="11"/>
      <c r="D5111" s="10" t="s">
        <v>2302</v>
      </c>
    </row>
    <row r="5112" ht="30.0" customHeight="1">
      <c r="A5112" s="10" t="s">
        <v>2303</v>
      </c>
      <c r="B5112" s="10" t="s">
        <v>42</v>
      </c>
      <c r="C5112" s="10" t="s">
        <v>231</v>
      </c>
      <c r="D5112" s="10" t="s">
        <v>2304</v>
      </c>
      <c r="E5112" s="14">
        <v>1.0</v>
      </c>
      <c r="F5112" s="15">
        <f>ROUND(28.6,3)</f>
        <v>28.6</v>
      </c>
      <c r="G5112" s="12">
        <f t="shared" ref="G5112:G5117" si="794">ROUND(E5112*F5112,2)</f>
        <v>28.6</v>
      </c>
    </row>
    <row r="5113" ht="21.0" customHeight="1">
      <c r="A5113" s="10" t="s">
        <v>22</v>
      </c>
      <c r="B5113" s="10" t="s">
        <v>18</v>
      </c>
      <c r="C5113" s="10" t="s">
        <v>23</v>
      </c>
      <c r="D5113" s="10" t="s">
        <v>24</v>
      </c>
      <c r="E5113" s="14">
        <v>0.5</v>
      </c>
      <c r="F5113" s="15">
        <f>F5117</f>
        <v>43.8</v>
      </c>
      <c r="G5113" s="12">
        <f t="shared" si="794"/>
        <v>21.9</v>
      </c>
    </row>
    <row r="5114" ht="24.0" customHeight="1">
      <c r="A5114" s="10" t="s">
        <v>25</v>
      </c>
      <c r="B5114" s="10" t="s">
        <v>26</v>
      </c>
      <c r="C5114" s="10" t="s">
        <v>23</v>
      </c>
      <c r="D5114" s="10" t="s">
        <v>27</v>
      </c>
      <c r="E5114" s="14">
        <v>1.0</v>
      </c>
      <c r="F5114" s="15">
        <f>ROUND(21,3)</f>
        <v>21</v>
      </c>
      <c r="G5114" s="12">
        <f t="shared" si="794"/>
        <v>21</v>
      </c>
    </row>
    <row r="5115" ht="24.0" customHeight="1">
      <c r="A5115" s="10" t="s">
        <v>28</v>
      </c>
      <c r="B5115" s="10" t="s">
        <v>26</v>
      </c>
      <c r="C5115" s="10" t="s">
        <v>23</v>
      </c>
      <c r="D5115" s="10" t="s">
        <v>29</v>
      </c>
      <c r="E5115" s="14">
        <v>1.0</v>
      </c>
      <c r="F5115" s="15">
        <f t="shared" ref="F5115:F5116" si="795">ROUND(19,3)</f>
        <v>19</v>
      </c>
      <c r="G5115" s="12">
        <f t="shared" si="794"/>
        <v>19</v>
      </c>
    </row>
    <row r="5116" ht="24.0" customHeight="1">
      <c r="A5116" s="10" t="s">
        <v>30</v>
      </c>
      <c r="B5116" s="10" t="s">
        <v>26</v>
      </c>
      <c r="C5116" s="10" t="s">
        <v>23</v>
      </c>
      <c r="D5116" s="10" t="s">
        <v>31</v>
      </c>
      <c r="E5116" s="14">
        <v>0.2</v>
      </c>
      <c r="F5116" s="15">
        <f t="shared" si="795"/>
        <v>19</v>
      </c>
      <c r="G5116" s="12">
        <f t="shared" si="794"/>
        <v>3.8</v>
      </c>
    </row>
    <row r="5117" ht="15.0" customHeight="1">
      <c r="A5117" s="11"/>
      <c r="B5117" s="11"/>
      <c r="C5117" s="11"/>
      <c r="D5117" s="10" t="s">
        <v>22</v>
      </c>
      <c r="E5117" s="14">
        <v>0.5</v>
      </c>
      <c r="F5117" s="15">
        <f>ROUND((G5114+G5115+G5116),3)</f>
        <v>43.8</v>
      </c>
      <c r="G5117" s="12">
        <f t="shared" si="794"/>
        <v>21.9</v>
      </c>
    </row>
    <row r="5118" ht="15.0" customHeight="1">
      <c r="A5118" s="16"/>
      <c r="B5118" s="16"/>
      <c r="C5118" s="16"/>
      <c r="D5118" s="17" t="s">
        <v>2300</v>
      </c>
      <c r="E5118" s="16"/>
      <c r="F5118" s="18">
        <f>ROUND((G5112+G5113)*(1+G2/100),2)</f>
        <v>50.5</v>
      </c>
      <c r="G5118" s="16"/>
    </row>
    <row r="5119" ht="24.75" customHeight="1">
      <c r="A5119" s="19" t="s">
        <v>2305</v>
      </c>
      <c r="B5119" s="20" t="s">
        <v>18</v>
      </c>
      <c r="C5119" s="20" t="s">
        <v>295</v>
      </c>
      <c r="D5119" s="20" t="s">
        <v>2306</v>
      </c>
      <c r="E5119" s="21"/>
      <c r="F5119" s="22">
        <f>F5127</f>
        <v>136.86</v>
      </c>
      <c r="G5119" s="21"/>
    </row>
    <row r="5120" ht="12.0" customHeight="1">
      <c r="A5120" s="11"/>
      <c r="B5120" s="11"/>
      <c r="C5120" s="11"/>
      <c r="D5120" s="10" t="s">
        <v>2306</v>
      </c>
    </row>
    <row r="5121" ht="30.0" customHeight="1">
      <c r="A5121" s="10" t="s">
        <v>2307</v>
      </c>
      <c r="B5121" s="10" t="s">
        <v>42</v>
      </c>
      <c r="C5121" s="10" t="s">
        <v>231</v>
      </c>
      <c r="D5121" s="10" t="s">
        <v>2308</v>
      </c>
      <c r="E5121" s="14">
        <v>1.0</v>
      </c>
      <c r="F5121" s="15">
        <f>ROUND(110.58,3)</f>
        <v>110.58</v>
      </c>
      <c r="G5121" s="12">
        <f t="shared" ref="G5121:G5126" si="796">ROUND(E5121*F5121,2)</f>
        <v>110.58</v>
      </c>
    </row>
    <row r="5122" ht="21.0" customHeight="1">
      <c r="A5122" s="10" t="s">
        <v>22</v>
      </c>
      <c r="B5122" s="10" t="s">
        <v>18</v>
      </c>
      <c r="C5122" s="10" t="s">
        <v>23</v>
      </c>
      <c r="D5122" s="10" t="s">
        <v>24</v>
      </c>
      <c r="E5122" s="14">
        <v>0.6</v>
      </c>
      <c r="F5122" s="15">
        <f>F5126</f>
        <v>43.8</v>
      </c>
      <c r="G5122" s="12">
        <f t="shared" si="796"/>
        <v>26.28</v>
      </c>
    </row>
    <row r="5123" ht="24.0" customHeight="1">
      <c r="A5123" s="10" t="s">
        <v>25</v>
      </c>
      <c r="B5123" s="10" t="s">
        <v>26</v>
      </c>
      <c r="C5123" s="10" t="s">
        <v>23</v>
      </c>
      <c r="D5123" s="10" t="s">
        <v>27</v>
      </c>
      <c r="E5123" s="14">
        <v>1.0</v>
      </c>
      <c r="F5123" s="15">
        <f>ROUND(21,3)</f>
        <v>21</v>
      </c>
      <c r="G5123" s="12">
        <f t="shared" si="796"/>
        <v>21</v>
      </c>
    </row>
    <row r="5124" ht="24.0" customHeight="1">
      <c r="A5124" s="10" t="s">
        <v>28</v>
      </c>
      <c r="B5124" s="10" t="s">
        <v>26</v>
      </c>
      <c r="C5124" s="10" t="s">
        <v>23</v>
      </c>
      <c r="D5124" s="10" t="s">
        <v>29</v>
      </c>
      <c r="E5124" s="14">
        <v>1.0</v>
      </c>
      <c r="F5124" s="15">
        <f t="shared" ref="F5124:F5125" si="797">ROUND(19,3)</f>
        <v>19</v>
      </c>
      <c r="G5124" s="12">
        <f t="shared" si="796"/>
        <v>19</v>
      </c>
    </row>
    <row r="5125" ht="24.0" customHeight="1">
      <c r="A5125" s="10" t="s">
        <v>30</v>
      </c>
      <c r="B5125" s="10" t="s">
        <v>26</v>
      </c>
      <c r="C5125" s="10" t="s">
        <v>23</v>
      </c>
      <c r="D5125" s="10" t="s">
        <v>31</v>
      </c>
      <c r="E5125" s="14">
        <v>0.2</v>
      </c>
      <c r="F5125" s="15">
        <f t="shared" si="797"/>
        <v>19</v>
      </c>
      <c r="G5125" s="12">
        <f t="shared" si="796"/>
        <v>3.8</v>
      </c>
    </row>
    <row r="5126" ht="15.0" customHeight="1">
      <c r="A5126" s="11"/>
      <c r="B5126" s="11"/>
      <c r="C5126" s="11"/>
      <c r="D5126" s="10" t="s">
        <v>22</v>
      </c>
      <c r="E5126" s="14">
        <v>0.6</v>
      </c>
      <c r="F5126" s="15">
        <f>ROUND((G5123+G5124+G5125),3)</f>
        <v>43.8</v>
      </c>
      <c r="G5126" s="12">
        <f t="shared" si="796"/>
        <v>26.28</v>
      </c>
    </row>
    <row r="5127" ht="15.0" customHeight="1">
      <c r="A5127" s="16"/>
      <c r="B5127" s="16"/>
      <c r="C5127" s="16"/>
      <c r="D5127" s="17" t="s">
        <v>2305</v>
      </c>
      <c r="E5127" s="16"/>
      <c r="F5127" s="18">
        <f>ROUND((G5121+G5122)*(1+G2/100),2)</f>
        <v>136.86</v>
      </c>
      <c r="G5127" s="16"/>
    </row>
    <row r="5128" ht="15.0" customHeight="1">
      <c r="A5128" s="19" t="s">
        <v>1687</v>
      </c>
      <c r="B5128" s="20" t="s">
        <v>18</v>
      </c>
      <c r="C5128" s="20" t="s">
        <v>251</v>
      </c>
      <c r="D5128" s="20" t="s">
        <v>1688</v>
      </c>
      <c r="E5128" s="21"/>
      <c r="F5128" s="22">
        <f>F5132</f>
        <v>39.23</v>
      </c>
      <c r="G5128" s="21"/>
    </row>
    <row r="5129" ht="57.75" customHeight="1">
      <c r="A5129" s="11"/>
      <c r="B5129" s="11"/>
      <c r="C5129" s="11"/>
      <c r="D5129" s="10" t="s">
        <v>2309</v>
      </c>
    </row>
    <row r="5130" ht="24.0" customHeight="1">
      <c r="A5130" s="10" t="s">
        <v>1186</v>
      </c>
      <c r="B5130" s="10" t="s">
        <v>26</v>
      </c>
      <c r="C5130" s="10" t="s">
        <v>23</v>
      </c>
      <c r="D5130" s="10" t="s">
        <v>1187</v>
      </c>
      <c r="E5130" s="14">
        <v>0.55</v>
      </c>
      <c r="F5130" s="15">
        <f>ROUND(49.5,3)</f>
        <v>49.5</v>
      </c>
      <c r="G5130" s="12">
        <f t="shared" ref="G5130:G5131" si="798">ROUND(E5130*F5130,2)</f>
        <v>27.23</v>
      </c>
    </row>
    <row r="5131" ht="21.0" customHeight="1">
      <c r="A5131" s="10" t="s">
        <v>1689</v>
      </c>
      <c r="B5131" s="10" t="s">
        <v>42</v>
      </c>
      <c r="C5131" s="10" t="s">
        <v>304</v>
      </c>
      <c r="D5131" s="10" t="s">
        <v>1690</v>
      </c>
      <c r="E5131" s="14">
        <v>1.0</v>
      </c>
      <c r="F5131" s="15">
        <f>ROUND(12,3)</f>
        <v>12</v>
      </c>
      <c r="G5131" s="12">
        <f t="shared" si="798"/>
        <v>12</v>
      </c>
    </row>
    <row r="5132" ht="15.0" customHeight="1">
      <c r="A5132" s="16"/>
      <c r="B5132" s="16"/>
      <c r="C5132" s="16"/>
      <c r="D5132" s="17" t="s">
        <v>1687</v>
      </c>
      <c r="E5132" s="16"/>
      <c r="F5132" s="18">
        <f>ROUND((G5130+G5131)*(1+G2/100),2)</f>
        <v>39.23</v>
      </c>
      <c r="G5132" s="16"/>
    </row>
    <row r="5133" ht="15.0" customHeight="1">
      <c r="A5133" s="19" t="s">
        <v>2310</v>
      </c>
      <c r="B5133" s="20" t="s">
        <v>18</v>
      </c>
      <c r="C5133" s="20" t="s">
        <v>251</v>
      </c>
      <c r="D5133" s="20" t="s">
        <v>2311</v>
      </c>
      <c r="E5133" s="21"/>
      <c r="F5133" s="22">
        <f>F5137</f>
        <v>42.23</v>
      </c>
      <c r="G5133" s="21"/>
    </row>
    <row r="5134" ht="67.5" customHeight="1">
      <c r="A5134" s="11"/>
      <c r="B5134" s="11"/>
      <c r="C5134" s="11"/>
      <c r="D5134" s="10" t="s">
        <v>2312</v>
      </c>
    </row>
    <row r="5135" ht="24.0" customHeight="1">
      <c r="A5135" s="10" t="s">
        <v>1186</v>
      </c>
      <c r="B5135" s="10" t="s">
        <v>26</v>
      </c>
      <c r="C5135" s="10" t="s">
        <v>23</v>
      </c>
      <c r="D5135" s="10" t="s">
        <v>1187</v>
      </c>
      <c r="E5135" s="14">
        <v>0.55</v>
      </c>
      <c r="F5135" s="15">
        <f>ROUND(49.5,3)</f>
        <v>49.5</v>
      </c>
      <c r="G5135" s="12">
        <f t="shared" ref="G5135:G5136" si="799">ROUND(E5135*F5135,2)</f>
        <v>27.23</v>
      </c>
    </row>
    <row r="5136" ht="30.0" customHeight="1">
      <c r="A5136" s="10" t="s">
        <v>2313</v>
      </c>
      <c r="B5136" s="10" t="s">
        <v>42</v>
      </c>
      <c r="C5136" s="10" t="s">
        <v>304</v>
      </c>
      <c r="D5136" s="10" t="s">
        <v>2314</v>
      </c>
      <c r="E5136" s="14">
        <v>1.0</v>
      </c>
      <c r="F5136" s="15">
        <f>ROUND(15,3)</f>
        <v>15</v>
      </c>
      <c r="G5136" s="12">
        <f t="shared" si="799"/>
        <v>15</v>
      </c>
    </row>
    <row r="5137" ht="15.0" customHeight="1">
      <c r="A5137" s="16"/>
      <c r="B5137" s="16"/>
      <c r="C5137" s="16"/>
      <c r="D5137" s="17" t="s">
        <v>2310</v>
      </c>
      <c r="E5137" s="16"/>
      <c r="F5137" s="18">
        <f>ROUND((G5135+G5136)*(1+G2/100),2)</f>
        <v>42.23</v>
      </c>
      <c r="G5137" s="16"/>
    </row>
    <row r="5138" ht="15.0" customHeight="1">
      <c r="A5138" s="19" t="s">
        <v>2315</v>
      </c>
      <c r="B5138" s="20" t="s">
        <v>18</v>
      </c>
      <c r="C5138" s="20" t="s">
        <v>251</v>
      </c>
      <c r="D5138" s="20" t="s">
        <v>2316</v>
      </c>
      <c r="E5138" s="21"/>
      <c r="F5138" s="22">
        <f>F5142</f>
        <v>37.33</v>
      </c>
      <c r="G5138" s="21"/>
    </row>
    <row r="5139" ht="48.75" customHeight="1">
      <c r="A5139" s="11"/>
      <c r="B5139" s="11"/>
      <c r="C5139" s="11"/>
      <c r="D5139" s="10" t="s">
        <v>2317</v>
      </c>
    </row>
    <row r="5140" ht="21.0" customHeight="1">
      <c r="A5140" s="10" t="s">
        <v>2318</v>
      </c>
      <c r="B5140" s="10" t="s">
        <v>42</v>
      </c>
      <c r="C5140" s="10" t="s">
        <v>19</v>
      </c>
      <c r="D5140" s="10" t="s">
        <v>2319</v>
      </c>
      <c r="E5140" s="14">
        <v>1.0</v>
      </c>
      <c r="F5140" s="15">
        <f>ROUND(20,3)</f>
        <v>20</v>
      </c>
      <c r="G5140" s="12">
        <f t="shared" ref="G5140:G5141" si="800">ROUND(E5140*F5140,2)</f>
        <v>20</v>
      </c>
    </row>
    <row r="5141" ht="24.0" customHeight="1">
      <c r="A5141" s="10" t="s">
        <v>1186</v>
      </c>
      <c r="B5141" s="10" t="s">
        <v>26</v>
      </c>
      <c r="C5141" s="10" t="s">
        <v>23</v>
      </c>
      <c r="D5141" s="10" t="s">
        <v>1187</v>
      </c>
      <c r="E5141" s="14">
        <v>0.35</v>
      </c>
      <c r="F5141" s="15">
        <f>ROUND(49.5,3)</f>
        <v>49.5</v>
      </c>
      <c r="G5141" s="12">
        <f t="shared" si="800"/>
        <v>17.33</v>
      </c>
    </row>
    <row r="5142" ht="15.0" customHeight="1">
      <c r="A5142" s="16"/>
      <c r="B5142" s="16"/>
      <c r="C5142" s="16"/>
      <c r="D5142" s="17" t="s">
        <v>2315</v>
      </c>
      <c r="E5142" s="16"/>
      <c r="F5142" s="18">
        <f>ROUND((G5140+G5141)*(1+G2/100),2)</f>
        <v>37.33</v>
      </c>
      <c r="G5142" s="16"/>
    </row>
    <row r="5143" ht="15.0" customHeight="1">
      <c r="A5143" s="19" t="s">
        <v>2320</v>
      </c>
      <c r="B5143" s="20" t="s">
        <v>18</v>
      </c>
      <c r="C5143" s="20" t="s">
        <v>251</v>
      </c>
      <c r="D5143" s="20" t="s">
        <v>2321</v>
      </c>
      <c r="E5143" s="21"/>
      <c r="F5143" s="22">
        <f>F5148</f>
        <v>68.96</v>
      </c>
      <c r="G5143" s="21"/>
    </row>
    <row r="5144" ht="12.0" customHeight="1">
      <c r="A5144" s="11"/>
      <c r="B5144" s="11"/>
      <c r="C5144" s="11"/>
      <c r="D5144" s="10" t="s">
        <v>2321</v>
      </c>
    </row>
    <row r="5145" ht="39.75" customHeight="1">
      <c r="A5145" s="10" t="s">
        <v>2322</v>
      </c>
      <c r="B5145" s="10" t="s">
        <v>42</v>
      </c>
      <c r="C5145" s="10" t="s">
        <v>1881</v>
      </c>
      <c r="D5145" s="10" t="s">
        <v>2323</v>
      </c>
      <c r="E5145" s="14">
        <v>1.0</v>
      </c>
      <c r="F5145" s="15">
        <f>ROUND(29.21,3)</f>
        <v>29.21</v>
      </c>
      <c r="G5145" s="12">
        <f t="shared" ref="G5145:G5147" si="801">ROUND(E5145*F5145,2)</f>
        <v>29.21</v>
      </c>
    </row>
    <row r="5146" ht="15.0" customHeight="1">
      <c r="A5146" s="10" t="s">
        <v>2324</v>
      </c>
      <c r="B5146" s="10" t="s">
        <v>42</v>
      </c>
      <c r="C5146" s="10" t="s">
        <v>19</v>
      </c>
      <c r="D5146" s="10" t="s">
        <v>2325</v>
      </c>
      <c r="E5146" s="14">
        <v>1.0</v>
      </c>
      <c r="F5146" s="15">
        <f>ROUND(15,3)</f>
        <v>15</v>
      </c>
      <c r="G5146" s="12">
        <f t="shared" si="801"/>
        <v>15</v>
      </c>
    </row>
    <row r="5147" ht="24.0" customHeight="1">
      <c r="A5147" s="10" t="s">
        <v>1186</v>
      </c>
      <c r="B5147" s="10" t="s">
        <v>26</v>
      </c>
      <c r="C5147" s="10" t="s">
        <v>23</v>
      </c>
      <c r="D5147" s="10" t="s">
        <v>1187</v>
      </c>
      <c r="E5147" s="14">
        <v>0.5</v>
      </c>
      <c r="F5147" s="15">
        <f>ROUND(49.5,3)</f>
        <v>49.5</v>
      </c>
      <c r="G5147" s="12">
        <f t="shared" si="801"/>
        <v>24.75</v>
      </c>
    </row>
    <row r="5148" ht="15.0" customHeight="1">
      <c r="A5148" s="16"/>
      <c r="B5148" s="16"/>
      <c r="C5148" s="16"/>
      <c r="D5148" s="17" t="s">
        <v>2320</v>
      </c>
      <c r="E5148" s="16"/>
      <c r="F5148" s="18">
        <f>ROUND((G5145+G5146+G5147)*(1+G2/100),2)</f>
        <v>68.96</v>
      </c>
      <c r="G5148" s="16"/>
    </row>
    <row r="5149" ht="30.0" customHeight="1">
      <c r="A5149" s="19" t="s">
        <v>2326</v>
      </c>
      <c r="B5149" s="20" t="s">
        <v>18</v>
      </c>
      <c r="C5149" s="20" t="s">
        <v>537</v>
      </c>
      <c r="D5149" s="20" t="s">
        <v>2327</v>
      </c>
      <c r="E5149" s="21"/>
      <c r="F5149" s="22">
        <f>F5153</f>
        <v>42.6</v>
      </c>
      <c r="G5149" s="21"/>
    </row>
    <row r="5150" ht="12.0" customHeight="1">
      <c r="A5150" s="11"/>
      <c r="B5150" s="11"/>
      <c r="C5150" s="11"/>
      <c r="D5150" s="10" t="s">
        <v>2327</v>
      </c>
    </row>
    <row r="5151" ht="15.0" customHeight="1">
      <c r="A5151" s="10" t="s">
        <v>2328</v>
      </c>
      <c r="B5151" s="10" t="s">
        <v>42</v>
      </c>
      <c r="C5151" s="10" t="s">
        <v>351</v>
      </c>
      <c r="D5151" s="10" t="s">
        <v>2329</v>
      </c>
      <c r="E5151" s="14">
        <v>1.0</v>
      </c>
      <c r="F5151" s="15">
        <f>ROUND(3,3)</f>
        <v>3</v>
      </c>
      <c r="G5151" s="12">
        <f t="shared" ref="G5151:G5152" si="802">ROUND(E5151*F5151,2)</f>
        <v>3</v>
      </c>
    </row>
    <row r="5152" ht="24.0" customHeight="1">
      <c r="A5152" s="10" t="s">
        <v>1186</v>
      </c>
      <c r="B5152" s="10" t="s">
        <v>26</v>
      </c>
      <c r="C5152" s="10" t="s">
        <v>23</v>
      </c>
      <c r="D5152" s="10" t="s">
        <v>1187</v>
      </c>
      <c r="E5152" s="14">
        <v>0.8</v>
      </c>
      <c r="F5152" s="15">
        <f>ROUND(49.5,3)</f>
        <v>49.5</v>
      </c>
      <c r="G5152" s="12">
        <f t="shared" si="802"/>
        <v>39.6</v>
      </c>
    </row>
    <row r="5153" ht="15.0" customHeight="1">
      <c r="A5153" s="16"/>
      <c r="B5153" s="16"/>
      <c r="C5153" s="16"/>
      <c r="D5153" s="17" t="s">
        <v>2326</v>
      </c>
      <c r="E5153" s="16"/>
      <c r="F5153" s="18">
        <f>ROUND((G5151+G5152)*(1+G2/100),2)</f>
        <v>42.6</v>
      </c>
      <c r="G5153" s="16"/>
    </row>
    <row r="5154" ht="15.0" customHeight="1">
      <c r="A5154" s="26" t="s">
        <v>2330</v>
      </c>
      <c r="B5154" s="26" t="s">
        <v>10</v>
      </c>
      <c r="C5154" s="27"/>
      <c r="D5154" s="26" t="s">
        <v>2331</v>
      </c>
      <c r="E5154" s="27"/>
      <c r="F5154" s="27"/>
      <c r="G5154" s="27"/>
    </row>
    <row r="5155" ht="24.75" customHeight="1">
      <c r="A5155" s="28" t="s">
        <v>2332</v>
      </c>
      <c r="B5155" s="28" t="s">
        <v>10</v>
      </c>
      <c r="C5155" s="29"/>
      <c r="D5155" s="28" t="s">
        <v>2333</v>
      </c>
      <c r="E5155" s="29"/>
      <c r="F5155" s="29"/>
      <c r="G5155" s="29"/>
    </row>
    <row r="5156" ht="30.0" customHeight="1">
      <c r="A5156" s="13" t="s">
        <v>2334</v>
      </c>
      <c r="B5156" s="10" t="s">
        <v>18</v>
      </c>
      <c r="C5156" s="10" t="s">
        <v>19</v>
      </c>
      <c r="D5156" s="10" t="s">
        <v>2335</v>
      </c>
      <c r="E5156" s="11"/>
      <c r="F5156" s="12">
        <f>F5177</f>
        <v>42.11</v>
      </c>
      <c r="G5156" s="11"/>
    </row>
    <row r="5157" ht="57.75" customHeight="1">
      <c r="A5157" s="11"/>
      <c r="B5157" s="11"/>
      <c r="C5157" s="11"/>
      <c r="D5157" s="10" t="s">
        <v>2309</v>
      </c>
    </row>
    <row r="5158" ht="30.0" customHeight="1">
      <c r="A5158" s="10" t="s">
        <v>2336</v>
      </c>
      <c r="B5158" s="10" t="s">
        <v>42</v>
      </c>
      <c r="C5158" s="10" t="s">
        <v>1997</v>
      </c>
      <c r="D5158" s="10" t="s">
        <v>2337</v>
      </c>
      <c r="E5158" s="14">
        <v>0.33333</v>
      </c>
      <c r="F5158" s="15">
        <f>ROUND(2.37,3)</f>
        <v>2.37</v>
      </c>
      <c r="G5158" s="12">
        <f t="shared" ref="G5158:G5175" si="803">ROUND(E5158*F5158,2)</f>
        <v>0.79</v>
      </c>
    </row>
    <row r="5159" ht="21.0" customHeight="1">
      <c r="A5159" s="10" t="s">
        <v>2276</v>
      </c>
      <c r="B5159" s="10" t="s">
        <v>42</v>
      </c>
      <c r="C5159" s="10" t="s">
        <v>1939</v>
      </c>
      <c r="D5159" s="10" t="s">
        <v>2277</v>
      </c>
      <c r="E5159" s="14">
        <v>0.06667</v>
      </c>
      <c r="F5159" s="15">
        <f>ROUND(31.65,3)</f>
        <v>31.65</v>
      </c>
      <c r="G5159" s="12">
        <f t="shared" si="803"/>
        <v>2.11</v>
      </c>
    </row>
    <row r="5160" ht="21.0" customHeight="1">
      <c r="A5160" s="10" t="s">
        <v>2338</v>
      </c>
      <c r="B5160" s="10" t="s">
        <v>42</v>
      </c>
      <c r="C5160" s="10" t="s">
        <v>330</v>
      </c>
      <c r="D5160" s="10" t="s">
        <v>2339</v>
      </c>
      <c r="E5160" s="14">
        <v>0.2</v>
      </c>
      <c r="F5160" s="15">
        <f>ROUND(2.95,3)</f>
        <v>2.95</v>
      </c>
      <c r="G5160" s="12">
        <f t="shared" si="803"/>
        <v>0.59</v>
      </c>
    </row>
    <row r="5161" ht="30.0" customHeight="1">
      <c r="A5161" s="10" t="s">
        <v>2340</v>
      </c>
      <c r="B5161" s="10" t="s">
        <v>42</v>
      </c>
      <c r="C5161" s="10" t="s">
        <v>344</v>
      </c>
      <c r="D5161" s="10" t="s">
        <v>2341</v>
      </c>
      <c r="E5161" s="14">
        <v>0.6</v>
      </c>
      <c r="F5161" s="15">
        <f>ROUND(0.74,3)</f>
        <v>0.74</v>
      </c>
      <c r="G5161" s="12">
        <f t="shared" si="803"/>
        <v>0.44</v>
      </c>
    </row>
    <row r="5162" ht="30.0" customHeight="1">
      <c r="A5162" s="10" t="s">
        <v>2342</v>
      </c>
      <c r="B5162" s="10" t="s">
        <v>42</v>
      </c>
      <c r="C5162" s="10" t="s">
        <v>325</v>
      </c>
      <c r="D5162" s="10" t="s">
        <v>2343</v>
      </c>
      <c r="E5162" s="14">
        <v>0.02</v>
      </c>
      <c r="F5162" s="15">
        <f>ROUND(13.62,3)</f>
        <v>13.62</v>
      </c>
      <c r="G5162" s="12">
        <f t="shared" si="803"/>
        <v>0.27</v>
      </c>
    </row>
    <row r="5163" ht="30.0" customHeight="1">
      <c r="A5163" s="10" t="s">
        <v>2344</v>
      </c>
      <c r="B5163" s="10" t="s">
        <v>42</v>
      </c>
      <c r="C5163" s="10" t="s">
        <v>325</v>
      </c>
      <c r="D5163" s="10" t="s">
        <v>2345</v>
      </c>
      <c r="E5163" s="14">
        <v>0.02</v>
      </c>
      <c r="F5163" s="15">
        <f>ROUND(17.49,3)</f>
        <v>17.49</v>
      </c>
      <c r="G5163" s="12">
        <f t="shared" si="803"/>
        <v>0.35</v>
      </c>
    </row>
    <row r="5164" ht="30.0" customHeight="1">
      <c r="A5164" s="10" t="s">
        <v>2346</v>
      </c>
      <c r="B5164" s="10" t="s">
        <v>42</v>
      </c>
      <c r="C5164" s="10" t="s">
        <v>1997</v>
      </c>
      <c r="D5164" s="10" t="s">
        <v>2347</v>
      </c>
      <c r="E5164" s="14">
        <v>1.06667</v>
      </c>
      <c r="F5164" s="15">
        <f>ROUND(2.1,3)</f>
        <v>2.1</v>
      </c>
      <c r="G5164" s="12">
        <f t="shared" si="803"/>
        <v>2.24</v>
      </c>
    </row>
    <row r="5165" ht="30.0" customHeight="1">
      <c r="A5165" s="10" t="s">
        <v>2348</v>
      </c>
      <c r="B5165" s="10" t="s">
        <v>42</v>
      </c>
      <c r="C5165" s="10" t="s">
        <v>325</v>
      </c>
      <c r="D5165" s="10" t="s">
        <v>2349</v>
      </c>
      <c r="E5165" s="14">
        <v>0.005</v>
      </c>
      <c r="F5165" s="15">
        <f>ROUND(23.5,3)</f>
        <v>23.5</v>
      </c>
      <c r="G5165" s="12">
        <f t="shared" si="803"/>
        <v>0.12</v>
      </c>
    </row>
    <row r="5166" ht="30.0" customHeight="1">
      <c r="A5166" s="10" t="s">
        <v>2350</v>
      </c>
      <c r="B5166" s="10" t="s">
        <v>42</v>
      </c>
      <c r="C5166" s="10" t="s">
        <v>1881</v>
      </c>
      <c r="D5166" s="10" t="s">
        <v>2351</v>
      </c>
      <c r="E5166" s="14">
        <v>0.3819</v>
      </c>
      <c r="F5166" s="15">
        <f>ROUND(19.15,3)</f>
        <v>19.15</v>
      </c>
      <c r="G5166" s="12">
        <f t="shared" si="803"/>
        <v>7.31</v>
      </c>
    </row>
    <row r="5167" ht="21.0" customHeight="1">
      <c r="A5167" s="10" t="s">
        <v>2274</v>
      </c>
      <c r="B5167" s="10" t="s">
        <v>42</v>
      </c>
      <c r="C5167" s="10" t="s">
        <v>325</v>
      </c>
      <c r="D5167" s="10" t="s">
        <v>2275</v>
      </c>
      <c r="E5167" s="14">
        <v>0.02</v>
      </c>
      <c r="F5167" s="15">
        <f>ROUND(6.87,3)</f>
        <v>6.87</v>
      </c>
      <c r="G5167" s="12">
        <f t="shared" si="803"/>
        <v>0.14</v>
      </c>
    </row>
    <row r="5168" ht="39.75" customHeight="1">
      <c r="A5168" s="10" t="s">
        <v>2282</v>
      </c>
      <c r="B5168" s="10" t="s">
        <v>42</v>
      </c>
      <c r="C5168" s="10" t="s">
        <v>226</v>
      </c>
      <c r="D5168" s="10" t="s">
        <v>2283</v>
      </c>
      <c r="E5168" s="14">
        <v>0.01</v>
      </c>
      <c r="F5168" s="15">
        <f>ROUND(5.55,3)</f>
        <v>5.55</v>
      </c>
      <c r="G5168" s="12">
        <f t="shared" si="803"/>
        <v>0.06</v>
      </c>
    </row>
    <row r="5169" ht="30.0" customHeight="1">
      <c r="A5169" s="10" t="s">
        <v>2280</v>
      </c>
      <c r="B5169" s="10" t="s">
        <v>42</v>
      </c>
      <c r="C5169" s="10" t="s">
        <v>276</v>
      </c>
      <c r="D5169" s="10" t="s">
        <v>2281</v>
      </c>
      <c r="E5169" s="14">
        <v>0.02</v>
      </c>
      <c r="F5169" s="15">
        <f>ROUND(20.92,3)</f>
        <v>20.92</v>
      </c>
      <c r="G5169" s="12">
        <f t="shared" si="803"/>
        <v>0.42</v>
      </c>
    </row>
    <row r="5170" ht="21.0" customHeight="1">
      <c r="A5170" s="10" t="s">
        <v>969</v>
      </c>
      <c r="B5170" s="10" t="s">
        <v>112</v>
      </c>
      <c r="C5170" s="10" t="s">
        <v>23</v>
      </c>
      <c r="D5170" s="10" t="s">
        <v>970</v>
      </c>
      <c r="E5170" s="14">
        <v>0.1</v>
      </c>
      <c r="F5170" s="15">
        <f>ROUND(2,3)</f>
        <v>2</v>
      </c>
      <c r="G5170" s="12">
        <f t="shared" si="803"/>
        <v>0.2</v>
      </c>
    </row>
    <row r="5171" ht="21.0" customHeight="1">
      <c r="A5171" s="10" t="s">
        <v>22</v>
      </c>
      <c r="B5171" s="10" t="s">
        <v>18</v>
      </c>
      <c r="C5171" s="10" t="s">
        <v>23</v>
      </c>
      <c r="D5171" s="10" t="s">
        <v>24</v>
      </c>
      <c r="E5171" s="14">
        <v>0.6</v>
      </c>
      <c r="F5171" s="15">
        <f>F5175</f>
        <v>43.8</v>
      </c>
      <c r="G5171" s="12">
        <f t="shared" si="803"/>
        <v>26.28</v>
      </c>
    </row>
    <row r="5172" ht="24.0" customHeight="1">
      <c r="A5172" s="10" t="s">
        <v>25</v>
      </c>
      <c r="B5172" s="10" t="s">
        <v>26</v>
      </c>
      <c r="C5172" s="10" t="s">
        <v>23</v>
      </c>
      <c r="D5172" s="10" t="s">
        <v>27</v>
      </c>
      <c r="E5172" s="14">
        <v>1.0</v>
      </c>
      <c r="F5172" s="15">
        <f>ROUND(21,3)</f>
        <v>21</v>
      </c>
      <c r="G5172" s="12">
        <f t="shared" si="803"/>
        <v>21</v>
      </c>
    </row>
    <row r="5173" ht="24.0" customHeight="1">
      <c r="A5173" s="10" t="s">
        <v>28</v>
      </c>
      <c r="B5173" s="10" t="s">
        <v>26</v>
      </c>
      <c r="C5173" s="10" t="s">
        <v>23</v>
      </c>
      <c r="D5173" s="10" t="s">
        <v>29</v>
      </c>
      <c r="E5173" s="14">
        <v>1.0</v>
      </c>
      <c r="F5173" s="15">
        <f t="shared" ref="F5173:F5174" si="804">ROUND(19,3)</f>
        <v>19</v>
      </c>
      <c r="G5173" s="12">
        <f t="shared" si="803"/>
        <v>19</v>
      </c>
    </row>
    <row r="5174" ht="24.0" customHeight="1">
      <c r="A5174" s="10" t="s">
        <v>30</v>
      </c>
      <c r="B5174" s="10" t="s">
        <v>26</v>
      </c>
      <c r="C5174" s="10" t="s">
        <v>23</v>
      </c>
      <c r="D5174" s="10" t="s">
        <v>31</v>
      </c>
      <c r="E5174" s="14">
        <v>0.2</v>
      </c>
      <c r="F5174" s="15">
        <f t="shared" si="804"/>
        <v>19</v>
      </c>
      <c r="G5174" s="12">
        <f t="shared" si="803"/>
        <v>3.8</v>
      </c>
    </row>
    <row r="5175" ht="15.0" customHeight="1">
      <c r="A5175" s="11"/>
      <c r="B5175" s="11"/>
      <c r="C5175" s="11"/>
      <c r="D5175" s="10" t="s">
        <v>22</v>
      </c>
      <c r="E5175" s="14">
        <v>0.6</v>
      </c>
      <c r="F5175" s="15">
        <f>ROUND((G5172+G5173+G5174),3)</f>
        <v>43.8</v>
      </c>
      <c r="G5175" s="12">
        <f t="shared" si="803"/>
        <v>26.28</v>
      </c>
    </row>
    <row r="5176" ht="15.0" customHeight="1">
      <c r="A5176" s="10" t="s">
        <v>32</v>
      </c>
      <c r="B5176" s="10"/>
      <c r="C5176" s="10" t="s">
        <v>33</v>
      </c>
      <c r="D5176" s="10" t="s">
        <v>34</v>
      </c>
      <c r="E5176" s="14">
        <v>3.0</v>
      </c>
      <c r="F5176" s="15">
        <f>ROUND(26.28,3)</f>
        <v>26.28</v>
      </c>
      <c r="G5176" s="12">
        <f>ROUND((E5176*F5176)/100,2)</f>
        <v>0.79</v>
      </c>
    </row>
    <row r="5177" ht="15.0" customHeight="1">
      <c r="A5177" s="16"/>
      <c r="B5177" s="16"/>
      <c r="C5177" s="16"/>
      <c r="D5177" s="17" t="s">
        <v>2334</v>
      </c>
      <c r="E5177" s="16"/>
      <c r="F5177" s="18">
        <f>ROUND((G5158+G5159+G5160+G5161+G5162+G5163+G5164+G5165+G5166+G5167+G5168+G5169+G5170+G5171+G5176)*(1+G2/100),2)</f>
        <v>42.11</v>
      </c>
      <c r="G5177" s="16"/>
    </row>
    <row r="5178" ht="57.75" customHeight="1">
      <c r="A5178" s="19" t="s">
        <v>2352</v>
      </c>
      <c r="B5178" s="20" t="s">
        <v>18</v>
      </c>
      <c r="C5178" s="20" t="s">
        <v>351</v>
      </c>
      <c r="D5178" s="20" t="s">
        <v>2353</v>
      </c>
      <c r="E5178" s="21"/>
      <c r="F5178" s="22">
        <f>F5192</f>
        <v>50.75</v>
      </c>
      <c r="G5178" s="21"/>
    </row>
    <row r="5179" ht="30.0" customHeight="1">
      <c r="A5179" s="11"/>
      <c r="B5179" s="11"/>
      <c r="C5179" s="11"/>
      <c r="D5179" s="10" t="s">
        <v>2353</v>
      </c>
    </row>
    <row r="5180" ht="30.0" customHeight="1">
      <c r="A5180" s="10" t="s">
        <v>2354</v>
      </c>
      <c r="B5180" s="10" t="s">
        <v>42</v>
      </c>
      <c r="C5180" s="10" t="s">
        <v>1997</v>
      </c>
      <c r="D5180" s="10" t="s">
        <v>2355</v>
      </c>
      <c r="E5180" s="14">
        <v>0.33333</v>
      </c>
      <c r="F5180" s="15">
        <f>ROUND(1.32,3)</f>
        <v>1.32</v>
      </c>
      <c r="G5180" s="12">
        <f t="shared" ref="G5180:G5190" si="805">ROUND(E5180*F5180,2)</f>
        <v>0.44</v>
      </c>
    </row>
    <row r="5181" ht="30.0" customHeight="1">
      <c r="A5181" s="10" t="s">
        <v>2346</v>
      </c>
      <c r="B5181" s="10" t="s">
        <v>42</v>
      </c>
      <c r="C5181" s="10" t="s">
        <v>1997</v>
      </c>
      <c r="D5181" s="10" t="s">
        <v>2347</v>
      </c>
      <c r="E5181" s="14">
        <v>0.33333</v>
      </c>
      <c r="F5181" s="15">
        <f>ROUND(2.1,3)</f>
        <v>2.1</v>
      </c>
      <c r="G5181" s="12">
        <f t="shared" si="805"/>
        <v>0.7</v>
      </c>
    </row>
    <row r="5182" ht="30.0" customHeight="1">
      <c r="A5182" s="10" t="s">
        <v>2350</v>
      </c>
      <c r="B5182" s="10" t="s">
        <v>42</v>
      </c>
      <c r="C5182" s="10" t="s">
        <v>1881</v>
      </c>
      <c r="D5182" s="10" t="s">
        <v>2351</v>
      </c>
      <c r="E5182" s="14">
        <v>0.15</v>
      </c>
      <c r="F5182" s="15">
        <f>ROUND(19.15,3)</f>
        <v>19.15</v>
      </c>
      <c r="G5182" s="12">
        <f t="shared" si="805"/>
        <v>2.87</v>
      </c>
    </row>
    <row r="5183" ht="21.0" customHeight="1">
      <c r="A5183" s="10" t="s">
        <v>2274</v>
      </c>
      <c r="B5183" s="10" t="s">
        <v>42</v>
      </c>
      <c r="C5183" s="10" t="s">
        <v>325</v>
      </c>
      <c r="D5183" s="10" t="s">
        <v>2275</v>
      </c>
      <c r="E5183" s="14">
        <v>0.01</v>
      </c>
      <c r="F5183" s="15">
        <f>ROUND(6.87,3)</f>
        <v>6.87</v>
      </c>
      <c r="G5183" s="12">
        <f t="shared" si="805"/>
        <v>0.07</v>
      </c>
    </row>
    <row r="5184" ht="39.75" customHeight="1">
      <c r="A5184" s="10" t="s">
        <v>2282</v>
      </c>
      <c r="B5184" s="10" t="s">
        <v>42</v>
      </c>
      <c r="C5184" s="10" t="s">
        <v>226</v>
      </c>
      <c r="D5184" s="10" t="s">
        <v>2283</v>
      </c>
      <c r="E5184" s="14">
        <v>0.01666</v>
      </c>
      <c r="F5184" s="15">
        <f>ROUND(5.55,3)</f>
        <v>5.55</v>
      </c>
      <c r="G5184" s="12">
        <f t="shared" si="805"/>
        <v>0.09</v>
      </c>
    </row>
    <row r="5185" ht="30.0" customHeight="1">
      <c r="A5185" s="10" t="s">
        <v>2280</v>
      </c>
      <c r="B5185" s="10" t="s">
        <v>42</v>
      </c>
      <c r="C5185" s="10" t="s">
        <v>276</v>
      </c>
      <c r="D5185" s="10" t="s">
        <v>2281</v>
      </c>
      <c r="E5185" s="14">
        <v>0.028</v>
      </c>
      <c r="F5185" s="15">
        <f>ROUND(20.92,3)</f>
        <v>20.92</v>
      </c>
      <c r="G5185" s="12">
        <f t="shared" si="805"/>
        <v>0.59</v>
      </c>
    </row>
    <row r="5186" ht="21.0" customHeight="1">
      <c r="A5186" s="10" t="s">
        <v>22</v>
      </c>
      <c r="B5186" s="10" t="s">
        <v>18</v>
      </c>
      <c r="C5186" s="10" t="s">
        <v>23</v>
      </c>
      <c r="D5186" s="10" t="s">
        <v>24</v>
      </c>
      <c r="E5186" s="14">
        <v>1.0</v>
      </c>
      <c r="F5186" s="15">
        <f>F5190</f>
        <v>43.8</v>
      </c>
      <c r="G5186" s="12">
        <f t="shared" si="805"/>
        <v>43.8</v>
      </c>
    </row>
    <row r="5187" ht="24.0" customHeight="1">
      <c r="A5187" s="10" t="s">
        <v>25</v>
      </c>
      <c r="B5187" s="10" t="s">
        <v>26</v>
      </c>
      <c r="C5187" s="10" t="s">
        <v>23</v>
      </c>
      <c r="D5187" s="10" t="s">
        <v>27</v>
      </c>
      <c r="E5187" s="14">
        <v>1.0</v>
      </c>
      <c r="F5187" s="15">
        <f>ROUND(21,3)</f>
        <v>21</v>
      </c>
      <c r="G5187" s="12">
        <f t="shared" si="805"/>
        <v>21</v>
      </c>
    </row>
    <row r="5188" ht="24.0" customHeight="1">
      <c r="A5188" s="10" t="s">
        <v>28</v>
      </c>
      <c r="B5188" s="10" t="s">
        <v>26</v>
      </c>
      <c r="C5188" s="10" t="s">
        <v>23</v>
      </c>
      <c r="D5188" s="10" t="s">
        <v>29</v>
      </c>
      <c r="E5188" s="14">
        <v>1.0</v>
      </c>
      <c r="F5188" s="15">
        <f t="shared" ref="F5188:F5189" si="806">ROUND(19,3)</f>
        <v>19</v>
      </c>
      <c r="G5188" s="12">
        <f t="shared" si="805"/>
        <v>19</v>
      </c>
    </row>
    <row r="5189" ht="24.0" customHeight="1">
      <c r="A5189" s="10" t="s">
        <v>30</v>
      </c>
      <c r="B5189" s="10" t="s">
        <v>26</v>
      </c>
      <c r="C5189" s="10" t="s">
        <v>23</v>
      </c>
      <c r="D5189" s="10" t="s">
        <v>31</v>
      </c>
      <c r="E5189" s="14">
        <v>0.2</v>
      </c>
      <c r="F5189" s="15">
        <f t="shared" si="806"/>
        <v>19</v>
      </c>
      <c r="G5189" s="12">
        <f t="shared" si="805"/>
        <v>3.8</v>
      </c>
    </row>
    <row r="5190" ht="15.0" customHeight="1">
      <c r="A5190" s="11"/>
      <c r="B5190" s="11"/>
      <c r="C5190" s="11"/>
      <c r="D5190" s="10" t="s">
        <v>22</v>
      </c>
      <c r="E5190" s="14">
        <v>1.0</v>
      </c>
      <c r="F5190" s="15">
        <f>ROUND((G5187+G5188+G5189),3)</f>
        <v>43.8</v>
      </c>
      <c r="G5190" s="12">
        <f t="shared" si="805"/>
        <v>43.8</v>
      </c>
    </row>
    <row r="5191" ht="15.0" customHeight="1">
      <c r="A5191" s="10" t="s">
        <v>32</v>
      </c>
      <c r="B5191" s="10"/>
      <c r="C5191" s="10" t="s">
        <v>33</v>
      </c>
      <c r="D5191" s="10" t="s">
        <v>34</v>
      </c>
      <c r="E5191" s="14">
        <v>5.0</v>
      </c>
      <c r="F5191" s="15">
        <f>ROUND(43.8,3)</f>
        <v>43.8</v>
      </c>
      <c r="G5191" s="12">
        <f>ROUND((E5191*F5191)/100,2)</f>
        <v>2.19</v>
      </c>
    </row>
    <row r="5192" ht="15.0" customHeight="1">
      <c r="A5192" s="16"/>
      <c r="B5192" s="16"/>
      <c r="C5192" s="16"/>
      <c r="D5192" s="17" t="s">
        <v>2352</v>
      </c>
      <c r="E5192" s="16"/>
      <c r="F5192" s="18">
        <f>ROUND((G5180+G5181+G5182+G5183+G5184+G5185+G5186+G5191)*(1+G2/100),2)</f>
        <v>50.75</v>
      </c>
      <c r="G5192" s="16"/>
    </row>
    <row r="5193" ht="57.75" customHeight="1">
      <c r="A5193" s="19" t="s">
        <v>2356</v>
      </c>
      <c r="B5193" s="20" t="s">
        <v>18</v>
      </c>
      <c r="C5193" s="20" t="s">
        <v>19</v>
      </c>
      <c r="D5193" s="20" t="s">
        <v>2357</v>
      </c>
      <c r="E5193" s="21"/>
      <c r="F5193" s="22">
        <f>F5214</f>
        <v>43.71</v>
      </c>
      <c r="G5193" s="21"/>
    </row>
    <row r="5194" ht="12.0" customHeight="1">
      <c r="A5194" s="11"/>
      <c r="B5194" s="11"/>
      <c r="C5194" s="11"/>
      <c r="D5194" s="10" t="s">
        <v>2358</v>
      </c>
    </row>
    <row r="5195" ht="30.0" customHeight="1">
      <c r="A5195" s="10" t="s">
        <v>2336</v>
      </c>
      <c r="B5195" s="10" t="s">
        <v>42</v>
      </c>
      <c r="C5195" s="10" t="s">
        <v>1997</v>
      </c>
      <c r="D5195" s="10" t="s">
        <v>2337</v>
      </c>
      <c r="E5195" s="14">
        <v>0.33333</v>
      </c>
      <c r="F5195" s="15">
        <f>ROUND(2.37,3)</f>
        <v>2.37</v>
      </c>
      <c r="G5195" s="12">
        <f t="shared" ref="G5195:G5212" si="807">ROUND(E5195*F5195,2)</f>
        <v>0.79</v>
      </c>
    </row>
    <row r="5196" ht="21.0" customHeight="1">
      <c r="A5196" s="10" t="s">
        <v>2276</v>
      </c>
      <c r="B5196" s="10" t="s">
        <v>42</v>
      </c>
      <c r="C5196" s="10" t="s">
        <v>1939</v>
      </c>
      <c r="D5196" s="10" t="s">
        <v>2277</v>
      </c>
      <c r="E5196" s="14">
        <v>0.06667</v>
      </c>
      <c r="F5196" s="15">
        <f>ROUND(31.65,3)</f>
        <v>31.65</v>
      </c>
      <c r="G5196" s="12">
        <f t="shared" si="807"/>
        <v>2.11</v>
      </c>
    </row>
    <row r="5197" ht="21.0" customHeight="1">
      <c r="A5197" s="10" t="s">
        <v>2338</v>
      </c>
      <c r="B5197" s="10" t="s">
        <v>42</v>
      </c>
      <c r="C5197" s="10" t="s">
        <v>330</v>
      </c>
      <c r="D5197" s="10" t="s">
        <v>2339</v>
      </c>
      <c r="E5197" s="14">
        <v>0.2</v>
      </c>
      <c r="F5197" s="15">
        <f>ROUND(2.95,3)</f>
        <v>2.95</v>
      </c>
      <c r="G5197" s="12">
        <f t="shared" si="807"/>
        <v>0.59</v>
      </c>
    </row>
    <row r="5198" ht="30.0" customHeight="1">
      <c r="A5198" s="10" t="s">
        <v>2340</v>
      </c>
      <c r="B5198" s="10" t="s">
        <v>42</v>
      </c>
      <c r="C5198" s="10" t="s">
        <v>344</v>
      </c>
      <c r="D5198" s="10" t="s">
        <v>2341</v>
      </c>
      <c r="E5198" s="14">
        <v>0.6</v>
      </c>
      <c r="F5198" s="15">
        <f>ROUND(0.74,3)</f>
        <v>0.74</v>
      </c>
      <c r="G5198" s="12">
        <f t="shared" si="807"/>
        <v>0.44</v>
      </c>
    </row>
    <row r="5199" ht="30.0" customHeight="1">
      <c r="A5199" s="10" t="s">
        <v>2342</v>
      </c>
      <c r="B5199" s="10" t="s">
        <v>42</v>
      </c>
      <c r="C5199" s="10" t="s">
        <v>325</v>
      </c>
      <c r="D5199" s="10" t="s">
        <v>2343</v>
      </c>
      <c r="E5199" s="14">
        <v>0.02</v>
      </c>
      <c r="F5199" s="15">
        <f>ROUND(13.62,3)</f>
        <v>13.62</v>
      </c>
      <c r="G5199" s="12">
        <f t="shared" si="807"/>
        <v>0.27</v>
      </c>
    </row>
    <row r="5200" ht="30.0" customHeight="1">
      <c r="A5200" s="10" t="s">
        <v>2344</v>
      </c>
      <c r="B5200" s="10" t="s">
        <v>42</v>
      </c>
      <c r="C5200" s="10" t="s">
        <v>325</v>
      </c>
      <c r="D5200" s="10" t="s">
        <v>2345</v>
      </c>
      <c r="E5200" s="14">
        <v>0.02</v>
      </c>
      <c r="F5200" s="15">
        <f>ROUND(17.49,3)</f>
        <v>17.49</v>
      </c>
      <c r="G5200" s="12">
        <f t="shared" si="807"/>
        <v>0.35</v>
      </c>
    </row>
    <row r="5201" ht="30.0" customHeight="1">
      <c r="A5201" s="10" t="s">
        <v>2346</v>
      </c>
      <c r="B5201" s="10" t="s">
        <v>42</v>
      </c>
      <c r="C5201" s="10" t="s">
        <v>1997</v>
      </c>
      <c r="D5201" s="10" t="s">
        <v>2347</v>
      </c>
      <c r="E5201" s="14">
        <v>1.06667</v>
      </c>
      <c r="F5201" s="15">
        <f>ROUND(2.1,3)</f>
        <v>2.1</v>
      </c>
      <c r="G5201" s="12">
        <f t="shared" si="807"/>
        <v>2.24</v>
      </c>
    </row>
    <row r="5202" ht="30.0" customHeight="1">
      <c r="A5202" s="10" t="s">
        <v>2348</v>
      </c>
      <c r="B5202" s="10" t="s">
        <v>42</v>
      </c>
      <c r="C5202" s="10" t="s">
        <v>325</v>
      </c>
      <c r="D5202" s="10" t="s">
        <v>2349</v>
      </c>
      <c r="E5202" s="14">
        <v>0.005</v>
      </c>
      <c r="F5202" s="15">
        <f>ROUND(23.5,3)</f>
        <v>23.5</v>
      </c>
      <c r="G5202" s="12">
        <f t="shared" si="807"/>
        <v>0.12</v>
      </c>
    </row>
    <row r="5203" ht="30.0" customHeight="1">
      <c r="A5203" s="10" t="s">
        <v>2359</v>
      </c>
      <c r="B5203" s="10" t="s">
        <v>42</v>
      </c>
      <c r="C5203" s="10" t="s">
        <v>1881</v>
      </c>
      <c r="D5203" s="10" t="s">
        <v>2360</v>
      </c>
      <c r="E5203" s="14">
        <v>0.4</v>
      </c>
      <c r="F5203" s="15">
        <f>ROUND(20.97,3)</f>
        <v>20.97</v>
      </c>
      <c r="G5203" s="12">
        <f t="shared" si="807"/>
        <v>8.39</v>
      </c>
    </row>
    <row r="5204" ht="21.0" customHeight="1">
      <c r="A5204" s="10" t="s">
        <v>2274</v>
      </c>
      <c r="B5204" s="10" t="s">
        <v>42</v>
      </c>
      <c r="C5204" s="10" t="s">
        <v>325</v>
      </c>
      <c r="D5204" s="10" t="s">
        <v>2275</v>
      </c>
      <c r="E5204" s="14">
        <v>0.02</v>
      </c>
      <c r="F5204" s="15">
        <f>ROUND(6.87,3)</f>
        <v>6.87</v>
      </c>
      <c r="G5204" s="12">
        <f t="shared" si="807"/>
        <v>0.14</v>
      </c>
    </row>
    <row r="5205" ht="39.75" customHeight="1">
      <c r="A5205" s="10" t="s">
        <v>2282</v>
      </c>
      <c r="B5205" s="10" t="s">
        <v>42</v>
      </c>
      <c r="C5205" s="10" t="s">
        <v>226</v>
      </c>
      <c r="D5205" s="10" t="s">
        <v>2283</v>
      </c>
      <c r="E5205" s="14">
        <v>0.01</v>
      </c>
      <c r="F5205" s="15">
        <f>ROUND(5.55,3)</f>
        <v>5.55</v>
      </c>
      <c r="G5205" s="12">
        <f t="shared" si="807"/>
        <v>0.06</v>
      </c>
    </row>
    <row r="5206" ht="30.0" customHeight="1">
      <c r="A5206" s="10" t="s">
        <v>2280</v>
      </c>
      <c r="B5206" s="10" t="s">
        <v>42</v>
      </c>
      <c r="C5206" s="10" t="s">
        <v>276</v>
      </c>
      <c r="D5206" s="10" t="s">
        <v>2281</v>
      </c>
      <c r="E5206" s="14">
        <v>0.02</v>
      </c>
      <c r="F5206" s="15">
        <f>ROUND(20.92,3)</f>
        <v>20.92</v>
      </c>
      <c r="G5206" s="12">
        <f t="shared" si="807"/>
        <v>0.42</v>
      </c>
    </row>
    <row r="5207" ht="21.0" customHeight="1">
      <c r="A5207" s="10" t="s">
        <v>969</v>
      </c>
      <c r="B5207" s="10" t="s">
        <v>112</v>
      </c>
      <c r="C5207" s="10" t="s">
        <v>23</v>
      </c>
      <c r="D5207" s="10" t="s">
        <v>970</v>
      </c>
      <c r="E5207" s="14">
        <v>0.1</v>
      </c>
      <c r="F5207" s="15">
        <f>ROUND(2,3)</f>
        <v>2</v>
      </c>
      <c r="G5207" s="12">
        <f t="shared" si="807"/>
        <v>0.2</v>
      </c>
    </row>
    <row r="5208" ht="21.0" customHeight="1">
      <c r="A5208" s="10" t="s">
        <v>22</v>
      </c>
      <c r="B5208" s="10" t="s">
        <v>18</v>
      </c>
      <c r="C5208" s="10" t="s">
        <v>23</v>
      </c>
      <c r="D5208" s="10" t="s">
        <v>24</v>
      </c>
      <c r="E5208" s="14">
        <v>0.6</v>
      </c>
      <c r="F5208" s="15">
        <f>F5212</f>
        <v>43.8</v>
      </c>
      <c r="G5208" s="12">
        <f t="shared" si="807"/>
        <v>26.28</v>
      </c>
    </row>
    <row r="5209" ht="24.0" customHeight="1">
      <c r="A5209" s="10" t="s">
        <v>25</v>
      </c>
      <c r="B5209" s="10" t="s">
        <v>26</v>
      </c>
      <c r="C5209" s="10" t="s">
        <v>23</v>
      </c>
      <c r="D5209" s="10" t="s">
        <v>27</v>
      </c>
      <c r="E5209" s="14">
        <v>1.0</v>
      </c>
      <c r="F5209" s="15">
        <f>ROUND(21,3)</f>
        <v>21</v>
      </c>
      <c r="G5209" s="12">
        <f t="shared" si="807"/>
        <v>21</v>
      </c>
    </row>
    <row r="5210" ht="24.0" customHeight="1">
      <c r="A5210" s="10" t="s">
        <v>28</v>
      </c>
      <c r="B5210" s="10" t="s">
        <v>26</v>
      </c>
      <c r="C5210" s="10" t="s">
        <v>23</v>
      </c>
      <c r="D5210" s="10" t="s">
        <v>29</v>
      </c>
      <c r="E5210" s="14">
        <v>1.0</v>
      </c>
      <c r="F5210" s="15">
        <f t="shared" ref="F5210:F5211" si="808">ROUND(19,3)</f>
        <v>19</v>
      </c>
      <c r="G5210" s="12">
        <f t="shared" si="807"/>
        <v>19</v>
      </c>
    </row>
    <row r="5211" ht="24.0" customHeight="1">
      <c r="A5211" s="10" t="s">
        <v>30</v>
      </c>
      <c r="B5211" s="10" t="s">
        <v>26</v>
      </c>
      <c r="C5211" s="10" t="s">
        <v>23</v>
      </c>
      <c r="D5211" s="10" t="s">
        <v>31</v>
      </c>
      <c r="E5211" s="14">
        <v>0.2</v>
      </c>
      <c r="F5211" s="15">
        <f t="shared" si="808"/>
        <v>19</v>
      </c>
      <c r="G5211" s="12">
        <f t="shared" si="807"/>
        <v>3.8</v>
      </c>
    </row>
    <row r="5212" ht="15.0" customHeight="1">
      <c r="A5212" s="11"/>
      <c r="B5212" s="11"/>
      <c r="C5212" s="11"/>
      <c r="D5212" s="10" t="s">
        <v>22</v>
      </c>
      <c r="E5212" s="14">
        <v>0.6</v>
      </c>
      <c r="F5212" s="15">
        <f>ROUND((G5209+G5210+G5211),3)</f>
        <v>43.8</v>
      </c>
      <c r="G5212" s="12">
        <f t="shared" si="807"/>
        <v>26.28</v>
      </c>
    </row>
    <row r="5213" ht="15.0" customHeight="1">
      <c r="A5213" s="10" t="s">
        <v>32</v>
      </c>
      <c r="B5213" s="10"/>
      <c r="C5213" s="10" t="s">
        <v>33</v>
      </c>
      <c r="D5213" s="10" t="s">
        <v>34</v>
      </c>
      <c r="E5213" s="14">
        <v>5.0</v>
      </c>
      <c r="F5213" s="15">
        <f>ROUND(26.28,3)</f>
        <v>26.28</v>
      </c>
      <c r="G5213" s="12">
        <f>ROUND((E5213*F5213)/100,2)</f>
        <v>1.31</v>
      </c>
    </row>
    <row r="5214" ht="15.0" customHeight="1">
      <c r="A5214" s="16"/>
      <c r="B5214" s="16"/>
      <c r="C5214" s="16"/>
      <c r="D5214" s="17" t="s">
        <v>2356</v>
      </c>
      <c r="E5214" s="16"/>
      <c r="F5214" s="18">
        <f>ROUND((G5195+G5196+G5197+G5198+G5199+G5200+G5201+G5202+G5203+G5204+G5205+G5206+G5207+G5208+G5213)*(1+G2/100),2)</f>
        <v>43.71</v>
      </c>
      <c r="G5214" s="16"/>
    </row>
    <row r="5215" ht="76.5" customHeight="1">
      <c r="A5215" s="19" t="s">
        <v>2361</v>
      </c>
      <c r="B5215" s="20" t="s">
        <v>18</v>
      </c>
      <c r="C5215" s="20" t="s">
        <v>351</v>
      </c>
      <c r="D5215" s="20" t="s">
        <v>2362</v>
      </c>
      <c r="E5215" s="21"/>
      <c r="F5215" s="22">
        <f>F5229</f>
        <v>51.03</v>
      </c>
      <c r="G5215" s="21"/>
    </row>
    <row r="5216" ht="30.0" customHeight="1">
      <c r="A5216" s="11"/>
      <c r="B5216" s="11"/>
      <c r="C5216" s="11"/>
      <c r="D5216" s="10" t="s">
        <v>2362</v>
      </c>
    </row>
    <row r="5217" ht="30.0" customHeight="1">
      <c r="A5217" s="10" t="s">
        <v>2354</v>
      </c>
      <c r="B5217" s="10" t="s">
        <v>42</v>
      </c>
      <c r="C5217" s="10" t="s">
        <v>1997</v>
      </c>
      <c r="D5217" s="10" t="s">
        <v>2355</v>
      </c>
      <c r="E5217" s="14">
        <v>0.33333</v>
      </c>
      <c r="F5217" s="15">
        <f>ROUND(1.32,3)</f>
        <v>1.32</v>
      </c>
      <c r="G5217" s="12">
        <f t="shared" ref="G5217:G5227" si="809">ROUND(E5217*F5217,2)</f>
        <v>0.44</v>
      </c>
    </row>
    <row r="5218" ht="30.0" customHeight="1">
      <c r="A5218" s="10" t="s">
        <v>2346</v>
      </c>
      <c r="B5218" s="10" t="s">
        <v>42</v>
      </c>
      <c r="C5218" s="10" t="s">
        <v>1997</v>
      </c>
      <c r="D5218" s="10" t="s">
        <v>2347</v>
      </c>
      <c r="E5218" s="14">
        <v>0.33333</v>
      </c>
      <c r="F5218" s="15">
        <f>ROUND(2.1,3)</f>
        <v>2.1</v>
      </c>
      <c r="G5218" s="12">
        <f t="shared" si="809"/>
        <v>0.7</v>
      </c>
    </row>
    <row r="5219" ht="30.0" customHeight="1">
      <c r="A5219" s="10" t="s">
        <v>2359</v>
      </c>
      <c r="B5219" s="10" t="s">
        <v>42</v>
      </c>
      <c r="C5219" s="10" t="s">
        <v>1881</v>
      </c>
      <c r="D5219" s="10" t="s">
        <v>2360</v>
      </c>
      <c r="E5219" s="14">
        <v>0.15</v>
      </c>
      <c r="F5219" s="15">
        <f>ROUND(20.97,3)</f>
        <v>20.97</v>
      </c>
      <c r="G5219" s="12">
        <f t="shared" si="809"/>
        <v>3.15</v>
      </c>
    </row>
    <row r="5220" ht="21.0" customHeight="1">
      <c r="A5220" s="10" t="s">
        <v>2274</v>
      </c>
      <c r="B5220" s="10" t="s">
        <v>42</v>
      </c>
      <c r="C5220" s="10" t="s">
        <v>325</v>
      </c>
      <c r="D5220" s="10" t="s">
        <v>2275</v>
      </c>
      <c r="E5220" s="14">
        <v>0.01</v>
      </c>
      <c r="F5220" s="15">
        <f>ROUND(6.87,3)</f>
        <v>6.87</v>
      </c>
      <c r="G5220" s="12">
        <f t="shared" si="809"/>
        <v>0.07</v>
      </c>
    </row>
    <row r="5221" ht="39.75" customHeight="1">
      <c r="A5221" s="10" t="s">
        <v>2282</v>
      </c>
      <c r="B5221" s="10" t="s">
        <v>42</v>
      </c>
      <c r="C5221" s="10" t="s">
        <v>226</v>
      </c>
      <c r="D5221" s="10" t="s">
        <v>2283</v>
      </c>
      <c r="E5221" s="14">
        <v>0.01666</v>
      </c>
      <c r="F5221" s="15">
        <f>ROUND(5.55,3)</f>
        <v>5.55</v>
      </c>
      <c r="G5221" s="12">
        <f t="shared" si="809"/>
        <v>0.09</v>
      </c>
    </row>
    <row r="5222" ht="30.0" customHeight="1">
      <c r="A5222" s="10" t="s">
        <v>2280</v>
      </c>
      <c r="B5222" s="10" t="s">
        <v>42</v>
      </c>
      <c r="C5222" s="10" t="s">
        <v>276</v>
      </c>
      <c r="D5222" s="10" t="s">
        <v>2281</v>
      </c>
      <c r="E5222" s="14">
        <v>0.028</v>
      </c>
      <c r="F5222" s="15">
        <f>ROUND(20.92,3)</f>
        <v>20.92</v>
      </c>
      <c r="G5222" s="12">
        <f t="shared" si="809"/>
        <v>0.59</v>
      </c>
    </row>
    <row r="5223" ht="21.0" customHeight="1">
      <c r="A5223" s="10" t="s">
        <v>22</v>
      </c>
      <c r="B5223" s="10" t="s">
        <v>18</v>
      </c>
      <c r="C5223" s="10" t="s">
        <v>23</v>
      </c>
      <c r="D5223" s="10" t="s">
        <v>24</v>
      </c>
      <c r="E5223" s="14">
        <v>1.0</v>
      </c>
      <c r="F5223" s="15">
        <f>F5227</f>
        <v>43.8</v>
      </c>
      <c r="G5223" s="12">
        <f t="shared" si="809"/>
        <v>43.8</v>
      </c>
    </row>
    <row r="5224" ht="24.0" customHeight="1">
      <c r="A5224" s="10" t="s">
        <v>25</v>
      </c>
      <c r="B5224" s="10" t="s">
        <v>26</v>
      </c>
      <c r="C5224" s="10" t="s">
        <v>23</v>
      </c>
      <c r="D5224" s="10" t="s">
        <v>27</v>
      </c>
      <c r="E5224" s="14">
        <v>1.0</v>
      </c>
      <c r="F5224" s="15">
        <f>ROUND(21,3)</f>
        <v>21</v>
      </c>
      <c r="G5224" s="12">
        <f t="shared" si="809"/>
        <v>21</v>
      </c>
    </row>
    <row r="5225" ht="24.0" customHeight="1">
      <c r="A5225" s="10" t="s">
        <v>28</v>
      </c>
      <c r="B5225" s="10" t="s">
        <v>26</v>
      </c>
      <c r="C5225" s="10" t="s">
        <v>23</v>
      </c>
      <c r="D5225" s="10" t="s">
        <v>29</v>
      </c>
      <c r="E5225" s="14">
        <v>1.0</v>
      </c>
      <c r="F5225" s="15">
        <f t="shared" ref="F5225:F5226" si="810">ROUND(19,3)</f>
        <v>19</v>
      </c>
      <c r="G5225" s="12">
        <f t="shared" si="809"/>
        <v>19</v>
      </c>
    </row>
    <row r="5226" ht="24.0" customHeight="1">
      <c r="A5226" s="10" t="s">
        <v>30</v>
      </c>
      <c r="B5226" s="10" t="s">
        <v>26</v>
      </c>
      <c r="C5226" s="10" t="s">
        <v>23</v>
      </c>
      <c r="D5226" s="10" t="s">
        <v>31</v>
      </c>
      <c r="E5226" s="14">
        <v>0.2</v>
      </c>
      <c r="F5226" s="15">
        <f t="shared" si="810"/>
        <v>19</v>
      </c>
      <c r="G5226" s="12">
        <f t="shared" si="809"/>
        <v>3.8</v>
      </c>
    </row>
    <row r="5227" ht="15.0" customHeight="1">
      <c r="A5227" s="11"/>
      <c r="B5227" s="11"/>
      <c r="C5227" s="11"/>
      <c r="D5227" s="10" t="s">
        <v>22</v>
      </c>
      <c r="E5227" s="14">
        <v>1.0</v>
      </c>
      <c r="F5227" s="15">
        <f>ROUND((G5224+G5225+G5226),3)</f>
        <v>43.8</v>
      </c>
      <c r="G5227" s="12">
        <f t="shared" si="809"/>
        <v>43.8</v>
      </c>
    </row>
    <row r="5228" ht="15.0" customHeight="1">
      <c r="A5228" s="10" t="s">
        <v>32</v>
      </c>
      <c r="B5228" s="10"/>
      <c r="C5228" s="10" t="s">
        <v>33</v>
      </c>
      <c r="D5228" s="10" t="s">
        <v>34</v>
      </c>
      <c r="E5228" s="14">
        <v>5.0</v>
      </c>
      <c r="F5228" s="15">
        <f>ROUND(43.8,3)</f>
        <v>43.8</v>
      </c>
      <c r="G5228" s="12">
        <f>ROUND((E5228*F5228)/100,2)</f>
        <v>2.19</v>
      </c>
    </row>
    <row r="5229" ht="15.0" customHeight="1">
      <c r="A5229" s="16"/>
      <c r="B5229" s="16"/>
      <c r="C5229" s="16"/>
      <c r="D5229" s="17" t="s">
        <v>2361</v>
      </c>
      <c r="E5229" s="16"/>
      <c r="F5229" s="18">
        <f>ROUND((G5217+G5218+G5219+G5220+G5221+G5222+G5223+G5228)*(1+G2/100),2)</f>
        <v>51.03</v>
      </c>
      <c r="G5229" s="16"/>
    </row>
    <row r="5230" ht="30.0" customHeight="1">
      <c r="A5230" s="19" t="s">
        <v>2363</v>
      </c>
      <c r="B5230" s="20" t="s">
        <v>18</v>
      </c>
      <c r="C5230" s="20" t="s">
        <v>19</v>
      </c>
      <c r="D5230" s="20" t="s">
        <v>2364</v>
      </c>
      <c r="E5230" s="21"/>
      <c r="F5230" s="22">
        <f>F5251</f>
        <v>39.38</v>
      </c>
      <c r="G5230" s="21"/>
    </row>
    <row r="5231" ht="12.0" customHeight="1">
      <c r="A5231" s="11"/>
      <c r="B5231" s="11"/>
      <c r="C5231" s="11"/>
      <c r="D5231" s="10" t="s">
        <v>2364</v>
      </c>
    </row>
    <row r="5232" ht="30.0" customHeight="1">
      <c r="A5232" s="10" t="s">
        <v>2336</v>
      </c>
      <c r="B5232" s="10" t="s">
        <v>42</v>
      </c>
      <c r="C5232" s="10" t="s">
        <v>1997</v>
      </c>
      <c r="D5232" s="10" t="s">
        <v>2337</v>
      </c>
      <c r="E5232" s="14">
        <v>0.33333</v>
      </c>
      <c r="F5232" s="15">
        <f>ROUND(2.37,3)</f>
        <v>2.37</v>
      </c>
      <c r="G5232" s="12">
        <f t="shared" ref="G5232:G5249" si="811">ROUND(E5232*F5232,2)</f>
        <v>0.79</v>
      </c>
    </row>
    <row r="5233" ht="21.0" customHeight="1">
      <c r="A5233" s="10" t="s">
        <v>2276</v>
      </c>
      <c r="B5233" s="10" t="s">
        <v>42</v>
      </c>
      <c r="C5233" s="10" t="s">
        <v>1939</v>
      </c>
      <c r="D5233" s="10" t="s">
        <v>2277</v>
      </c>
      <c r="E5233" s="14">
        <v>0.06667</v>
      </c>
      <c r="F5233" s="15">
        <f>ROUND(31.65,3)</f>
        <v>31.65</v>
      </c>
      <c r="G5233" s="12">
        <f t="shared" si="811"/>
        <v>2.11</v>
      </c>
    </row>
    <row r="5234" ht="21.0" customHeight="1">
      <c r="A5234" s="10" t="s">
        <v>2338</v>
      </c>
      <c r="B5234" s="10" t="s">
        <v>42</v>
      </c>
      <c r="C5234" s="10" t="s">
        <v>330</v>
      </c>
      <c r="D5234" s="10" t="s">
        <v>2339</v>
      </c>
      <c r="E5234" s="14">
        <v>0.2</v>
      </c>
      <c r="F5234" s="15">
        <f>ROUND(2.95,3)</f>
        <v>2.95</v>
      </c>
      <c r="G5234" s="12">
        <f t="shared" si="811"/>
        <v>0.59</v>
      </c>
    </row>
    <row r="5235" ht="30.0" customHeight="1">
      <c r="A5235" s="10" t="s">
        <v>2340</v>
      </c>
      <c r="B5235" s="10" t="s">
        <v>42</v>
      </c>
      <c r="C5235" s="10" t="s">
        <v>344</v>
      </c>
      <c r="D5235" s="10" t="s">
        <v>2341</v>
      </c>
      <c r="E5235" s="14">
        <v>0.6</v>
      </c>
      <c r="F5235" s="15">
        <f>ROUND(0.74,3)</f>
        <v>0.74</v>
      </c>
      <c r="G5235" s="12">
        <f t="shared" si="811"/>
        <v>0.44</v>
      </c>
    </row>
    <row r="5236" ht="30.0" customHeight="1">
      <c r="A5236" s="10" t="s">
        <v>2342</v>
      </c>
      <c r="B5236" s="10" t="s">
        <v>42</v>
      </c>
      <c r="C5236" s="10" t="s">
        <v>325</v>
      </c>
      <c r="D5236" s="10" t="s">
        <v>2343</v>
      </c>
      <c r="E5236" s="14">
        <v>0.02</v>
      </c>
      <c r="F5236" s="15">
        <f>ROUND(13.62,3)</f>
        <v>13.62</v>
      </c>
      <c r="G5236" s="12">
        <f t="shared" si="811"/>
        <v>0.27</v>
      </c>
    </row>
    <row r="5237" ht="30.0" customHeight="1">
      <c r="A5237" s="10" t="s">
        <v>2344</v>
      </c>
      <c r="B5237" s="10" t="s">
        <v>42</v>
      </c>
      <c r="C5237" s="10" t="s">
        <v>325</v>
      </c>
      <c r="D5237" s="10" t="s">
        <v>2345</v>
      </c>
      <c r="E5237" s="14">
        <v>0.02</v>
      </c>
      <c r="F5237" s="15">
        <f>ROUND(17.49,3)</f>
        <v>17.49</v>
      </c>
      <c r="G5237" s="12">
        <f t="shared" si="811"/>
        <v>0.35</v>
      </c>
    </row>
    <row r="5238" ht="30.0" customHeight="1">
      <c r="A5238" s="10" t="s">
        <v>2346</v>
      </c>
      <c r="B5238" s="10" t="s">
        <v>42</v>
      </c>
      <c r="C5238" s="10" t="s">
        <v>1997</v>
      </c>
      <c r="D5238" s="10" t="s">
        <v>2347</v>
      </c>
      <c r="E5238" s="14">
        <v>1.06667</v>
      </c>
      <c r="F5238" s="15">
        <f>ROUND(2.1,3)</f>
        <v>2.1</v>
      </c>
      <c r="G5238" s="12">
        <f t="shared" si="811"/>
        <v>2.24</v>
      </c>
    </row>
    <row r="5239" ht="30.0" customHeight="1">
      <c r="A5239" s="10" t="s">
        <v>2348</v>
      </c>
      <c r="B5239" s="10" t="s">
        <v>42</v>
      </c>
      <c r="C5239" s="10" t="s">
        <v>325</v>
      </c>
      <c r="D5239" s="10" t="s">
        <v>2349</v>
      </c>
      <c r="E5239" s="14">
        <v>0.005</v>
      </c>
      <c r="F5239" s="15">
        <f>ROUND(23.5,3)</f>
        <v>23.5</v>
      </c>
      <c r="G5239" s="12">
        <f t="shared" si="811"/>
        <v>0.12</v>
      </c>
    </row>
    <row r="5240" ht="30.0" customHeight="1">
      <c r="A5240" s="10" t="s">
        <v>2365</v>
      </c>
      <c r="B5240" s="10" t="s">
        <v>42</v>
      </c>
      <c r="C5240" s="10" t="s">
        <v>1881</v>
      </c>
      <c r="D5240" s="10" t="s">
        <v>2366</v>
      </c>
      <c r="E5240" s="14">
        <v>0.3819</v>
      </c>
      <c r="F5240" s="15">
        <f>ROUND(10.62,3)</f>
        <v>10.62</v>
      </c>
      <c r="G5240" s="12">
        <f t="shared" si="811"/>
        <v>4.06</v>
      </c>
    </row>
    <row r="5241" ht="21.0" customHeight="1">
      <c r="A5241" s="10" t="s">
        <v>2274</v>
      </c>
      <c r="B5241" s="10" t="s">
        <v>42</v>
      </c>
      <c r="C5241" s="10" t="s">
        <v>325</v>
      </c>
      <c r="D5241" s="10" t="s">
        <v>2275</v>
      </c>
      <c r="E5241" s="14">
        <v>0.02</v>
      </c>
      <c r="F5241" s="15">
        <f>ROUND(6.87,3)</f>
        <v>6.87</v>
      </c>
      <c r="G5241" s="12">
        <f t="shared" si="811"/>
        <v>0.14</v>
      </c>
    </row>
    <row r="5242" ht="39.75" customHeight="1">
      <c r="A5242" s="10" t="s">
        <v>2282</v>
      </c>
      <c r="B5242" s="10" t="s">
        <v>42</v>
      </c>
      <c r="C5242" s="10" t="s">
        <v>226</v>
      </c>
      <c r="D5242" s="10" t="s">
        <v>2283</v>
      </c>
      <c r="E5242" s="14">
        <v>0.01</v>
      </c>
      <c r="F5242" s="15">
        <f>ROUND(5.55,3)</f>
        <v>5.55</v>
      </c>
      <c r="G5242" s="12">
        <f t="shared" si="811"/>
        <v>0.06</v>
      </c>
    </row>
    <row r="5243" ht="30.0" customHeight="1">
      <c r="A5243" s="10" t="s">
        <v>2280</v>
      </c>
      <c r="B5243" s="10" t="s">
        <v>42</v>
      </c>
      <c r="C5243" s="10" t="s">
        <v>276</v>
      </c>
      <c r="D5243" s="10" t="s">
        <v>2281</v>
      </c>
      <c r="E5243" s="14">
        <v>0.02</v>
      </c>
      <c r="F5243" s="15">
        <f>ROUND(20.92,3)</f>
        <v>20.92</v>
      </c>
      <c r="G5243" s="12">
        <f t="shared" si="811"/>
        <v>0.42</v>
      </c>
    </row>
    <row r="5244" ht="21.0" customHeight="1">
      <c r="A5244" s="10" t="s">
        <v>969</v>
      </c>
      <c r="B5244" s="10" t="s">
        <v>112</v>
      </c>
      <c r="C5244" s="10" t="s">
        <v>23</v>
      </c>
      <c r="D5244" s="10" t="s">
        <v>970</v>
      </c>
      <c r="E5244" s="14">
        <v>0.1</v>
      </c>
      <c r="F5244" s="15">
        <f>ROUND(2,3)</f>
        <v>2</v>
      </c>
      <c r="G5244" s="12">
        <f t="shared" si="811"/>
        <v>0.2</v>
      </c>
    </row>
    <row r="5245" ht="21.0" customHeight="1">
      <c r="A5245" s="10" t="s">
        <v>22</v>
      </c>
      <c r="B5245" s="10" t="s">
        <v>18</v>
      </c>
      <c r="C5245" s="10" t="s">
        <v>23</v>
      </c>
      <c r="D5245" s="10" t="s">
        <v>24</v>
      </c>
      <c r="E5245" s="14">
        <v>0.6</v>
      </c>
      <c r="F5245" s="15">
        <f>F5249</f>
        <v>43.8</v>
      </c>
      <c r="G5245" s="12">
        <f t="shared" si="811"/>
        <v>26.28</v>
      </c>
    </row>
    <row r="5246" ht="24.0" customHeight="1">
      <c r="A5246" s="10" t="s">
        <v>25</v>
      </c>
      <c r="B5246" s="10" t="s">
        <v>26</v>
      </c>
      <c r="C5246" s="10" t="s">
        <v>23</v>
      </c>
      <c r="D5246" s="10" t="s">
        <v>27</v>
      </c>
      <c r="E5246" s="14">
        <v>1.0</v>
      </c>
      <c r="F5246" s="15">
        <f>ROUND(21,3)</f>
        <v>21</v>
      </c>
      <c r="G5246" s="12">
        <f t="shared" si="811"/>
        <v>21</v>
      </c>
    </row>
    <row r="5247" ht="24.0" customHeight="1">
      <c r="A5247" s="10" t="s">
        <v>28</v>
      </c>
      <c r="B5247" s="10" t="s">
        <v>26</v>
      </c>
      <c r="C5247" s="10" t="s">
        <v>23</v>
      </c>
      <c r="D5247" s="10" t="s">
        <v>29</v>
      </c>
      <c r="E5247" s="14">
        <v>1.0</v>
      </c>
      <c r="F5247" s="15">
        <f t="shared" ref="F5247:F5248" si="812">ROUND(19,3)</f>
        <v>19</v>
      </c>
      <c r="G5247" s="12">
        <f t="shared" si="811"/>
        <v>19</v>
      </c>
    </row>
    <row r="5248" ht="24.0" customHeight="1">
      <c r="A5248" s="10" t="s">
        <v>30</v>
      </c>
      <c r="B5248" s="10" t="s">
        <v>26</v>
      </c>
      <c r="C5248" s="10" t="s">
        <v>23</v>
      </c>
      <c r="D5248" s="10" t="s">
        <v>31</v>
      </c>
      <c r="E5248" s="14">
        <v>0.2</v>
      </c>
      <c r="F5248" s="15">
        <f t="shared" si="812"/>
        <v>19</v>
      </c>
      <c r="G5248" s="12">
        <f t="shared" si="811"/>
        <v>3.8</v>
      </c>
    </row>
    <row r="5249" ht="15.0" customHeight="1">
      <c r="A5249" s="11"/>
      <c r="B5249" s="11"/>
      <c r="C5249" s="11"/>
      <c r="D5249" s="10" t="s">
        <v>22</v>
      </c>
      <c r="E5249" s="14">
        <v>0.6</v>
      </c>
      <c r="F5249" s="15">
        <f>ROUND((G5246+G5247+G5248),3)</f>
        <v>43.8</v>
      </c>
      <c r="G5249" s="12">
        <f t="shared" si="811"/>
        <v>26.28</v>
      </c>
    </row>
    <row r="5250" ht="15.0" customHeight="1">
      <c r="A5250" s="10" t="s">
        <v>32</v>
      </c>
      <c r="B5250" s="10"/>
      <c r="C5250" s="10" t="s">
        <v>33</v>
      </c>
      <c r="D5250" s="10" t="s">
        <v>34</v>
      </c>
      <c r="E5250" s="14">
        <v>5.0</v>
      </c>
      <c r="F5250" s="15">
        <f>ROUND(26.28,3)</f>
        <v>26.28</v>
      </c>
      <c r="G5250" s="12">
        <f>ROUND((E5250*F5250)/100,2)</f>
        <v>1.31</v>
      </c>
    </row>
    <row r="5251" ht="15.0" customHeight="1">
      <c r="A5251" s="16"/>
      <c r="B5251" s="16"/>
      <c r="C5251" s="16"/>
      <c r="D5251" s="17" t="s">
        <v>2363</v>
      </c>
      <c r="E5251" s="16"/>
      <c r="F5251" s="18">
        <f>ROUND((G5232+G5233+G5234+G5235+G5236+G5237+G5238+G5239+G5240+G5241+G5242+G5243+G5244+G5245+G5250)*(1+G2/100),2)</f>
        <v>39.38</v>
      </c>
      <c r="G5251" s="16"/>
    </row>
    <row r="5252" ht="57.75" customHeight="1">
      <c r="A5252" s="19" t="s">
        <v>2367</v>
      </c>
      <c r="B5252" s="20" t="s">
        <v>18</v>
      </c>
      <c r="C5252" s="20" t="s">
        <v>351</v>
      </c>
      <c r="D5252" s="20" t="s">
        <v>2368</v>
      </c>
      <c r="E5252" s="21"/>
      <c r="F5252" s="22">
        <f>F5266</f>
        <v>49.47</v>
      </c>
      <c r="G5252" s="21"/>
    </row>
    <row r="5253" ht="21.0" customHeight="1">
      <c r="A5253" s="11"/>
      <c r="B5253" s="11"/>
      <c r="C5253" s="11"/>
      <c r="D5253" s="10" t="s">
        <v>2368</v>
      </c>
    </row>
    <row r="5254" ht="30.0" customHeight="1">
      <c r="A5254" s="10" t="s">
        <v>2354</v>
      </c>
      <c r="B5254" s="10" t="s">
        <v>42</v>
      </c>
      <c r="C5254" s="10" t="s">
        <v>1997</v>
      </c>
      <c r="D5254" s="10" t="s">
        <v>2355</v>
      </c>
      <c r="E5254" s="14">
        <v>0.33333</v>
      </c>
      <c r="F5254" s="15">
        <f>ROUND(1.32,3)</f>
        <v>1.32</v>
      </c>
      <c r="G5254" s="12">
        <f t="shared" ref="G5254:G5264" si="813">ROUND(E5254*F5254,2)</f>
        <v>0.44</v>
      </c>
    </row>
    <row r="5255" ht="30.0" customHeight="1">
      <c r="A5255" s="10" t="s">
        <v>2346</v>
      </c>
      <c r="B5255" s="10" t="s">
        <v>42</v>
      </c>
      <c r="C5255" s="10" t="s">
        <v>1997</v>
      </c>
      <c r="D5255" s="10" t="s">
        <v>2347</v>
      </c>
      <c r="E5255" s="14">
        <v>0.33333</v>
      </c>
      <c r="F5255" s="15">
        <f>ROUND(2.1,3)</f>
        <v>2.1</v>
      </c>
      <c r="G5255" s="12">
        <f t="shared" si="813"/>
        <v>0.7</v>
      </c>
    </row>
    <row r="5256" ht="30.0" customHeight="1">
      <c r="A5256" s="10" t="s">
        <v>2365</v>
      </c>
      <c r="B5256" s="10" t="s">
        <v>42</v>
      </c>
      <c r="C5256" s="10" t="s">
        <v>1881</v>
      </c>
      <c r="D5256" s="10" t="s">
        <v>2366</v>
      </c>
      <c r="E5256" s="14">
        <v>0.15</v>
      </c>
      <c r="F5256" s="15">
        <f>ROUND(10.62,3)</f>
        <v>10.62</v>
      </c>
      <c r="G5256" s="12">
        <f t="shared" si="813"/>
        <v>1.59</v>
      </c>
    </row>
    <row r="5257" ht="21.0" customHeight="1">
      <c r="A5257" s="10" t="s">
        <v>2274</v>
      </c>
      <c r="B5257" s="10" t="s">
        <v>42</v>
      </c>
      <c r="C5257" s="10" t="s">
        <v>325</v>
      </c>
      <c r="D5257" s="10" t="s">
        <v>2275</v>
      </c>
      <c r="E5257" s="14">
        <v>0.01</v>
      </c>
      <c r="F5257" s="15">
        <f>ROUND(6.87,3)</f>
        <v>6.87</v>
      </c>
      <c r="G5257" s="12">
        <f t="shared" si="813"/>
        <v>0.07</v>
      </c>
    </row>
    <row r="5258" ht="39.75" customHeight="1">
      <c r="A5258" s="10" t="s">
        <v>2282</v>
      </c>
      <c r="B5258" s="10" t="s">
        <v>42</v>
      </c>
      <c r="C5258" s="10" t="s">
        <v>226</v>
      </c>
      <c r="D5258" s="10" t="s">
        <v>2283</v>
      </c>
      <c r="E5258" s="14">
        <v>0.01666</v>
      </c>
      <c r="F5258" s="15">
        <f>ROUND(5.55,3)</f>
        <v>5.55</v>
      </c>
      <c r="G5258" s="12">
        <f t="shared" si="813"/>
        <v>0.09</v>
      </c>
    </row>
    <row r="5259" ht="30.0" customHeight="1">
      <c r="A5259" s="10" t="s">
        <v>2280</v>
      </c>
      <c r="B5259" s="10" t="s">
        <v>42</v>
      </c>
      <c r="C5259" s="10" t="s">
        <v>276</v>
      </c>
      <c r="D5259" s="10" t="s">
        <v>2281</v>
      </c>
      <c r="E5259" s="14">
        <v>0.028</v>
      </c>
      <c r="F5259" s="15">
        <f>ROUND(20.92,3)</f>
        <v>20.92</v>
      </c>
      <c r="G5259" s="12">
        <f t="shared" si="813"/>
        <v>0.59</v>
      </c>
    </row>
    <row r="5260" ht="21.0" customHeight="1">
      <c r="A5260" s="10" t="s">
        <v>22</v>
      </c>
      <c r="B5260" s="10" t="s">
        <v>18</v>
      </c>
      <c r="C5260" s="10" t="s">
        <v>23</v>
      </c>
      <c r="D5260" s="10" t="s">
        <v>24</v>
      </c>
      <c r="E5260" s="14">
        <v>1.0</v>
      </c>
      <c r="F5260" s="15">
        <f>F5264</f>
        <v>43.8</v>
      </c>
      <c r="G5260" s="12">
        <f t="shared" si="813"/>
        <v>43.8</v>
      </c>
    </row>
    <row r="5261" ht="24.0" customHeight="1">
      <c r="A5261" s="10" t="s">
        <v>25</v>
      </c>
      <c r="B5261" s="10" t="s">
        <v>26</v>
      </c>
      <c r="C5261" s="10" t="s">
        <v>23</v>
      </c>
      <c r="D5261" s="10" t="s">
        <v>27</v>
      </c>
      <c r="E5261" s="14">
        <v>1.0</v>
      </c>
      <c r="F5261" s="15">
        <f>ROUND(21,3)</f>
        <v>21</v>
      </c>
      <c r="G5261" s="12">
        <f t="shared" si="813"/>
        <v>21</v>
      </c>
    </row>
    <row r="5262" ht="24.0" customHeight="1">
      <c r="A5262" s="10" t="s">
        <v>28</v>
      </c>
      <c r="B5262" s="10" t="s">
        <v>26</v>
      </c>
      <c r="C5262" s="10" t="s">
        <v>23</v>
      </c>
      <c r="D5262" s="10" t="s">
        <v>29</v>
      </c>
      <c r="E5262" s="14">
        <v>1.0</v>
      </c>
      <c r="F5262" s="15">
        <f t="shared" ref="F5262:F5263" si="814">ROUND(19,3)</f>
        <v>19</v>
      </c>
      <c r="G5262" s="12">
        <f t="shared" si="813"/>
        <v>19</v>
      </c>
    </row>
    <row r="5263" ht="24.0" customHeight="1">
      <c r="A5263" s="10" t="s">
        <v>30</v>
      </c>
      <c r="B5263" s="10" t="s">
        <v>26</v>
      </c>
      <c r="C5263" s="10" t="s">
        <v>23</v>
      </c>
      <c r="D5263" s="10" t="s">
        <v>31</v>
      </c>
      <c r="E5263" s="14">
        <v>0.2</v>
      </c>
      <c r="F5263" s="15">
        <f t="shared" si="814"/>
        <v>19</v>
      </c>
      <c r="G5263" s="12">
        <f t="shared" si="813"/>
        <v>3.8</v>
      </c>
    </row>
    <row r="5264" ht="15.0" customHeight="1">
      <c r="A5264" s="11"/>
      <c r="B5264" s="11"/>
      <c r="C5264" s="11"/>
      <c r="D5264" s="10" t="s">
        <v>22</v>
      </c>
      <c r="E5264" s="14">
        <v>1.0</v>
      </c>
      <c r="F5264" s="15">
        <f>ROUND((G5261+G5262+G5263),3)</f>
        <v>43.8</v>
      </c>
      <c r="G5264" s="12">
        <f t="shared" si="813"/>
        <v>43.8</v>
      </c>
    </row>
    <row r="5265" ht="15.0" customHeight="1">
      <c r="A5265" s="10" t="s">
        <v>32</v>
      </c>
      <c r="B5265" s="10"/>
      <c r="C5265" s="10" t="s">
        <v>33</v>
      </c>
      <c r="D5265" s="10" t="s">
        <v>34</v>
      </c>
      <c r="E5265" s="14">
        <v>5.0</v>
      </c>
      <c r="F5265" s="15">
        <f>ROUND(43.8,3)</f>
        <v>43.8</v>
      </c>
      <c r="G5265" s="12">
        <f>ROUND((E5265*F5265)/100,2)</f>
        <v>2.19</v>
      </c>
    </row>
    <row r="5266" ht="15.0" customHeight="1">
      <c r="A5266" s="16"/>
      <c r="B5266" s="16"/>
      <c r="C5266" s="16"/>
      <c r="D5266" s="17" t="s">
        <v>2367</v>
      </c>
      <c r="E5266" s="16"/>
      <c r="F5266" s="18">
        <f>ROUND((G5254+G5255+G5256+G5257+G5258+G5259+G5260+G5265)*(1+G2/100),2)</f>
        <v>49.47</v>
      </c>
      <c r="G5266" s="16"/>
    </row>
    <row r="5267" ht="15.0" customHeight="1">
      <c r="A5267" s="23"/>
      <c r="B5267" s="23"/>
      <c r="C5267" s="23"/>
      <c r="D5267" s="30" t="s">
        <v>2332</v>
      </c>
      <c r="E5267" s="31"/>
      <c r="F5267" s="31"/>
      <c r="G5267" s="31"/>
    </row>
    <row r="5268" ht="24.75" customHeight="1">
      <c r="A5268" s="50" t="s">
        <v>2369</v>
      </c>
      <c r="B5268" s="50" t="s">
        <v>10</v>
      </c>
      <c r="C5268" s="51"/>
      <c r="D5268" s="50" t="s">
        <v>2370</v>
      </c>
      <c r="E5268" s="51"/>
      <c r="F5268" s="51"/>
      <c r="G5268" s="51"/>
    </row>
    <row r="5269" ht="48.75" customHeight="1">
      <c r="A5269" s="13" t="s">
        <v>2371</v>
      </c>
      <c r="B5269" s="10" t="s">
        <v>18</v>
      </c>
      <c r="C5269" s="10" t="s">
        <v>19</v>
      </c>
      <c r="D5269" s="10" t="s">
        <v>2372</v>
      </c>
      <c r="E5269" s="11"/>
      <c r="F5269" s="12">
        <f>F5288</f>
        <v>43.84</v>
      </c>
      <c r="G5269" s="11"/>
    </row>
    <row r="5270" ht="12.0" customHeight="1">
      <c r="A5270" s="11"/>
      <c r="B5270" s="11"/>
      <c r="C5270" s="11"/>
      <c r="D5270" s="10" t="s">
        <v>2373</v>
      </c>
    </row>
    <row r="5271" ht="39.75" customHeight="1">
      <c r="A5271" s="10" t="s">
        <v>2374</v>
      </c>
      <c r="B5271" s="10" t="s">
        <v>42</v>
      </c>
      <c r="C5271" s="10" t="s">
        <v>1997</v>
      </c>
      <c r="D5271" s="10" t="s">
        <v>2375</v>
      </c>
      <c r="E5271" s="14">
        <v>0.35</v>
      </c>
      <c r="F5271" s="15">
        <f>ROUND(2.94,3)</f>
        <v>2.94</v>
      </c>
      <c r="G5271" s="12">
        <f t="shared" ref="G5271:G5286" si="815">ROUND(E5271*F5271,2)</f>
        <v>1.03</v>
      </c>
    </row>
    <row r="5272" ht="21.0" customHeight="1">
      <c r="A5272" s="10" t="s">
        <v>967</v>
      </c>
      <c r="B5272" s="10" t="s">
        <v>42</v>
      </c>
      <c r="C5272" s="10" t="s">
        <v>325</v>
      </c>
      <c r="D5272" s="10" t="s">
        <v>968</v>
      </c>
      <c r="E5272" s="14">
        <v>0.034</v>
      </c>
      <c r="F5272" s="15">
        <f>ROUND(6.49,3)</f>
        <v>6.49</v>
      </c>
      <c r="G5272" s="12">
        <f t="shared" si="815"/>
        <v>0.22</v>
      </c>
    </row>
    <row r="5273" ht="21.0" customHeight="1">
      <c r="A5273" s="10" t="s">
        <v>2338</v>
      </c>
      <c r="B5273" s="10" t="s">
        <v>42</v>
      </c>
      <c r="C5273" s="10" t="s">
        <v>330</v>
      </c>
      <c r="D5273" s="10" t="s">
        <v>2339</v>
      </c>
      <c r="E5273" s="14">
        <v>0.119</v>
      </c>
      <c r="F5273" s="15">
        <f>ROUND(2.95,3)</f>
        <v>2.95</v>
      </c>
      <c r="G5273" s="12">
        <f t="shared" si="815"/>
        <v>0.35</v>
      </c>
    </row>
    <row r="5274" ht="30.0" customHeight="1">
      <c r="A5274" s="10" t="s">
        <v>2340</v>
      </c>
      <c r="B5274" s="10" t="s">
        <v>42</v>
      </c>
      <c r="C5274" s="10" t="s">
        <v>344</v>
      </c>
      <c r="D5274" s="10" t="s">
        <v>2341</v>
      </c>
      <c r="E5274" s="14">
        <v>0.44</v>
      </c>
      <c r="F5274" s="15">
        <f>ROUND(0.74,3)</f>
        <v>0.74</v>
      </c>
      <c r="G5274" s="12">
        <f t="shared" si="815"/>
        <v>0.33</v>
      </c>
    </row>
    <row r="5275" ht="48.75" customHeight="1">
      <c r="A5275" s="10" t="s">
        <v>2376</v>
      </c>
      <c r="B5275" s="10" t="s">
        <v>42</v>
      </c>
      <c r="C5275" s="10" t="s">
        <v>330</v>
      </c>
      <c r="D5275" s="10" t="s">
        <v>2377</v>
      </c>
      <c r="E5275" s="14">
        <v>0.0595</v>
      </c>
      <c r="F5275" s="15">
        <f>ROUND(12.56,3)</f>
        <v>12.56</v>
      </c>
      <c r="G5275" s="12">
        <f t="shared" si="815"/>
        <v>0.75</v>
      </c>
    </row>
    <row r="5276" ht="30.0" customHeight="1">
      <c r="A5276" s="10" t="s">
        <v>2378</v>
      </c>
      <c r="B5276" s="10" t="s">
        <v>42</v>
      </c>
      <c r="C5276" s="10" t="s">
        <v>325</v>
      </c>
      <c r="D5276" s="10" t="s">
        <v>2379</v>
      </c>
      <c r="E5276" s="14">
        <v>0.02</v>
      </c>
      <c r="F5276" s="15">
        <f>ROUND(2.72,3)</f>
        <v>2.72</v>
      </c>
      <c r="G5276" s="12">
        <f t="shared" si="815"/>
        <v>0.05</v>
      </c>
    </row>
    <row r="5277" ht="39.75" customHeight="1">
      <c r="A5277" s="10" t="s">
        <v>2380</v>
      </c>
      <c r="B5277" s="10" t="s">
        <v>42</v>
      </c>
      <c r="C5277" s="10" t="s">
        <v>1997</v>
      </c>
      <c r="D5277" s="10" t="s">
        <v>2381</v>
      </c>
      <c r="E5277" s="14">
        <v>0.2387</v>
      </c>
      <c r="F5277" s="15">
        <f>ROUND(5.76,3)</f>
        <v>5.76</v>
      </c>
      <c r="G5277" s="12">
        <f t="shared" si="815"/>
        <v>1.37</v>
      </c>
    </row>
    <row r="5278" ht="39.75" customHeight="1">
      <c r="A5278" s="10" t="s">
        <v>2382</v>
      </c>
      <c r="B5278" s="10" t="s">
        <v>42</v>
      </c>
      <c r="C5278" s="10" t="s">
        <v>1997</v>
      </c>
      <c r="D5278" s="10" t="s">
        <v>2383</v>
      </c>
      <c r="E5278" s="14">
        <v>1.2483</v>
      </c>
      <c r="F5278" s="15">
        <f>ROUND(1.92,3)</f>
        <v>1.92</v>
      </c>
      <c r="G5278" s="12">
        <f t="shared" si="815"/>
        <v>2.4</v>
      </c>
    </row>
    <row r="5279" ht="39.75" customHeight="1">
      <c r="A5279" s="10" t="s">
        <v>2384</v>
      </c>
      <c r="B5279" s="10" t="s">
        <v>42</v>
      </c>
      <c r="C5279" s="10" t="s">
        <v>1997</v>
      </c>
      <c r="D5279" s="10" t="s">
        <v>2385</v>
      </c>
      <c r="E5279" s="14">
        <v>1.59647</v>
      </c>
      <c r="F5279" s="15">
        <f>ROUND(0.96,3)</f>
        <v>0.96</v>
      </c>
      <c r="G5279" s="12">
        <f t="shared" si="815"/>
        <v>1.53</v>
      </c>
    </row>
    <row r="5280" ht="48.75" customHeight="1">
      <c r="A5280" s="10" t="s">
        <v>2386</v>
      </c>
      <c r="B5280" s="10" t="s">
        <v>42</v>
      </c>
      <c r="C5280" s="10" t="s">
        <v>325</v>
      </c>
      <c r="D5280" s="10" t="s">
        <v>2387</v>
      </c>
      <c r="E5280" s="14">
        <v>0.1858</v>
      </c>
      <c r="F5280" s="15">
        <f>ROUND(67.85,3)</f>
        <v>67.85</v>
      </c>
      <c r="G5280" s="12">
        <f t="shared" si="815"/>
        <v>12.61</v>
      </c>
    </row>
    <row r="5281" ht="21.0" customHeight="1">
      <c r="A5281" s="10" t="s">
        <v>969</v>
      </c>
      <c r="B5281" s="10" t="s">
        <v>112</v>
      </c>
      <c r="C5281" s="10" t="s">
        <v>23</v>
      </c>
      <c r="D5281" s="10" t="s">
        <v>970</v>
      </c>
      <c r="E5281" s="14">
        <v>0.1</v>
      </c>
      <c r="F5281" s="15">
        <f>ROUND(2,3)</f>
        <v>2</v>
      </c>
      <c r="G5281" s="12">
        <f t="shared" si="815"/>
        <v>0.2</v>
      </c>
    </row>
    <row r="5282" ht="21.0" customHeight="1">
      <c r="A5282" s="10" t="s">
        <v>22</v>
      </c>
      <c r="B5282" s="10" t="s">
        <v>18</v>
      </c>
      <c r="C5282" s="10" t="s">
        <v>23</v>
      </c>
      <c r="D5282" s="10" t="s">
        <v>24</v>
      </c>
      <c r="E5282" s="14">
        <v>0.5</v>
      </c>
      <c r="F5282" s="15">
        <f>F5286</f>
        <v>43.8</v>
      </c>
      <c r="G5282" s="12">
        <f t="shared" si="815"/>
        <v>21.9</v>
      </c>
    </row>
    <row r="5283" ht="24.0" customHeight="1">
      <c r="A5283" s="10" t="s">
        <v>25</v>
      </c>
      <c r="B5283" s="10" t="s">
        <v>26</v>
      </c>
      <c r="C5283" s="10" t="s">
        <v>23</v>
      </c>
      <c r="D5283" s="10" t="s">
        <v>27</v>
      </c>
      <c r="E5283" s="14">
        <v>1.0</v>
      </c>
      <c r="F5283" s="15">
        <f>ROUND(21,3)</f>
        <v>21</v>
      </c>
      <c r="G5283" s="12">
        <f t="shared" si="815"/>
        <v>21</v>
      </c>
    </row>
    <row r="5284" ht="24.0" customHeight="1">
      <c r="A5284" s="10" t="s">
        <v>28</v>
      </c>
      <c r="B5284" s="10" t="s">
        <v>26</v>
      </c>
      <c r="C5284" s="10" t="s">
        <v>23</v>
      </c>
      <c r="D5284" s="10" t="s">
        <v>29</v>
      </c>
      <c r="E5284" s="14">
        <v>1.0</v>
      </c>
      <c r="F5284" s="15">
        <f t="shared" ref="F5284:F5285" si="816">ROUND(19,3)</f>
        <v>19</v>
      </c>
      <c r="G5284" s="12">
        <f t="shared" si="815"/>
        <v>19</v>
      </c>
    </row>
    <row r="5285" ht="24.0" customHeight="1">
      <c r="A5285" s="10" t="s">
        <v>30</v>
      </c>
      <c r="B5285" s="10" t="s">
        <v>26</v>
      </c>
      <c r="C5285" s="10" t="s">
        <v>23</v>
      </c>
      <c r="D5285" s="10" t="s">
        <v>31</v>
      </c>
      <c r="E5285" s="14">
        <v>0.2</v>
      </c>
      <c r="F5285" s="15">
        <f t="shared" si="816"/>
        <v>19</v>
      </c>
      <c r="G5285" s="12">
        <f t="shared" si="815"/>
        <v>3.8</v>
      </c>
    </row>
    <row r="5286" ht="15.0" customHeight="1">
      <c r="A5286" s="11"/>
      <c r="B5286" s="11"/>
      <c r="C5286" s="11"/>
      <c r="D5286" s="10" t="s">
        <v>22</v>
      </c>
      <c r="E5286" s="14">
        <v>0.5</v>
      </c>
      <c r="F5286" s="15">
        <f>ROUND((G5283+G5284+G5285),3)</f>
        <v>43.8</v>
      </c>
      <c r="G5286" s="12">
        <f t="shared" si="815"/>
        <v>21.9</v>
      </c>
    </row>
    <row r="5287" ht="15.0" customHeight="1">
      <c r="A5287" s="10" t="s">
        <v>32</v>
      </c>
      <c r="B5287" s="10"/>
      <c r="C5287" s="10" t="s">
        <v>33</v>
      </c>
      <c r="D5287" s="10" t="s">
        <v>34</v>
      </c>
      <c r="E5287" s="14">
        <v>5.0</v>
      </c>
      <c r="F5287" s="15">
        <f>ROUND(21.9,3)</f>
        <v>21.9</v>
      </c>
      <c r="G5287" s="12">
        <f>ROUND((E5287*F5287)/100,2)</f>
        <v>1.1</v>
      </c>
    </row>
    <row r="5288" ht="15.0" customHeight="1">
      <c r="A5288" s="16"/>
      <c r="B5288" s="16"/>
      <c r="C5288" s="16"/>
      <c r="D5288" s="17" t="s">
        <v>2371</v>
      </c>
      <c r="E5288" s="16"/>
      <c r="F5288" s="18">
        <f>ROUND((G5271+G5272+G5273+G5274+G5275+G5276+G5277+G5278+G5279+G5280+G5281+G5282+G5287)*(1+G2/100),2)</f>
        <v>43.84</v>
      </c>
      <c r="G5288" s="16"/>
    </row>
    <row r="5289" ht="24.75" customHeight="1">
      <c r="A5289" s="19" t="s">
        <v>2388</v>
      </c>
      <c r="B5289" s="20" t="s">
        <v>18</v>
      </c>
      <c r="C5289" s="20" t="s">
        <v>351</v>
      </c>
      <c r="D5289" s="20" t="s">
        <v>2389</v>
      </c>
      <c r="E5289" s="21"/>
      <c r="F5289" s="22">
        <f>F5304</f>
        <v>49.55</v>
      </c>
      <c r="G5289" s="21"/>
    </row>
    <row r="5290" ht="12.0" customHeight="1">
      <c r="A5290" s="11"/>
      <c r="B5290" s="11"/>
      <c r="C5290" s="11"/>
      <c r="D5290" s="10" t="s">
        <v>2389</v>
      </c>
    </row>
    <row r="5291" ht="21.0" customHeight="1">
      <c r="A5291" s="10" t="s">
        <v>2338</v>
      </c>
      <c r="B5291" s="10" t="s">
        <v>42</v>
      </c>
      <c r="C5291" s="10" t="s">
        <v>330</v>
      </c>
      <c r="D5291" s="10" t="s">
        <v>2339</v>
      </c>
      <c r="E5291" s="14">
        <v>0.1</v>
      </c>
      <c r="F5291" s="15">
        <f>ROUND(2.95,3)</f>
        <v>2.95</v>
      </c>
      <c r="G5291" s="12">
        <f t="shared" ref="G5291:G5302" si="817">ROUND(E5291*F5291,2)</f>
        <v>0.3</v>
      </c>
    </row>
    <row r="5292" ht="30.0" customHeight="1">
      <c r="A5292" s="10" t="s">
        <v>2340</v>
      </c>
      <c r="B5292" s="10" t="s">
        <v>42</v>
      </c>
      <c r="C5292" s="10" t="s">
        <v>344</v>
      </c>
      <c r="D5292" s="10" t="s">
        <v>2341</v>
      </c>
      <c r="E5292" s="14">
        <v>0.4</v>
      </c>
      <c r="F5292" s="15">
        <f>ROUND(0.74,3)</f>
        <v>0.74</v>
      </c>
      <c r="G5292" s="12">
        <f t="shared" si="817"/>
        <v>0.3</v>
      </c>
    </row>
    <row r="5293" ht="48.75" customHeight="1">
      <c r="A5293" s="10" t="s">
        <v>2376</v>
      </c>
      <c r="B5293" s="10" t="s">
        <v>42</v>
      </c>
      <c r="C5293" s="10" t="s">
        <v>330</v>
      </c>
      <c r="D5293" s="10" t="s">
        <v>2377</v>
      </c>
      <c r="E5293" s="14">
        <v>0.05</v>
      </c>
      <c r="F5293" s="15">
        <f>ROUND(12.56,3)</f>
        <v>12.56</v>
      </c>
      <c r="G5293" s="12">
        <f t="shared" si="817"/>
        <v>0.63</v>
      </c>
    </row>
    <row r="5294" ht="39.75" customHeight="1">
      <c r="A5294" s="10" t="s">
        <v>2382</v>
      </c>
      <c r="B5294" s="10" t="s">
        <v>42</v>
      </c>
      <c r="C5294" s="10" t="s">
        <v>1997</v>
      </c>
      <c r="D5294" s="10" t="s">
        <v>2383</v>
      </c>
      <c r="E5294" s="14">
        <v>1.2483</v>
      </c>
      <c r="F5294" s="15">
        <f>ROUND(1.92,3)</f>
        <v>1.92</v>
      </c>
      <c r="G5294" s="12">
        <f t="shared" si="817"/>
        <v>2.4</v>
      </c>
    </row>
    <row r="5295" ht="39.75" customHeight="1">
      <c r="A5295" s="10" t="s">
        <v>2384</v>
      </c>
      <c r="B5295" s="10" t="s">
        <v>42</v>
      </c>
      <c r="C5295" s="10" t="s">
        <v>1997</v>
      </c>
      <c r="D5295" s="10" t="s">
        <v>2385</v>
      </c>
      <c r="E5295" s="14">
        <v>1.59647</v>
      </c>
      <c r="F5295" s="15">
        <f>ROUND(0.96,3)</f>
        <v>0.96</v>
      </c>
      <c r="G5295" s="12">
        <f t="shared" si="817"/>
        <v>1.53</v>
      </c>
    </row>
    <row r="5296" ht="30.0" customHeight="1">
      <c r="A5296" s="10" t="s">
        <v>2378</v>
      </c>
      <c r="B5296" s="10" t="s">
        <v>42</v>
      </c>
      <c r="C5296" s="10" t="s">
        <v>325</v>
      </c>
      <c r="D5296" s="10" t="s">
        <v>2379</v>
      </c>
      <c r="E5296" s="14">
        <v>0.2</v>
      </c>
      <c r="F5296" s="15">
        <f>ROUND(2.72,3)</f>
        <v>2.72</v>
      </c>
      <c r="G5296" s="12">
        <f t="shared" si="817"/>
        <v>0.54</v>
      </c>
    </row>
    <row r="5297" ht="48.75" customHeight="1">
      <c r="A5297" s="10" t="s">
        <v>2386</v>
      </c>
      <c r="B5297" s="10" t="s">
        <v>42</v>
      </c>
      <c r="C5297" s="10" t="s">
        <v>325</v>
      </c>
      <c r="D5297" s="10" t="s">
        <v>2387</v>
      </c>
      <c r="E5297" s="14">
        <v>0.104</v>
      </c>
      <c r="F5297" s="15">
        <f>ROUND(67.85,3)</f>
        <v>67.85</v>
      </c>
      <c r="G5297" s="12">
        <f t="shared" si="817"/>
        <v>7.06</v>
      </c>
    </row>
    <row r="5298" ht="21.0" customHeight="1">
      <c r="A5298" s="10" t="s">
        <v>22</v>
      </c>
      <c r="B5298" s="10" t="s">
        <v>18</v>
      </c>
      <c r="C5298" s="10" t="s">
        <v>23</v>
      </c>
      <c r="D5298" s="10" t="s">
        <v>24</v>
      </c>
      <c r="E5298" s="14">
        <v>0.8</v>
      </c>
      <c r="F5298" s="15">
        <f>F5302</f>
        <v>43.8</v>
      </c>
      <c r="G5298" s="12">
        <f t="shared" si="817"/>
        <v>35.04</v>
      </c>
    </row>
    <row r="5299" ht="24.0" customHeight="1">
      <c r="A5299" s="10" t="s">
        <v>25</v>
      </c>
      <c r="B5299" s="10" t="s">
        <v>26</v>
      </c>
      <c r="C5299" s="10" t="s">
        <v>23</v>
      </c>
      <c r="D5299" s="10" t="s">
        <v>27</v>
      </c>
      <c r="E5299" s="14">
        <v>1.0</v>
      </c>
      <c r="F5299" s="15">
        <f>ROUND(21,3)</f>
        <v>21</v>
      </c>
      <c r="G5299" s="12">
        <f t="shared" si="817"/>
        <v>21</v>
      </c>
    </row>
    <row r="5300" ht="24.0" customHeight="1">
      <c r="A5300" s="10" t="s">
        <v>28</v>
      </c>
      <c r="B5300" s="10" t="s">
        <v>26</v>
      </c>
      <c r="C5300" s="10" t="s">
        <v>23</v>
      </c>
      <c r="D5300" s="10" t="s">
        <v>29</v>
      </c>
      <c r="E5300" s="14">
        <v>1.0</v>
      </c>
      <c r="F5300" s="15">
        <f t="shared" ref="F5300:F5301" si="818">ROUND(19,3)</f>
        <v>19</v>
      </c>
      <c r="G5300" s="12">
        <f t="shared" si="817"/>
        <v>19</v>
      </c>
    </row>
    <row r="5301" ht="24.0" customHeight="1">
      <c r="A5301" s="10" t="s">
        <v>30</v>
      </c>
      <c r="B5301" s="10" t="s">
        <v>26</v>
      </c>
      <c r="C5301" s="10" t="s">
        <v>23</v>
      </c>
      <c r="D5301" s="10" t="s">
        <v>31</v>
      </c>
      <c r="E5301" s="14">
        <v>0.2</v>
      </c>
      <c r="F5301" s="15">
        <f t="shared" si="818"/>
        <v>19</v>
      </c>
      <c r="G5301" s="12">
        <f t="shared" si="817"/>
        <v>3.8</v>
      </c>
    </row>
    <row r="5302" ht="15.0" customHeight="1">
      <c r="A5302" s="11"/>
      <c r="B5302" s="11"/>
      <c r="C5302" s="11"/>
      <c r="D5302" s="10" t="s">
        <v>22</v>
      </c>
      <c r="E5302" s="14">
        <v>0.8</v>
      </c>
      <c r="F5302" s="15">
        <f>ROUND((G5299+G5300+G5301),3)</f>
        <v>43.8</v>
      </c>
      <c r="G5302" s="12">
        <f t="shared" si="817"/>
        <v>35.04</v>
      </c>
    </row>
    <row r="5303" ht="15.0" customHeight="1">
      <c r="A5303" s="10" t="s">
        <v>32</v>
      </c>
      <c r="B5303" s="10"/>
      <c r="C5303" s="10" t="s">
        <v>33</v>
      </c>
      <c r="D5303" s="10" t="s">
        <v>34</v>
      </c>
      <c r="E5303" s="14">
        <v>5.0</v>
      </c>
      <c r="F5303" s="15">
        <f>ROUND(35.04,3)</f>
        <v>35.04</v>
      </c>
      <c r="G5303" s="12">
        <f>ROUND((E5303*F5303)/100,2)</f>
        <v>1.75</v>
      </c>
    </row>
    <row r="5304" ht="15.0" customHeight="1">
      <c r="A5304" s="16"/>
      <c r="B5304" s="16"/>
      <c r="C5304" s="16"/>
      <c r="D5304" s="17" t="s">
        <v>2388</v>
      </c>
      <c r="E5304" s="16"/>
      <c r="F5304" s="18">
        <f>ROUND((G5291+G5292+G5293+G5294+G5295+G5296+G5297+G5298+G5303)*(1+G2/100),2)</f>
        <v>49.55</v>
      </c>
      <c r="G5304" s="16"/>
    </row>
    <row r="5305" ht="48.75" customHeight="1">
      <c r="A5305" s="19" t="s">
        <v>2390</v>
      </c>
      <c r="B5305" s="20" t="s">
        <v>18</v>
      </c>
      <c r="C5305" s="20" t="s">
        <v>19</v>
      </c>
      <c r="D5305" s="20" t="s">
        <v>2391</v>
      </c>
      <c r="E5305" s="21"/>
      <c r="F5305" s="22">
        <f>F5324</f>
        <v>37.11</v>
      </c>
      <c r="G5305" s="21"/>
    </row>
    <row r="5306" ht="12.0" customHeight="1">
      <c r="A5306" s="11"/>
      <c r="B5306" s="11"/>
      <c r="C5306" s="11"/>
      <c r="D5306" s="10" t="s">
        <v>2392</v>
      </c>
    </row>
    <row r="5307" ht="39.75" customHeight="1">
      <c r="A5307" s="10" t="s">
        <v>2374</v>
      </c>
      <c r="B5307" s="10" t="s">
        <v>42</v>
      </c>
      <c r="C5307" s="10" t="s">
        <v>1997</v>
      </c>
      <c r="D5307" s="10" t="s">
        <v>2375</v>
      </c>
      <c r="E5307" s="14">
        <v>0.35</v>
      </c>
      <c r="F5307" s="15">
        <f>ROUND(2.94,3)</f>
        <v>2.94</v>
      </c>
      <c r="G5307" s="12">
        <f t="shared" ref="G5307:G5322" si="819">ROUND(E5307*F5307,2)</f>
        <v>1.03</v>
      </c>
    </row>
    <row r="5308" ht="21.0" customHeight="1">
      <c r="A5308" s="10" t="s">
        <v>967</v>
      </c>
      <c r="B5308" s="10" t="s">
        <v>42</v>
      </c>
      <c r="C5308" s="10" t="s">
        <v>325</v>
      </c>
      <c r="D5308" s="10" t="s">
        <v>968</v>
      </c>
      <c r="E5308" s="14">
        <v>0.034</v>
      </c>
      <c r="F5308" s="15">
        <f>ROUND(6.49,3)</f>
        <v>6.49</v>
      </c>
      <c r="G5308" s="12">
        <f t="shared" si="819"/>
        <v>0.22</v>
      </c>
    </row>
    <row r="5309" ht="21.0" customHeight="1">
      <c r="A5309" s="10" t="s">
        <v>2338</v>
      </c>
      <c r="B5309" s="10" t="s">
        <v>42</v>
      </c>
      <c r="C5309" s="10" t="s">
        <v>330</v>
      </c>
      <c r="D5309" s="10" t="s">
        <v>2339</v>
      </c>
      <c r="E5309" s="14">
        <v>0.119</v>
      </c>
      <c r="F5309" s="15">
        <f>ROUND(2.95,3)</f>
        <v>2.95</v>
      </c>
      <c r="G5309" s="12">
        <f t="shared" si="819"/>
        <v>0.35</v>
      </c>
    </row>
    <row r="5310" ht="30.0" customHeight="1">
      <c r="A5310" s="10" t="s">
        <v>2340</v>
      </c>
      <c r="B5310" s="10" t="s">
        <v>42</v>
      </c>
      <c r="C5310" s="10" t="s">
        <v>344</v>
      </c>
      <c r="D5310" s="10" t="s">
        <v>2341</v>
      </c>
      <c r="E5310" s="14">
        <v>0.44</v>
      </c>
      <c r="F5310" s="15">
        <f>ROUND(0.74,3)</f>
        <v>0.74</v>
      </c>
      <c r="G5310" s="12">
        <f t="shared" si="819"/>
        <v>0.33</v>
      </c>
    </row>
    <row r="5311" ht="48.75" customHeight="1">
      <c r="A5311" s="10" t="s">
        <v>2376</v>
      </c>
      <c r="B5311" s="10" t="s">
        <v>42</v>
      </c>
      <c r="C5311" s="10" t="s">
        <v>330</v>
      </c>
      <c r="D5311" s="10" t="s">
        <v>2377</v>
      </c>
      <c r="E5311" s="14">
        <v>0.0595</v>
      </c>
      <c r="F5311" s="15">
        <f>ROUND(12.56,3)</f>
        <v>12.56</v>
      </c>
      <c r="G5311" s="12">
        <f t="shared" si="819"/>
        <v>0.75</v>
      </c>
    </row>
    <row r="5312" ht="30.0" customHeight="1">
      <c r="A5312" s="10" t="s">
        <v>2378</v>
      </c>
      <c r="B5312" s="10" t="s">
        <v>42</v>
      </c>
      <c r="C5312" s="10" t="s">
        <v>325</v>
      </c>
      <c r="D5312" s="10" t="s">
        <v>2379</v>
      </c>
      <c r="E5312" s="14">
        <v>0.02</v>
      </c>
      <c r="F5312" s="15">
        <f>ROUND(2.72,3)</f>
        <v>2.72</v>
      </c>
      <c r="G5312" s="12">
        <f t="shared" si="819"/>
        <v>0.05</v>
      </c>
    </row>
    <row r="5313" ht="39.75" customHeight="1">
      <c r="A5313" s="10" t="s">
        <v>2380</v>
      </c>
      <c r="B5313" s="10" t="s">
        <v>42</v>
      </c>
      <c r="C5313" s="10" t="s">
        <v>1997</v>
      </c>
      <c r="D5313" s="10" t="s">
        <v>2381</v>
      </c>
      <c r="E5313" s="14">
        <v>0.2387</v>
      </c>
      <c r="F5313" s="15">
        <f>ROUND(5.76,3)</f>
        <v>5.76</v>
      </c>
      <c r="G5313" s="12">
        <f t="shared" si="819"/>
        <v>1.37</v>
      </c>
    </row>
    <row r="5314" ht="39.75" customHeight="1">
      <c r="A5314" s="10" t="s">
        <v>2382</v>
      </c>
      <c r="B5314" s="10" t="s">
        <v>42</v>
      </c>
      <c r="C5314" s="10" t="s">
        <v>1997</v>
      </c>
      <c r="D5314" s="10" t="s">
        <v>2383</v>
      </c>
      <c r="E5314" s="14">
        <v>1.2483</v>
      </c>
      <c r="F5314" s="15">
        <f>ROUND(1.92,3)</f>
        <v>1.92</v>
      </c>
      <c r="G5314" s="12">
        <f t="shared" si="819"/>
        <v>2.4</v>
      </c>
    </row>
    <row r="5315" ht="39.75" customHeight="1">
      <c r="A5315" s="10" t="s">
        <v>2384</v>
      </c>
      <c r="B5315" s="10" t="s">
        <v>42</v>
      </c>
      <c r="C5315" s="10" t="s">
        <v>1997</v>
      </c>
      <c r="D5315" s="10" t="s">
        <v>2385</v>
      </c>
      <c r="E5315" s="14">
        <v>1.59647</v>
      </c>
      <c r="F5315" s="15">
        <f>ROUND(0.96,3)</f>
        <v>0.96</v>
      </c>
      <c r="G5315" s="12">
        <f t="shared" si="819"/>
        <v>1.53</v>
      </c>
    </row>
    <row r="5316" ht="39.75" customHeight="1">
      <c r="A5316" s="10" t="s">
        <v>2393</v>
      </c>
      <c r="B5316" s="10" t="s">
        <v>42</v>
      </c>
      <c r="C5316" s="10" t="s">
        <v>1881</v>
      </c>
      <c r="D5316" s="10" t="s">
        <v>2394</v>
      </c>
      <c r="E5316" s="14">
        <v>1.486</v>
      </c>
      <c r="F5316" s="15">
        <f>ROUND(3.96,3)</f>
        <v>3.96</v>
      </c>
      <c r="G5316" s="12">
        <f t="shared" si="819"/>
        <v>5.88</v>
      </c>
    </row>
    <row r="5317" ht="21.0" customHeight="1">
      <c r="A5317" s="10" t="s">
        <v>969</v>
      </c>
      <c r="B5317" s="10" t="s">
        <v>112</v>
      </c>
      <c r="C5317" s="10" t="s">
        <v>23</v>
      </c>
      <c r="D5317" s="10" t="s">
        <v>970</v>
      </c>
      <c r="E5317" s="14">
        <v>0.1</v>
      </c>
      <c r="F5317" s="15">
        <f>ROUND(2,3)</f>
        <v>2</v>
      </c>
      <c r="G5317" s="12">
        <f t="shared" si="819"/>
        <v>0.2</v>
      </c>
    </row>
    <row r="5318" ht="21.0" customHeight="1">
      <c r="A5318" s="10" t="s">
        <v>22</v>
      </c>
      <c r="B5318" s="10" t="s">
        <v>18</v>
      </c>
      <c r="C5318" s="10" t="s">
        <v>23</v>
      </c>
      <c r="D5318" s="10" t="s">
        <v>24</v>
      </c>
      <c r="E5318" s="14">
        <v>0.5</v>
      </c>
      <c r="F5318" s="15">
        <f>F5322</f>
        <v>43.8</v>
      </c>
      <c r="G5318" s="12">
        <f t="shared" si="819"/>
        <v>21.9</v>
      </c>
    </row>
    <row r="5319" ht="24.0" customHeight="1">
      <c r="A5319" s="10" t="s">
        <v>25</v>
      </c>
      <c r="B5319" s="10" t="s">
        <v>26</v>
      </c>
      <c r="C5319" s="10" t="s">
        <v>23</v>
      </c>
      <c r="D5319" s="10" t="s">
        <v>27</v>
      </c>
      <c r="E5319" s="14">
        <v>1.0</v>
      </c>
      <c r="F5319" s="15">
        <f>ROUND(21,3)</f>
        <v>21</v>
      </c>
      <c r="G5319" s="12">
        <f t="shared" si="819"/>
        <v>21</v>
      </c>
    </row>
    <row r="5320" ht="24.0" customHeight="1">
      <c r="A5320" s="10" t="s">
        <v>28</v>
      </c>
      <c r="B5320" s="10" t="s">
        <v>26</v>
      </c>
      <c r="C5320" s="10" t="s">
        <v>23</v>
      </c>
      <c r="D5320" s="10" t="s">
        <v>29</v>
      </c>
      <c r="E5320" s="14">
        <v>1.0</v>
      </c>
      <c r="F5320" s="15">
        <f t="shared" ref="F5320:F5321" si="820">ROUND(19,3)</f>
        <v>19</v>
      </c>
      <c r="G5320" s="12">
        <f t="shared" si="819"/>
        <v>19</v>
      </c>
    </row>
    <row r="5321" ht="24.0" customHeight="1">
      <c r="A5321" s="10" t="s">
        <v>30</v>
      </c>
      <c r="B5321" s="10" t="s">
        <v>26</v>
      </c>
      <c r="C5321" s="10" t="s">
        <v>23</v>
      </c>
      <c r="D5321" s="10" t="s">
        <v>31</v>
      </c>
      <c r="E5321" s="14">
        <v>0.2</v>
      </c>
      <c r="F5321" s="15">
        <f t="shared" si="820"/>
        <v>19</v>
      </c>
      <c r="G5321" s="12">
        <f t="shared" si="819"/>
        <v>3.8</v>
      </c>
    </row>
    <row r="5322" ht="15.0" customHeight="1">
      <c r="A5322" s="11"/>
      <c r="B5322" s="11"/>
      <c r="C5322" s="11"/>
      <c r="D5322" s="10" t="s">
        <v>22</v>
      </c>
      <c r="E5322" s="14">
        <v>0.5</v>
      </c>
      <c r="F5322" s="15">
        <f>ROUND((G5319+G5320+G5321),3)</f>
        <v>43.8</v>
      </c>
      <c r="G5322" s="12">
        <f t="shared" si="819"/>
        <v>21.9</v>
      </c>
    </row>
    <row r="5323" ht="15.0" customHeight="1">
      <c r="A5323" s="10" t="s">
        <v>32</v>
      </c>
      <c r="B5323" s="10"/>
      <c r="C5323" s="10" t="s">
        <v>33</v>
      </c>
      <c r="D5323" s="10" t="s">
        <v>34</v>
      </c>
      <c r="E5323" s="14">
        <v>5.0</v>
      </c>
      <c r="F5323" s="15">
        <f>ROUND(21.9,3)</f>
        <v>21.9</v>
      </c>
      <c r="G5323" s="12">
        <f>ROUND((E5323*F5323)/100,2)</f>
        <v>1.1</v>
      </c>
    </row>
    <row r="5324" ht="15.0" customHeight="1">
      <c r="A5324" s="16"/>
      <c r="B5324" s="16"/>
      <c r="C5324" s="16"/>
      <c r="D5324" s="17" t="s">
        <v>2390</v>
      </c>
      <c r="E5324" s="16"/>
      <c r="F5324" s="18">
        <f>ROUND((G5307+G5308+G5309+G5310+G5311+G5312+G5313+G5314+G5315+G5316+G5317+G5318+G5323)*(1+G2/100),2)</f>
        <v>37.11</v>
      </c>
      <c r="G5324" s="16"/>
    </row>
    <row r="5325" ht="57.75" customHeight="1">
      <c r="A5325" s="19" t="s">
        <v>2395</v>
      </c>
      <c r="B5325" s="20" t="s">
        <v>18</v>
      </c>
      <c r="C5325" s="20" t="s">
        <v>351</v>
      </c>
      <c r="D5325" s="20" t="s">
        <v>2396</v>
      </c>
      <c r="E5325" s="21"/>
      <c r="F5325" s="22">
        <f>F5340</f>
        <v>44.78</v>
      </c>
      <c r="G5325" s="21"/>
    </row>
    <row r="5326" ht="30.0" customHeight="1">
      <c r="A5326" s="11"/>
      <c r="B5326" s="11"/>
      <c r="C5326" s="11"/>
      <c r="D5326" s="10" t="s">
        <v>2396</v>
      </c>
    </row>
    <row r="5327" ht="21.0" customHeight="1">
      <c r="A5327" s="10" t="s">
        <v>2338</v>
      </c>
      <c r="B5327" s="10" t="s">
        <v>42</v>
      </c>
      <c r="C5327" s="10" t="s">
        <v>330</v>
      </c>
      <c r="D5327" s="10" t="s">
        <v>2339</v>
      </c>
      <c r="E5327" s="14">
        <v>0.1</v>
      </c>
      <c r="F5327" s="15">
        <f>ROUND(2.95,3)</f>
        <v>2.95</v>
      </c>
      <c r="G5327" s="12">
        <f t="shared" ref="G5327:G5338" si="821">ROUND(E5327*F5327,2)</f>
        <v>0.3</v>
      </c>
    </row>
    <row r="5328" ht="30.0" customHeight="1">
      <c r="A5328" s="10" t="s">
        <v>2340</v>
      </c>
      <c r="B5328" s="10" t="s">
        <v>42</v>
      </c>
      <c r="C5328" s="10" t="s">
        <v>344</v>
      </c>
      <c r="D5328" s="10" t="s">
        <v>2341</v>
      </c>
      <c r="E5328" s="14">
        <v>0.4</v>
      </c>
      <c r="F5328" s="15">
        <f>ROUND(0.74,3)</f>
        <v>0.74</v>
      </c>
      <c r="G5328" s="12">
        <f t="shared" si="821"/>
        <v>0.3</v>
      </c>
    </row>
    <row r="5329" ht="48.75" customHeight="1">
      <c r="A5329" s="10" t="s">
        <v>2376</v>
      </c>
      <c r="B5329" s="10" t="s">
        <v>42</v>
      </c>
      <c r="C5329" s="10" t="s">
        <v>330</v>
      </c>
      <c r="D5329" s="10" t="s">
        <v>2377</v>
      </c>
      <c r="E5329" s="14">
        <v>0.05</v>
      </c>
      <c r="F5329" s="15">
        <f>ROUND(12.56,3)</f>
        <v>12.56</v>
      </c>
      <c r="G5329" s="12">
        <f t="shared" si="821"/>
        <v>0.63</v>
      </c>
    </row>
    <row r="5330" ht="39.75" customHeight="1">
      <c r="A5330" s="10" t="s">
        <v>2382</v>
      </c>
      <c r="B5330" s="10" t="s">
        <v>42</v>
      </c>
      <c r="C5330" s="10" t="s">
        <v>1997</v>
      </c>
      <c r="D5330" s="10" t="s">
        <v>2383</v>
      </c>
      <c r="E5330" s="14">
        <v>1.0</v>
      </c>
      <c r="F5330" s="15">
        <f>ROUND(1.92,3)</f>
        <v>1.92</v>
      </c>
      <c r="G5330" s="12">
        <f t="shared" si="821"/>
        <v>1.92</v>
      </c>
    </row>
    <row r="5331" ht="39.75" customHeight="1">
      <c r="A5331" s="10" t="s">
        <v>2384</v>
      </c>
      <c r="B5331" s="10" t="s">
        <v>42</v>
      </c>
      <c r="C5331" s="10" t="s">
        <v>1997</v>
      </c>
      <c r="D5331" s="10" t="s">
        <v>2385</v>
      </c>
      <c r="E5331" s="14">
        <v>2.0</v>
      </c>
      <c r="F5331" s="15">
        <f>ROUND(0.96,3)</f>
        <v>0.96</v>
      </c>
      <c r="G5331" s="12">
        <f t="shared" si="821"/>
        <v>1.92</v>
      </c>
    </row>
    <row r="5332" ht="30.0" customHeight="1">
      <c r="A5332" s="10" t="s">
        <v>2378</v>
      </c>
      <c r="B5332" s="10" t="s">
        <v>42</v>
      </c>
      <c r="C5332" s="10" t="s">
        <v>325</v>
      </c>
      <c r="D5332" s="10" t="s">
        <v>2379</v>
      </c>
      <c r="E5332" s="14">
        <v>0.2</v>
      </c>
      <c r="F5332" s="15">
        <f>ROUND(2.72,3)</f>
        <v>2.72</v>
      </c>
      <c r="G5332" s="12">
        <f t="shared" si="821"/>
        <v>0.54</v>
      </c>
    </row>
    <row r="5333" ht="39.75" customHeight="1">
      <c r="A5333" s="10" t="s">
        <v>2393</v>
      </c>
      <c r="B5333" s="10" t="s">
        <v>42</v>
      </c>
      <c r="C5333" s="10" t="s">
        <v>1881</v>
      </c>
      <c r="D5333" s="10" t="s">
        <v>2394</v>
      </c>
      <c r="E5333" s="14">
        <v>0.6</v>
      </c>
      <c r="F5333" s="15">
        <f>ROUND(3.96,3)</f>
        <v>3.96</v>
      </c>
      <c r="G5333" s="12">
        <f t="shared" si="821"/>
        <v>2.38</v>
      </c>
    </row>
    <row r="5334" ht="21.0" customHeight="1">
      <c r="A5334" s="10" t="s">
        <v>22</v>
      </c>
      <c r="B5334" s="10" t="s">
        <v>18</v>
      </c>
      <c r="C5334" s="10" t="s">
        <v>23</v>
      </c>
      <c r="D5334" s="10" t="s">
        <v>24</v>
      </c>
      <c r="E5334" s="14">
        <v>0.8</v>
      </c>
      <c r="F5334" s="15">
        <f>F5338</f>
        <v>43.8</v>
      </c>
      <c r="G5334" s="12">
        <f t="shared" si="821"/>
        <v>35.04</v>
      </c>
    </row>
    <row r="5335" ht="24.0" customHeight="1">
      <c r="A5335" s="10" t="s">
        <v>25</v>
      </c>
      <c r="B5335" s="10" t="s">
        <v>26</v>
      </c>
      <c r="C5335" s="10" t="s">
        <v>23</v>
      </c>
      <c r="D5335" s="10" t="s">
        <v>27</v>
      </c>
      <c r="E5335" s="14">
        <v>1.0</v>
      </c>
      <c r="F5335" s="15">
        <f>ROUND(21,3)</f>
        <v>21</v>
      </c>
      <c r="G5335" s="12">
        <f t="shared" si="821"/>
        <v>21</v>
      </c>
    </row>
    <row r="5336" ht="24.0" customHeight="1">
      <c r="A5336" s="10" t="s">
        <v>28</v>
      </c>
      <c r="B5336" s="10" t="s">
        <v>26</v>
      </c>
      <c r="C5336" s="10" t="s">
        <v>23</v>
      </c>
      <c r="D5336" s="10" t="s">
        <v>29</v>
      </c>
      <c r="E5336" s="14">
        <v>1.0</v>
      </c>
      <c r="F5336" s="15">
        <f t="shared" ref="F5336:F5337" si="822">ROUND(19,3)</f>
        <v>19</v>
      </c>
      <c r="G5336" s="12">
        <f t="shared" si="821"/>
        <v>19</v>
      </c>
    </row>
    <row r="5337" ht="24.0" customHeight="1">
      <c r="A5337" s="10" t="s">
        <v>30</v>
      </c>
      <c r="B5337" s="10" t="s">
        <v>26</v>
      </c>
      <c r="C5337" s="10" t="s">
        <v>23</v>
      </c>
      <c r="D5337" s="10" t="s">
        <v>31</v>
      </c>
      <c r="E5337" s="14">
        <v>0.2</v>
      </c>
      <c r="F5337" s="15">
        <f t="shared" si="822"/>
        <v>19</v>
      </c>
      <c r="G5337" s="12">
        <f t="shared" si="821"/>
        <v>3.8</v>
      </c>
    </row>
    <row r="5338" ht="15.0" customHeight="1">
      <c r="A5338" s="11"/>
      <c r="B5338" s="11"/>
      <c r="C5338" s="11"/>
      <c r="D5338" s="10" t="s">
        <v>22</v>
      </c>
      <c r="E5338" s="14">
        <v>0.8</v>
      </c>
      <c r="F5338" s="15">
        <f>ROUND((G5335+G5336+G5337),3)</f>
        <v>43.8</v>
      </c>
      <c r="G5338" s="12">
        <f t="shared" si="821"/>
        <v>35.04</v>
      </c>
    </row>
    <row r="5339" ht="15.0" customHeight="1">
      <c r="A5339" s="10" t="s">
        <v>32</v>
      </c>
      <c r="B5339" s="10"/>
      <c r="C5339" s="10" t="s">
        <v>33</v>
      </c>
      <c r="D5339" s="10" t="s">
        <v>34</v>
      </c>
      <c r="E5339" s="14">
        <v>5.0</v>
      </c>
      <c r="F5339" s="15">
        <f>ROUND(35.04,3)</f>
        <v>35.04</v>
      </c>
      <c r="G5339" s="12">
        <f>ROUND((E5339*F5339)/100,2)</f>
        <v>1.75</v>
      </c>
    </row>
    <row r="5340" ht="15.0" customHeight="1">
      <c r="A5340" s="16"/>
      <c r="B5340" s="16"/>
      <c r="C5340" s="16"/>
      <c r="D5340" s="17" t="s">
        <v>2395</v>
      </c>
      <c r="E5340" s="16"/>
      <c r="F5340" s="18">
        <f>ROUND((G5327+G5328+G5329+G5330+G5331+G5332+G5333+G5334+G5339)*(1+G2/100),2)</f>
        <v>44.78</v>
      </c>
      <c r="G5340" s="16"/>
    </row>
    <row r="5341" ht="48.75" customHeight="1">
      <c r="A5341" s="19" t="s">
        <v>2397</v>
      </c>
      <c r="B5341" s="20" t="s">
        <v>18</v>
      </c>
      <c r="C5341" s="20" t="s">
        <v>19</v>
      </c>
      <c r="D5341" s="20" t="s">
        <v>2398</v>
      </c>
      <c r="E5341" s="21"/>
      <c r="F5341" s="22">
        <f>F5360</f>
        <v>33.25</v>
      </c>
      <c r="G5341" s="21"/>
    </row>
    <row r="5342" ht="21.0" customHeight="1">
      <c r="A5342" s="11"/>
      <c r="B5342" s="11"/>
      <c r="C5342" s="11"/>
      <c r="D5342" s="10" t="s">
        <v>2398</v>
      </c>
    </row>
    <row r="5343" ht="39.75" customHeight="1">
      <c r="A5343" s="10" t="s">
        <v>2374</v>
      </c>
      <c r="B5343" s="10" t="s">
        <v>42</v>
      </c>
      <c r="C5343" s="10" t="s">
        <v>1997</v>
      </c>
      <c r="D5343" s="10" t="s">
        <v>2375</v>
      </c>
      <c r="E5343" s="14">
        <v>0.35</v>
      </c>
      <c r="F5343" s="15">
        <f>ROUND(2.94,3)</f>
        <v>2.94</v>
      </c>
      <c r="G5343" s="12">
        <f t="shared" ref="G5343:G5358" si="823">ROUND(E5343*F5343,2)</f>
        <v>1.03</v>
      </c>
    </row>
    <row r="5344" ht="21.0" customHeight="1">
      <c r="A5344" s="10" t="s">
        <v>967</v>
      </c>
      <c r="B5344" s="10" t="s">
        <v>42</v>
      </c>
      <c r="C5344" s="10" t="s">
        <v>325</v>
      </c>
      <c r="D5344" s="10" t="s">
        <v>968</v>
      </c>
      <c r="E5344" s="14">
        <v>0.034</v>
      </c>
      <c r="F5344" s="15">
        <f>ROUND(6.49,3)</f>
        <v>6.49</v>
      </c>
      <c r="G5344" s="12">
        <f t="shared" si="823"/>
        <v>0.22</v>
      </c>
    </row>
    <row r="5345" ht="21.0" customHeight="1">
      <c r="A5345" s="10" t="s">
        <v>2338</v>
      </c>
      <c r="B5345" s="10" t="s">
        <v>42</v>
      </c>
      <c r="C5345" s="10" t="s">
        <v>330</v>
      </c>
      <c r="D5345" s="10" t="s">
        <v>2339</v>
      </c>
      <c r="E5345" s="14">
        <v>0.119</v>
      </c>
      <c r="F5345" s="15">
        <f>ROUND(2.95,3)</f>
        <v>2.95</v>
      </c>
      <c r="G5345" s="12">
        <f t="shared" si="823"/>
        <v>0.35</v>
      </c>
    </row>
    <row r="5346" ht="30.0" customHeight="1">
      <c r="A5346" s="10" t="s">
        <v>2340</v>
      </c>
      <c r="B5346" s="10" t="s">
        <v>42</v>
      </c>
      <c r="C5346" s="10" t="s">
        <v>344</v>
      </c>
      <c r="D5346" s="10" t="s">
        <v>2341</v>
      </c>
      <c r="E5346" s="14">
        <v>0.44</v>
      </c>
      <c r="F5346" s="15">
        <f>ROUND(0.74,3)</f>
        <v>0.74</v>
      </c>
      <c r="G5346" s="12">
        <f t="shared" si="823"/>
        <v>0.33</v>
      </c>
    </row>
    <row r="5347" ht="48.75" customHeight="1">
      <c r="A5347" s="10" t="s">
        <v>2376</v>
      </c>
      <c r="B5347" s="10" t="s">
        <v>42</v>
      </c>
      <c r="C5347" s="10" t="s">
        <v>330</v>
      </c>
      <c r="D5347" s="10" t="s">
        <v>2377</v>
      </c>
      <c r="E5347" s="14">
        <v>0.0595</v>
      </c>
      <c r="F5347" s="15">
        <f>ROUND(12.56,3)</f>
        <v>12.56</v>
      </c>
      <c r="G5347" s="12">
        <f t="shared" si="823"/>
        <v>0.75</v>
      </c>
    </row>
    <row r="5348" ht="30.0" customHeight="1">
      <c r="A5348" s="10" t="s">
        <v>2378</v>
      </c>
      <c r="B5348" s="10" t="s">
        <v>42</v>
      </c>
      <c r="C5348" s="10" t="s">
        <v>325</v>
      </c>
      <c r="D5348" s="10" t="s">
        <v>2379</v>
      </c>
      <c r="E5348" s="14">
        <v>0.02</v>
      </c>
      <c r="F5348" s="15">
        <f>ROUND(2.72,3)</f>
        <v>2.72</v>
      </c>
      <c r="G5348" s="12">
        <f t="shared" si="823"/>
        <v>0.05</v>
      </c>
    </row>
    <row r="5349" ht="39.75" customHeight="1">
      <c r="A5349" s="10" t="s">
        <v>2380</v>
      </c>
      <c r="B5349" s="10" t="s">
        <v>42</v>
      </c>
      <c r="C5349" s="10" t="s">
        <v>1997</v>
      </c>
      <c r="D5349" s="10" t="s">
        <v>2381</v>
      </c>
      <c r="E5349" s="14">
        <v>0.2387</v>
      </c>
      <c r="F5349" s="15">
        <f>ROUND(5.76,3)</f>
        <v>5.76</v>
      </c>
      <c r="G5349" s="12">
        <f t="shared" si="823"/>
        <v>1.37</v>
      </c>
    </row>
    <row r="5350" ht="39.75" customHeight="1">
      <c r="A5350" s="10" t="s">
        <v>2382</v>
      </c>
      <c r="B5350" s="10" t="s">
        <v>42</v>
      </c>
      <c r="C5350" s="10" t="s">
        <v>1997</v>
      </c>
      <c r="D5350" s="10" t="s">
        <v>2383</v>
      </c>
      <c r="E5350" s="14">
        <v>1.2483</v>
      </c>
      <c r="F5350" s="15">
        <f>ROUND(1.92,3)</f>
        <v>1.92</v>
      </c>
      <c r="G5350" s="12">
        <f t="shared" si="823"/>
        <v>2.4</v>
      </c>
    </row>
    <row r="5351" ht="39.75" customHeight="1">
      <c r="A5351" s="10" t="s">
        <v>2384</v>
      </c>
      <c r="B5351" s="10" t="s">
        <v>42</v>
      </c>
      <c r="C5351" s="10" t="s">
        <v>1997</v>
      </c>
      <c r="D5351" s="10" t="s">
        <v>2385</v>
      </c>
      <c r="E5351" s="14">
        <v>0.23777</v>
      </c>
      <c r="F5351" s="15">
        <f>ROUND(0.96,3)</f>
        <v>0.96</v>
      </c>
      <c r="G5351" s="12">
        <f t="shared" si="823"/>
        <v>0.23</v>
      </c>
    </row>
    <row r="5352" ht="39.75" customHeight="1">
      <c r="A5352" s="10" t="s">
        <v>2393</v>
      </c>
      <c r="B5352" s="10" t="s">
        <v>42</v>
      </c>
      <c r="C5352" s="10" t="s">
        <v>1881</v>
      </c>
      <c r="D5352" s="10" t="s">
        <v>2394</v>
      </c>
      <c r="E5352" s="14">
        <v>1.486</v>
      </c>
      <c r="F5352" s="15">
        <f>ROUND(3.96,3)</f>
        <v>3.96</v>
      </c>
      <c r="G5352" s="12">
        <f t="shared" si="823"/>
        <v>5.88</v>
      </c>
    </row>
    <row r="5353" ht="21.0" customHeight="1">
      <c r="A5353" s="10" t="s">
        <v>969</v>
      </c>
      <c r="B5353" s="10" t="s">
        <v>112</v>
      </c>
      <c r="C5353" s="10" t="s">
        <v>23</v>
      </c>
      <c r="D5353" s="10" t="s">
        <v>970</v>
      </c>
      <c r="E5353" s="14">
        <v>0.1</v>
      </c>
      <c r="F5353" s="15">
        <f>ROUND(2,3)</f>
        <v>2</v>
      </c>
      <c r="G5353" s="12">
        <f t="shared" si="823"/>
        <v>0.2</v>
      </c>
    </row>
    <row r="5354" ht="21.0" customHeight="1">
      <c r="A5354" s="10" t="s">
        <v>22</v>
      </c>
      <c r="B5354" s="10" t="s">
        <v>18</v>
      </c>
      <c r="C5354" s="10" t="s">
        <v>23</v>
      </c>
      <c r="D5354" s="10" t="s">
        <v>24</v>
      </c>
      <c r="E5354" s="14">
        <v>0.44444</v>
      </c>
      <c r="F5354" s="15">
        <f>F5358</f>
        <v>43.8</v>
      </c>
      <c r="G5354" s="12">
        <f t="shared" si="823"/>
        <v>19.47</v>
      </c>
    </row>
    <row r="5355" ht="24.0" customHeight="1">
      <c r="A5355" s="10" t="s">
        <v>25</v>
      </c>
      <c r="B5355" s="10" t="s">
        <v>26</v>
      </c>
      <c r="C5355" s="10" t="s">
        <v>23</v>
      </c>
      <c r="D5355" s="10" t="s">
        <v>27</v>
      </c>
      <c r="E5355" s="14">
        <v>1.0</v>
      </c>
      <c r="F5355" s="15">
        <f>ROUND(21,3)</f>
        <v>21</v>
      </c>
      <c r="G5355" s="12">
        <f t="shared" si="823"/>
        <v>21</v>
      </c>
    </row>
    <row r="5356" ht="24.0" customHeight="1">
      <c r="A5356" s="10" t="s">
        <v>28</v>
      </c>
      <c r="B5356" s="10" t="s">
        <v>26</v>
      </c>
      <c r="C5356" s="10" t="s">
        <v>23</v>
      </c>
      <c r="D5356" s="10" t="s">
        <v>29</v>
      </c>
      <c r="E5356" s="14">
        <v>1.0</v>
      </c>
      <c r="F5356" s="15">
        <f t="shared" ref="F5356:F5357" si="824">ROUND(19,3)</f>
        <v>19</v>
      </c>
      <c r="G5356" s="12">
        <f t="shared" si="823"/>
        <v>19</v>
      </c>
    </row>
    <row r="5357" ht="24.0" customHeight="1">
      <c r="A5357" s="10" t="s">
        <v>30</v>
      </c>
      <c r="B5357" s="10" t="s">
        <v>26</v>
      </c>
      <c r="C5357" s="10" t="s">
        <v>23</v>
      </c>
      <c r="D5357" s="10" t="s">
        <v>31</v>
      </c>
      <c r="E5357" s="14">
        <v>0.2</v>
      </c>
      <c r="F5357" s="15">
        <f t="shared" si="824"/>
        <v>19</v>
      </c>
      <c r="G5357" s="12">
        <f t="shared" si="823"/>
        <v>3.8</v>
      </c>
    </row>
    <row r="5358" ht="15.0" customHeight="1">
      <c r="A5358" s="11"/>
      <c r="B5358" s="11"/>
      <c r="C5358" s="11"/>
      <c r="D5358" s="10" t="s">
        <v>22</v>
      </c>
      <c r="E5358" s="14">
        <v>0.44444</v>
      </c>
      <c r="F5358" s="15">
        <f>ROUND((G5355+G5356+G5357),3)</f>
        <v>43.8</v>
      </c>
      <c r="G5358" s="12">
        <f t="shared" si="823"/>
        <v>19.47</v>
      </c>
    </row>
    <row r="5359" ht="15.0" customHeight="1">
      <c r="A5359" s="10" t="s">
        <v>32</v>
      </c>
      <c r="B5359" s="10"/>
      <c r="C5359" s="10" t="s">
        <v>33</v>
      </c>
      <c r="D5359" s="10" t="s">
        <v>34</v>
      </c>
      <c r="E5359" s="14">
        <v>5.0</v>
      </c>
      <c r="F5359" s="15">
        <f>ROUND(19.47,3)</f>
        <v>19.47</v>
      </c>
      <c r="G5359" s="12">
        <f>ROUND((E5359*F5359)/100,2)</f>
        <v>0.97</v>
      </c>
    </row>
    <row r="5360" ht="15.0" customHeight="1">
      <c r="A5360" s="16"/>
      <c r="B5360" s="16"/>
      <c r="C5360" s="16"/>
      <c r="D5360" s="17" t="s">
        <v>2397</v>
      </c>
      <c r="E5360" s="16"/>
      <c r="F5360" s="18">
        <f>ROUND((G5343+G5344+G5345+G5346+G5347+G5348+G5349+G5350+G5351+G5352+G5353+G5354+G5359)*(1+G2/100),2)</f>
        <v>33.25</v>
      </c>
      <c r="G5360" s="16"/>
    </row>
    <row r="5361" ht="15.0" customHeight="1">
      <c r="A5361" s="23"/>
      <c r="B5361" s="23"/>
      <c r="C5361" s="23"/>
      <c r="D5361" s="30" t="s">
        <v>2369</v>
      </c>
      <c r="E5361" s="31"/>
      <c r="F5361" s="31"/>
      <c r="G5361" s="31"/>
    </row>
    <row r="5362" ht="24.75" customHeight="1">
      <c r="A5362" s="50" t="s">
        <v>2399</v>
      </c>
      <c r="B5362" s="50" t="s">
        <v>10</v>
      </c>
      <c r="C5362" s="51"/>
      <c r="D5362" s="50" t="s">
        <v>2400</v>
      </c>
      <c r="E5362" s="51"/>
      <c r="F5362" s="51"/>
      <c r="G5362" s="51"/>
    </row>
    <row r="5363" ht="24.75" customHeight="1">
      <c r="A5363" s="13" t="s">
        <v>2401</v>
      </c>
      <c r="B5363" s="10" t="s">
        <v>18</v>
      </c>
      <c r="C5363" s="10" t="s">
        <v>19</v>
      </c>
      <c r="D5363" s="10" t="s">
        <v>2402</v>
      </c>
      <c r="E5363" s="11"/>
      <c r="F5363" s="12">
        <f>F5377</f>
        <v>150.78</v>
      </c>
      <c r="G5363" s="11"/>
    </row>
    <row r="5364" ht="12.0" customHeight="1">
      <c r="A5364" s="11"/>
      <c r="B5364" s="11"/>
      <c r="C5364" s="11"/>
      <c r="D5364" s="10" t="s">
        <v>2402</v>
      </c>
    </row>
    <row r="5365" ht="30.0" customHeight="1">
      <c r="A5365" s="10" t="s">
        <v>2403</v>
      </c>
      <c r="B5365" s="10" t="s">
        <v>42</v>
      </c>
      <c r="C5365" s="10" t="s">
        <v>1881</v>
      </c>
      <c r="D5365" s="10" t="s">
        <v>2404</v>
      </c>
      <c r="E5365" s="14">
        <v>1.05</v>
      </c>
      <c r="F5365" s="15">
        <f>ROUND(10.51,3)</f>
        <v>10.51</v>
      </c>
      <c r="G5365" s="12">
        <f t="shared" ref="G5365:G5375" si="825">ROUND(E5365*F5365,2)</f>
        <v>11.04</v>
      </c>
    </row>
    <row r="5366" ht="30.0" customHeight="1">
      <c r="A5366" s="10" t="s">
        <v>2405</v>
      </c>
      <c r="B5366" s="10" t="s">
        <v>42</v>
      </c>
      <c r="C5366" s="10" t="s">
        <v>1997</v>
      </c>
      <c r="D5366" s="10" t="s">
        <v>2406</v>
      </c>
      <c r="E5366" s="14">
        <v>0.13333</v>
      </c>
      <c r="F5366" s="15">
        <f>ROUND(2.49,3)</f>
        <v>2.49</v>
      </c>
      <c r="G5366" s="12">
        <f t="shared" si="825"/>
        <v>0.33</v>
      </c>
    </row>
    <row r="5367" ht="30.0" customHeight="1">
      <c r="A5367" s="10" t="s">
        <v>2336</v>
      </c>
      <c r="B5367" s="10" t="s">
        <v>42</v>
      </c>
      <c r="C5367" s="10" t="s">
        <v>1997</v>
      </c>
      <c r="D5367" s="10" t="s">
        <v>2337</v>
      </c>
      <c r="E5367" s="14">
        <v>0.13333</v>
      </c>
      <c r="F5367" s="15">
        <f>ROUND(2.37,3)</f>
        <v>2.37</v>
      </c>
      <c r="G5367" s="12">
        <f t="shared" si="825"/>
        <v>0.32</v>
      </c>
    </row>
    <row r="5368" ht="21.0" customHeight="1">
      <c r="A5368" s="10" t="s">
        <v>2407</v>
      </c>
      <c r="B5368" s="10" t="s">
        <v>42</v>
      </c>
      <c r="C5368" s="10" t="s">
        <v>325</v>
      </c>
      <c r="D5368" s="10" t="s">
        <v>2408</v>
      </c>
      <c r="E5368" s="14">
        <v>0.068</v>
      </c>
      <c r="F5368" s="15">
        <f>ROUND(7.99,3)</f>
        <v>7.99</v>
      </c>
      <c r="G5368" s="12">
        <f t="shared" si="825"/>
        <v>0.54</v>
      </c>
    </row>
    <row r="5369" ht="21.0" customHeight="1">
      <c r="A5369" s="10" t="s">
        <v>2409</v>
      </c>
      <c r="B5369" s="10" t="s">
        <v>42</v>
      </c>
      <c r="C5369" s="10" t="s">
        <v>226</v>
      </c>
      <c r="D5369" s="10" t="s">
        <v>2410</v>
      </c>
      <c r="E5369" s="14">
        <v>0.04167</v>
      </c>
      <c r="F5369" s="15">
        <f>ROUND(7.39,3)</f>
        <v>7.39</v>
      </c>
      <c r="G5369" s="12">
        <f t="shared" si="825"/>
        <v>0.31</v>
      </c>
    </row>
    <row r="5370" ht="21.0" customHeight="1">
      <c r="A5370" s="10" t="s">
        <v>2411</v>
      </c>
      <c r="B5370" s="10" t="s">
        <v>42</v>
      </c>
      <c r="C5370" s="10" t="s">
        <v>184</v>
      </c>
      <c r="D5370" s="10" t="s">
        <v>2412</v>
      </c>
      <c r="E5370" s="14">
        <v>0.01833</v>
      </c>
      <c r="F5370" s="15">
        <f>ROUND(14.87,3)</f>
        <v>14.87</v>
      </c>
      <c r="G5370" s="12">
        <f t="shared" si="825"/>
        <v>0.27</v>
      </c>
    </row>
    <row r="5371" ht="21.0" customHeight="1">
      <c r="A5371" s="10" t="s">
        <v>22</v>
      </c>
      <c r="B5371" s="10" t="s">
        <v>18</v>
      </c>
      <c r="C5371" s="10" t="s">
        <v>23</v>
      </c>
      <c r="D5371" s="10" t="s">
        <v>24</v>
      </c>
      <c r="E5371" s="14">
        <v>3.0</v>
      </c>
      <c r="F5371" s="15">
        <f>F5375</f>
        <v>43.8</v>
      </c>
      <c r="G5371" s="12">
        <f t="shared" si="825"/>
        <v>131.4</v>
      </c>
    </row>
    <row r="5372" ht="24.0" customHeight="1">
      <c r="A5372" s="10" t="s">
        <v>25</v>
      </c>
      <c r="B5372" s="10" t="s">
        <v>26</v>
      </c>
      <c r="C5372" s="10" t="s">
        <v>23</v>
      </c>
      <c r="D5372" s="10" t="s">
        <v>27</v>
      </c>
      <c r="E5372" s="14">
        <v>1.0</v>
      </c>
      <c r="F5372" s="15">
        <f>ROUND(21,3)</f>
        <v>21</v>
      </c>
      <c r="G5372" s="12">
        <f t="shared" si="825"/>
        <v>21</v>
      </c>
    </row>
    <row r="5373" ht="24.0" customHeight="1">
      <c r="A5373" s="10" t="s">
        <v>28</v>
      </c>
      <c r="B5373" s="10" t="s">
        <v>26</v>
      </c>
      <c r="C5373" s="10" t="s">
        <v>23</v>
      </c>
      <c r="D5373" s="10" t="s">
        <v>29</v>
      </c>
      <c r="E5373" s="14">
        <v>1.0</v>
      </c>
      <c r="F5373" s="15">
        <f t="shared" ref="F5373:F5374" si="826">ROUND(19,3)</f>
        <v>19</v>
      </c>
      <c r="G5373" s="12">
        <f t="shared" si="825"/>
        <v>19</v>
      </c>
    </row>
    <row r="5374" ht="24.0" customHeight="1">
      <c r="A5374" s="10" t="s">
        <v>30</v>
      </c>
      <c r="B5374" s="10" t="s">
        <v>26</v>
      </c>
      <c r="C5374" s="10" t="s">
        <v>23</v>
      </c>
      <c r="D5374" s="10" t="s">
        <v>31</v>
      </c>
      <c r="E5374" s="14">
        <v>0.2</v>
      </c>
      <c r="F5374" s="15">
        <f t="shared" si="826"/>
        <v>19</v>
      </c>
      <c r="G5374" s="12">
        <f t="shared" si="825"/>
        <v>3.8</v>
      </c>
    </row>
    <row r="5375" ht="15.0" customHeight="1">
      <c r="A5375" s="11"/>
      <c r="B5375" s="11"/>
      <c r="C5375" s="11"/>
      <c r="D5375" s="10" t="s">
        <v>22</v>
      </c>
      <c r="E5375" s="14">
        <v>3.0</v>
      </c>
      <c r="F5375" s="15">
        <f>ROUND((G5372+G5373+G5374),3)</f>
        <v>43.8</v>
      </c>
      <c r="G5375" s="12">
        <f t="shared" si="825"/>
        <v>131.4</v>
      </c>
    </row>
    <row r="5376" ht="15.0" customHeight="1">
      <c r="A5376" s="10" t="s">
        <v>32</v>
      </c>
      <c r="B5376" s="10"/>
      <c r="C5376" s="10" t="s">
        <v>33</v>
      </c>
      <c r="D5376" s="10" t="s">
        <v>34</v>
      </c>
      <c r="E5376" s="14">
        <v>5.0</v>
      </c>
      <c r="F5376" s="15">
        <f>ROUND(131.4,3)</f>
        <v>131.4</v>
      </c>
      <c r="G5376" s="12">
        <f>ROUND((E5376*F5376)/100,2)</f>
        <v>6.57</v>
      </c>
    </row>
    <row r="5377" ht="24.75" customHeight="1">
      <c r="A5377" s="16"/>
      <c r="B5377" s="16"/>
      <c r="C5377" s="16"/>
      <c r="D5377" s="17" t="s">
        <v>2401</v>
      </c>
      <c r="E5377" s="16"/>
      <c r="F5377" s="18">
        <f>ROUND((G5365+G5366+G5367+G5368+G5369+G5370+G5371+G5376)*(1+G2/100),2)</f>
        <v>150.78</v>
      </c>
      <c r="G5377" s="16"/>
    </row>
    <row r="5378" ht="34.5" customHeight="1">
      <c r="A5378" s="19" t="s">
        <v>2413</v>
      </c>
      <c r="B5378" s="20" t="s">
        <v>18</v>
      </c>
      <c r="C5378" s="20" t="s">
        <v>19</v>
      </c>
      <c r="D5378" s="20" t="s">
        <v>2414</v>
      </c>
      <c r="E5378" s="21"/>
      <c r="F5378" s="22">
        <f>F5392</f>
        <v>159.85</v>
      </c>
      <c r="G5378" s="21"/>
    </row>
    <row r="5379" ht="12.0" customHeight="1">
      <c r="A5379" s="11"/>
      <c r="B5379" s="11"/>
      <c r="C5379" s="11"/>
      <c r="D5379" s="10" t="s">
        <v>2414</v>
      </c>
    </row>
    <row r="5380" ht="30.0" customHeight="1">
      <c r="A5380" s="10" t="s">
        <v>2350</v>
      </c>
      <c r="B5380" s="10" t="s">
        <v>42</v>
      </c>
      <c r="C5380" s="10" t="s">
        <v>1881</v>
      </c>
      <c r="D5380" s="10" t="s">
        <v>2351</v>
      </c>
      <c r="E5380" s="14">
        <v>1.05</v>
      </c>
      <c r="F5380" s="15">
        <f>ROUND(19.15,3)</f>
        <v>19.15</v>
      </c>
      <c r="G5380" s="12">
        <f t="shared" ref="G5380:G5390" si="827">ROUND(E5380*F5380,2)</f>
        <v>20.11</v>
      </c>
    </row>
    <row r="5381" ht="30.0" customHeight="1">
      <c r="A5381" s="10" t="s">
        <v>2405</v>
      </c>
      <c r="B5381" s="10" t="s">
        <v>42</v>
      </c>
      <c r="C5381" s="10" t="s">
        <v>1997</v>
      </c>
      <c r="D5381" s="10" t="s">
        <v>2406</v>
      </c>
      <c r="E5381" s="14">
        <v>0.13333</v>
      </c>
      <c r="F5381" s="15">
        <f>ROUND(2.49,3)</f>
        <v>2.49</v>
      </c>
      <c r="G5381" s="12">
        <f t="shared" si="827"/>
        <v>0.33</v>
      </c>
    </row>
    <row r="5382" ht="30.0" customHeight="1">
      <c r="A5382" s="10" t="s">
        <v>2336</v>
      </c>
      <c r="B5382" s="10" t="s">
        <v>42</v>
      </c>
      <c r="C5382" s="10" t="s">
        <v>1997</v>
      </c>
      <c r="D5382" s="10" t="s">
        <v>2337</v>
      </c>
      <c r="E5382" s="14">
        <v>0.13333</v>
      </c>
      <c r="F5382" s="15">
        <f>ROUND(2.37,3)</f>
        <v>2.37</v>
      </c>
      <c r="G5382" s="12">
        <f t="shared" si="827"/>
        <v>0.32</v>
      </c>
    </row>
    <row r="5383" ht="21.0" customHeight="1">
      <c r="A5383" s="10" t="s">
        <v>2407</v>
      </c>
      <c r="B5383" s="10" t="s">
        <v>42</v>
      </c>
      <c r="C5383" s="10" t="s">
        <v>325</v>
      </c>
      <c r="D5383" s="10" t="s">
        <v>2408</v>
      </c>
      <c r="E5383" s="14">
        <v>0.068</v>
      </c>
      <c r="F5383" s="15">
        <f>ROUND(7.99,3)</f>
        <v>7.99</v>
      </c>
      <c r="G5383" s="12">
        <f t="shared" si="827"/>
        <v>0.54</v>
      </c>
    </row>
    <row r="5384" ht="21.0" customHeight="1">
      <c r="A5384" s="10" t="s">
        <v>2409</v>
      </c>
      <c r="B5384" s="10" t="s">
        <v>42</v>
      </c>
      <c r="C5384" s="10" t="s">
        <v>226</v>
      </c>
      <c r="D5384" s="10" t="s">
        <v>2410</v>
      </c>
      <c r="E5384" s="14">
        <v>0.04167</v>
      </c>
      <c r="F5384" s="15">
        <f>ROUND(7.39,3)</f>
        <v>7.39</v>
      </c>
      <c r="G5384" s="12">
        <f t="shared" si="827"/>
        <v>0.31</v>
      </c>
    </row>
    <row r="5385" ht="21.0" customHeight="1">
      <c r="A5385" s="10" t="s">
        <v>2411</v>
      </c>
      <c r="B5385" s="10" t="s">
        <v>42</v>
      </c>
      <c r="C5385" s="10" t="s">
        <v>184</v>
      </c>
      <c r="D5385" s="10" t="s">
        <v>2412</v>
      </c>
      <c r="E5385" s="14">
        <v>0.01833</v>
      </c>
      <c r="F5385" s="15">
        <f>ROUND(14.87,3)</f>
        <v>14.87</v>
      </c>
      <c r="G5385" s="12">
        <f t="shared" si="827"/>
        <v>0.27</v>
      </c>
    </row>
    <row r="5386" ht="21.0" customHeight="1">
      <c r="A5386" s="10" t="s">
        <v>22</v>
      </c>
      <c r="B5386" s="10" t="s">
        <v>18</v>
      </c>
      <c r="C5386" s="10" t="s">
        <v>23</v>
      </c>
      <c r="D5386" s="10" t="s">
        <v>24</v>
      </c>
      <c r="E5386" s="14">
        <v>3.0</v>
      </c>
      <c r="F5386" s="15">
        <f>F5390</f>
        <v>43.8</v>
      </c>
      <c r="G5386" s="12">
        <f t="shared" si="827"/>
        <v>131.4</v>
      </c>
    </row>
    <row r="5387" ht="24.0" customHeight="1">
      <c r="A5387" s="10" t="s">
        <v>25</v>
      </c>
      <c r="B5387" s="10" t="s">
        <v>26</v>
      </c>
      <c r="C5387" s="10" t="s">
        <v>23</v>
      </c>
      <c r="D5387" s="10" t="s">
        <v>27</v>
      </c>
      <c r="E5387" s="14">
        <v>1.0</v>
      </c>
      <c r="F5387" s="15">
        <f>ROUND(21,3)</f>
        <v>21</v>
      </c>
      <c r="G5387" s="12">
        <f t="shared" si="827"/>
        <v>21</v>
      </c>
    </row>
    <row r="5388" ht="24.0" customHeight="1">
      <c r="A5388" s="10" t="s">
        <v>28</v>
      </c>
      <c r="B5388" s="10" t="s">
        <v>26</v>
      </c>
      <c r="C5388" s="10" t="s">
        <v>23</v>
      </c>
      <c r="D5388" s="10" t="s">
        <v>29</v>
      </c>
      <c r="E5388" s="14">
        <v>1.0</v>
      </c>
      <c r="F5388" s="15">
        <f t="shared" ref="F5388:F5389" si="828">ROUND(19,3)</f>
        <v>19</v>
      </c>
      <c r="G5388" s="12">
        <f t="shared" si="827"/>
        <v>19</v>
      </c>
    </row>
    <row r="5389" ht="24.0" customHeight="1">
      <c r="A5389" s="10" t="s">
        <v>30</v>
      </c>
      <c r="B5389" s="10" t="s">
        <v>26</v>
      </c>
      <c r="C5389" s="10" t="s">
        <v>23</v>
      </c>
      <c r="D5389" s="10" t="s">
        <v>31</v>
      </c>
      <c r="E5389" s="14">
        <v>0.2</v>
      </c>
      <c r="F5389" s="15">
        <f t="shared" si="828"/>
        <v>19</v>
      </c>
      <c r="G5389" s="12">
        <f t="shared" si="827"/>
        <v>3.8</v>
      </c>
    </row>
    <row r="5390" ht="15.0" customHeight="1">
      <c r="A5390" s="11"/>
      <c r="B5390" s="11"/>
      <c r="C5390" s="11"/>
      <c r="D5390" s="10" t="s">
        <v>22</v>
      </c>
      <c r="E5390" s="14">
        <v>3.0</v>
      </c>
      <c r="F5390" s="15">
        <f>ROUND((G5387+G5388+G5389),3)</f>
        <v>43.8</v>
      </c>
      <c r="G5390" s="12">
        <f t="shared" si="827"/>
        <v>131.4</v>
      </c>
    </row>
    <row r="5391" ht="15.0" customHeight="1">
      <c r="A5391" s="10" t="s">
        <v>32</v>
      </c>
      <c r="B5391" s="10"/>
      <c r="C5391" s="10" t="s">
        <v>33</v>
      </c>
      <c r="D5391" s="10" t="s">
        <v>34</v>
      </c>
      <c r="E5391" s="14">
        <v>5.0</v>
      </c>
      <c r="F5391" s="15">
        <f>ROUND(131.4,3)</f>
        <v>131.4</v>
      </c>
      <c r="G5391" s="12">
        <f>ROUND((E5391*F5391)/100,2)</f>
        <v>6.57</v>
      </c>
    </row>
    <row r="5392" ht="24.75" customHeight="1">
      <c r="A5392" s="16"/>
      <c r="B5392" s="16"/>
      <c r="C5392" s="16"/>
      <c r="D5392" s="17" t="s">
        <v>2413</v>
      </c>
      <c r="E5392" s="16"/>
      <c r="F5392" s="18">
        <f>ROUND((G5380+G5381+G5382+G5383+G5384+G5385+G5386+G5391)*(1+G2/100),2)</f>
        <v>159.85</v>
      </c>
      <c r="G5392" s="16"/>
    </row>
    <row r="5393" ht="15.0" customHeight="1">
      <c r="A5393" s="23"/>
      <c r="B5393" s="23"/>
      <c r="C5393" s="23"/>
      <c r="D5393" s="30" t="s">
        <v>2399</v>
      </c>
      <c r="E5393" s="31"/>
      <c r="F5393" s="31"/>
      <c r="G5393" s="31"/>
    </row>
    <row r="5394" ht="15.0" customHeight="1">
      <c r="A5394" s="23"/>
      <c r="B5394" s="23"/>
      <c r="C5394" s="23"/>
      <c r="D5394" s="24" t="s">
        <v>2330</v>
      </c>
      <c r="E5394" s="25"/>
      <c r="F5394" s="25"/>
      <c r="G5394" s="25"/>
    </row>
    <row r="5395" ht="15.0" customHeight="1">
      <c r="A5395" s="23"/>
      <c r="B5395" s="23"/>
      <c r="C5395" s="23"/>
      <c r="D5395" s="32" t="s">
        <v>2293</v>
      </c>
      <c r="E5395" s="33"/>
      <c r="F5395" s="33"/>
      <c r="G5395" s="33"/>
    </row>
    <row r="5396" ht="21.0" customHeight="1">
      <c r="A5396" s="19" t="s">
        <v>2415</v>
      </c>
      <c r="B5396" s="20" t="s">
        <v>18</v>
      </c>
      <c r="C5396" s="20" t="s">
        <v>251</v>
      </c>
      <c r="D5396" s="20" t="s">
        <v>2416</v>
      </c>
      <c r="E5396" s="21"/>
      <c r="F5396" s="22">
        <f>F5403</f>
        <v>129.96</v>
      </c>
      <c r="G5396" s="21"/>
    </row>
    <row r="5397" ht="39.75" customHeight="1">
      <c r="A5397" s="11"/>
      <c r="B5397" s="11"/>
      <c r="C5397" s="11"/>
      <c r="D5397" s="10" t="s">
        <v>863</v>
      </c>
    </row>
    <row r="5398" ht="21.0" customHeight="1">
      <c r="A5398" s="10" t="s">
        <v>2417</v>
      </c>
      <c r="B5398" s="10" t="s">
        <v>42</v>
      </c>
      <c r="C5398" s="10" t="s">
        <v>19</v>
      </c>
      <c r="D5398" s="10" t="s">
        <v>2418</v>
      </c>
      <c r="E5398" s="14">
        <v>1.0</v>
      </c>
      <c r="F5398" s="15">
        <f>ROUND(94,3)</f>
        <v>94</v>
      </c>
      <c r="G5398" s="12">
        <f t="shared" ref="G5398:G5402" si="829">ROUND(E5398*F5398,2)</f>
        <v>94</v>
      </c>
    </row>
    <row r="5399" ht="30.0" customHeight="1">
      <c r="A5399" s="10" t="s">
        <v>2419</v>
      </c>
      <c r="B5399" s="10" t="s">
        <v>42</v>
      </c>
      <c r="C5399" s="10" t="s">
        <v>1207</v>
      </c>
      <c r="D5399" s="10" t="s">
        <v>2420</v>
      </c>
      <c r="E5399" s="14">
        <v>1.0</v>
      </c>
      <c r="F5399" s="15">
        <f>ROUND(2,3)</f>
        <v>2</v>
      </c>
      <c r="G5399" s="12">
        <f t="shared" si="829"/>
        <v>2</v>
      </c>
    </row>
    <row r="5400" ht="30.0" customHeight="1">
      <c r="A5400" s="10" t="s">
        <v>2421</v>
      </c>
      <c r="B5400" s="10" t="s">
        <v>42</v>
      </c>
      <c r="C5400" s="10" t="s">
        <v>23</v>
      </c>
      <c r="D5400" s="10" t="s">
        <v>2422</v>
      </c>
      <c r="E5400" s="14">
        <v>0.08</v>
      </c>
      <c r="F5400" s="15">
        <f>ROUND(127,3)</f>
        <v>127</v>
      </c>
      <c r="G5400" s="12">
        <f t="shared" si="829"/>
        <v>10.16</v>
      </c>
    </row>
    <row r="5401" ht="24.0" customHeight="1">
      <c r="A5401" s="10" t="s">
        <v>1186</v>
      </c>
      <c r="B5401" s="10" t="s">
        <v>26</v>
      </c>
      <c r="C5401" s="10" t="s">
        <v>23</v>
      </c>
      <c r="D5401" s="10" t="s">
        <v>1187</v>
      </c>
      <c r="E5401" s="14">
        <v>0.4</v>
      </c>
      <c r="F5401" s="15">
        <f>ROUND(49.5,3)</f>
        <v>49.5</v>
      </c>
      <c r="G5401" s="12">
        <f t="shared" si="829"/>
        <v>19.8</v>
      </c>
    </row>
    <row r="5402" ht="21.0" customHeight="1">
      <c r="A5402" s="10" t="s">
        <v>2423</v>
      </c>
      <c r="B5402" s="10" t="s">
        <v>42</v>
      </c>
      <c r="C5402" s="10" t="s">
        <v>19</v>
      </c>
      <c r="D5402" s="10" t="s">
        <v>2424</v>
      </c>
      <c r="E5402" s="14">
        <v>1.0</v>
      </c>
      <c r="F5402" s="15">
        <f>ROUND(4,3)</f>
        <v>4</v>
      </c>
      <c r="G5402" s="12">
        <f t="shared" si="829"/>
        <v>4</v>
      </c>
    </row>
    <row r="5403" ht="15.0" customHeight="1">
      <c r="A5403" s="16"/>
      <c r="B5403" s="16"/>
      <c r="C5403" s="16"/>
      <c r="D5403" s="17" t="s">
        <v>2415</v>
      </c>
      <c r="E5403" s="16"/>
      <c r="F5403" s="18">
        <f>ROUND((G5398+G5399+G5400+G5401+G5402)*(1+G2/100),2)</f>
        <v>129.96</v>
      </c>
      <c r="G5403" s="16"/>
    </row>
    <row r="5404" ht="15.0" customHeight="1">
      <c r="A5404" s="34" t="s">
        <v>2425</v>
      </c>
      <c r="B5404" s="34" t="s">
        <v>10</v>
      </c>
      <c r="C5404" s="35"/>
      <c r="D5404" s="34" t="s">
        <v>2426</v>
      </c>
      <c r="E5404" s="35"/>
      <c r="F5404" s="35"/>
      <c r="G5404" s="35"/>
    </row>
    <row r="5405" ht="21.0" customHeight="1">
      <c r="A5405" s="13" t="s">
        <v>2427</v>
      </c>
      <c r="B5405" s="10" t="s">
        <v>18</v>
      </c>
      <c r="C5405" s="10" t="s">
        <v>295</v>
      </c>
      <c r="D5405" s="10" t="s">
        <v>2428</v>
      </c>
      <c r="E5405" s="11"/>
      <c r="F5405" s="12">
        <f>F5426</f>
        <v>48.4</v>
      </c>
      <c r="G5405" s="11"/>
    </row>
    <row r="5406" ht="48.75" customHeight="1">
      <c r="A5406" s="11"/>
      <c r="B5406" s="11"/>
      <c r="C5406" s="11"/>
      <c r="D5406" s="10" t="s">
        <v>2429</v>
      </c>
    </row>
    <row r="5407" ht="48.75" customHeight="1">
      <c r="A5407" s="10" t="s">
        <v>1747</v>
      </c>
      <c r="B5407" s="10" t="s">
        <v>42</v>
      </c>
      <c r="C5407" s="10" t="s">
        <v>344</v>
      </c>
      <c r="D5407" s="10" t="s">
        <v>1748</v>
      </c>
      <c r="E5407" s="14">
        <v>0.1</v>
      </c>
      <c r="F5407" s="15">
        <f>ROUND(52.89,3)</f>
        <v>52.89</v>
      </c>
      <c r="G5407" s="12">
        <f t="shared" ref="G5407:G5424" si="830">ROUND(E5407*F5407,2)</f>
        <v>5.29</v>
      </c>
    </row>
    <row r="5408" ht="39.75" customHeight="1">
      <c r="A5408" s="10" t="s">
        <v>2430</v>
      </c>
      <c r="B5408" s="10" t="s">
        <v>42</v>
      </c>
      <c r="C5408" s="10" t="s">
        <v>344</v>
      </c>
      <c r="D5408" s="10" t="s">
        <v>2431</v>
      </c>
      <c r="E5408" s="14">
        <v>0.1</v>
      </c>
      <c r="F5408" s="15">
        <f>ROUND(26,3)</f>
        <v>26</v>
      </c>
      <c r="G5408" s="12">
        <f t="shared" si="830"/>
        <v>2.6</v>
      </c>
    </row>
    <row r="5409" ht="30.0" customHeight="1">
      <c r="A5409" s="10" t="s">
        <v>1378</v>
      </c>
      <c r="B5409" s="10" t="s">
        <v>42</v>
      </c>
      <c r="C5409" s="10" t="s">
        <v>330</v>
      </c>
      <c r="D5409" s="10" t="s">
        <v>1379</v>
      </c>
      <c r="E5409" s="14">
        <v>0.1</v>
      </c>
      <c r="F5409" s="15">
        <f>ROUND(6.14,3)</f>
        <v>6.14</v>
      </c>
      <c r="G5409" s="12">
        <f t="shared" si="830"/>
        <v>0.61</v>
      </c>
    </row>
    <row r="5410" ht="39.75" customHeight="1">
      <c r="A5410" s="10" t="s">
        <v>1340</v>
      </c>
      <c r="B5410" s="10" t="s">
        <v>42</v>
      </c>
      <c r="C5410" s="10" t="s">
        <v>1245</v>
      </c>
      <c r="D5410" s="10" t="s">
        <v>1341</v>
      </c>
      <c r="E5410" s="14">
        <v>0.0845</v>
      </c>
      <c r="F5410" s="15">
        <f>ROUND(7.37,3)</f>
        <v>7.37</v>
      </c>
      <c r="G5410" s="12">
        <f t="shared" si="830"/>
        <v>0.62</v>
      </c>
    </row>
    <row r="5411" ht="30.0" customHeight="1">
      <c r="A5411" s="10" t="s">
        <v>1745</v>
      </c>
      <c r="B5411" s="10" t="s">
        <v>42</v>
      </c>
      <c r="C5411" s="10" t="s">
        <v>330</v>
      </c>
      <c r="D5411" s="10" t="s">
        <v>1746</v>
      </c>
      <c r="E5411" s="14">
        <v>0.25</v>
      </c>
      <c r="F5411" s="15">
        <f>ROUND(7.93,3)</f>
        <v>7.93</v>
      </c>
      <c r="G5411" s="12">
        <f t="shared" si="830"/>
        <v>1.98</v>
      </c>
    </row>
    <row r="5412" ht="39.75" customHeight="1">
      <c r="A5412" s="10" t="s">
        <v>2432</v>
      </c>
      <c r="B5412" s="10" t="s">
        <v>42</v>
      </c>
      <c r="C5412" s="10" t="s">
        <v>325</v>
      </c>
      <c r="D5412" s="10" t="s">
        <v>2433</v>
      </c>
      <c r="E5412" s="14">
        <v>0.25</v>
      </c>
      <c r="F5412" s="15">
        <f>ROUND(13.53,3)</f>
        <v>13.53</v>
      </c>
      <c r="G5412" s="12">
        <f t="shared" si="830"/>
        <v>3.38</v>
      </c>
    </row>
    <row r="5413" ht="39.75" customHeight="1">
      <c r="A5413" s="10" t="s">
        <v>2434</v>
      </c>
      <c r="B5413" s="10" t="s">
        <v>42</v>
      </c>
      <c r="C5413" s="10" t="s">
        <v>2435</v>
      </c>
      <c r="D5413" s="10" t="s">
        <v>2436</v>
      </c>
      <c r="E5413" s="14">
        <v>0.01</v>
      </c>
      <c r="F5413" s="15">
        <f>ROUND(7.65,3)</f>
        <v>7.65</v>
      </c>
      <c r="G5413" s="12">
        <f t="shared" si="830"/>
        <v>0.08</v>
      </c>
    </row>
    <row r="5414" ht="24.0" customHeight="1">
      <c r="A5414" s="10" t="s">
        <v>2437</v>
      </c>
      <c r="B5414" s="10" t="s">
        <v>42</v>
      </c>
      <c r="C5414" s="10" t="s">
        <v>43</v>
      </c>
      <c r="D5414" s="10" t="s">
        <v>2438</v>
      </c>
      <c r="E5414" s="14">
        <v>0.002</v>
      </c>
      <c r="F5414" s="15">
        <f>ROUND(35.3,3)</f>
        <v>35.3</v>
      </c>
      <c r="G5414" s="12">
        <f t="shared" si="830"/>
        <v>0.07</v>
      </c>
    </row>
    <row r="5415" ht="39.75" customHeight="1">
      <c r="A5415" s="10" t="s">
        <v>1435</v>
      </c>
      <c r="B5415" s="10" t="s">
        <v>112</v>
      </c>
      <c r="C5415" s="10" t="s">
        <v>23</v>
      </c>
      <c r="D5415" s="10" t="s">
        <v>1436</v>
      </c>
      <c r="E5415" s="14">
        <v>0.2</v>
      </c>
      <c r="F5415" s="15">
        <f>ROUND(2.86,3)</f>
        <v>2.86</v>
      </c>
      <c r="G5415" s="12">
        <f t="shared" si="830"/>
        <v>0.57</v>
      </c>
    </row>
    <row r="5416" ht="39.75" customHeight="1">
      <c r="A5416" s="10" t="s">
        <v>953</v>
      </c>
      <c r="B5416" s="10" t="s">
        <v>112</v>
      </c>
      <c r="C5416" s="10" t="s">
        <v>23</v>
      </c>
      <c r="D5416" s="10" t="s">
        <v>954</v>
      </c>
      <c r="E5416" s="14">
        <v>0.1</v>
      </c>
      <c r="F5416" s="15">
        <f>ROUND(1.75,3)</f>
        <v>1.75</v>
      </c>
      <c r="G5416" s="12">
        <f t="shared" si="830"/>
        <v>0.18</v>
      </c>
    </row>
    <row r="5417" ht="21.0" customHeight="1">
      <c r="A5417" s="10" t="s">
        <v>969</v>
      </c>
      <c r="B5417" s="10" t="s">
        <v>112</v>
      </c>
      <c r="C5417" s="10" t="s">
        <v>23</v>
      </c>
      <c r="D5417" s="10" t="s">
        <v>970</v>
      </c>
      <c r="E5417" s="14">
        <v>0.2</v>
      </c>
      <c r="F5417" s="15">
        <f>ROUND(2,3)</f>
        <v>2</v>
      </c>
      <c r="G5417" s="12">
        <f t="shared" si="830"/>
        <v>0.4</v>
      </c>
    </row>
    <row r="5418" ht="30.0" customHeight="1">
      <c r="A5418" s="10" t="s">
        <v>971</v>
      </c>
      <c r="B5418" s="10" t="s">
        <v>42</v>
      </c>
      <c r="C5418" s="10" t="s">
        <v>231</v>
      </c>
      <c r="D5418" s="10" t="s">
        <v>972</v>
      </c>
      <c r="E5418" s="14">
        <v>0.1</v>
      </c>
      <c r="F5418" s="15">
        <f>ROUND(4.92,3)</f>
        <v>4.92</v>
      </c>
      <c r="G5418" s="12">
        <f t="shared" si="830"/>
        <v>0.49</v>
      </c>
    </row>
    <row r="5419" ht="21.0" customHeight="1">
      <c r="A5419" s="10" t="s">
        <v>1344</v>
      </c>
      <c r="B5419" s="10" t="s">
        <v>42</v>
      </c>
      <c r="C5419" s="10" t="s">
        <v>231</v>
      </c>
      <c r="D5419" s="10" t="s">
        <v>1345</v>
      </c>
      <c r="E5419" s="14">
        <v>0.1</v>
      </c>
      <c r="F5419" s="15">
        <f>ROUND(5.52,3)</f>
        <v>5.52</v>
      </c>
      <c r="G5419" s="12">
        <f t="shared" si="830"/>
        <v>0.55</v>
      </c>
    </row>
    <row r="5420" ht="21.0" customHeight="1">
      <c r="A5420" s="10" t="s">
        <v>22</v>
      </c>
      <c r="B5420" s="10" t="s">
        <v>18</v>
      </c>
      <c r="C5420" s="10" t="s">
        <v>23</v>
      </c>
      <c r="D5420" s="10" t="s">
        <v>24</v>
      </c>
      <c r="E5420" s="14">
        <v>0.7</v>
      </c>
      <c r="F5420" s="15">
        <f>F5424</f>
        <v>43.8</v>
      </c>
      <c r="G5420" s="12">
        <f t="shared" si="830"/>
        <v>30.66</v>
      </c>
    </row>
    <row r="5421" ht="24.0" customHeight="1">
      <c r="A5421" s="10" t="s">
        <v>25</v>
      </c>
      <c r="B5421" s="10" t="s">
        <v>26</v>
      </c>
      <c r="C5421" s="10" t="s">
        <v>23</v>
      </c>
      <c r="D5421" s="10" t="s">
        <v>27</v>
      </c>
      <c r="E5421" s="14">
        <v>1.0</v>
      </c>
      <c r="F5421" s="15">
        <f>ROUND(21,3)</f>
        <v>21</v>
      </c>
      <c r="G5421" s="12">
        <f t="shared" si="830"/>
        <v>21</v>
      </c>
    </row>
    <row r="5422" ht="24.0" customHeight="1">
      <c r="A5422" s="10" t="s">
        <v>28</v>
      </c>
      <c r="B5422" s="10" t="s">
        <v>26</v>
      </c>
      <c r="C5422" s="10" t="s">
        <v>23</v>
      </c>
      <c r="D5422" s="10" t="s">
        <v>29</v>
      </c>
      <c r="E5422" s="14">
        <v>1.0</v>
      </c>
      <c r="F5422" s="15">
        <f t="shared" ref="F5422:F5423" si="831">ROUND(19,3)</f>
        <v>19</v>
      </c>
      <c r="G5422" s="12">
        <f t="shared" si="830"/>
        <v>19</v>
      </c>
    </row>
    <row r="5423" ht="24.0" customHeight="1">
      <c r="A5423" s="10" t="s">
        <v>30</v>
      </c>
      <c r="B5423" s="10" t="s">
        <v>26</v>
      </c>
      <c r="C5423" s="10" t="s">
        <v>23</v>
      </c>
      <c r="D5423" s="10" t="s">
        <v>31</v>
      </c>
      <c r="E5423" s="14">
        <v>0.2</v>
      </c>
      <c r="F5423" s="15">
        <f t="shared" si="831"/>
        <v>19</v>
      </c>
      <c r="G5423" s="12">
        <f t="shared" si="830"/>
        <v>3.8</v>
      </c>
    </row>
    <row r="5424" ht="15.0" customHeight="1">
      <c r="A5424" s="11"/>
      <c r="B5424" s="11"/>
      <c r="C5424" s="11"/>
      <c r="D5424" s="10" t="s">
        <v>22</v>
      </c>
      <c r="E5424" s="14">
        <v>0.7</v>
      </c>
      <c r="F5424" s="15">
        <f>ROUND((G5421+G5422+G5423),3)</f>
        <v>43.8</v>
      </c>
      <c r="G5424" s="12">
        <f t="shared" si="830"/>
        <v>30.66</v>
      </c>
    </row>
    <row r="5425" ht="15.0" customHeight="1">
      <c r="A5425" s="10" t="s">
        <v>32</v>
      </c>
      <c r="B5425" s="10"/>
      <c r="C5425" s="10" t="s">
        <v>33</v>
      </c>
      <c r="D5425" s="10" t="s">
        <v>34</v>
      </c>
      <c r="E5425" s="14">
        <v>3.0</v>
      </c>
      <c r="F5425" s="15">
        <f>ROUND(30.66,3)</f>
        <v>30.66</v>
      </c>
      <c r="G5425" s="12">
        <f>ROUND((E5425*F5425)/100,2)</f>
        <v>0.92</v>
      </c>
    </row>
    <row r="5426" ht="15.0" customHeight="1">
      <c r="A5426" s="16"/>
      <c r="B5426" s="16"/>
      <c r="C5426" s="16"/>
      <c r="D5426" s="17" t="s">
        <v>2427</v>
      </c>
      <c r="E5426" s="16"/>
      <c r="F5426" s="18">
        <f>ROUND((G5407+G5408+G5409+G5410+G5411+G5412+G5413+G5414+G5415+G5416+G5417+G5418+G5419+G5420+G5425)*(1+G2/100),2)</f>
        <v>48.4</v>
      </c>
      <c r="G5426" s="16"/>
    </row>
    <row r="5427" ht="30.0" customHeight="1">
      <c r="A5427" s="19" t="s">
        <v>2439</v>
      </c>
      <c r="B5427" s="20" t="s">
        <v>18</v>
      </c>
      <c r="C5427" s="20" t="s">
        <v>295</v>
      </c>
      <c r="D5427" s="20" t="s">
        <v>2440</v>
      </c>
      <c r="E5427" s="21"/>
      <c r="F5427" s="22">
        <f>F5448</f>
        <v>70.36</v>
      </c>
      <c r="G5427" s="21"/>
    </row>
    <row r="5428" ht="12.0" customHeight="1">
      <c r="A5428" s="11"/>
      <c r="B5428" s="11"/>
      <c r="C5428" s="11"/>
      <c r="D5428" s="10" t="s">
        <v>2441</v>
      </c>
    </row>
    <row r="5429" ht="48.75" customHeight="1">
      <c r="A5429" s="10" t="s">
        <v>1747</v>
      </c>
      <c r="B5429" s="10" t="s">
        <v>42</v>
      </c>
      <c r="C5429" s="10" t="s">
        <v>344</v>
      </c>
      <c r="D5429" s="10" t="s">
        <v>1748</v>
      </c>
      <c r="E5429" s="14">
        <v>0.1</v>
      </c>
      <c r="F5429" s="15">
        <f>ROUND(52.89,3)</f>
        <v>52.89</v>
      </c>
      <c r="G5429" s="12">
        <f t="shared" ref="G5429:G5446" si="832">ROUND(E5429*F5429,2)</f>
        <v>5.29</v>
      </c>
    </row>
    <row r="5430" ht="39.75" customHeight="1">
      <c r="A5430" s="10" t="s">
        <v>2430</v>
      </c>
      <c r="B5430" s="10" t="s">
        <v>42</v>
      </c>
      <c r="C5430" s="10" t="s">
        <v>344</v>
      </c>
      <c r="D5430" s="10" t="s">
        <v>2431</v>
      </c>
      <c r="E5430" s="14">
        <v>0.1</v>
      </c>
      <c r="F5430" s="15">
        <f>ROUND(26,3)</f>
        <v>26</v>
      </c>
      <c r="G5430" s="12">
        <f t="shared" si="832"/>
        <v>2.6</v>
      </c>
    </row>
    <row r="5431" ht="30.0" customHeight="1">
      <c r="A5431" s="10" t="s">
        <v>1378</v>
      </c>
      <c r="B5431" s="10" t="s">
        <v>42</v>
      </c>
      <c r="C5431" s="10" t="s">
        <v>330</v>
      </c>
      <c r="D5431" s="10" t="s">
        <v>1379</v>
      </c>
      <c r="E5431" s="14">
        <v>0.1</v>
      </c>
      <c r="F5431" s="15">
        <f>ROUND(6.14,3)</f>
        <v>6.14</v>
      </c>
      <c r="G5431" s="12">
        <f t="shared" si="832"/>
        <v>0.61</v>
      </c>
    </row>
    <row r="5432" ht="39.75" customHeight="1">
      <c r="A5432" s="10" t="s">
        <v>1340</v>
      </c>
      <c r="B5432" s="10" t="s">
        <v>42</v>
      </c>
      <c r="C5432" s="10" t="s">
        <v>1245</v>
      </c>
      <c r="D5432" s="10" t="s">
        <v>1341</v>
      </c>
      <c r="E5432" s="14">
        <v>0.0845</v>
      </c>
      <c r="F5432" s="15">
        <f>ROUND(7.37,3)</f>
        <v>7.37</v>
      </c>
      <c r="G5432" s="12">
        <f t="shared" si="832"/>
        <v>0.62</v>
      </c>
    </row>
    <row r="5433" ht="30.0" customHeight="1">
      <c r="A5433" s="10" t="s">
        <v>1745</v>
      </c>
      <c r="B5433" s="10" t="s">
        <v>42</v>
      </c>
      <c r="C5433" s="10" t="s">
        <v>330</v>
      </c>
      <c r="D5433" s="10" t="s">
        <v>1746</v>
      </c>
      <c r="E5433" s="14">
        <v>0.25</v>
      </c>
      <c r="F5433" s="15">
        <f>ROUND(7.93,3)</f>
        <v>7.93</v>
      </c>
      <c r="G5433" s="12">
        <f t="shared" si="832"/>
        <v>1.98</v>
      </c>
    </row>
    <row r="5434" ht="39.75" customHeight="1">
      <c r="A5434" s="10" t="s">
        <v>2432</v>
      </c>
      <c r="B5434" s="10" t="s">
        <v>42</v>
      </c>
      <c r="C5434" s="10" t="s">
        <v>325</v>
      </c>
      <c r="D5434" s="10" t="s">
        <v>2433</v>
      </c>
      <c r="E5434" s="14">
        <v>0.25</v>
      </c>
      <c r="F5434" s="15">
        <f>ROUND(13.53,3)</f>
        <v>13.53</v>
      </c>
      <c r="G5434" s="12">
        <f t="shared" si="832"/>
        <v>3.38</v>
      </c>
    </row>
    <row r="5435" ht="39.75" customHeight="1">
      <c r="A5435" s="10" t="s">
        <v>2434</v>
      </c>
      <c r="B5435" s="10" t="s">
        <v>42</v>
      </c>
      <c r="C5435" s="10" t="s">
        <v>2435</v>
      </c>
      <c r="D5435" s="10" t="s">
        <v>2436</v>
      </c>
      <c r="E5435" s="14">
        <v>0.01</v>
      </c>
      <c r="F5435" s="15">
        <f>ROUND(7.65,3)</f>
        <v>7.65</v>
      </c>
      <c r="G5435" s="12">
        <f t="shared" si="832"/>
        <v>0.08</v>
      </c>
    </row>
    <row r="5436" ht="24.0" customHeight="1">
      <c r="A5436" s="10" t="s">
        <v>2437</v>
      </c>
      <c r="B5436" s="10" t="s">
        <v>42</v>
      </c>
      <c r="C5436" s="10" t="s">
        <v>43</v>
      </c>
      <c r="D5436" s="10" t="s">
        <v>2438</v>
      </c>
      <c r="E5436" s="14">
        <v>0.002</v>
      </c>
      <c r="F5436" s="15">
        <f>ROUND(35.3,3)</f>
        <v>35.3</v>
      </c>
      <c r="G5436" s="12">
        <f t="shared" si="832"/>
        <v>0.07</v>
      </c>
    </row>
    <row r="5437" ht="39.75" customHeight="1">
      <c r="A5437" s="10" t="s">
        <v>1435</v>
      </c>
      <c r="B5437" s="10" t="s">
        <v>112</v>
      </c>
      <c r="C5437" s="10" t="s">
        <v>23</v>
      </c>
      <c r="D5437" s="10" t="s">
        <v>1436</v>
      </c>
      <c r="E5437" s="14">
        <v>0.2</v>
      </c>
      <c r="F5437" s="15">
        <f>ROUND(2.86,3)</f>
        <v>2.86</v>
      </c>
      <c r="G5437" s="12">
        <f t="shared" si="832"/>
        <v>0.57</v>
      </c>
    </row>
    <row r="5438" ht="39.75" customHeight="1">
      <c r="A5438" s="10" t="s">
        <v>953</v>
      </c>
      <c r="B5438" s="10" t="s">
        <v>112</v>
      </c>
      <c r="C5438" s="10" t="s">
        <v>23</v>
      </c>
      <c r="D5438" s="10" t="s">
        <v>954</v>
      </c>
      <c r="E5438" s="14">
        <v>0.1</v>
      </c>
      <c r="F5438" s="15">
        <f>ROUND(1.75,3)</f>
        <v>1.75</v>
      </c>
      <c r="G5438" s="12">
        <f t="shared" si="832"/>
        <v>0.18</v>
      </c>
    </row>
    <row r="5439" ht="21.0" customHeight="1">
      <c r="A5439" s="10" t="s">
        <v>969</v>
      </c>
      <c r="B5439" s="10" t="s">
        <v>112</v>
      </c>
      <c r="C5439" s="10" t="s">
        <v>23</v>
      </c>
      <c r="D5439" s="10" t="s">
        <v>970</v>
      </c>
      <c r="E5439" s="14">
        <v>0.2</v>
      </c>
      <c r="F5439" s="15">
        <f>ROUND(2,3)</f>
        <v>2</v>
      </c>
      <c r="G5439" s="12">
        <f t="shared" si="832"/>
        <v>0.4</v>
      </c>
    </row>
    <row r="5440" ht="30.0" customHeight="1">
      <c r="A5440" s="10" t="s">
        <v>971</v>
      </c>
      <c r="B5440" s="10" t="s">
        <v>42</v>
      </c>
      <c r="C5440" s="10" t="s">
        <v>231</v>
      </c>
      <c r="D5440" s="10" t="s">
        <v>972</v>
      </c>
      <c r="E5440" s="14">
        <v>0.1</v>
      </c>
      <c r="F5440" s="15">
        <f>ROUND(4.92,3)</f>
        <v>4.92</v>
      </c>
      <c r="G5440" s="12">
        <f t="shared" si="832"/>
        <v>0.49</v>
      </c>
    </row>
    <row r="5441" ht="21.0" customHeight="1">
      <c r="A5441" s="10" t="s">
        <v>1344</v>
      </c>
      <c r="B5441" s="10" t="s">
        <v>42</v>
      </c>
      <c r="C5441" s="10" t="s">
        <v>231</v>
      </c>
      <c r="D5441" s="10" t="s">
        <v>1345</v>
      </c>
      <c r="E5441" s="14">
        <v>0.1</v>
      </c>
      <c r="F5441" s="15">
        <f>ROUND(5.52,3)</f>
        <v>5.52</v>
      </c>
      <c r="G5441" s="12">
        <f t="shared" si="832"/>
        <v>0.55</v>
      </c>
    </row>
    <row r="5442" ht="24.0" customHeight="1">
      <c r="A5442" s="10" t="s">
        <v>286</v>
      </c>
      <c r="B5442" s="10" t="s">
        <v>18</v>
      </c>
      <c r="C5442" s="10" t="s">
        <v>23</v>
      </c>
      <c r="D5442" s="10" t="s">
        <v>287</v>
      </c>
      <c r="E5442" s="14">
        <v>1.05</v>
      </c>
      <c r="F5442" s="15">
        <f>F5446</f>
        <v>49.5</v>
      </c>
      <c r="G5442" s="12">
        <f t="shared" si="832"/>
        <v>51.98</v>
      </c>
    </row>
    <row r="5443" ht="24.0" customHeight="1">
      <c r="A5443" s="10" t="s">
        <v>288</v>
      </c>
      <c r="B5443" s="10" t="s">
        <v>26</v>
      </c>
      <c r="C5443" s="10" t="s">
        <v>23</v>
      </c>
      <c r="D5443" s="10" t="s">
        <v>289</v>
      </c>
      <c r="E5443" s="14">
        <v>1.0</v>
      </c>
      <c r="F5443" s="15">
        <f>ROUND(21,3)</f>
        <v>21</v>
      </c>
      <c r="G5443" s="12">
        <f t="shared" si="832"/>
        <v>21</v>
      </c>
    </row>
    <row r="5444" ht="24.0" customHeight="1">
      <c r="A5444" s="10" t="s">
        <v>290</v>
      </c>
      <c r="B5444" s="10" t="s">
        <v>26</v>
      </c>
      <c r="C5444" s="10" t="s">
        <v>23</v>
      </c>
      <c r="D5444" s="10" t="s">
        <v>291</v>
      </c>
      <c r="E5444" s="14">
        <v>1.0</v>
      </c>
      <c r="F5444" s="15">
        <f t="shared" ref="F5444:F5445" si="833">ROUND(19,3)</f>
        <v>19</v>
      </c>
      <c r="G5444" s="12">
        <f t="shared" si="832"/>
        <v>19</v>
      </c>
    </row>
    <row r="5445" ht="24.0" customHeight="1">
      <c r="A5445" s="10" t="s">
        <v>292</v>
      </c>
      <c r="B5445" s="10" t="s">
        <v>26</v>
      </c>
      <c r="C5445" s="10" t="s">
        <v>23</v>
      </c>
      <c r="D5445" s="10" t="s">
        <v>293</v>
      </c>
      <c r="E5445" s="14">
        <v>0.5</v>
      </c>
      <c r="F5445" s="15">
        <f t="shared" si="833"/>
        <v>19</v>
      </c>
      <c r="G5445" s="12">
        <f t="shared" si="832"/>
        <v>9.5</v>
      </c>
    </row>
    <row r="5446" ht="15.0" customHeight="1">
      <c r="A5446" s="11"/>
      <c r="B5446" s="11"/>
      <c r="C5446" s="11"/>
      <c r="D5446" s="10" t="s">
        <v>286</v>
      </c>
      <c r="E5446" s="14">
        <v>1.05</v>
      </c>
      <c r="F5446" s="15">
        <f>ROUND((G5443+G5444+G5445),3)</f>
        <v>49.5</v>
      </c>
      <c r="G5446" s="12">
        <f t="shared" si="832"/>
        <v>51.98</v>
      </c>
    </row>
    <row r="5447" ht="15.0" customHeight="1">
      <c r="A5447" s="10" t="s">
        <v>32</v>
      </c>
      <c r="B5447" s="10"/>
      <c r="C5447" s="10" t="s">
        <v>33</v>
      </c>
      <c r="D5447" s="10" t="s">
        <v>34</v>
      </c>
      <c r="E5447" s="14">
        <v>3.0</v>
      </c>
      <c r="F5447" s="15">
        <f>ROUND(51.98,3)</f>
        <v>51.98</v>
      </c>
      <c r="G5447" s="12">
        <f>ROUND((E5447*F5447)/100,2)</f>
        <v>1.56</v>
      </c>
    </row>
    <row r="5448" ht="15.0" customHeight="1">
      <c r="A5448" s="16"/>
      <c r="B5448" s="16"/>
      <c r="C5448" s="16"/>
      <c r="D5448" s="17" t="s">
        <v>2439</v>
      </c>
      <c r="E5448" s="16"/>
      <c r="F5448" s="18">
        <f>ROUND((G5429+G5430+G5431+G5432+G5433+G5434+G5435+G5436+G5437+G5438+G5439+G5440+G5441+G5442+G5447)*(1+G2/100),2)</f>
        <v>70.36</v>
      </c>
      <c r="G5448" s="16"/>
    </row>
    <row r="5449" ht="39.75" customHeight="1">
      <c r="A5449" s="19" t="s">
        <v>2442</v>
      </c>
      <c r="B5449" s="20" t="s">
        <v>18</v>
      </c>
      <c r="C5449" s="20" t="s">
        <v>295</v>
      </c>
      <c r="D5449" s="20" t="s">
        <v>2443</v>
      </c>
      <c r="E5449" s="21"/>
      <c r="F5449" s="22">
        <f>F5460</f>
        <v>30.66</v>
      </c>
      <c r="G5449" s="21"/>
    </row>
    <row r="5450" ht="67.5" customHeight="1">
      <c r="A5450" s="11"/>
      <c r="B5450" s="11"/>
      <c r="C5450" s="11"/>
      <c r="D5450" s="10" t="s">
        <v>2444</v>
      </c>
    </row>
    <row r="5451" ht="24.0" customHeight="1">
      <c r="A5451" s="10" t="s">
        <v>1281</v>
      </c>
      <c r="B5451" s="10" t="s">
        <v>42</v>
      </c>
      <c r="C5451" s="10" t="s">
        <v>43</v>
      </c>
      <c r="D5451" s="10" t="s">
        <v>1282</v>
      </c>
      <c r="E5451" s="14">
        <v>0.063</v>
      </c>
      <c r="F5451" s="15">
        <f>ROUND(29.06,3)</f>
        <v>29.06</v>
      </c>
      <c r="G5451" s="12">
        <f t="shared" ref="G5451:G5458" si="834">ROUND(E5451*F5451,2)</f>
        <v>1.83</v>
      </c>
    </row>
    <row r="5452" ht="30.0" customHeight="1">
      <c r="A5452" s="10" t="s">
        <v>1308</v>
      </c>
      <c r="B5452" s="10" t="s">
        <v>42</v>
      </c>
      <c r="C5452" s="10" t="s">
        <v>184</v>
      </c>
      <c r="D5452" s="10" t="s">
        <v>1309</v>
      </c>
      <c r="E5452" s="14">
        <v>0.2</v>
      </c>
      <c r="F5452" s="15">
        <f>ROUND(29.84,3)</f>
        <v>29.84</v>
      </c>
      <c r="G5452" s="12">
        <f t="shared" si="834"/>
        <v>5.97</v>
      </c>
    </row>
    <row r="5453" ht="30.0" customHeight="1">
      <c r="A5453" s="10" t="s">
        <v>1227</v>
      </c>
      <c r="B5453" s="10" t="s">
        <v>42</v>
      </c>
      <c r="C5453" s="10" t="s">
        <v>226</v>
      </c>
      <c r="D5453" s="10" t="s">
        <v>1228</v>
      </c>
      <c r="E5453" s="14">
        <v>0.011</v>
      </c>
      <c r="F5453" s="15">
        <f>ROUND(27.5,3)</f>
        <v>27.5</v>
      </c>
      <c r="G5453" s="12">
        <f t="shared" si="834"/>
        <v>0.3</v>
      </c>
    </row>
    <row r="5454" ht="21.0" customHeight="1">
      <c r="A5454" s="10" t="s">
        <v>22</v>
      </c>
      <c r="B5454" s="10" t="s">
        <v>18</v>
      </c>
      <c r="C5454" s="10" t="s">
        <v>23</v>
      </c>
      <c r="D5454" s="10" t="s">
        <v>24</v>
      </c>
      <c r="E5454" s="14">
        <v>0.5</v>
      </c>
      <c r="F5454" s="15">
        <f>F5458</f>
        <v>43.8</v>
      </c>
      <c r="G5454" s="12">
        <f t="shared" si="834"/>
        <v>21.9</v>
      </c>
    </row>
    <row r="5455" ht="24.0" customHeight="1">
      <c r="A5455" s="10" t="s">
        <v>25</v>
      </c>
      <c r="B5455" s="10" t="s">
        <v>26</v>
      </c>
      <c r="C5455" s="10" t="s">
        <v>23</v>
      </c>
      <c r="D5455" s="10" t="s">
        <v>27</v>
      </c>
      <c r="E5455" s="14">
        <v>1.0</v>
      </c>
      <c r="F5455" s="15">
        <f>ROUND(21,3)</f>
        <v>21</v>
      </c>
      <c r="G5455" s="12">
        <f t="shared" si="834"/>
        <v>21</v>
      </c>
    </row>
    <row r="5456" ht="24.0" customHeight="1">
      <c r="A5456" s="10" t="s">
        <v>28</v>
      </c>
      <c r="B5456" s="10" t="s">
        <v>26</v>
      </c>
      <c r="C5456" s="10" t="s">
        <v>23</v>
      </c>
      <c r="D5456" s="10" t="s">
        <v>29</v>
      </c>
      <c r="E5456" s="14">
        <v>1.0</v>
      </c>
      <c r="F5456" s="15">
        <f t="shared" ref="F5456:F5457" si="835">ROUND(19,3)</f>
        <v>19</v>
      </c>
      <c r="G5456" s="12">
        <f t="shared" si="834"/>
        <v>19</v>
      </c>
    </row>
    <row r="5457" ht="24.0" customHeight="1">
      <c r="A5457" s="10" t="s">
        <v>30</v>
      </c>
      <c r="B5457" s="10" t="s">
        <v>26</v>
      </c>
      <c r="C5457" s="10" t="s">
        <v>23</v>
      </c>
      <c r="D5457" s="10" t="s">
        <v>31</v>
      </c>
      <c r="E5457" s="14">
        <v>0.2</v>
      </c>
      <c r="F5457" s="15">
        <f t="shared" si="835"/>
        <v>19</v>
      </c>
      <c r="G5457" s="12">
        <f t="shared" si="834"/>
        <v>3.8</v>
      </c>
    </row>
    <row r="5458" ht="15.0" customHeight="1">
      <c r="A5458" s="11"/>
      <c r="B5458" s="11"/>
      <c r="C5458" s="11"/>
      <c r="D5458" s="10" t="s">
        <v>22</v>
      </c>
      <c r="E5458" s="14">
        <v>0.5</v>
      </c>
      <c r="F5458" s="15">
        <f>ROUND((G5455+G5456+G5457),3)</f>
        <v>43.8</v>
      </c>
      <c r="G5458" s="12">
        <f t="shared" si="834"/>
        <v>21.9</v>
      </c>
    </row>
    <row r="5459" ht="15.0" customHeight="1">
      <c r="A5459" s="10" t="s">
        <v>32</v>
      </c>
      <c r="B5459" s="10"/>
      <c r="C5459" s="10" t="s">
        <v>33</v>
      </c>
      <c r="D5459" s="10" t="s">
        <v>34</v>
      </c>
      <c r="E5459" s="14">
        <v>3.0</v>
      </c>
      <c r="F5459" s="15">
        <f>ROUND(21.9,3)</f>
        <v>21.9</v>
      </c>
      <c r="G5459" s="12">
        <f>ROUND((E5459*F5459)/100,2)</f>
        <v>0.66</v>
      </c>
    </row>
    <row r="5460" ht="15.0" customHeight="1">
      <c r="A5460" s="16"/>
      <c r="B5460" s="16"/>
      <c r="C5460" s="16"/>
      <c r="D5460" s="17" t="s">
        <v>2442</v>
      </c>
      <c r="E5460" s="16"/>
      <c r="F5460" s="18">
        <f>ROUND((G5451+G5452+G5453+G5454+G5459)*(1+G2/100),2)</f>
        <v>30.66</v>
      </c>
      <c r="G5460" s="16"/>
    </row>
    <row r="5461" ht="39.75" customHeight="1">
      <c r="A5461" s="19" t="s">
        <v>2445</v>
      </c>
      <c r="B5461" s="20" t="s">
        <v>18</v>
      </c>
      <c r="C5461" s="20" t="s">
        <v>295</v>
      </c>
      <c r="D5461" s="20" t="s">
        <v>2446</v>
      </c>
      <c r="E5461" s="21"/>
      <c r="F5461" s="22">
        <f>F5472</f>
        <v>46.34</v>
      </c>
      <c r="G5461" s="21"/>
    </row>
    <row r="5462" ht="12.0" customHeight="1">
      <c r="A5462" s="11"/>
      <c r="B5462" s="11"/>
      <c r="C5462" s="11"/>
      <c r="D5462" s="10" t="s">
        <v>2447</v>
      </c>
    </row>
    <row r="5463" ht="24.0" customHeight="1">
      <c r="A5463" s="10" t="s">
        <v>1281</v>
      </c>
      <c r="B5463" s="10" t="s">
        <v>42</v>
      </c>
      <c r="C5463" s="10" t="s">
        <v>43</v>
      </c>
      <c r="D5463" s="10" t="s">
        <v>1282</v>
      </c>
      <c r="E5463" s="14">
        <v>0.063</v>
      </c>
      <c r="F5463" s="15">
        <f>ROUND(29.06,3)</f>
        <v>29.06</v>
      </c>
      <c r="G5463" s="12">
        <f t="shared" ref="G5463:G5470" si="836">ROUND(E5463*F5463,2)</f>
        <v>1.83</v>
      </c>
    </row>
    <row r="5464" ht="30.0" customHeight="1">
      <c r="A5464" s="10" t="s">
        <v>1308</v>
      </c>
      <c r="B5464" s="10" t="s">
        <v>42</v>
      </c>
      <c r="C5464" s="10" t="s">
        <v>184</v>
      </c>
      <c r="D5464" s="10" t="s">
        <v>1309</v>
      </c>
      <c r="E5464" s="14">
        <v>0.2</v>
      </c>
      <c r="F5464" s="15">
        <f>ROUND(29.84,3)</f>
        <v>29.84</v>
      </c>
      <c r="G5464" s="12">
        <f t="shared" si="836"/>
        <v>5.97</v>
      </c>
    </row>
    <row r="5465" ht="30.0" customHeight="1">
      <c r="A5465" s="10" t="s">
        <v>1227</v>
      </c>
      <c r="B5465" s="10" t="s">
        <v>42</v>
      </c>
      <c r="C5465" s="10" t="s">
        <v>226</v>
      </c>
      <c r="D5465" s="10" t="s">
        <v>1228</v>
      </c>
      <c r="E5465" s="14">
        <v>0.011</v>
      </c>
      <c r="F5465" s="15">
        <f>ROUND(27.5,3)</f>
        <v>27.5</v>
      </c>
      <c r="G5465" s="12">
        <f t="shared" si="836"/>
        <v>0.3</v>
      </c>
    </row>
    <row r="5466" ht="24.0" customHeight="1">
      <c r="A5466" s="10" t="s">
        <v>286</v>
      </c>
      <c r="B5466" s="10" t="s">
        <v>18</v>
      </c>
      <c r="C5466" s="10" t="s">
        <v>23</v>
      </c>
      <c r="D5466" s="10" t="s">
        <v>287</v>
      </c>
      <c r="E5466" s="14">
        <v>0.75</v>
      </c>
      <c r="F5466" s="15">
        <f>F5470</f>
        <v>49.5</v>
      </c>
      <c r="G5466" s="12">
        <f t="shared" si="836"/>
        <v>37.13</v>
      </c>
    </row>
    <row r="5467" ht="24.0" customHeight="1">
      <c r="A5467" s="10" t="s">
        <v>288</v>
      </c>
      <c r="B5467" s="10" t="s">
        <v>26</v>
      </c>
      <c r="C5467" s="10" t="s">
        <v>23</v>
      </c>
      <c r="D5467" s="10" t="s">
        <v>289</v>
      </c>
      <c r="E5467" s="14">
        <v>1.0</v>
      </c>
      <c r="F5467" s="15">
        <f>ROUND(21,3)</f>
        <v>21</v>
      </c>
      <c r="G5467" s="12">
        <f t="shared" si="836"/>
        <v>21</v>
      </c>
    </row>
    <row r="5468" ht="24.0" customHeight="1">
      <c r="A5468" s="10" t="s">
        <v>290</v>
      </c>
      <c r="B5468" s="10" t="s">
        <v>26</v>
      </c>
      <c r="C5468" s="10" t="s">
        <v>23</v>
      </c>
      <c r="D5468" s="10" t="s">
        <v>291</v>
      </c>
      <c r="E5468" s="14">
        <v>1.0</v>
      </c>
      <c r="F5468" s="15">
        <f t="shared" ref="F5468:F5469" si="837">ROUND(19,3)</f>
        <v>19</v>
      </c>
      <c r="G5468" s="12">
        <f t="shared" si="836"/>
        <v>19</v>
      </c>
    </row>
    <row r="5469" ht="24.0" customHeight="1">
      <c r="A5469" s="10" t="s">
        <v>292</v>
      </c>
      <c r="B5469" s="10" t="s">
        <v>26</v>
      </c>
      <c r="C5469" s="10" t="s">
        <v>23</v>
      </c>
      <c r="D5469" s="10" t="s">
        <v>293</v>
      </c>
      <c r="E5469" s="14">
        <v>0.5</v>
      </c>
      <c r="F5469" s="15">
        <f t="shared" si="837"/>
        <v>19</v>
      </c>
      <c r="G5469" s="12">
        <f t="shared" si="836"/>
        <v>9.5</v>
      </c>
    </row>
    <row r="5470" ht="15.0" customHeight="1">
      <c r="A5470" s="11"/>
      <c r="B5470" s="11"/>
      <c r="C5470" s="11"/>
      <c r="D5470" s="10" t="s">
        <v>286</v>
      </c>
      <c r="E5470" s="14">
        <v>0.75</v>
      </c>
      <c r="F5470" s="15">
        <f>ROUND((G5467+G5468+G5469),3)</f>
        <v>49.5</v>
      </c>
      <c r="G5470" s="12">
        <f t="shared" si="836"/>
        <v>37.13</v>
      </c>
    </row>
    <row r="5471" ht="15.0" customHeight="1">
      <c r="A5471" s="10" t="s">
        <v>32</v>
      </c>
      <c r="B5471" s="10"/>
      <c r="C5471" s="10" t="s">
        <v>33</v>
      </c>
      <c r="D5471" s="10" t="s">
        <v>34</v>
      </c>
      <c r="E5471" s="14">
        <v>3.0</v>
      </c>
      <c r="F5471" s="15">
        <f>ROUND(37.13,3)</f>
        <v>37.13</v>
      </c>
      <c r="G5471" s="12">
        <f>ROUND((E5471*F5471)/100,2)</f>
        <v>1.11</v>
      </c>
    </row>
    <row r="5472" ht="15.0" customHeight="1">
      <c r="A5472" s="16"/>
      <c r="B5472" s="16"/>
      <c r="C5472" s="16"/>
      <c r="D5472" s="17" t="s">
        <v>2445</v>
      </c>
      <c r="E5472" s="16"/>
      <c r="F5472" s="18">
        <f>ROUND((G5463+G5464+G5465+G5466+G5471)*(1+G2/100),2)</f>
        <v>46.34</v>
      </c>
      <c r="G5472" s="16"/>
    </row>
    <row r="5473" ht="30.0" customHeight="1">
      <c r="A5473" s="19" t="s">
        <v>2448</v>
      </c>
      <c r="B5473" s="20" t="s">
        <v>18</v>
      </c>
      <c r="C5473" s="20" t="s">
        <v>321</v>
      </c>
      <c r="D5473" s="20" t="s">
        <v>2449</v>
      </c>
      <c r="E5473" s="21"/>
      <c r="F5473" s="22">
        <f>F5485</f>
        <v>91.2</v>
      </c>
      <c r="G5473" s="21"/>
    </row>
    <row r="5474" ht="76.5" customHeight="1">
      <c r="A5474" s="11"/>
      <c r="B5474" s="11"/>
      <c r="C5474" s="11"/>
      <c r="D5474" s="10" t="s">
        <v>2450</v>
      </c>
    </row>
    <row r="5475" ht="30.0" customHeight="1">
      <c r="A5475" s="10" t="s">
        <v>2451</v>
      </c>
      <c r="B5475" s="10" t="s">
        <v>42</v>
      </c>
      <c r="C5475" s="10" t="s">
        <v>344</v>
      </c>
      <c r="D5475" s="10" t="s">
        <v>2452</v>
      </c>
      <c r="E5475" s="14">
        <v>4.0</v>
      </c>
      <c r="F5475" s="15">
        <f>ROUND(10.75,3)</f>
        <v>10.75</v>
      </c>
      <c r="G5475" s="12">
        <f t="shared" ref="G5475:G5483" si="838">ROUND(E5475*F5475,2)</f>
        <v>43</v>
      </c>
    </row>
    <row r="5476" ht="30.0" customHeight="1">
      <c r="A5476" s="10" t="s">
        <v>1244</v>
      </c>
      <c r="B5476" s="10" t="s">
        <v>42</v>
      </c>
      <c r="C5476" s="10" t="s">
        <v>1245</v>
      </c>
      <c r="D5476" s="10" t="s">
        <v>1246</v>
      </c>
      <c r="E5476" s="14">
        <v>0.3</v>
      </c>
      <c r="F5476" s="15">
        <f>ROUND(12.31,3)</f>
        <v>12.31</v>
      </c>
      <c r="G5476" s="12">
        <f t="shared" si="838"/>
        <v>3.69</v>
      </c>
    </row>
    <row r="5477" ht="39.75" customHeight="1">
      <c r="A5477" s="10" t="s">
        <v>2453</v>
      </c>
      <c r="B5477" s="10" t="s">
        <v>42</v>
      </c>
      <c r="C5477" s="10" t="s">
        <v>330</v>
      </c>
      <c r="D5477" s="10" t="s">
        <v>2454</v>
      </c>
      <c r="E5477" s="14">
        <v>0.25</v>
      </c>
      <c r="F5477" s="15">
        <f>ROUND(16.67,3)</f>
        <v>16.67</v>
      </c>
      <c r="G5477" s="12">
        <f t="shared" si="838"/>
        <v>4.17</v>
      </c>
    </row>
    <row r="5478" ht="39.75" customHeight="1">
      <c r="A5478" s="10" t="s">
        <v>1435</v>
      </c>
      <c r="B5478" s="10" t="s">
        <v>112</v>
      </c>
      <c r="C5478" s="10" t="s">
        <v>23</v>
      </c>
      <c r="D5478" s="10" t="s">
        <v>1436</v>
      </c>
      <c r="E5478" s="14">
        <v>0.3</v>
      </c>
      <c r="F5478" s="15">
        <f>ROUND(2.86,3)</f>
        <v>2.86</v>
      </c>
      <c r="G5478" s="12">
        <f t="shared" si="838"/>
        <v>0.86</v>
      </c>
    </row>
    <row r="5479" ht="21.0" customHeight="1">
      <c r="A5479" s="10" t="s">
        <v>22</v>
      </c>
      <c r="B5479" s="10" t="s">
        <v>18</v>
      </c>
      <c r="C5479" s="10" t="s">
        <v>23</v>
      </c>
      <c r="D5479" s="10" t="s">
        <v>24</v>
      </c>
      <c r="E5479" s="14">
        <v>0.875</v>
      </c>
      <c r="F5479" s="15">
        <f>F5483</f>
        <v>43.8</v>
      </c>
      <c r="G5479" s="12">
        <f t="shared" si="838"/>
        <v>38.33</v>
      </c>
    </row>
    <row r="5480" ht="24.0" customHeight="1">
      <c r="A5480" s="10" t="s">
        <v>25</v>
      </c>
      <c r="B5480" s="10" t="s">
        <v>26</v>
      </c>
      <c r="C5480" s="10" t="s">
        <v>23</v>
      </c>
      <c r="D5480" s="10" t="s">
        <v>27</v>
      </c>
      <c r="E5480" s="14">
        <v>1.0</v>
      </c>
      <c r="F5480" s="15">
        <f>ROUND(21,3)</f>
        <v>21</v>
      </c>
      <c r="G5480" s="12">
        <f t="shared" si="838"/>
        <v>21</v>
      </c>
    </row>
    <row r="5481" ht="24.0" customHeight="1">
      <c r="A5481" s="10" t="s">
        <v>28</v>
      </c>
      <c r="B5481" s="10" t="s">
        <v>26</v>
      </c>
      <c r="C5481" s="10" t="s">
        <v>23</v>
      </c>
      <c r="D5481" s="10" t="s">
        <v>29</v>
      </c>
      <c r="E5481" s="14">
        <v>1.0</v>
      </c>
      <c r="F5481" s="15">
        <f t="shared" ref="F5481:F5482" si="839">ROUND(19,3)</f>
        <v>19</v>
      </c>
      <c r="G5481" s="12">
        <f t="shared" si="838"/>
        <v>19</v>
      </c>
    </row>
    <row r="5482" ht="24.0" customHeight="1">
      <c r="A5482" s="10" t="s">
        <v>30</v>
      </c>
      <c r="B5482" s="10" t="s">
        <v>26</v>
      </c>
      <c r="C5482" s="10" t="s">
        <v>23</v>
      </c>
      <c r="D5482" s="10" t="s">
        <v>31</v>
      </c>
      <c r="E5482" s="14">
        <v>0.2</v>
      </c>
      <c r="F5482" s="15">
        <f t="shared" si="839"/>
        <v>19</v>
      </c>
      <c r="G5482" s="12">
        <f t="shared" si="838"/>
        <v>3.8</v>
      </c>
    </row>
    <row r="5483" ht="15.0" customHeight="1">
      <c r="A5483" s="11"/>
      <c r="B5483" s="11"/>
      <c r="C5483" s="11"/>
      <c r="D5483" s="10" t="s">
        <v>22</v>
      </c>
      <c r="E5483" s="14">
        <v>0.875</v>
      </c>
      <c r="F5483" s="15">
        <f>ROUND((G5480+G5481+G5482),3)</f>
        <v>43.8</v>
      </c>
      <c r="G5483" s="12">
        <f t="shared" si="838"/>
        <v>38.33</v>
      </c>
    </row>
    <row r="5484" ht="15.0" customHeight="1">
      <c r="A5484" s="10" t="s">
        <v>32</v>
      </c>
      <c r="B5484" s="10"/>
      <c r="C5484" s="10" t="s">
        <v>33</v>
      </c>
      <c r="D5484" s="10" t="s">
        <v>34</v>
      </c>
      <c r="E5484" s="14">
        <v>3.0</v>
      </c>
      <c r="F5484" s="15">
        <f>ROUND(38.33,3)</f>
        <v>38.33</v>
      </c>
      <c r="G5484" s="12">
        <f>ROUND((E5484*F5484)/100,2)</f>
        <v>1.15</v>
      </c>
    </row>
    <row r="5485" ht="15.0" customHeight="1">
      <c r="A5485" s="16"/>
      <c r="B5485" s="16"/>
      <c r="C5485" s="16"/>
      <c r="D5485" s="17" t="s">
        <v>2448</v>
      </c>
      <c r="E5485" s="16"/>
      <c r="F5485" s="18">
        <f>ROUND((G5475+G5476+G5477+G5478+G5479+G5484)*(1+G2/100),2)</f>
        <v>91.2</v>
      </c>
      <c r="G5485" s="16"/>
    </row>
    <row r="5486" ht="48.75" customHeight="1">
      <c r="A5486" s="19" t="s">
        <v>2455</v>
      </c>
      <c r="B5486" s="20" t="s">
        <v>18</v>
      </c>
      <c r="C5486" s="20" t="s">
        <v>231</v>
      </c>
      <c r="D5486" s="20" t="s">
        <v>2456</v>
      </c>
      <c r="E5486" s="21"/>
      <c r="F5486" s="22" t="str">
        <f>F5504</f>
        <v>#ERROR!</v>
      </c>
      <c r="G5486" s="21"/>
    </row>
    <row r="5487" ht="48.75" customHeight="1">
      <c r="A5487" s="11"/>
      <c r="B5487" s="11"/>
      <c r="C5487" s="11"/>
      <c r="D5487" s="10" t="s">
        <v>2457</v>
      </c>
    </row>
    <row r="5488" ht="48.75" customHeight="1">
      <c r="A5488" s="10" t="s">
        <v>1747</v>
      </c>
      <c r="B5488" s="10" t="s">
        <v>42</v>
      </c>
      <c r="C5488" s="10" t="s">
        <v>344</v>
      </c>
      <c r="D5488" s="10" t="s">
        <v>1748</v>
      </c>
      <c r="E5488" s="14">
        <v>0.1</v>
      </c>
      <c r="F5488" s="15">
        <f>ROUND(52.89,3)</f>
        <v>52.89</v>
      </c>
      <c r="G5488" s="12">
        <f t="shared" ref="G5488:G5502" si="840">ROUND(E5488*F5488,2)</f>
        <v>5.29</v>
      </c>
    </row>
    <row r="5489" ht="39.75" customHeight="1">
      <c r="A5489" s="10" t="s">
        <v>2430</v>
      </c>
      <c r="B5489" s="10" t="s">
        <v>42</v>
      </c>
      <c r="C5489" s="10" t="s">
        <v>344</v>
      </c>
      <c r="D5489" s="10" t="s">
        <v>2431</v>
      </c>
      <c r="E5489" s="14">
        <v>0.1</v>
      </c>
      <c r="F5489" s="15">
        <f>ROUND(26,3)</f>
        <v>26</v>
      </c>
      <c r="G5489" s="12">
        <f t="shared" si="840"/>
        <v>2.6</v>
      </c>
    </row>
    <row r="5490" ht="30.0" customHeight="1">
      <c r="A5490" s="10" t="s">
        <v>1378</v>
      </c>
      <c r="B5490" s="10" t="s">
        <v>42</v>
      </c>
      <c r="C5490" s="10" t="s">
        <v>330</v>
      </c>
      <c r="D5490" s="10" t="s">
        <v>1379</v>
      </c>
      <c r="E5490" s="14">
        <v>0.2</v>
      </c>
      <c r="F5490" s="15">
        <f>ROUND(6.14,3)</f>
        <v>6.14</v>
      </c>
      <c r="G5490" s="12">
        <f t="shared" si="840"/>
        <v>1.23</v>
      </c>
    </row>
    <row r="5491" ht="39.75" customHeight="1">
      <c r="A5491" s="10" t="s">
        <v>1340</v>
      </c>
      <c r="B5491" s="10" t="s">
        <v>42</v>
      </c>
      <c r="C5491" s="10" t="s">
        <v>1245</v>
      </c>
      <c r="D5491" s="10" t="s">
        <v>1341</v>
      </c>
      <c r="E5491" s="14">
        <v>0.169</v>
      </c>
      <c r="F5491" s="15">
        <f>ROUND(7.37,3)</f>
        <v>7.37</v>
      </c>
      <c r="G5491" s="12">
        <f t="shared" si="840"/>
        <v>1.25</v>
      </c>
    </row>
    <row r="5492" ht="30.0" customHeight="1">
      <c r="A5492" s="10" t="s">
        <v>1745</v>
      </c>
      <c r="B5492" s="10" t="s">
        <v>42</v>
      </c>
      <c r="C5492" s="10" t="s">
        <v>330</v>
      </c>
      <c r="D5492" s="10" t="s">
        <v>1746</v>
      </c>
      <c r="E5492" s="14">
        <v>0.5</v>
      </c>
      <c r="F5492" s="15">
        <f>ROUND(7.93,3)</f>
        <v>7.93</v>
      </c>
      <c r="G5492" s="12">
        <f t="shared" si="840"/>
        <v>3.97</v>
      </c>
    </row>
    <row r="5493" ht="39.75" customHeight="1">
      <c r="A5493" s="10" t="s">
        <v>2432</v>
      </c>
      <c r="B5493" s="10" t="s">
        <v>42</v>
      </c>
      <c r="C5493" s="10" t="s">
        <v>325</v>
      </c>
      <c r="D5493" s="10" t="s">
        <v>2433</v>
      </c>
      <c r="E5493" s="14">
        <v>0.25</v>
      </c>
      <c r="F5493" s="15">
        <f>ROUND(13.53,3)</f>
        <v>13.53</v>
      </c>
      <c r="G5493" s="12">
        <f t="shared" si="840"/>
        <v>3.38</v>
      </c>
    </row>
    <row r="5494" ht="39.75" customHeight="1">
      <c r="A5494" s="10" t="s">
        <v>2434</v>
      </c>
      <c r="B5494" s="10" t="s">
        <v>42</v>
      </c>
      <c r="C5494" s="10" t="s">
        <v>2435</v>
      </c>
      <c r="D5494" s="10" t="s">
        <v>2436</v>
      </c>
      <c r="E5494" s="14">
        <v>0.01</v>
      </c>
      <c r="F5494" s="15">
        <f>ROUND(7.65,3)</f>
        <v>7.65</v>
      </c>
      <c r="G5494" s="12">
        <f t="shared" si="840"/>
        <v>0.08</v>
      </c>
    </row>
    <row r="5495" ht="24.0" customHeight="1">
      <c r="A5495" s="10" t="s">
        <v>2437</v>
      </c>
      <c r="B5495" s="10" t="s">
        <v>42</v>
      </c>
      <c r="C5495" s="10" t="s">
        <v>43</v>
      </c>
      <c r="D5495" s="10" t="s">
        <v>2438</v>
      </c>
      <c r="E5495" s="14">
        <v>0.002</v>
      </c>
      <c r="F5495" s="15">
        <f>ROUND(35.3,3)</f>
        <v>35.3</v>
      </c>
      <c r="G5495" s="12">
        <f t="shared" si="840"/>
        <v>0.07</v>
      </c>
    </row>
    <row r="5496" ht="39.75" customHeight="1">
      <c r="A5496" s="10" t="s">
        <v>1435</v>
      </c>
      <c r="B5496" s="10" t="s">
        <v>112</v>
      </c>
      <c r="C5496" s="10" t="s">
        <v>23</v>
      </c>
      <c r="D5496" s="10" t="s">
        <v>1436</v>
      </c>
      <c r="E5496" s="14">
        <v>0.2</v>
      </c>
      <c r="F5496" s="15">
        <f>ROUND(2.86,3)</f>
        <v>2.86</v>
      </c>
      <c r="G5496" s="12">
        <f t="shared" si="840"/>
        <v>0.57</v>
      </c>
    </row>
    <row r="5497" ht="39.75" customHeight="1">
      <c r="A5497" s="10" t="s">
        <v>953</v>
      </c>
      <c r="B5497" s="10" t="s">
        <v>112</v>
      </c>
      <c r="C5497" s="10" t="s">
        <v>23</v>
      </c>
      <c r="D5497" s="10" t="s">
        <v>954</v>
      </c>
      <c r="E5497" s="14">
        <v>0.1</v>
      </c>
      <c r="F5497" s="15">
        <f>ROUND(1.75,3)</f>
        <v>1.75</v>
      </c>
      <c r="G5497" s="12">
        <f t="shared" si="840"/>
        <v>0.18</v>
      </c>
    </row>
    <row r="5498" ht="21.0" customHeight="1">
      <c r="A5498" s="10" t="s">
        <v>969</v>
      </c>
      <c r="B5498" s="10" t="s">
        <v>112</v>
      </c>
      <c r="C5498" s="10" t="s">
        <v>23</v>
      </c>
      <c r="D5498" s="10" t="s">
        <v>970</v>
      </c>
      <c r="E5498" s="14">
        <v>0.2</v>
      </c>
      <c r="F5498" s="15">
        <f>ROUND(2,3)</f>
        <v>2</v>
      </c>
      <c r="G5498" s="12">
        <f t="shared" si="840"/>
        <v>0.4</v>
      </c>
    </row>
    <row r="5499" ht="30.0" customHeight="1">
      <c r="A5499" s="10" t="s">
        <v>971</v>
      </c>
      <c r="B5499" s="10" t="s">
        <v>42</v>
      </c>
      <c r="C5499" s="10" t="s">
        <v>231</v>
      </c>
      <c r="D5499" s="10" t="s">
        <v>972</v>
      </c>
      <c r="E5499" s="14">
        <v>0.1</v>
      </c>
      <c r="F5499" s="15">
        <f>ROUND(4.92,3)</f>
        <v>4.92</v>
      </c>
      <c r="G5499" s="12">
        <f t="shared" si="840"/>
        <v>0.49</v>
      </c>
    </row>
    <row r="5500" ht="21.0" customHeight="1">
      <c r="A5500" s="10" t="s">
        <v>1344</v>
      </c>
      <c r="B5500" s="10" t="s">
        <v>42</v>
      </c>
      <c r="C5500" s="10" t="s">
        <v>231</v>
      </c>
      <c r="D5500" s="10" t="s">
        <v>1345</v>
      </c>
      <c r="E5500" s="14">
        <v>0.1</v>
      </c>
      <c r="F5500" s="15">
        <f>ROUND(5.52,3)</f>
        <v>5.52</v>
      </c>
      <c r="G5500" s="12">
        <f t="shared" si="840"/>
        <v>0.55</v>
      </c>
    </row>
    <row r="5501" ht="30.0" customHeight="1">
      <c r="A5501" s="10" t="s">
        <v>2458</v>
      </c>
      <c r="B5501" s="10" t="s">
        <v>18</v>
      </c>
      <c r="C5501" s="10" t="s">
        <v>23</v>
      </c>
      <c r="D5501" s="10" t="s">
        <v>2459</v>
      </c>
      <c r="E5501" s="14">
        <v>1.25</v>
      </c>
      <c r="F5501" s="15" t="str">
        <f>F5502</f>
        <v>#ERROR!</v>
      </c>
      <c r="G5501" s="12" t="str">
        <f t="shared" si="840"/>
        <v>#ERROR!</v>
      </c>
    </row>
    <row r="5502" ht="15.0" customHeight="1">
      <c r="A5502" s="11"/>
      <c r="B5502" s="11"/>
      <c r="C5502" s="11"/>
      <c r="D5502" s="10" t="s">
        <v>2458</v>
      </c>
      <c r="E5502" s="14">
        <v>1.25</v>
      </c>
      <c r="F5502" s="15" t="str">
        <f>ROUND((),3)</f>
        <v>#ERROR!</v>
      </c>
      <c r="G5502" s="12" t="str">
        <f t="shared" si="840"/>
        <v>#ERROR!</v>
      </c>
    </row>
    <row r="5503" ht="15.0" customHeight="1">
      <c r="A5503" s="10" t="s">
        <v>32</v>
      </c>
      <c r="B5503" s="10"/>
      <c r="C5503" s="10" t="s">
        <v>33</v>
      </c>
      <c r="D5503" s="10" t="s">
        <v>34</v>
      </c>
      <c r="E5503" s="14">
        <v>3.0</v>
      </c>
      <c r="F5503" s="15">
        <f>ROUND(61.88,3)</f>
        <v>61.88</v>
      </c>
      <c r="G5503" s="12">
        <f>ROUND((E5503*F5503)/100,2)</f>
        <v>1.86</v>
      </c>
    </row>
    <row r="5504" ht="24.75" customHeight="1">
      <c r="A5504" s="16"/>
      <c r="B5504" s="16"/>
      <c r="C5504" s="16"/>
      <c r="D5504" s="17" t="s">
        <v>2455</v>
      </c>
      <c r="E5504" s="16"/>
      <c r="F5504" s="18" t="str">
        <f>ROUND((G5488+G5489+G5490+G5491+G5492+G5493+G5494+G5495+G5496+G5497+G5498+G5499+G5500+G5501+G5503)*(1+G2/100),2)</f>
        <v>#ERROR!</v>
      </c>
      <c r="G5504" s="16"/>
    </row>
    <row r="5505" ht="21.0" customHeight="1">
      <c r="A5505" s="19" t="s">
        <v>2460</v>
      </c>
      <c r="B5505" s="20" t="s">
        <v>18</v>
      </c>
      <c r="C5505" s="20" t="s">
        <v>295</v>
      </c>
      <c r="D5505" s="20" t="s">
        <v>2461</v>
      </c>
      <c r="E5505" s="21"/>
      <c r="F5505" s="22">
        <f>F5514</f>
        <v>41.61</v>
      </c>
      <c r="G5505" s="21"/>
    </row>
    <row r="5506" ht="30.0" customHeight="1">
      <c r="A5506" s="11"/>
      <c r="B5506" s="11"/>
      <c r="C5506" s="11"/>
      <c r="D5506" s="10" t="s">
        <v>2462</v>
      </c>
    </row>
    <row r="5507" ht="30.0" customHeight="1">
      <c r="A5507" s="10" t="s">
        <v>2463</v>
      </c>
      <c r="B5507" s="10" t="s">
        <v>42</v>
      </c>
      <c r="C5507" s="10" t="s">
        <v>295</v>
      </c>
      <c r="D5507" s="10" t="s">
        <v>2464</v>
      </c>
      <c r="E5507" s="14">
        <v>2.0</v>
      </c>
      <c r="F5507" s="15">
        <f>ROUND(2,3)</f>
        <v>2</v>
      </c>
      <c r="G5507" s="12">
        <f t="shared" ref="G5507:G5513" si="841">ROUND(E5507*F5507,2)</f>
        <v>4</v>
      </c>
    </row>
    <row r="5508" ht="48.75" customHeight="1">
      <c r="A5508" s="10" t="s">
        <v>2465</v>
      </c>
      <c r="B5508" s="10" t="s">
        <v>42</v>
      </c>
      <c r="C5508" s="10" t="s">
        <v>344</v>
      </c>
      <c r="D5508" s="10" t="s">
        <v>2466</v>
      </c>
      <c r="E5508" s="14">
        <v>0.3</v>
      </c>
      <c r="F5508" s="15">
        <f>ROUND(52.36,3)</f>
        <v>52.36</v>
      </c>
      <c r="G5508" s="12">
        <f t="shared" si="841"/>
        <v>15.71</v>
      </c>
    </row>
    <row r="5509" ht="21.0" customHeight="1">
      <c r="A5509" s="10" t="s">
        <v>22</v>
      </c>
      <c r="B5509" s="10" t="s">
        <v>18</v>
      </c>
      <c r="C5509" s="10" t="s">
        <v>23</v>
      </c>
      <c r="D5509" s="10" t="s">
        <v>24</v>
      </c>
      <c r="E5509" s="14">
        <v>0.5</v>
      </c>
      <c r="F5509" s="15">
        <f>F5513</f>
        <v>43.8</v>
      </c>
      <c r="G5509" s="12">
        <f t="shared" si="841"/>
        <v>21.9</v>
      </c>
    </row>
    <row r="5510" ht="24.0" customHeight="1">
      <c r="A5510" s="10" t="s">
        <v>25</v>
      </c>
      <c r="B5510" s="10" t="s">
        <v>26</v>
      </c>
      <c r="C5510" s="10" t="s">
        <v>23</v>
      </c>
      <c r="D5510" s="10" t="s">
        <v>27</v>
      </c>
      <c r="E5510" s="14">
        <v>1.0</v>
      </c>
      <c r="F5510" s="15">
        <f>ROUND(21,3)</f>
        <v>21</v>
      </c>
      <c r="G5510" s="12">
        <f t="shared" si="841"/>
        <v>21</v>
      </c>
    </row>
    <row r="5511" ht="24.0" customHeight="1">
      <c r="A5511" s="10" t="s">
        <v>28</v>
      </c>
      <c r="B5511" s="10" t="s">
        <v>26</v>
      </c>
      <c r="C5511" s="10" t="s">
        <v>23</v>
      </c>
      <c r="D5511" s="10" t="s">
        <v>29</v>
      </c>
      <c r="E5511" s="14">
        <v>1.0</v>
      </c>
      <c r="F5511" s="15">
        <f t="shared" ref="F5511:F5512" si="842">ROUND(19,3)</f>
        <v>19</v>
      </c>
      <c r="G5511" s="12">
        <f t="shared" si="841"/>
        <v>19</v>
      </c>
    </row>
    <row r="5512" ht="24.0" customHeight="1">
      <c r="A5512" s="10" t="s">
        <v>30</v>
      </c>
      <c r="B5512" s="10" t="s">
        <v>26</v>
      </c>
      <c r="C5512" s="10" t="s">
        <v>23</v>
      </c>
      <c r="D5512" s="10" t="s">
        <v>31</v>
      </c>
      <c r="E5512" s="14">
        <v>0.2</v>
      </c>
      <c r="F5512" s="15">
        <f t="shared" si="842"/>
        <v>19</v>
      </c>
      <c r="G5512" s="12">
        <f t="shared" si="841"/>
        <v>3.8</v>
      </c>
    </row>
    <row r="5513" ht="15.0" customHeight="1">
      <c r="A5513" s="11"/>
      <c r="B5513" s="11"/>
      <c r="C5513" s="11"/>
      <c r="D5513" s="10" t="s">
        <v>22</v>
      </c>
      <c r="E5513" s="14">
        <v>0.5</v>
      </c>
      <c r="F5513" s="15">
        <f>ROUND((G5510+G5511+G5512),3)</f>
        <v>43.8</v>
      </c>
      <c r="G5513" s="12">
        <f t="shared" si="841"/>
        <v>21.9</v>
      </c>
    </row>
    <row r="5514" ht="15.0" customHeight="1">
      <c r="A5514" s="16"/>
      <c r="B5514" s="16"/>
      <c r="C5514" s="16"/>
      <c r="D5514" s="17" t="s">
        <v>2460</v>
      </c>
      <c r="E5514" s="16"/>
      <c r="F5514" s="18">
        <f>ROUND((G5507+G5508+G5509)*(1+G2/100),2)</f>
        <v>41.61</v>
      </c>
      <c r="G5514" s="16"/>
    </row>
    <row r="5515" ht="21.0" customHeight="1">
      <c r="A5515" s="19" t="s">
        <v>1111</v>
      </c>
      <c r="B5515" s="20" t="s">
        <v>18</v>
      </c>
      <c r="C5515" s="20" t="s">
        <v>251</v>
      </c>
      <c r="D5515" s="20" t="s">
        <v>1112</v>
      </c>
      <c r="E5515" s="21"/>
      <c r="F5515" s="22">
        <f>F5525</f>
        <v>30.44</v>
      </c>
      <c r="G5515" s="21"/>
    </row>
    <row r="5516" ht="39.75" customHeight="1">
      <c r="A5516" s="11"/>
      <c r="B5516" s="11"/>
      <c r="C5516" s="11"/>
      <c r="D5516" s="10" t="s">
        <v>1113</v>
      </c>
    </row>
    <row r="5517" ht="30.0" customHeight="1">
      <c r="A5517" s="10" t="s">
        <v>1051</v>
      </c>
      <c r="B5517" s="10" t="s">
        <v>42</v>
      </c>
      <c r="C5517" s="10" t="s">
        <v>43</v>
      </c>
      <c r="D5517" s="10" t="s">
        <v>1052</v>
      </c>
      <c r="E5517" s="14">
        <v>0.0666</v>
      </c>
      <c r="F5517" s="15">
        <f>ROUND(110.66,3)</f>
        <v>110.66</v>
      </c>
      <c r="G5517" s="12">
        <f t="shared" ref="G5517:G5523" si="843">ROUND(E5517*F5517,2)</f>
        <v>7.37</v>
      </c>
    </row>
    <row r="5518" ht="24.0" customHeight="1">
      <c r="A5518" s="10" t="s">
        <v>1053</v>
      </c>
      <c r="B5518" s="10" t="s">
        <v>42</v>
      </c>
      <c r="C5518" s="10" t="s">
        <v>43</v>
      </c>
      <c r="D5518" s="10" t="s">
        <v>1054</v>
      </c>
      <c r="E5518" s="14">
        <v>0.11</v>
      </c>
      <c r="F5518" s="15">
        <f>ROUND(4.63,3)</f>
        <v>4.63</v>
      </c>
      <c r="G5518" s="12">
        <f t="shared" si="843"/>
        <v>0.51</v>
      </c>
    </row>
    <row r="5519" ht="21.0" customHeight="1">
      <c r="A5519" s="10" t="s">
        <v>22</v>
      </c>
      <c r="B5519" s="10" t="s">
        <v>18</v>
      </c>
      <c r="C5519" s="10" t="s">
        <v>23</v>
      </c>
      <c r="D5519" s="10" t="s">
        <v>24</v>
      </c>
      <c r="E5519" s="14">
        <v>0.5</v>
      </c>
      <c r="F5519" s="15">
        <f>F5523</f>
        <v>43.8</v>
      </c>
      <c r="G5519" s="12">
        <f t="shared" si="843"/>
        <v>21.9</v>
      </c>
    </row>
    <row r="5520" ht="24.0" customHeight="1">
      <c r="A5520" s="10" t="s">
        <v>25</v>
      </c>
      <c r="B5520" s="10" t="s">
        <v>26</v>
      </c>
      <c r="C5520" s="10" t="s">
        <v>23</v>
      </c>
      <c r="D5520" s="10" t="s">
        <v>27</v>
      </c>
      <c r="E5520" s="14">
        <v>1.0</v>
      </c>
      <c r="F5520" s="15">
        <f>ROUND(21,3)</f>
        <v>21</v>
      </c>
      <c r="G5520" s="12">
        <f t="shared" si="843"/>
        <v>21</v>
      </c>
    </row>
    <row r="5521" ht="24.0" customHeight="1">
      <c r="A5521" s="10" t="s">
        <v>28</v>
      </c>
      <c r="B5521" s="10" t="s">
        <v>26</v>
      </c>
      <c r="C5521" s="10" t="s">
        <v>23</v>
      </c>
      <c r="D5521" s="10" t="s">
        <v>29</v>
      </c>
      <c r="E5521" s="14">
        <v>1.0</v>
      </c>
      <c r="F5521" s="15">
        <f t="shared" ref="F5521:F5522" si="844">ROUND(19,3)</f>
        <v>19</v>
      </c>
      <c r="G5521" s="12">
        <f t="shared" si="843"/>
        <v>19</v>
      </c>
    </row>
    <row r="5522" ht="24.0" customHeight="1">
      <c r="A5522" s="10" t="s">
        <v>30</v>
      </c>
      <c r="B5522" s="10" t="s">
        <v>26</v>
      </c>
      <c r="C5522" s="10" t="s">
        <v>23</v>
      </c>
      <c r="D5522" s="10" t="s">
        <v>31</v>
      </c>
      <c r="E5522" s="14">
        <v>0.2</v>
      </c>
      <c r="F5522" s="15">
        <f t="shared" si="844"/>
        <v>19</v>
      </c>
      <c r="G5522" s="12">
        <f t="shared" si="843"/>
        <v>3.8</v>
      </c>
    </row>
    <row r="5523" ht="15.0" customHeight="1">
      <c r="A5523" s="11"/>
      <c r="B5523" s="11"/>
      <c r="C5523" s="11"/>
      <c r="D5523" s="10" t="s">
        <v>22</v>
      </c>
      <c r="E5523" s="14">
        <v>0.5</v>
      </c>
      <c r="F5523" s="15">
        <f>ROUND((G5520+G5521+G5522),3)</f>
        <v>43.8</v>
      </c>
      <c r="G5523" s="12">
        <f t="shared" si="843"/>
        <v>21.9</v>
      </c>
    </row>
    <row r="5524" ht="15.0" customHeight="1">
      <c r="A5524" s="10" t="s">
        <v>32</v>
      </c>
      <c r="B5524" s="10"/>
      <c r="C5524" s="10" t="s">
        <v>33</v>
      </c>
      <c r="D5524" s="10" t="s">
        <v>34</v>
      </c>
      <c r="E5524" s="14">
        <v>3.0</v>
      </c>
      <c r="F5524" s="15">
        <f>ROUND(21.9,3)</f>
        <v>21.9</v>
      </c>
      <c r="G5524" s="12">
        <f>ROUND((E5524*F5524)/100,2)</f>
        <v>0.66</v>
      </c>
    </row>
    <row r="5525" ht="15.0" customHeight="1">
      <c r="A5525" s="16"/>
      <c r="B5525" s="16"/>
      <c r="C5525" s="16"/>
      <c r="D5525" s="17" t="s">
        <v>1111</v>
      </c>
      <c r="E5525" s="16"/>
      <c r="F5525" s="18">
        <f>ROUND((G5517+G5518+G5519+G5524)*(1+G2/100),2)</f>
        <v>30.44</v>
      </c>
      <c r="G5525" s="16"/>
    </row>
    <row r="5526" ht="48.75" customHeight="1">
      <c r="A5526" s="19" t="s">
        <v>2467</v>
      </c>
      <c r="B5526" s="20" t="s">
        <v>18</v>
      </c>
      <c r="C5526" s="20" t="s">
        <v>231</v>
      </c>
      <c r="D5526" s="20" t="s">
        <v>2468</v>
      </c>
      <c r="E5526" s="21"/>
      <c r="F5526" s="22" t="str">
        <f>F5544</f>
        <v>#ERROR!</v>
      </c>
      <c r="G5526" s="21"/>
    </row>
    <row r="5527" ht="21.0" customHeight="1">
      <c r="A5527" s="11"/>
      <c r="B5527" s="11"/>
      <c r="C5527" s="11"/>
      <c r="D5527" s="10" t="s">
        <v>2469</v>
      </c>
    </row>
    <row r="5528" ht="30.0" customHeight="1">
      <c r="A5528" s="10" t="s">
        <v>2470</v>
      </c>
      <c r="B5528" s="10" t="s">
        <v>42</v>
      </c>
      <c r="C5528" s="10" t="s">
        <v>344</v>
      </c>
      <c r="D5528" s="10" t="s">
        <v>2471</v>
      </c>
      <c r="E5528" s="14">
        <v>0.03333</v>
      </c>
      <c r="F5528" s="15">
        <f>ROUND(11.04,3)</f>
        <v>11.04</v>
      </c>
      <c r="G5528" s="12">
        <f t="shared" ref="G5528:G5542" si="845">ROUND(E5528*F5528,2)</f>
        <v>0.37</v>
      </c>
    </row>
    <row r="5529" ht="30.0" customHeight="1">
      <c r="A5529" s="10" t="s">
        <v>2472</v>
      </c>
      <c r="B5529" s="10" t="s">
        <v>42</v>
      </c>
      <c r="C5529" s="10" t="s">
        <v>344</v>
      </c>
      <c r="D5529" s="10" t="s">
        <v>2473</v>
      </c>
      <c r="E5529" s="14">
        <v>0.05</v>
      </c>
      <c r="F5529" s="15">
        <f>ROUND(13.14,3)</f>
        <v>13.14</v>
      </c>
      <c r="G5529" s="12">
        <f t="shared" si="845"/>
        <v>0.66</v>
      </c>
    </row>
    <row r="5530" ht="30.0" customHeight="1">
      <c r="A5530" s="10" t="s">
        <v>1378</v>
      </c>
      <c r="B5530" s="10" t="s">
        <v>42</v>
      </c>
      <c r="C5530" s="10" t="s">
        <v>330</v>
      </c>
      <c r="D5530" s="10" t="s">
        <v>1379</v>
      </c>
      <c r="E5530" s="14">
        <v>0.05</v>
      </c>
      <c r="F5530" s="15">
        <f>ROUND(6.14,3)</f>
        <v>6.14</v>
      </c>
      <c r="G5530" s="12">
        <f t="shared" si="845"/>
        <v>0.31</v>
      </c>
    </row>
    <row r="5531" ht="39.75" customHeight="1">
      <c r="A5531" s="10" t="s">
        <v>1340</v>
      </c>
      <c r="B5531" s="10" t="s">
        <v>42</v>
      </c>
      <c r="C5531" s="10" t="s">
        <v>1245</v>
      </c>
      <c r="D5531" s="10" t="s">
        <v>1341</v>
      </c>
      <c r="E5531" s="14">
        <v>0.04225</v>
      </c>
      <c r="F5531" s="15">
        <f>ROUND(7.37,3)</f>
        <v>7.37</v>
      </c>
      <c r="G5531" s="12">
        <f t="shared" si="845"/>
        <v>0.31</v>
      </c>
    </row>
    <row r="5532" ht="30.0" customHeight="1">
      <c r="A5532" s="10" t="s">
        <v>1745</v>
      </c>
      <c r="B5532" s="10" t="s">
        <v>42</v>
      </c>
      <c r="C5532" s="10" t="s">
        <v>330</v>
      </c>
      <c r="D5532" s="10" t="s">
        <v>1746</v>
      </c>
      <c r="E5532" s="14">
        <v>0.125</v>
      </c>
      <c r="F5532" s="15">
        <f>ROUND(7.93,3)</f>
        <v>7.93</v>
      </c>
      <c r="G5532" s="12">
        <f t="shared" si="845"/>
        <v>0.99</v>
      </c>
    </row>
    <row r="5533" ht="30.0" customHeight="1">
      <c r="A5533" s="10" t="s">
        <v>1437</v>
      </c>
      <c r="B5533" s="10" t="s">
        <v>42</v>
      </c>
      <c r="C5533" s="10" t="s">
        <v>325</v>
      </c>
      <c r="D5533" s="10" t="s">
        <v>1438</v>
      </c>
      <c r="E5533" s="14">
        <v>0.09</v>
      </c>
      <c r="F5533" s="15">
        <f>ROUND(30.45,3)</f>
        <v>30.45</v>
      </c>
      <c r="G5533" s="12">
        <f t="shared" si="845"/>
        <v>2.74</v>
      </c>
    </row>
    <row r="5534" ht="21.0" customHeight="1">
      <c r="A5534" s="10" t="s">
        <v>955</v>
      </c>
      <c r="B5534" s="10" t="s">
        <v>42</v>
      </c>
      <c r="C5534" s="10" t="s">
        <v>956</v>
      </c>
      <c r="D5534" s="10" t="s">
        <v>957</v>
      </c>
      <c r="E5534" s="14">
        <v>0.1</v>
      </c>
      <c r="F5534" s="15">
        <f>ROUND(0.97,3)</f>
        <v>0.97</v>
      </c>
      <c r="G5534" s="12">
        <f t="shared" si="845"/>
        <v>0.1</v>
      </c>
    </row>
    <row r="5535" ht="24.0" customHeight="1">
      <c r="A5535" s="10" t="s">
        <v>2437</v>
      </c>
      <c r="B5535" s="10" t="s">
        <v>42</v>
      </c>
      <c r="C5535" s="10" t="s">
        <v>43</v>
      </c>
      <c r="D5535" s="10" t="s">
        <v>2438</v>
      </c>
      <c r="E5535" s="14">
        <v>0.001</v>
      </c>
      <c r="F5535" s="15">
        <f>ROUND(35.3,3)</f>
        <v>35.3</v>
      </c>
      <c r="G5535" s="12">
        <f t="shared" si="845"/>
        <v>0.04</v>
      </c>
    </row>
    <row r="5536" ht="39.75" customHeight="1">
      <c r="A5536" s="10" t="s">
        <v>1435</v>
      </c>
      <c r="B5536" s="10" t="s">
        <v>112</v>
      </c>
      <c r="C5536" s="10" t="s">
        <v>23</v>
      </c>
      <c r="D5536" s="10" t="s">
        <v>1436</v>
      </c>
      <c r="E5536" s="14">
        <v>0.2</v>
      </c>
      <c r="F5536" s="15">
        <f>ROUND(2.86,3)</f>
        <v>2.86</v>
      </c>
      <c r="G5536" s="12">
        <f t="shared" si="845"/>
        <v>0.57</v>
      </c>
    </row>
    <row r="5537" ht="39.75" customHeight="1">
      <c r="A5537" s="10" t="s">
        <v>953</v>
      </c>
      <c r="B5537" s="10" t="s">
        <v>112</v>
      </c>
      <c r="C5537" s="10" t="s">
        <v>23</v>
      </c>
      <c r="D5537" s="10" t="s">
        <v>954</v>
      </c>
      <c r="E5537" s="14">
        <v>0.1</v>
      </c>
      <c r="F5537" s="15">
        <f>ROUND(1.75,3)</f>
        <v>1.75</v>
      </c>
      <c r="G5537" s="12">
        <f t="shared" si="845"/>
        <v>0.18</v>
      </c>
    </row>
    <row r="5538" ht="21.0" customHeight="1">
      <c r="A5538" s="10" t="s">
        <v>969</v>
      </c>
      <c r="B5538" s="10" t="s">
        <v>112</v>
      </c>
      <c r="C5538" s="10" t="s">
        <v>23</v>
      </c>
      <c r="D5538" s="10" t="s">
        <v>970</v>
      </c>
      <c r="E5538" s="14">
        <v>0.1</v>
      </c>
      <c r="F5538" s="15">
        <f>ROUND(2,3)</f>
        <v>2</v>
      </c>
      <c r="G5538" s="12">
        <f t="shared" si="845"/>
        <v>0.2</v>
      </c>
    </row>
    <row r="5539" ht="30.0" customHeight="1">
      <c r="A5539" s="10" t="s">
        <v>971</v>
      </c>
      <c r="B5539" s="10" t="s">
        <v>42</v>
      </c>
      <c r="C5539" s="10" t="s">
        <v>231</v>
      </c>
      <c r="D5539" s="10" t="s">
        <v>972</v>
      </c>
      <c r="E5539" s="14">
        <v>0.1</v>
      </c>
      <c r="F5539" s="15">
        <f>ROUND(4.92,3)</f>
        <v>4.92</v>
      </c>
      <c r="G5539" s="12">
        <f t="shared" si="845"/>
        <v>0.49</v>
      </c>
    </row>
    <row r="5540" ht="21.0" customHeight="1">
      <c r="A5540" s="10" t="s">
        <v>1344</v>
      </c>
      <c r="B5540" s="10" t="s">
        <v>42</v>
      </c>
      <c r="C5540" s="10" t="s">
        <v>231</v>
      </c>
      <c r="D5540" s="10" t="s">
        <v>1345</v>
      </c>
      <c r="E5540" s="14">
        <v>0.05</v>
      </c>
      <c r="F5540" s="15">
        <f>ROUND(5.52,3)</f>
        <v>5.52</v>
      </c>
      <c r="G5540" s="12">
        <f t="shared" si="845"/>
        <v>0.28</v>
      </c>
    </row>
    <row r="5541" ht="30.0" customHeight="1">
      <c r="A5541" s="10" t="s">
        <v>2458</v>
      </c>
      <c r="B5541" s="10" t="s">
        <v>18</v>
      </c>
      <c r="C5541" s="10" t="s">
        <v>23</v>
      </c>
      <c r="D5541" s="10" t="s">
        <v>2459</v>
      </c>
      <c r="E5541" s="14">
        <v>0.8</v>
      </c>
      <c r="F5541" s="15" t="str">
        <f>F5542</f>
        <v>#ERROR!</v>
      </c>
      <c r="G5541" s="12" t="str">
        <f t="shared" si="845"/>
        <v>#ERROR!</v>
      </c>
    </row>
    <row r="5542" ht="15.0" customHeight="1">
      <c r="A5542" s="11"/>
      <c r="B5542" s="11"/>
      <c r="C5542" s="11"/>
      <c r="D5542" s="10" t="s">
        <v>2458</v>
      </c>
      <c r="E5542" s="14">
        <v>0.8</v>
      </c>
      <c r="F5542" s="15" t="str">
        <f>ROUND((),3)</f>
        <v>#ERROR!</v>
      </c>
      <c r="G5542" s="12" t="str">
        <f t="shared" si="845"/>
        <v>#ERROR!</v>
      </c>
    </row>
    <row r="5543" ht="15.0" customHeight="1">
      <c r="A5543" s="10" t="s">
        <v>32</v>
      </c>
      <c r="B5543" s="10"/>
      <c r="C5543" s="10" t="s">
        <v>33</v>
      </c>
      <c r="D5543" s="10" t="s">
        <v>34</v>
      </c>
      <c r="E5543" s="14">
        <v>3.0</v>
      </c>
      <c r="F5543" s="15">
        <f>ROUND(39.6,3)</f>
        <v>39.6</v>
      </c>
      <c r="G5543" s="12">
        <f>ROUND((E5543*F5543)/100,2)</f>
        <v>1.19</v>
      </c>
    </row>
    <row r="5544" ht="24.75" customHeight="1">
      <c r="A5544" s="16"/>
      <c r="B5544" s="16"/>
      <c r="C5544" s="16"/>
      <c r="D5544" s="17" t="s">
        <v>2467</v>
      </c>
      <c r="E5544" s="16"/>
      <c r="F5544" s="18" t="str">
        <f>ROUND((G5528+G5529+G5530+G5531+G5532+G5533+G5534+G5535+G5536+G5537+G5538+G5539+G5540+G5541+G5543)*(1+G2/100),2)</f>
        <v>#ERROR!</v>
      </c>
      <c r="G5544" s="16"/>
    </row>
    <row r="5545" ht="21.0" customHeight="1">
      <c r="A5545" s="19" t="s">
        <v>2474</v>
      </c>
      <c r="B5545" s="20" t="s">
        <v>18</v>
      </c>
      <c r="C5545" s="20" t="s">
        <v>321</v>
      </c>
      <c r="D5545" s="20" t="s">
        <v>2475</v>
      </c>
      <c r="E5545" s="21"/>
      <c r="F5545" s="22">
        <f>F5564</f>
        <v>294.24</v>
      </c>
      <c r="G5545" s="21"/>
    </row>
    <row r="5546" ht="48.75" customHeight="1">
      <c r="A5546" s="11"/>
      <c r="B5546" s="11"/>
      <c r="C5546" s="11"/>
      <c r="D5546" s="10" t="s">
        <v>2476</v>
      </c>
    </row>
    <row r="5547" ht="21.0" customHeight="1">
      <c r="A5547" s="10" t="s">
        <v>2477</v>
      </c>
      <c r="B5547" s="10" t="s">
        <v>18</v>
      </c>
      <c r="C5547" s="10" t="s">
        <v>351</v>
      </c>
      <c r="D5547" s="10" t="s">
        <v>2478</v>
      </c>
      <c r="E5547" s="14">
        <v>1.0</v>
      </c>
      <c r="F5547" s="15">
        <f>F5558</f>
        <v>263.58</v>
      </c>
      <c r="G5547" s="12">
        <f t="shared" ref="G5547:G5556" si="846">ROUND(E5547*F5547,2)</f>
        <v>263.58</v>
      </c>
    </row>
    <row r="5548" ht="30.0" customHeight="1">
      <c r="A5548" s="10" t="s">
        <v>2479</v>
      </c>
      <c r="B5548" s="10" t="s">
        <v>42</v>
      </c>
      <c r="C5548" s="10" t="s">
        <v>351</v>
      </c>
      <c r="D5548" s="10" t="s">
        <v>2480</v>
      </c>
      <c r="E5548" s="14">
        <v>1.0</v>
      </c>
      <c r="F5548" s="15">
        <f>ROUND(198,3)</f>
        <v>198</v>
      </c>
      <c r="G5548" s="12">
        <f t="shared" si="846"/>
        <v>198</v>
      </c>
    </row>
    <row r="5549" ht="48.75" customHeight="1">
      <c r="A5549" s="10" t="s">
        <v>1747</v>
      </c>
      <c r="B5549" s="10" t="s">
        <v>42</v>
      </c>
      <c r="C5549" s="10" t="s">
        <v>344</v>
      </c>
      <c r="D5549" s="10" t="s">
        <v>1748</v>
      </c>
      <c r="E5549" s="14">
        <v>0.1</v>
      </c>
      <c r="F5549" s="15">
        <f>ROUND(52.89,3)</f>
        <v>52.89</v>
      </c>
      <c r="G5549" s="12">
        <f t="shared" si="846"/>
        <v>5.29</v>
      </c>
    </row>
    <row r="5550" ht="30.0" customHeight="1">
      <c r="A5550" s="10" t="s">
        <v>1378</v>
      </c>
      <c r="B5550" s="10" t="s">
        <v>42</v>
      </c>
      <c r="C5550" s="10" t="s">
        <v>330</v>
      </c>
      <c r="D5550" s="10" t="s">
        <v>1379</v>
      </c>
      <c r="E5550" s="14">
        <v>0.2</v>
      </c>
      <c r="F5550" s="15">
        <f>ROUND(6.14,3)</f>
        <v>6.14</v>
      </c>
      <c r="G5550" s="12">
        <f t="shared" si="846"/>
        <v>1.23</v>
      </c>
    </row>
    <row r="5551" ht="39.75" customHeight="1">
      <c r="A5551" s="10" t="s">
        <v>1340</v>
      </c>
      <c r="B5551" s="10" t="s">
        <v>42</v>
      </c>
      <c r="C5551" s="10" t="s">
        <v>1245</v>
      </c>
      <c r="D5551" s="10" t="s">
        <v>1341</v>
      </c>
      <c r="E5551" s="14">
        <v>0.169</v>
      </c>
      <c r="F5551" s="15">
        <f>ROUND(7.37,3)</f>
        <v>7.37</v>
      </c>
      <c r="G5551" s="12">
        <f t="shared" si="846"/>
        <v>1.25</v>
      </c>
    </row>
    <row r="5552" ht="30.0" customHeight="1">
      <c r="A5552" s="10" t="s">
        <v>2481</v>
      </c>
      <c r="B5552" s="10" t="s">
        <v>42</v>
      </c>
      <c r="C5552" s="10" t="s">
        <v>5</v>
      </c>
      <c r="D5552" s="10" t="s">
        <v>2482</v>
      </c>
      <c r="E5552" s="14">
        <v>2.0</v>
      </c>
      <c r="F5552" s="15">
        <f>ROUND(4.91,3)</f>
        <v>4.91</v>
      </c>
      <c r="G5552" s="12">
        <f t="shared" si="846"/>
        <v>9.82</v>
      </c>
    </row>
    <row r="5553" ht="30.0" customHeight="1">
      <c r="A5553" s="10" t="s">
        <v>1745</v>
      </c>
      <c r="B5553" s="10" t="s">
        <v>42</v>
      </c>
      <c r="C5553" s="10" t="s">
        <v>330</v>
      </c>
      <c r="D5553" s="10" t="s">
        <v>1746</v>
      </c>
      <c r="E5553" s="14">
        <v>0.5</v>
      </c>
      <c r="F5553" s="15">
        <f>ROUND(7.93,3)</f>
        <v>7.93</v>
      </c>
      <c r="G5553" s="12">
        <f t="shared" si="846"/>
        <v>3.97</v>
      </c>
    </row>
    <row r="5554" ht="39.75" customHeight="1">
      <c r="A5554" s="10" t="s">
        <v>2432</v>
      </c>
      <c r="B5554" s="10" t="s">
        <v>42</v>
      </c>
      <c r="C5554" s="10" t="s">
        <v>325</v>
      </c>
      <c r="D5554" s="10" t="s">
        <v>2433</v>
      </c>
      <c r="E5554" s="14">
        <v>0.25</v>
      </c>
      <c r="F5554" s="15">
        <f>ROUND(13.53,3)</f>
        <v>13.53</v>
      </c>
      <c r="G5554" s="12">
        <f t="shared" si="846"/>
        <v>3.38</v>
      </c>
    </row>
    <row r="5555" ht="39.75" customHeight="1">
      <c r="A5555" s="10" t="s">
        <v>1435</v>
      </c>
      <c r="B5555" s="10" t="s">
        <v>112</v>
      </c>
      <c r="C5555" s="10" t="s">
        <v>23</v>
      </c>
      <c r="D5555" s="10" t="s">
        <v>1436</v>
      </c>
      <c r="E5555" s="14">
        <v>0.15</v>
      </c>
      <c r="F5555" s="15">
        <f>ROUND(2.86,3)</f>
        <v>2.86</v>
      </c>
      <c r="G5555" s="12">
        <f t="shared" si="846"/>
        <v>0.43</v>
      </c>
    </row>
    <row r="5556" ht="21.0" customHeight="1">
      <c r="A5556" s="10" t="s">
        <v>22</v>
      </c>
      <c r="B5556" s="10" t="s">
        <v>18</v>
      </c>
      <c r="C5556" s="10" t="s">
        <v>23</v>
      </c>
      <c r="D5556" s="10" t="s">
        <v>24</v>
      </c>
      <c r="E5556" s="14">
        <v>0.8</v>
      </c>
      <c r="F5556" s="15">
        <f>ROUND(43.8,3)</f>
        <v>43.8</v>
      </c>
      <c r="G5556" s="12">
        <f t="shared" si="846"/>
        <v>35.04</v>
      </c>
    </row>
    <row r="5557" ht="15.0" customHeight="1">
      <c r="A5557" s="10" t="s">
        <v>33</v>
      </c>
      <c r="B5557" s="10"/>
      <c r="C5557" s="10" t="s">
        <v>33</v>
      </c>
      <c r="D5557" s="10" t="s">
        <v>424</v>
      </c>
      <c r="E5557" s="14">
        <v>2.0</v>
      </c>
      <c r="F5557" s="15">
        <f>ROUND(258.41,3)</f>
        <v>258.41</v>
      </c>
      <c r="G5557" s="12">
        <f>ROUND((E5557*F5557)/100,2)</f>
        <v>5.17</v>
      </c>
    </row>
    <row r="5558" ht="15.0" customHeight="1">
      <c r="A5558" s="11"/>
      <c r="B5558" s="11"/>
      <c r="C5558" s="11"/>
      <c r="D5558" s="10" t="s">
        <v>2477</v>
      </c>
      <c r="E5558" s="14">
        <v>1.0</v>
      </c>
      <c r="F5558" s="15">
        <f>ROUND((G5548+G5549+G5550+G5551+G5552+G5553+G5554+G5555+G5556+G5557),3)</f>
        <v>263.58</v>
      </c>
      <c r="G5558" s="12">
        <f t="shared" ref="G5558:G5563" si="847">ROUND(E5558*F5558,2)</f>
        <v>263.58</v>
      </c>
    </row>
    <row r="5559" ht="21.0" customHeight="1">
      <c r="A5559" s="10" t="s">
        <v>22</v>
      </c>
      <c r="B5559" s="10" t="s">
        <v>18</v>
      </c>
      <c r="C5559" s="10" t="s">
        <v>23</v>
      </c>
      <c r="D5559" s="10" t="s">
        <v>24</v>
      </c>
      <c r="E5559" s="14">
        <v>0.7</v>
      </c>
      <c r="F5559" s="15">
        <f>F5563</f>
        <v>43.8</v>
      </c>
      <c r="G5559" s="12">
        <f t="shared" si="847"/>
        <v>30.66</v>
      </c>
    </row>
    <row r="5560" ht="24.0" customHeight="1">
      <c r="A5560" s="10" t="s">
        <v>25</v>
      </c>
      <c r="B5560" s="10" t="s">
        <v>26</v>
      </c>
      <c r="C5560" s="10" t="s">
        <v>23</v>
      </c>
      <c r="D5560" s="10" t="s">
        <v>27</v>
      </c>
      <c r="E5560" s="14">
        <v>1.0</v>
      </c>
      <c r="F5560" s="15">
        <f>ROUND(21,3)</f>
        <v>21</v>
      </c>
      <c r="G5560" s="12">
        <f t="shared" si="847"/>
        <v>21</v>
      </c>
    </row>
    <row r="5561" ht="24.0" customHeight="1">
      <c r="A5561" s="10" t="s">
        <v>28</v>
      </c>
      <c r="B5561" s="10" t="s">
        <v>26</v>
      </c>
      <c r="C5561" s="10" t="s">
        <v>23</v>
      </c>
      <c r="D5561" s="10" t="s">
        <v>29</v>
      </c>
      <c r="E5561" s="14">
        <v>1.0</v>
      </c>
      <c r="F5561" s="15">
        <f t="shared" ref="F5561:F5562" si="848">ROUND(19,3)</f>
        <v>19</v>
      </c>
      <c r="G5561" s="12">
        <f t="shared" si="847"/>
        <v>19</v>
      </c>
    </row>
    <row r="5562" ht="24.0" customHeight="1">
      <c r="A5562" s="10" t="s">
        <v>30</v>
      </c>
      <c r="B5562" s="10" t="s">
        <v>26</v>
      </c>
      <c r="C5562" s="10" t="s">
        <v>23</v>
      </c>
      <c r="D5562" s="10" t="s">
        <v>31</v>
      </c>
      <c r="E5562" s="14">
        <v>0.2</v>
      </c>
      <c r="F5562" s="15">
        <f t="shared" si="848"/>
        <v>19</v>
      </c>
      <c r="G5562" s="12">
        <f t="shared" si="847"/>
        <v>3.8</v>
      </c>
    </row>
    <row r="5563" ht="15.0" customHeight="1">
      <c r="A5563" s="11"/>
      <c r="B5563" s="11"/>
      <c r="C5563" s="11"/>
      <c r="D5563" s="10" t="s">
        <v>22</v>
      </c>
      <c r="E5563" s="14">
        <v>0.7</v>
      </c>
      <c r="F5563" s="15">
        <f>ROUND((G5560+G5561+G5562),3)</f>
        <v>43.8</v>
      </c>
      <c r="G5563" s="12">
        <f t="shared" si="847"/>
        <v>30.66</v>
      </c>
    </row>
    <row r="5564" ht="15.0" customHeight="1">
      <c r="A5564" s="16"/>
      <c r="B5564" s="16"/>
      <c r="C5564" s="16"/>
      <c r="D5564" s="17" t="s">
        <v>2474</v>
      </c>
      <c r="E5564" s="16"/>
      <c r="F5564" s="18">
        <f>ROUND((G5547+G5559)*(1+G2/100),2)</f>
        <v>294.24</v>
      </c>
      <c r="G5564" s="16"/>
    </row>
    <row r="5565" ht="85.5" customHeight="1">
      <c r="A5565" s="19" t="s">
        <v>2483</v>
      </c>
      <c r="B5565" s="20" t="s">
        <v>18</v>
      </c>
      <c r="C5565" s="20" t="s">
        <v>351</v>
      </c>
      <c r="D5565" s="20" t="s">
        <v>2484</v>
      </c>
      <c r="E5565" s="21"/>
      <c r="F5565" s="22" t="str">
        <f>F5575</f>
        <v>#ERROR!</v>
      </c>
      <c r="G5565" s="21"/>
    </row>
    <row r="5566" ht="30.0" customHeight="1">
      <c r="A5566" s="11"/>
      <c r="B5566" s="11"/>
      <c r="C5566" s="11"/>
      <c r="D5566" s="10" t="s">
        <v>2485</v>
      </c>
    </row>
    <row r="5567" ht="30.0" customHeight="1">
      <c r="A5567" s="10" t="s">
        <v>2486</v>
      </c>
      <c r="B5567" s="10" t="s">
        <v>42</v>
      </c>
      <c r="C5567" s="10" t="s">
        <v>344</v>
      </c>
      <c r="D5567" s="10" t="s">
        <v>2487</v>
      </c>
      <c r="E5567" s="14">
        <v>1.1</v>
      </c>
      <c r="F5567" s="15">
        <f>ROUND(11.67,3)</f>
        <v>11.67</v>
      </c>
      <c r="G5567" s="12">
        <f t="shared" ref="G5567:G5573" si="849">ROUND(E5567*F5567,2)</f>
        <v>12.84</v>
      </c>
    </row>
    <row r="5568" ht="30.0" customHeight="1">
      <c r="A5568" s="10" t="s">
        <v>2472</v>
      </c>
      <c r="B5568" s="10" t="s">
        <v>42</v>
      </c>
      <c r="C5568" s="10" t="s">
        <v>344</v>
      </c>
      <c r="D5568" s="10" t="s">
        <v>2473</v>
      </c>
      <c r="E5568" s="14">
        <v>0.11</v>
      </c>
      <c r="F5568" s="15">
        <f>ROUND(13.14,3)</f>
        <v>13.14</v>
      </c>
      <c r="G5568" s="12">
        <f t="shared" si="849"/>
        <v>1.45</v>
      </c>
    </row>
    <row r="5569" ht="30.0" customHeight="1">
      <c r="A5569" s="10" t="s">
        <v>2488</v>
      </c>
      <c r="B5569" s="10" t="s">
        <v>42</v>
      </c>
      <c r="C5569" s="10" t="s">
        <v>351</v>
      </c>
      <c r="D5569" s="10" t="s">
        <v>2489</v>
      </c>
      <c r="E5569" s="14">
        <v>0.22</v>
      </c>
      <c r="F5569" s="15">
        <f>ROUND(6.92,3)</f>
        <v>6.92</v>
      </c>
      <c r="G5569" s="12">
        <f t="shared" si="849"/>
        <v>1.52</v>
      </c>
    </row>
    <row r="5570" ht="30.0" customHeight="1">
      <c r="A5570" s="10" t="s">
        <v>1437</v>
      </c>
      <c r="B5570" s="10" t="s">
        <v>42</v>
      </c>
      <c r="C5570" s="10" t="s">
        <v>325</v>
      </c>
      <c r="D5570" s="10" t="s">
        <v>1438</v>
      </c>
      <c r="E5570" s="14">
        <v>0.03333</v>
      </c>
      <c r="F5570" s="15">
        <f>ROUND(30.45,3)</f>
        <v>30.45</v>
      </c>
      <c r="G5570" s="12">
        <f t="shared" si="849"/>
        <v>1.01</v>
      </c>
    </row>
    <row r="5571" ht="30.0" customHeight="1">
      <c r="A5571" s="10" t="s">
        <v>2490</v>
      </c>
      <c r="B5571" s="10" t="s">
        <v>112</v>
      </c>
      <c r="C5571" s="10" t="s">
        <v>23</v>
      </c>
      <c r="D5571" s="10" t="s">
        <v>2491</v>
      </c>
      <c r="E5571" s="14">
        <v>0.8</v>
      </c>
      <c r="F5571" s="15">
        <f>ROUND(4.18,3)</f>
        <v>4.18</v>
      </c>
      <c r="G5571" s="12">
        <f t="shared" si="849"/>
        <v>3.34</v>
      </c>
    </row>
    <row r="5572" ht="30.0" customHeight="1">
      <c r="A5572" s="10" t="s">
        <v>2458</v>
      </c>
      <c r="B5572" s="10" t="s">
        <v>18</v>
      </c>
      <c r="C5572" s="10" t="s">
        <v>23</v>
      </c>
      <c r="D5572" s="10" t="s">
        <v>2459</v>
      </c>
      <c r="E5572" s="14">
        <v>0.8</v>
      </c>
      <c r="F5572" s="15" t="str">
        <f>F5573</f>
        <v>#ERROR!</v>
      </c>
      <c r="G5572" s="12" t="str">
        <f t="shared" si="849"/>
        <v>#ERROR!</v>
      </c>
    </row>
    <row r="5573" ht="15.0" customHeight="1">
      <c r="A5573" s="11"/>
      <c r="B5573" s="11"/>
      <c r="C5573" s="11"/>
      <c r="D5573" s="10" t="s">
        <v>2458</v>
      </c>
      <c r="E5573" s="14">
        <v>0.8</v>
      </c>
      <c r="F5573" s="15" t="str">
        <f>ROUND((),3)</f>
        <v>#ERROR!</v>
      </c>
      <c r="G5573" s="12" t="str">
        <f t="shared" si="849"/>
        <v>#ERROR!</v>
      </c>
    </row>
    <row r="5574" ht="15.0" customHeight="1">
      <c r="A5574" s="10" t="s">
        <v>32</v>
      </c>
      <c r="B5574" s="10"/>
      <c r="C5574" s="10" t="s">
        <v>33</v>
      </c>
      <c r="D5574" s="10" t="s">
        <v>34</v>
      </c>
      <c r="E5574" s="14">
        <v>5.0</v>
      </c>
      <c r="F5574" s="15">
        <f>ROUND(39.6,3)</f>
        <v>39.6</v>
      </c>
      <c r="G5574" s="12">
        <f>ROUND((E5574*F5574)/100,2)</f>
        <v>1.98</v>
      </c>
    </row>
    <row r="5575" ht="24.75" customHeight="1">
      <c r="A5575" s="16"/>
      <c r="B5575" s="16"/>
      <c r="C5575" s="16"/>
      <c r="D5575" s="17" t="s">
        <v>2483</v>
      </c>
      <c r="E5575" s="16"/>
      <c r="F5575" s="18" t="str">
        <f>ROUND((G5567+G5568+G5569+G5570+G5571+G5572+G5574)*(1+G2/100),2)</f>
        <v>#ERROR!</v>
      </c>
      <c r="G5575" s="16"/>
    </row>
    <row r="5576" ht="85.5" customHeight="1">
      <c r="A5576" s="19" t="s">
        <v>2492</v>
      </c>
      <c r="B5576" s="20" t="s">
        <v>18</v>
      </c>
      <c r="C5576" s="20" t="s">
        <v>351</v>
      </c>
      <c r="D5576" s="20" t="s">
        <v>2493</v>
      </c>
      <c r="E5576" s="21"/>
      <c r="F5576" s="22" t="str">
        <f>F5586</f>
        <v>#ERROR!</v>
      </c>
      <c r="G5576" s="21"/>
    </row>
    <row r="5577" ht="30.0" customHeight="1">
      <c r="A5577" s="11"/>
      <c r="B5577" s="11"/>
      <c r="C5577" s="11"/>
      <c r="D5577" s="10" t="s">
        <v>2493</v>
      </c>
    </row>
    <row r="5578" ht="39.75" customHeight="1">
      <c r="A5578" s="10" t="s">
        <v>2494</v>
      </c>
      <c r="B5578" s="10" t="s">
        <v>42</v>
      </c>
      <c r="C5578" s="10" t="s">
        <v>344</v>
      </c>
      <c r="D5578" s="10" t="s">
        <v>2495</v>
      </c>
      <c r="E5578" s="14">
        <v>1.1</v>
      </c>
      <c r="F5578" s="15">
        <f>ROUND(25.61,3)</f>
        <v>25.61</v>
      </c>
      <c r="G5578" s="12">
        <f t="shared" ref="G5578:G5584" si="850">ROUND(E5578*F5578,2)</f>
        <v>28.17</v>
      </c>
    </row>
    <row r="5579" ht="39.75" customHeight="1">
      <c r="A5579" s="10" t="s">
        <v>2496</v>
      </c>
      <c r="B5579" s="10" t="s">
        <v>42</v>
      </c>
      <c r="C5579" s="10" t="s">
        <v>344</v>
      </c>
      <c r="D5579" s="10" t="s">
        <v>2497</v>
      </c>
      <c r="E5579" s="14">
        <v>0.11</v>
      </c>
      <c r="F5579" s="15">
        <f>ROUND(49,3)</f>
        <v>49</v>
      </c>
      <c r="G5579" s="12">
        <f t="shared" si="850"/>
        <v>5.39</v>
      </c>
    </row>
    <row r="5580" ht="48.75" customHeight="1">
      <c r="A5580" s="10" t="s">
        <v>1747</v>
      </c>
      <c r="B5580" s="10" t="s">
        <v>42</v>
      </c>
      <c r="C5580" s="10" t="s">
        <v>344</v>
      </c>
      <c r="D5580" s="10" t="s">
        <v>1748</v>
      </c>
      <c r="E5580" s="14">
        <v>0.22</v>
      </c>
      <c r="F5580" s="15">
        <f>ROUND(52.89,3)</f>
        <v>52.89</v>
      </c>
      <c r="G5580" s="12">
        <f t="shared" si="850"/>
        <v>11.64</v>
      </c>
    </row>
    <row r="5581" ht="39.75" customHeight="1">
      <c r="A5581" s="10" t="s">
        <v>2432</v>
      </c>
      <c r="B5581" s="10" t="s">
        <v>42</v>
      </c>
      <c r="C5581" s="10" t="s">
        <v>325</v>
      </c>
      <c r="D5581" s="10" t="s">
        <v>2433</v>
      </c>
      <c r="E5581" s="14">
        <v>0.3</v>
      </c>
      <c r="F5581" s="15">
        <f>ROUND(13.53,3)</f>
        <v>13.53</v>
      </c>
      <c r="G5581" s="12">
        <f t="shared" si="850"/>
        <v>4.06</v>
      </c>
    </row>
    <row r="5582" ht="30.0" customHeight="1">
      <c r="A5582" s="10" t="s">
        <v>2490</v>
      </c>
      <c r="B5582" s="10" t="s">
        <v>112</v>
      </c>
      <c r="C5582" s="10" t="s">
        <v>23</v>
      </c>
      <c r="D5582" s="10" t="s">
        <v>2491</v>
      </c>
      <c r="E5582" s="14">
        <v>0.8</v>
      </c>
      <c r="F5582" s="15">
        <f>ROUND(4.18,3)</f>
        <v>4.18</v>
      </c>
      <c r="G5582" s="12">
        <f t="shared" si="850"/>
        <v>3.34</v>
      </c>
    </row>
    <row r="5583" ht="30.0" customHeight="1">
      <c r="A5583" s="10" t="s">
        <v>2458</v>
      </c>
      <c r="B5583" s="10" t="s">
        <v>18</v>
      </c>
      <c r="C5583" s="10" t="s">
        <v>23</v>
      </c>
      <c r="D5583" s="10" t="s">
        <v>2459</v>
      </c>
      <c r="E5583" s="14">
        <v>0.8</v>
      </c>
      <c r="F5583" s="15" t="str">
        <f>F5584</f>
        <v>#ERROR!</v>
      </c>
      <c r="G5583" s="12" t="str">
        <f t="shared" si="850"/>
        <v>#ERROR!</v>
      </c>
    </row>
    <row r="5584" ht="15.0" customHeight="1">
      <c r="A5584" s="11"/>
      <c r="B5584" s="11"/>
      <c r="C5584" s="11"/>
      <c r="D5584" s="10" t="s">
        <v>2458</v>
      </c>
      <c r="E5584" s="14">
        <v>0.8</v>
      </c>
      <c r="F5584" s="15" t="str">
        <f>ROUND((),3)</f>
        <v>#ERROR!</v>
      </c>
      <c r="G5584" s="12" t="str">
        <f t="shared" si="850"/>
        <v>#ERROR!</v>
      </c>
    </row>
    <row r="5585" ht="15.0" customHeight="1">
      <c r="A5585" s="10" t="s">
        <v>32</v>
      </c>
      <c r="B5585" s="10"/>
      <c r="C5585" s="10" t="s">
        <v>33</v>
      </c>
      <c r="D5585" s="10" t="s">
        <v>34</v>
      </c>
      <c r="E5585" s="14">
        <v>5.0</v>
      </c>
      <c r="F5585" s="15">
        <f>ROUND(39.6,3)</f>
        <v>39.6</v>
      </c>
      <c r="G5585" s="12">
        <f>ROUND((E5585*F5585)/100,2)</f>
        <v>1.98</v>
      </c>
    </row>
    <row r="5586" ht="24.75" customHeight="1">
      <c r="A5586" s="16"/>
      <c r="B5586" s="16"/>
      <c r="C5586" s="16"/>
      <c r="D5586" s="17" t="s">
        <v>2492</v>
      </c>
      <c r="E5586" s="16"/>
      <c r="F5586" s="18" t="str">
        <f>ROUND((G5578+G5579+G5580+G5581+G5582+G5583+G5585)*(1+G2/100),2)</f>
        <v>#ERROR!</v>
      </c>
      <c r="G5586" s="16"/>
    </row>
    <row r="5587" ht="85.5" customHeight="1">
      <c r="A5587" s="19" t="s">
        <v>2498</v>
      </c>
      <c r="B5587" s="20" t="s">
        <v>18</v>
      </c>
      <c r="C5587" s="20" t="s">
        <v>351</v>
      </c>
      <c r="D5587" s="20" t="s">
        <v>2499</v>
      </c>
      <c r="E5587" s="21"/>
      <c r="F5587" s="22" t="str">
        <f>F5597</f>
        <v>#ERROR!</v>
      </c>
      <c r="G5587" s="21"/>
    </row>
    <row r="5588" ht="30.0" customHeight="1">
      <c r="A5588" s="11"/>
      <c r="B5588" s="11"/>
      <c r="C5588" s="11"/>
      <c r="D5588" s="10" t="s">
        <v>2500</v>
      </c>
    </row>
    <row r="5589" ht="30.0" customHeight="1">
      <c r="A5589" s="10" t="s">
        <v>2486</v>
      </c>
      <c r="B5589" s="10" t="s">
        <v>42</v>
      </c>
      <c r="C5589" s="10" t="s">
        <v>344</v>
      </c>
      <c r="D5589" s="10" t="s">
        <v>2487</v>
      </c>
      <c r="E5589" s="14">
        <v>2.5</v>
      </c>
      <c r="F5589" s="15">
        <f>ROUND(11.67,3)</f>
        <v>11.67</v>
      </c>
      <c r="G5589" s="12">
        <f t="shared" ref="G5589:G5595" si="851">ROUND(E5589*F5589,2)</f>
        <v>29.18</v>
      </c>
    </row>
    <row r="5590" ht="30.0" customHeight="1">
      <c r="A5590" s="10" t="s">
        <v>2472</v>
      </c>
      <c r="B5590" s="10" t="s">
        <v>42</v>
      </c>
      <c r="C5590" s="10" t="s">
        <v>344</v>
      </c>
      <c r="D5590" s="10" t="s">
        <v>2473</v>
      </c>
      <c r="E5590" s="14">
        <v>0.25</v>
      </c>
      <c r="F5590" s="15">
        <f>ROUND(13.14,3)</f>
        <v>13.14</v>
      </c>
      <c r="G5590" s="12">
        <f t="shared" si="851"/>
        <v>3.29</v>
      </c>
    </row>
    <row r="5591" ht="30.0" customHeight="1">
      <c r="A5591" s="10" t="s">
        <v>2488</v>
      </c>
      <c r="B5591" s="10" t="s">
        <v>42</v>
      </c>
      <c r="C5591" s="10" t="s">
        <v>351</v>
      </c>
      <c r="D5591" s="10" t="s">
        <v>2489</v>
      </c>
      <c r="E5591" s="14">
        <v>0.5</v>
      </c>
      <c r="F5591" s="15">
        <f>ROUND(6.92,3)</f>
        <v>6.92</v>
      </c>
      <c r="G5591" s="12">
        <f t="shared" si="851"/>
        <v>3.46</v>
      </c>
    </row>
    <row r="5592" ht="30.0" customHeight="1">
      <c r="A5592" s="10" t="s">
        <v>1437</v>
      </c>
      <c r="B5592" s="10" t="s">
        <v>42</v>
      </c>
      <c r="C5592" s="10" t="s">
        <v>325</v>
      </c>
      <c r="D5592" s="10" t="s">
        <v>1438</v>
      </c>
      <c r="E5592" s="14">
        <v>0.06667</v>
      </c>
      <c r="F5592" s="15">
        <f>ROUND(30.45,3)</f>
        <v>30.45</v>
      </c>
      <c r="G5592" s="12">
        <f t="shared" si="851"/>
        <v>2.03</v>
      </c>
    </row>
    <row r="5593" ht="30.0" customHeight="1">
      <c r="A5593" s="10" t="s">
        <v>2490</v>
      </c>
      <c r="B5593" s="10" t="s">
        <v>112</v>
      </c>
      <c r="C5593" s="10" t="s">
        <v>23</v>
      </c>
      <c r="D5593" s="10" t="s">
        <v>2491</v>
      </c>
      <c r="E5593" s="14">
        <v>1.2</v>
      </c>
      <c r="F5593" s="15">
        <f>ROUND(4.18,3)</f>
        <v>4.18</v>
      </c>
      <c r="G5593" s="12">
        <f t="shared" si="851"/>
        <v>5.02</v>
      </c>
    </row>
    <row r="5594" ht="30.0" customHeight="1">
      <c r="A5594" s="10" t="s">
        <v>2458</v>
      </c>
      <c r="B5594" s="10" t="s">
        <v>18</v>
      </c>
      <c r="C5594" s="10" t="s">
        <v>23</v>
      </c>
      <c r="D5594" s="10" t="s">
        <v>2459</v>
      </c>
      <c r="E5594" s="14">
        <v>1.2</v>
      </c>
      <c r="F5594" s="15" t="str">
        <f>F5595</f>
        <v>#ERROR!</v>
      </c>
      <c r="G5594" s="12" t="str">
        <f t="shared" si="851"/>
        <v>#ERROR!</v>
      </c>
    </row>
    <row r="5595" ht="15.0" customHeight="1">
      <c r="A5595" s="11"/>
      <c r="B5595" s="11"/>
      <c r="C5595" s="11"/>
      <c r="D5595" s="10" t="s">
        <v>2458</v>
      </c>
      <c r="E5595" s="14">
        <v>1.2</v>
      </c>
      <c r="F5595" s="15" t="str">
        <f>ROUND((),3)</f>
        <v>#ERROR!</v>
      </c>
      <c r="G5595" s="12" t="str">
        <f t="shared" si="851"/>
        <v>#ERROR!</v>
      </c>
    </row>
    <row r="5596" ht="15.0" customHeight="1">
      <c r="A5596" s="10" t="s">
        <v>32</v>
      </c>
      <c r="B5596" s="10"/>
      <c r="C5596" s="10" t="s">
        <v>33</v>
      </c>
      <c r="D5596" s="10" t="s">
        <v>34</v>
      </c>
      <c r="E5596" s="14">
        <v>5.0</v>
      </c>
      <c r="F5596" s="15">
        <f>ROUND(59.4,3)</f>
        <v>59.4</v>
      </c>
      <c r="G5596" s="12">
        <f>ROUND((E5596*F5596)/100,2)</f>
        <v>2.97</v>
      </c>
    </row>
    <row r="5597" ht="24.75" customHeight="1">
      <c r="A5597" s="16"/>
      <c r="B5597" s="16"/>
      <c r="C5597" s="16"/>
      <c r="D5597" s="17" t="s">
        <v>2498</v>
      </c>
      <c r="E5597" s="16"/>
      <c r="F5597" s="18" t="str">
        <f>ROUND((G5589+G5590+G5591+G5592+G5593+G5594+G5596)*(1+G2/100),2)</f>
        <v>#ERROR!</v>
      </c>
      <c r="G5597" s="16"/>
    </row>
    <row r="5598" ht="15.0" customHeight="1">
      <c r="A5598" s="23"/>
      <c r="B5598" s="23"/>
      <c r="C5598" s="23"/>
      <c r="D5598" s="32" t="s">
        <v>2425</v>
      </c>
      <c r="E5598" s="33"/>
      <c r="F5598" s="33"/>
      <c r="G5598" s="33"/>
    </row>
    <row r="5599" ht="15.0" customHeight="1">
      <c r="A5599" s="23"/>
      <c r="B5599" s="23"/>
      <c r="C5599" s="23"/>
      <c r="D5599" s="36" t="s">
        <v>1749</v>
      </c>
      <c r="E5599" s="37"/>
      <c r="F5599" s="37"/>
      <c r="G5599" s="37"/>
    </row>
    <row r="5600" ht="21.75" customHeight="1">
      <c r="A5600" s="38" t="s">
        <v>2501</v>
      </c>
      <c r="B5600" s="38" t="s">
        <v>10</v>
      </c>
      <c r="C5600" s="39"/>
      <c r="D5600" s="38" t="s">
        <v>2502</v>
      </c>
      <c r="E5600" s="39"/>
      <c r="F5600" s="39"/>
      <c r="G5600" s="39"/>
    </row>
    <row r="5601" ht="21.0" customHeight="1">
      <c r="A5601" s="13" t="s">
        <v>2503</v>
      </c>
      <c r="B5601" s="10" t="s">
        <v>18</v>
      </c>
      <c r="C5601" s="10" t="s">
        <v>295</v>
      </c>
      <c r="D5601" s="10" t="s">
        <v>2504</v>
      </c>
      <c r="E5601" s="11"/>
      <c r="F5601" s="12">
        <f>F5604</f>
        <v>3291.75</v>
      </c>
      <c r="G5601" s="11"/>
    </row>
    <row r="5602" ht="85.5" customHeight="1">
      <c r="A5602" s="11"/>
      <c r="B5602" s="11"/>
      <c r="C5602" s="11"/>
      <c r="D5602" s="10" t="s">
        <v>2505</v>
      </c>
    </row>
    <row r="5603" ht="30.0" customHeight="1">
      <c r="A5603" s="10" t="s">
        <v>2506</v>
      </c>
      <c r="B5603" s="10" t="s">
        <v>473</v>
      </c>
      <c r="C5603" s="10" t="s">
        <v>295</v>
      </c>
      <c r="D5603" s="10" t="s">
        <v>2507</v>
      </c>
      <c r="E5603" s="14">
        <v>0.855</v>
      </c>
      <c r="F5603" s="15">
        <f>ROUND(3850,3)</f>
        <v>3850</v>
      </c>
      <c r="G5603" s="12">
        <f>ROUND(E5603*F5603,2)</f>
        <v>3291.75</v>
      </c>
    </row>
    <row r="5604" ht="15.0" customHeight="1">
      <c r="A5604" s="16"/>
      <c r="B5604" s="16"/>
      <c r="C5604" s="16"/>
      <c r="D5604" s="17" t="s">
        <v>2503</v>
      </c>
      <c r="E5604" s="16"/>
      <c r="F5604" s="18">
        <f>ROUND((G5603)*(1+G2/100),2)</f>
        <v>3291.75</v>
      </c>
      <c r="G5604" s="16"/>
    </row>
    <row r="5605" ht="39.75" customHeight="1">
      <c r="A5605" s="19" t="s">
        <v>2508</v>
      </c>
      <c r="B5605" s="20" t="s">
        <v>18</v>
      </c>
      <c r="C5605" s="20" t="s">
        <v>295</v>
      </c>
      <c r="D5605" s="20" t="s">
        <v>2509</v>
      </c>
      <c r="E5605" s="21"/>
      <c r="F5605" s="22">
        <f>F5608</f>
        <v>240</v>
      </c>
      <c r="G5605" s="21"/>
    </row>
    <row r="5606" ht="30.0" customHeight="1">
      <c r="A5606" s="11"/>
      <c r="B5606" s="11"/>
      <c r="C5606" s="11"/>
      <c r="D5606" s="10" t="s">
        <v>2510</v>
      </c>
    </row>
    <row r="5607" ht="24.0" customHeight="1">
      <c r="A5607" s="10" t="s">
        <v>2511</v>
      </c>
      <c r="B5607" s="10" t="s">
        <v>473</v>
      </c>
      <c r="C5607" s="10" t="s">
        <v>295</v>
      </c>
      <c r="D5607" s="10" t="s">
        <v>2512</v>
      </c>
      <c r="E5607" s="14">
        <v>1.0</v>
      </c>
      <c r="F5607" s="15">
        <f>ROUND(240,3)</f>
        <v>240</v>
      </c>
      <c r="G5607" s="12">
        <f>ROUND(E5607*F5607,2)</f>
        <v>240</v>
      </c>
    </row>
    <row r="5608" ht="15.0" customHeight="1">
      <c r="A5608" s="16"/>
      <c r="B5608" s="16"/>
      <c r="C5608" s="16"/>
      <c r="D5608" s="17" t="s">
        <v>2508</v>
      </c>
      <c r="E5608" s="16"/>
      <c r="F5608" s="18">
        <f>ROUND((G5607)*(1+G2/100),2)</f>
        <v>240</v>
      </c>
      <c r="G5608" s="16"/>
    </row>
    <row r="5609" ht="30.0" customHeight="1">
      <c r="A5609" s="19" t="s">
        <v>2513</v>
      </c>
      <c r="B5609" s="20" t="s">
        <v>18</v>
      </c>
      <c r="C5609" s="20" t="s">
        <v>295</v>
      </c>
      <c r="D5609" s="20" t="s">
        <v>2514</v>
      </c>
      <c r="E5609" s="21"/>
      <c r="F5609" s="22">
        <f>F5612</f>
        <v>90</v>
      </c>
      <c r="G5609" s="21"/>
    </row>
    <row r="5610" ht="12.0" customHeight="1">
      <c r="A5610" s="11"/>
      <c r="B5610" s="11"/>
      <c r="C5610" s="11"/>
      <c r="D5610" s="10" t="s">
        <v>2515</v>
      </c>
    </row>
    <row r="5611" ht="24.0" customHeight="1">
      <c r="A5611" s="10" t="s">
        <v>2516</v>
      </c>
      <c r="B5611" s="10" t="s">
        <v>473</v>
      </c>
      <c r="C5611" s="10" t="s">
        <v>295</v>
      </c>
      <c r="D5611" s="10" t="s">
        <v>2517</v>
      </c>
      <c r="E5611" s="14">
        <v>1.0</v>
      </c>
      <c r="F5611" s="15">
        <f>ROUND(90,3)</f>
        <v>90</v>
      </c>
      <c r="G5611" s="12">
        <f>ROUND(E5611*F5611,2)</f>
        <v>90</v>
      </c>
    </row>
    <row r="5612" ht="15.0" customHeight="1">
      <c r="A5612" s="16"/>
      <c r="B5612" s="16"/>
      <c r="C5612" s="16"/>
      <c r="D5612" s="17" t="s">
        <v>2513</v>
      </c>
      <c r="E5612" s="16"/>
      <c r="F5612" s="18">
        <f>ROUND((G5611)*(1+G2/100),2)</f>
        <v>90</v>
      </c>
      <c r="G5612" s="16"/>
    </row>
    <row r="5613" ht="15.0" customHeight="1">
      <c r="A5613" s="19" t="s">
        <v>2518</v>
      </c>
      <c r="B5613" s="20" t="s">
        <v>18</v>
      </c>
      <c r="C5613" s="20" t="s">
        <v>295</v>
      </c>
      <c r="D5613" s="20" t="s">
        <v>2519</v>
      </c>
      <c r="E5613" s="21"/>
      <c r="F5613" s="22">
        <f>F5621</f>
        <v>73.88</v>
      </c>
      <c r="G5613" s="21"/>
    </row>
    <row r="5614" ht="39.75" customHeight="1">
      <c r="A5614" s="11"/>
      <c r="B5614" s="11"/>
      <c r="C5614" s="11"/>
      <c r="D5614" s="10" t="s">
        <v>2520</v>
      </c>
    </row>
    <row r="5615" ht="21.0" customHeight="1">
      <c r="A5615" s="10" t="s">
        <v>2521</v>
      </c>
      <c r="B5615" s="10" t="s">
        <v>42</v>
      </c>
      <c r="C5615" s="10" t="s">
        <v>19</v>
      </c>
      <c r="D5615" s="10" t="s">
        <v>2522</v>
      </c>
      <c r="E5615" s="14">
        <v>1.0</v>
      </c>
      <c r="F5615" s="15">
        <f>ROUND(66,3)</f>
        <v>66</v>
      </c>
      <c r="G5615" s="12">
        <f t="shared" ref="G5615:G5620" si="852">ROUND(E5615*F5615,2)</f>
        <v>66</v>
      </c>
    </row>
    <row r="5616" ht="21.0" customHeight="1">
      <c r="A5616" s="10" t="s">
        <v>22</v>
      </c>
      <c r="B5616" s="10" t="s">
        <v>18</v>
      </c>
      <c r="C5616" s="10" t="s">
        <v>23</v>
      </c>
      <c r="D5616" s="10" t="s">
        <v>24</v>
      </c>
      <c r="E5616" s="14">
        <v>0.18</v>
      </c>
      <c r="F5616" s="15">
        <f>F5620</f>
        <v>43.8</v>
      </c>
      <c r="G5616" s="12">
        <f t="shared" si="852"/>
        <v>7.88</v>
      </c>
    </row>
    <row r="5617" ht="24.0" customHeight="1">
      <c r="A5617" s="10" t="s">
        <v>25</v>
      </c>
      <c r="B5617" s="10" t="s">
        <v>26</v>
      </c>
      <c r="C5617" s="10" t="s">
        <v>23</v>
      </c>
      <c r="D5617" s="10" t="s">
        <v>27</v>
      </c>
      <c r="E5617" s="14">
        <v>1.0</v>
      </c>
      <c r="F5617" s="15">
        <f>ROUND(21,3)</f>
        <v>21</v>
      </c>
      <c r="G5617" s="12">
        <f t="shared" si="852"/>
        <v>21</v>
      </c>
    </row>
    <row r="5618" ht="24.0" customHeight="1">
      <c r="A5618" s="10" t="s">
        <v>28</v>
      </c>
      <c r="B5618" s="10" t="s">
        <v>26</v>
      </c>
      <c r="C5618" s="10" t="s">
        <v>23</v>
      </c>
      <c r="D5618" s="10" t="s">
        <v>29</v>
      </c>
      <c r="E5618" s="14">
        <v>1.0</v>
      </c>
      <c r="F5618" s="15">
        <f t="shared" ref="F5618:F5619" si="853">ROUND(19,3)</f>
        <v>19</v>
      </c>
      <c r="G5618" s="12">
        <f t="shared" si="852"/>
        <v>19</v>
      </c>
    </row>
    <row r="5619" ht="24.0" customHeight="1">
      <c r="A5619" s="10" t="s">
        <v>30</v>
      </c>
      <c r="B5619" s="10" t="s">
        <v>26</v>
      </c>
      <c r="C5619" s="10" t="s">
        <v>23</v>
      </c>
      <c r="D5619" s="10" t="s">
        <v>31</v>
      </c>
      <c r="E5619" s="14">
        <v>0.2</v>
      </c>
      <c r="F5619" s="15">
        <f t="shared" si="853"/>
        <v>19</v>
      </c>
      <c r="G5619" s="12">
        <f t="shared" si="852"/>
        <v>3.8</v>
      </c>
    </row>
    <row r="5620" ht="15.0" customHeight="1">
      <c r="A5620" s="11"/>
      <c r="B5620" s="11"/>
      <c r="C5620" s="11"/>
      <c r="D5620" s="10" t="s">
        <v>22</v>
      </c>
      <c r="E5620" s="14">
        <v>0.18</v>
      </c>
      <c r="F5620" s="15">
        <f>ROUND((G5617+G5618+G5619),3)</f>
        <v>43.8</v>
      </c>
      <c r="G5620" s="12">
        <f t="shared" si="852"/>
        <v>7.88</v>
      </c>
    </row>
    <row r="5621" ht="15.0" customHeight="1">
      <c r="A5621" s="16"/>
      <c r="B5621" s="16"/>
      <c r="C5621" s="16"/>
      <c r="D5621" s="17" t="s">
        <v>2518</v>
      </c>
      <c r="E5621" s="16"/>
      <c r="F5621" s="18">
        <f>ROUND((G5615+G5616)*(1+G2/100),2)</f>
        <v>73.88</v>
      </c>
      <c r="G5621" s="16"/>
    </row>
    <row r="5622" ht="30.0" customHeight="1">
      <c r="A5622" s="19" t="s">
        <v>2523</v>
      </c>
      <c r="B5622" s="20" t="s">
        <v>18</v>
      </c>
      <c r="C5622" s="20" t="s">
        <v>321</v>
      </c>
      <c r="D5622" s="20" t="s">
        <v>2524</v>
      </c>
      <c r="E5622" s="21"/>
      <c r="F5622" s="22">
        <f>F5630</f>
        <v>3.01</v>
      </c>
      <c r="G5622" s="21"/>
    </row>
    <row r="5623" ht="30.0" customHeight="1">
      <c r="A5623" s="11"/>
      <c r="B5623" s="11"/>
      <c r="C5623" s="11"/>
      <c r="D5623" s="10" t="s">
        <v>2525</v>
      </c>
    </row>
    <row r="5624" ht="21.0" customHeight="1">
      <c r="A5624" s="10" t="s">
        <v>22</v>
      </c>
      <c r="B5624" s="10" t="s">
        <v>18</v>
      </c>
      <c r="C5624" s="10" t="s">
        <v>23</v>
      </c>
      <c r="D5624" s="10" t="s">
        <v>24</v>
      </c>
      <c r="E5624" s="14">
        <v>0.0666</v>
      </c>
      <c r="F5624" s="15">
        <f>F5628</f>
        <v>43.8</v>
      </c>
      <c r="G5624" s="12">
        <f t="shared" ref="G5624:G5628" si="854">ROUND(E5624*F5624,2)</f>
        <v>2.92</v>
      </c>
    </row>
    <row r="5625" ht="24.0" customHeight="1">
      <c r="A5625" s="10" t="s">
        <v>25</v>
      </c>
      <c r="B5625" s="10" t="s">
        <v>26</v>
      </c>
      <c r="C5625" s="10" t="s">
        <v>23</v>
      </c>
      <c r="D5625" s="10" t="s">
        <v>27</v>
      </c>
      <c r="E5625" s="14">
        <v>1.0</v>
      </c>
      <c r="F5625" s="15">
        <f>ROUND(21,3)</f>
        <v>21</v>
      </c>
      <c r="G5625" s="12">
        <f t="shared" si="854"/>
        <v>21</v>
      </c>
    </row>
    <row r="5626" ht="24.0" customHeight="1">
      <c r="A5626" s="10" t="s">
        <v>28</v>
      </c>
      <c r="B5626" s="10" t="s">
        <v>26</v>
      </c>
      <c r="C5626" s="10" t="s">
        <v>23</v>
      </c>
      <c r="D5626" s="10" t="s">
        <v>29</v>
      </c>
      <c r="E5626" s="14">
        <v>1.0</v>
      </c>
      <c r="F5626" s="15">
        <f t="shared" ref="F5626:F5627" si="855">ROUND(19,3)</f>
        <v>19</v>
      </c>
      <c r="G5626" s="12">
        <f t="shared" si="854"/>
        <v>19</v>
      </c>
    </row>
    <row r="5627" ht="24.0" customHeight="1">
      <c r="A5627" s="10" t="s">
        <v>30</v>
      </c>
      <c r="B5627" s="10" t="s">
        <v>26</v>
      </c>
      <c r="C5627" s="10" t="s">
        <v>23</v>
      </c>
      <c r="D5627" s="10" t="s">
        <v>31</v>
      </c>
      <c r="E5627" s="14">
        <v>0.2</v>
      </c>
      <c r="F5627" s="15">
        <f t="shared" si="855"/>
        <v>19</v>
      </c>
      <c r="G5627" s="12">
        <f t="shared" si="854"/>
        <v>3.8</v>
      </c>
    </row>
    <row r="5628" ht="15.0" customHeight="1">
      <c r="A5628" s="11"/>
      <c r="B5628" s="11"/>
      <c r="C5628" s="11"/>
      <c r="D5628" s="10" t="s">
        <v>22</v>
      </c>
      <c r="E5628" s="14">
        <v>0.0666</v>
      </c>
      <c r="F5628" s="15">
        <f>ROUND((G5625+G5626+G5627),3)</f>
        <v>43.8</v>
      </c>
      <c r="G5628" s="12">
        <f t="shared" si="854"/>
        <v>2.92</v>
      </c>
    </row>
    <row r="5629" ht="15.0" customHeight="1">
      <c r="A5629" s="10" t="s">
        <v>32</v>
      </c>
      <c r="B5629" s="10"/>
      <c r="C5629" s="10" t="s">
        <v>33</v>
      </c>
      <c r="D5629" s="10" t="s">
        <v>34</v>
      </c>
      <c r="E5629" s="14">
        <v>3.0</v>
      </c>
      <c r="F5629" s="15">
        <f>ROUND(2.92,3)</f>
        <v>2.92</v>
      </c>
      <c r="G5629" s="12">
        <f>ROUND((E5629*F5629)/100,2)</f>
        <v>0.09</v>
      </c>
    </row>
    <row r="5630" ht="15.0" customHeight="1">
      <c r="A5630" s="16"/>
      <c r="B5630" s="16"/>
      <c r="C5630" s="16"/>
      <c r="D5630" s="17" t="s">
        <v>2523</v>
      </c>
      <c r="E5630" s="16"/>
      <c r="F5630" s="18">
        <f>ROUND((G5624+G5629)*(1+G2/100),2)</f>
        <v>3.01</v>
      </c>
      <c r="G5630" s="16"/>
    </row>
    <row r="5631" ht="21.0" customHeight="1">
      <c r="A5631" s="19" t="s">
        <v>1810</v>
      </c>
      <c r="B5631" s="20" t="s">
        <v>18</v>
      </c>
      <c r="C5631" s="20" t="s">
        <v>321</v>
      </c>
      <c r="D5631" s="20" t="s">
        <v>1811</v>
      </c>
      <c r="E5631" s="21"/>
      <c r="F5631" s="22">
        <f>F5640</f>
        <v>7.39</v>
      </c>
      <c r="G5631" s="21"/>
    </row>
    <row r="5632" ht="30.0" customHeight="1">
      <c r="A5632" s="11"/>
      <c r="B5632" s="11"/>
      <c r="C5632" s="11"/>
      <c r="D5632" s="10" t="s">
        <v>1812</v>
      </c>
    </row>
    <row r="5633" ht="30.0" customHeight="1">
      <c r="A5633" s="10" t="s">
        <v>1813</v>
      </c>
      <c r="B5633" s="10" t="s">
        <v>42</v>
      </c>
      <c r="C5633" s="10" t="s">
        <v>43</v>
      </c>
      <c r="D5633" s="10" t="s">
        <v>1814</v>
      </c>
      <c r="E5633" s="14">
        <v>0.1</v>
      </c>
      <c r="F5633" s="15">
        <f>ROUND(6.19,3)</f>
        <v>6.19</v>
      </c>
      <c r="G5633" s="12">
        <f t="shared" ref="G5633:G5638" si="856">ROUND(E5633*F5633,2)</f>
        <v>0.62</v>
      </c>
    </row>
    <row r="5634" ht="21.0" customHeight="1">
      <c r="A5634" s="10" t="s">
        <v>22</v>
      </c>
      <c r="B5634" s="10" t="s">
        <v>18</v>
      </c>
      <c r="C5634" s="10" t="s">
        <v>23</v>
      </c>
      <c r="D5634" s="10" t="s">
        <v>24</v>
      </c>
      <c r="E5634" s="14">
        <v>0.15</v>
      </c>
      <c r="F5634" s="15">
        <f>F5638</f>
        <v>43.8</v>
      </c>
      <c r="G5634" s="12">
        <f t="shared" si="856"/>
        <v>6.57</v>
      </c>
    </row>
    <row r="5635" ht="24.0" customHeight="1">
      <c r="A5635" s="10" t="s">
        <v>25</v>
      </c>
      <c r="B5635" s="10" t="s">
        <v>26</v>
      </c>
      <c r="C5635" s="10" t="s">
        <v>23</v>
      </c>
      <c r="D5635" s="10" t="s">
        <v>27</v>
      </c>
      <c r="E5635" s="14">
        <v>1.0</v>
      </c>
      <c r="F5635" s="15">
        <f>ROUND(21,3)</f>
        <v>21</v>
      </c>
      <c r="G5635" s="12">
        <f t="shared" si="856"/>
        <v>21</v>
      </c>
    </row>
    <row r="5636" ht="24.0" customHeight="1">
      <c r="A5636" s="10" t="s">
        <v>28</v>
      </c>
      <c r="B5636" s="10" t="s">
        <v>26</v>
      </c>
      <c r="C5636" s="10" t="s">
        <v>23</v>
      </c>
      <c r="D5636" s="10" t="s">
        <v>29</v>
      </c>
      <c r="E5636" s="14">
        <v>1.0</v>
      </c>
      <c r="F5636" s="15">
        <f t="shared" ref="F5636:F5637" si="857">ROUND(19,3)</f>
        <v>19</v>
      </c>
      <c r="G5636" s="12">
        <f t="shared" si="856"/>
        <v>19</v>
      </c>
    </row>
    <row r="5637" ht="24.0" customHeight="1">
      <c r="A5637" s="10" t="s">
        <v>30</v>
      </c>
      <c r="B5637" s="10" t="s">
        <v>26</v>
      </c>
      <c r="C5637" s="10" t="s">
        <v>23</v>
      </c>
      <c r="D5637" s="10" t="s">
        <v>31</v>
      </c>
      <c r="E5637" s="14">
        <v>0.2</v>
      </c>
      <c r="F5637" s="15">
        <f t="shared" si="857"/>
        <v>19</v>
      </c>
      <c r="G5637" s="12">
        <f t="shared" si="856"/>
        <v>3.8</v>
      </c>
    </row>
    <row r="5638" ht="15.0" customHeight="1">
      <c r="A5638" s="11"/>
      <c r="B5638" s="11"/>
      <c r="C5638" s="11"/>
      <c r="D5638" s="10" t="s">
        <v>22</v>
      </c>
      <c r="E5638" s="14">
        <v>0.15</v>
      </c>
      <c r="F5638" s="15">
        <f>ROUND((G5635+G5636+G5637),3)</f>
        <v>43.8</v>
      </c>
      <c r="G5638" s="12">
        <f t="shared" si="856"/>
        <v>6.57</v>
      </c>
    </row>
    <row r="5639" ht="15.0" customHeight="1">
      <c r="A5639" s="10" t="s">
        <v>32</v>
      </c>
      <c r="B5639" s="10"/>
      <c r="C5639" s="10" t="s">
        <v>33</v>
      </c>
      <c r="D5639" s="10" t="s">
        <v>34</v>
      </c>
      <c r="E5639" s="14">
        <v>3.0</v>
      </c>
      <c r="F5639" s="15">
        <f>ROUND(6.57,3)</f>
        <v>6.57</v>
      </c>
      <c r="G5639" s="12">
        <f>ROUND((E5639*F5639)/100,2)</f>
        <v>0.2</v>
      </c>
    </row>
    <row r="5640" ht="15.0" customHeight="1">
      <c r="A5640" s="16"/>
      <c r="B5640" s="16"/>
      <c r="C5640" s="16"/>
      <c r="D5640" s="17" t="s">
        <v>1810</v>
      </c>
      <c r="E5640" s="16"/>
      <c r="F5640" s="18">
        <f>ROUND((G5633+G5634+G5639)*(1+G2/100),2)</f>
        <v>7.39</v>
      </c>
      <c r="G5640" s="16"/>
    </row>
    <row r="5641" ht="21.0" customHeight="1">
      <c r="A5641" s="19" t="s">
        <v>2526</v>
      </c>
      <c r="B5641" s="20" t="s">
        <v>18</v>
      </c>
      <c r="C5641" s="20" t="s">
        <v>295</v>
      </c>
      <c r="D5641" s="20" t="s">
        <v>2527</v>
      </c>
      <c r="E5641" s="21"/>
      <c r="F5641" s="22">
        <f>F5650</f>
        <v>74.42</v>
      </c>
      <c r="G5641" s="21"/>
    </row>
    <row r="5642" ht="30.0" customHeight="1">
      <c r="A5642" s="11"/>
      <c r="B5642" s="11"/>
      <c r="C5642" s="11"/>
      <c r="D5642" s="10" t="s">
        <v>2528</v>
      </c>
    </row>
    <row r="5643" ht="21.0" customHeight="1">
      <c r="A5643" s="10" t="s">
        <v>2529</v>
      </c>
      <c r="B5643" s="10" t="s">
        <v>42</v>
      </c>
      <c r="C5643" s="10" t="s">
        <v>304</v>
      </c>
      <c r="D5643" s="10" t="s">
        <v>2530</v>
      </c>
      <c r="E5643" s="14">
        <v>1.0</v>
      </c>
      <c r="F5643" s="15">
        <f>ROUND(6.75,3)</f>
        <v>6.75</v>
      </c>
      <c r="G5643" s="12">
        <f t="shared" ref="G5643:G5648" si="858">ROUND(E5643*F5643,2)</f>
        <v>6.75</v>
      </c>
    </row>
    <row r="5644" ht="21.0" customHeight="1">
      <c r="A5644" s="10" t="s">
        <v>22</v>
      </c>
      <c r="B5644" s="10" t="s">
        <v>18</v>
      </c>
      <c r="C5644" s="10" t="s">
        <v>23</v>
      </c>
      <c r="D5644" s="10" t="s">
        <v>24</v>
      </c>
      <c r="E5644" s="14">
        <v>1.5</v>
      </c>
      <c r="F5644" s="15">
        <f>F5648</f>
        <v>43.8</v>
      </c>
      <c r="G5644" s="12">
        <f t="shared" si="858"/>
        <v>65.7</v>
      </c>
    </row>
    <row r="5645" ht="24.0" customHeight="1">
      <c r="A5645" s="10" t="s">
        <v>25</v>
      </c>
      <c r="B5645" s="10" t="s">
        <v>26</v>
      </c>
      <c r="C5645" s="10" t="s">
        <v>23</v>
      </c>
      <c r="D5645" s="10" t="s">
        <v>27</v>
      </c>
      <c r="E5645" s="14">
        <v>1.0</v>
      </c>
      <c r="F5645" s="15">
        <f>ROUND(21,3)</f>
        <v>21</v>
      </c>
      <c r="G5645" s="12">
        <f t="shared" si="858"/>
        <v>21</v>
      </c>
    </row>
    <row r="5646" ht="24.0" customHeight="1">
      <c r="A5646" s="10" t="s">
        <v>28</v>
      </c>
      <c r="B5646" s="10" t="s">
        <v>26</v>
      </c>
      <c r="C5646" s="10" t="s">
        <v>23</v>
      </c>
      <c r="D5646" s="10" t="s">
        <v>29</v>
      </c>
      <c r="E5646" s="14">
        <v>1.0</v>
      </c>
      <c r="F5646" s="15">
        <f t="shared" ref="F5646:F5647" si="859">ROUND(19,3)</f>
        <v>19</v>
      </c>
      <c r="G5646" s="12">
        <f t="shared" si="858"/>
        <v>19</v>
      </c>
    </row>
    <row r="5647" ht="24.0" customHeight="1">
      <c r="A5647" s="10" t="s">
        <v>30</v>
      </c>
      <c r="B5647" s="10" t="s">
        <v>26</v>
      </c>
      <c r="C5647" s="10" t="s">
        <v>23</v>
      </c>
      <c r="D5647" s="10" t="s">
        <v>31</v>
      </c>
      <c r="E5647" s="14">
        <v>0.2</v>
      </c>
      <c r="F5647" s="15">
        <f t="shared" si="859"/>
        <v>19</v>
      </c>
      <c r="G5647" s="12">
        <f t="shared" si="858"/>
        <v>3.8</v>
      </c>
    </row>
    <row r="5648" ht="15.0" customHeight="1">
      <c r="A5648" s="11"/>
      <c r="B5648" s="11"/>
      <c r="C5648" s="11"/>
      <c r="D5648" s="10" t="s">
        <v>22</v>
      </c>
      <c r="E5648" s="14">
        <v>1.5</v>
      </c>
      <c r="F5648" s="15">
        <f>ROUND((G5645+G5646+G5647),3)</f>
        <v>43.8</v>
      </c>
      <c r="G5648" s="12">
        <f t="shared" si="858"/>
        <v>65.7</v>
      </c>
    </row>
    <row r="5649" ht="15.0" customHeight="1">
      <c r="A5649" s="10" t="s">
        <v>32</v>
      </c>
      <c r="B5649" s="10"/>
      <c r="C5649" s="10" t="s">
        <v>33</v>
      </c>
      <c r="D5649" s="10" t="s">
        <v>34</v>
      </c>
      <c r="E5649" s="14">
        <v>3.0</v>
      </c>
      <c r="F5649" s="15">
        <f>ROUND(65.7,3)</f>
        <v>65.7</v>
      </c>
      <c r="G5649" s="12">
        <f>ROUND((E5649*F5649)/100,2)</f>
        <v>1.97</v>
      </c>
    </row>
    <row r="5650" ht="15.0" customHeight="1">
      <c r="A5650" s="16"/>
      <c r="B5650" s="16"/>
      <c r="C5650" s="16"/>
      <c r="D5650" s="17" t="s">
        <v>2526</v>
      </c>
      <c r="E5650" s="16"/>
      <c r="F5650" s="18">
        <f>ROUND((G5643+G5644+G5649)*(1+G2/100),2)</f>
        <v>74.42</v>
      </c>
      <c r="G5650" s="16"/>
    </row>
    <row r="5651" ht="34.5" customHeight="1">
      <c r="A5651" s="19" t="s">
        <v>2531</v>
      </c>
      <c r="B5651" s="20" t="s">
        <v>18</v>
      </c>
      <c r="C5651" s="20" t="s">
        <v>231</v>
      </c>
      <c r="D5651" s="20" t="s">
        <v>2532</v>
      </c>
      <c r="E5651" s="21"/>
      <c r="F5651" s="22">
        <f>F5662</f>
        <v>127.52</v>
      </c>
      <c r="G5651" s="21"/>
    </row>
    <row r="5652" ht="12.0" customHeight="1">
      <c r="A5652" s="11"/>
      <c r="B5652" s="11"/>
      <c r="C5652" s="11"/>
      <c r="D5652" s="10" t="s">
        <v>2532</v>
      </c>
    </row>
    <row r="5653" ht="39.75" customHeight="1">
      <c r="A5653" s="10" t="s">
        <v>2533</v>
      </c>
      <c r="B5653" s="10" t="s">
        <v>42</v>
      </c>
      <c r="C5653" s="10" t="s">
        <v>2534</v>
      </c>
      <c r="D5653" s="10" t="s">
        <v>2535</v>
      </c>
      <c r="E5653" s="14">
        <v>1.0</v>
      </c>
      <c r="F5653" s="15">
        <f>ROUND(88.43,3)</f>
        <v>88.43</v>
      </c>
      <c r="G5653" s="12">
        <f t="shared" ref="G5653:G5660" si="860">ROUND(E5653*F5653,2)</f>
        <v>88.43</v>
      </c>
    </row>
    <row r="5654" ht="21.0" customHeight="1">
      <c r="A5654" s="10" t="s">
        <v>967</v>
      </c>
      <c r="B5654" s="10" t="s">
        <v>42</v>
      </c>
      <c r="C5654" s="10" t="s">
        <v>325</v>
      </c>
      <c r="D5654" s="10" t="s">
        <v>968</v>
      </c>
      <c r="E5654" s="14">
        <v>0.2</v>
      </c>
      <c r="F5654" s="15">
        <f>ROUND(6.49,3)</f>
        <v>6.49</v>
      </c>
      <c r="G5654" s="12">
        <f t="shared" si="860"/>
        <v>1.3</v>
      </c>
    </row>
    <row r="5655" ht="21.0" customHeight="1">
      <c r="A5655" s="10" t="s">
        <v>969</v>
      </c>
      <c r="B5655" s="10" t="s">
        <v>112</v>
      </c>
      <c r="C5655" s="10" t="s">
        <v>23</v>
      </c>
      <c r="D5655" s="10" t="s">
        <v>970</v>
      </c>
      <c r="E5655" s="14">
        <v>0.5</v>
      </c>
      <c r="F5655" s="15">
        <f>ROUND(2,3)</f>
        <v>2</v>
      </c>
      <c r="G5655" s="12">
        <f t="shared" si="860"/>
        <v>1</v>
      </c>
    </row>
    <row r="5656" ht="21.0" customHeight="1">
      <c r="A5656" s="10" t="s">
        <v>22</v>
      </c>
      <c r="B5656" s="10" t="s">
        <v>18</v>
      </c>
      <c r="C5656" s="10" t="s">
        <v>23</v>
      </c>
      <c r="D5656" s="10" t="s">
        <v>24</v>
      </c>
      <c r="E5656" s="14">
        <v>0.8</v>
      </c>
      <c r="F5656" s="15">
        <f>F5660</f>
        <v>43.8</v>
      </c>
      <c r="G5656" s="12">
        <f t="shared" si="860"/>
        <v>35.04</v>
      </c>
    </row>
    <row r="5657" ht="24.0" customHeight="1">
      <c r="A5657" s="10" t="s">
        <v>25</v>
      </c>
      <c r="B5657" s="10" t="s">
        <v>26</v>
      </c>
      <c r="C5657" s="10" t="s">
        <v>23</v>
      </c>
      <c r="D5657" s="10" t="s">
        <v>27</v>
      </c>
      <c r="E5657" s="14">
        <v>1.0</v>
      </c>
      <c r="F5657" s="15">
        <f>ROUND(21,3)</f>
        <v>21</v>
      </c>
      <c r="G5657" s="12">
        <f t="shared" si="860"/>
        <v>21</v>
      </c>
    </row>
    <row r="5658" ht="24.0" customHeight="1">
      <c r="A5658" s="10" t="s">
        <v>28</v>
      </c>
      <c r="B5658" s="10" t="s">
        <v>26</v>
      </c>
      <c r="C5658" s="10" t="s">
        <v>23</v>
      </c>
      <c r="D5658" s="10" t="s">
        <v>29</v>
      </c>
      <c r="E5658" s="14">
        <v>1.0</v>
      </c>
      <c r="F5658" s="15">
        <f t="shared" ref="F5658:F5659" si="861">ROUND(19,3)</f>
        <v>19</v>
      </c>
      <c r="G5658" s="12">
        <f t="shared" si="860"/>
        <v>19</v>
      </c>
    </row>
    <row r="5659" ht="24.0" customHeight="1">
      <c r="A5659" s="10" t="s">
        <v>30</v>
      </c>
      <c r="B5659" s="10" t="s">
        <v>26</v>
      </c>
      <c r="C5659" s="10" t="s">
        <v>23</v>
      </c>
      <c r="D5659" s="10" t="s">
        <v>31</v>
      </c>
      <c r="E5659" s="14">
        <v>0.2</v>
      </c>
      <c r="F5659" s="15">
        <f t="shared" si="861"/>
        <v>19</v>
      </c>
      <c r="G5659" s="12">
        <f t="shared" si="860"/>
        <v>3.8</v>
      </c>
    </row>
    <row r="5660" ht="15.0" customHeight="1">
      <c r="A5660" s="11"/>
      <c r="B5660" s="11"/>
      <c r="C5660" s="11"/>
      <c r="D5660" s="10" t="s">
        <v>22</v>
      </c>
      <c r="E5660" s="14">
        <v>0.8</v>
      </c>
      <c r="F5660" s="15">
        <f>ROUND((G5657+G5658+G5659),3)</f>
        <v>43.8</v>
      </c>
      <c r="G5660" s="12">
        <f t="shared" si="860"/>
        <v>35.04</v>
      </c>
    </row>
    <row r="5661" ht="15.0" customHeight="1">
      <c r="A5661" s="10" t="s">
        <v>32</v>
      </c>
      <c r="B5661" s="10"/>
      <c r="C5661" s="10" t="s">
        <v>33</v>
      </c>
      <c r="D5661" s="10" t="s">
        <v>34</v>
      </c>
      <c r="E5661" s="14">
        <v>5.0</v>
      </c>
      <c r="F5661" s="15">
        <f>ROUND(35.04,3)</f>
        <v>35.04</v>
      </c>
      <c r="G5661" s="12">
        <f>ROUND((E5661*F5661)/100,2)</f>
        <v>1.75</v>
      </c>
    </row>
    <row r="5662" ht="24.75" customHeight="1">
      <c r="A5662" s="16"/>
      <c r="B5662" s="16"/>
      <c r="C5662" s="16"/>
      <c r="D5662" s="17" t="s">
        <v>2531</v>
      </c>
      <c r="E5662" s="16"/>
      <c r="F5662" s="18">
        <f>ROUND((G5653+G5654+G5655+G5656+G5661)*(1+G2/100),2)</f>
        <v>127.52</v>
      </c>
      <c r="G5662" s="16"/>
    </row>
    <row r="5663" ht="39.75" customHeight="1">
      <c r="A5663" s="19" t="s">
        <v>2536</v>
      </c>
      <c r="B5663" s="20" t="s">
        <v>18</v>
      </c>
      <c r="C5663" s="20" t="s">
        <v>231</v>
      </c>
      <c r="D5663" s="20" t="s">
        <v>2537</v>
      </c>
      <c r="E5663" s="21"/>
      <c r="F5663" s="22">
        <f>F5677</f>
        <v>390.26</v>
      </c>
      <c r="G5663" s="21"/>
    </row>
    <row r="5664" ht="21.0" customHeight="1">
      <c r="A5664" s="11"/>
      <c r="B5664" s="11"/>
      <c r="C5664" s="11"/>
      <c r="D5664" s="10" t="s">
        <v>2538</v>
      </c>
    </row>
    <row r="5665" ht="30.0" customHeight="1">
      <c r="A5665" s="10" t="s">
        <v>2539</v>
      </c>
      <c r="B5665" s="10" t="s">
        <v>42</v>
      </c>
      <c r="C5665" s="10" t="s">
        <v>231</v>
      </c>
      <c r="D5665" s="10" t="s">
        <v>2540</v>
      </c>
      <c r="E5665" s="14">
        <v>1.0</v>
      </c>
      <c r="F5665" s="15">
        <f>ROUND(280.99,3)</f>
        <v>280.99</v>
      </c>
      <c r="G5665" s="12">
        <f t="shared" ref="G5665:G5675" si="862">ROUND(E5665*F5665,2)</f>
        <v>280.99</v>
      </c>
    </row>
    <row r="5666" ht="39.75" customHeight="1">
      <c r="A5666" s="10" t="s">
        <v>2541</v>
      </c>
      <c r="B5666" s="10" t="s">
        <v>42</v>
      </c>
      <c r="C5666" s="10" t="s">
        <v>226</v>
      </c>
      <c r="D5666" s="10" t="s">
        <v>2542</v>
      </c>
      <c r="E5666" s="14">
        <v>0.3</v>
      </c>
      <c r="F5666" s="15">
        <f>ROUND(19.53,3)</f>
        <v>19.53</v>
      </c>
      <c r="G5666" s="12">
        <f t="shared" si="862"/>
        <v>5.86</v>
      </c>
    </row>
    <row r="5667" ht="30.0" customHeight="1">
      <c r="A5667" s="10" t="s">
        <v>1862</v>
      </c>
      <c r="B5667" s="10" t="s">
        <v>42</v>
      </c>
      <c r="C5667" s="10" t="s">
        <v>1245</v>
      </c>
      <c r="D5667" s="10" t="s">
        <v>1863</v>
      </c>
      <c r="E5667" s="14">
        <v>0.3</v>
      </c>
      <c r="F5667" s="15">
        <f>ROUND(6.32,3)</f>
        <v>6.32</v>
      </c>
      <c r="G5667" s="12">
        <f t="shared" si="862"/>
        <v>1.9</v>
      </c>
    </row>
    <row r="5668" ht="30.0" customHeight="1">
      <c r="A5668" s="10" t="s">
        <v>2543</v>
      </c>
      <c r="B5668" s="10" t="s">
        <v>42</v>
      </c>
      <c r="C5668" s="10" t="s">
        <v>43</v>
      </c>
      <c r="D5668" s="10" t="s">
        <v>2544</v>
      </c>
      <c r="E5668" s="14">
        <v>2.0</v>
      </c>
      <c r="F5668" s="15">
        <f>ROUND(3.7,3)</f>
        <v>3.7</v>
      </c>
      <c r="G5668" s="12">
        <f t="shared" si="862"/>
        <v>7.4</v>
      </c>
    </row>
    <row r="5669" ht="21.0" customHeight="1">
      <c r="A5669" s="10" t="s">
        <v>969</v>
      </c>
      <c r="B5669" s="10" t="s">
        <v>112</v>
      </c>
      <c r="C5669" s="10" t="s">
        <v>23</v>
      </c>
      <c r="D5669" s="10" t="s">
        <v>970</v>
      </c>
      <c r="E5669" s="14">
        <v>1.0</v>
      </c>
      <c r="F5669" s="15">
        <f>ROUND(2,3)</f>
        <v>2</v>
      </c>
      <c r="G5669" s="12">
        <f t="shared" si="862"/>
        <v>2</v>
      </c>
    </row>
    <row r="5670" ht="30.0" customHeight="1">
      <c r="A5670" s="10" t="s">
        <v>2545</v>
      </c>
      <c r="B5670" s="10" t="s">
        <v>42</v>
      </c>
      <c r="C5670" s="10" t="s">
        <v>325</v>
      </c>
      <c r="D5670" s="10" t="s">
        <v>2546</v>
      </c>
      <c r="E5670" s="14">
        <v>0.0021</v>
      </c>
      <c r="F5670" s="15">
        <f>ROUND(64.19,3)</f>
        <v>64.19</v>
      </c>
      <c r="G5670" s="12">
        <f t="shared" si="862"/>
        <v>0.13</v>
      </c>
    </row>
    <row r="5671" ht="21.0" customHeight="1">
      <c r="A5671" s="10" t="s">
        <v>22</v>
      </c>
      <c r="B5671" s="10" t="s">
        <v>18</v>
      </c>
      <c r="C5671" s="10" t="s">
        <v>23</v>
      </c>
      <c r="D5671" s="10" t="s">
        <v>24</v>
      </c>
      <c r="E5671" s="14">
        <v>2.0</v>
      </c>
      <c r="F5671" s="15">
        <f>F5675</f>
        <v>43.8</v>
      </c>
      <c r="G5671" s="12">
        <f t="shared" si="862"/>
        <v>87.6</v>
      </c>
    </row>
    <row r="5672" ht="24.0" customHeight="1">
      <c r="A5672" s="10" t="s">
        <v>25</v>
      </c>
      <c r="B5672" s="10" t="s">
        <v>26</v>
      </c>
      <c r="C5672" s="10" t="s">
        <v>23</v>
      </c>
      <c r="D5672" s="10" t="s">
        <v>27</v>
      </c>
      <c r="E5672" s="14">
        <v>1.0</v>
      </c>
      <c r="F5672" s="15">
        <f>ROUND(21,3)</f>
        <v>21</v>
      </c>
      <c r="G5672" s="12">
        <f t="shared" si="862"/>
        <v>21</v>
      </c>
    </row>
    <row r="5673" ht="24.0" customHeight="1">
      <c r="A5673" s="10" t="s">
        <v>28</v>
      </c>
      <c r="B5673" s="10" t="s">
        <v>26</v>
      </c>
      <c r="C5673" s="10" t="s">
        <v>23</v>
      </c>
      <c r="D5673" s="10" t="s">
        <v>29</v>
      </c>
      <c r="E5673" s="14">
        <v>1.0</v>
      </c>
      <c r="F5673" s="15">
        <f t="shared" ref="F5673:F5674" si="863">ROUND(19,3)</f>
        <v>19</v>
      </c>
      <c r="G5673" s="12">
        <f t="shared" si="862"/>
        <v>19</v>
      </c>
    </row>
    <row r="5674" ht="24.0" customHeight="1">
      <c r="A5674" s="10" t="s">
        <v>30</v>
      </c>
      <c r="B5674" s="10" t="s">
        <v>26</v>
      </c>
      <c r="C5674" s="10" t="s">
        <v>23</v>
      </c>
      <c r="D5674" s="10" t="s">
        <v>31</v>
      </c>
      <c r="E5674" s="14">
        <v>0.2</v>
      </c>
      <c r="F5674" s="15">
        <f t="shared" si="863"/>
        <v>19</v>
      </c>
      <c r="G5674" s="12">
        <f t="shared" si="862"/>
        <v>3.8</v>
      </c>
    </row>
    <row r="5675" ht="15.0" customHeight="1">
      <c r="A5675" s="11"/>
      <c r="B5675" s="11"/>
      <c r="C5675" s="11"/>
      <c r="D5675" s="10" t="s">
        <v>22</v>
      </c>
      <c r="E5675" s="14">
        <v>2.0</v>
      </c>
      <c r="F5675" s="15">
        <f>ROUND((G5672+G5673+G5674),3)</f>
        <v>43.8</v>
      </c>
      <c r="G5675" s="12">
        <f t="shared" si="862"/>
        <v>87.6</v>
      </c>
    </row>
    <row r="5676" ht="15.0" customHeight="1">
      <c r="A5676" s="10" t="s">
        <v>32</v>
      </c>
      <c r="B5676" s="10"/>
      <c r="C5676" s="10" t="s">
        <v>33</v>
      </c>
      <c r="D5676" s="10" t="s">
        <v>34</v>
      </c>
      <c r="E5676" s="14">
        <v>5.0</v>
      </c>
      <c r="F5676" s="15">
        <f>ROUND(87.6,3)</f>
        <v>87.6</v>
      </c>
      <c r="G5676" s="12">
        <f>ROUND((E5676*F5676)/100,2)</f>
        <v>4.38</v>
      </c>
    </row>
    <row r="5677" ht="24.75" customHeight="1">
      <c r="A5677" s="16"/>
      <c r="B5677" s="16"/>
      <c r="C5677" s="16"/>
      <c r="D5677" s="17" t="s">
        <v>2536</v>
      </c>
      <c r="E5677" s="16"/>
      <c r="F5677" s="18">
        <f>ROUND((G5665+G5666+G5667+G5668+G5669+G5670+G5671+G5676)*(1+G2/100),2)</f>
        <v>390.26</v>
      </c>
      <c r="G5677" s="16"/>
    </row>
    <row r="5678" ht="48.75" customHeight="1">
      <c r="A5678" s="19" t="s">
        <v>2547</v>
      </c>
      <c r="B5678" s="20" t="s">
        <v>18</v>
      </c>
      <c r="C5678" s="20" t="s">
        <v>231</v>
      </c>
      <c r="D5678" s="20" t="s">
        <v>2548</v>
      </c>
      <c r="E5678" s="21"/>
      <c r="F5678" s="22">
        <f>F5690</f>
        <v>123.24</v>
      </c>
      <c r="G5678" s="21"/>
    </row>
    <row r="5679" ht="21.0" customHeight="1">
      <c r="A5679" s="11"/>
      <c r="B5679" s="11"/>
      <c r="C5679" s="11"/>
      <c r="D5679" s="10" t="s">
        <v>2548</v>
      </c>
    </row>
    <row r="5680" ht="39.75" customHeight="1">
      <c r="A5680" s="10" t="s">
        <v>2549</v>
      </c>
      <c r="B5680" s="10" t="s">
        <v>42</v>
      </c>
      <c r="C5680" s="10" t="s">
        <v>231</v>
      </c>
      <c r="D5680" s="10" t="s">
        <v>2550</v>
      </c>
      <c r="E5680" s="14">
        <v>1.0</v>
      </c>
      <c r="F5680" s="15">
        <f>ROUND(109.51,3)</f>
        <v>109.51</v>
      </c>
      <c r="G5680" s="12">
        <f t="shared" ref="G5680:G5688" si="864">ROUND(E5680*F5680,2)</f>
        <v>109.51</v>
      </c>
    </row>
    <row r="5681" ht="21.0" customHeight="1">
      <c r="A5681" s="10" t="s">
        <v>967</v>
      </c>
      <c r="B5681" s="10" t="s">
        <v>42</v>
      </c>
      <c r="C5681" s="10" t="s">
        <v>325</v>
      </c>
      <c r="D5681" s="10" t="s">
        <v>968</v>
      </c>
      <c r="E5681" s="14">
        <v>0.08</v>
      </c>
      <c r="F5681" s="15">
        <f>ROUND(6.49,3)</f>
        <v>6.49</v>
      </c>
      <c r="G5681" s="12">
        <f t="shared" si="864"/>
        <v>0.52</v>
      </c>
    </row>
    <row r="5682" ht="21.0" customHeight="1">
      <c r="A5682" s="10" t="s">
        <v>969</v>
      </c>
      <c r="B5682" s="10" t="s">
        <v>112</v>
      </c>
      <c r="C5682" s="10" t="s">
        <v>23</v>
      </c>
      <c r="D5682" s="10" t="s">
        <v>970</v>
      </c>
      <c r="E5682" s="14">
        <v>0.1</v>
      </c>
      <c r="F5682" s="15">
        <f>ROUND(2,3)</f>
        <v>2</v>
      </c>
      <c r="G5682" s="12">
        <f t="shared" si="864"/>
        <v>0.2</v>
      </c>
    </row>
    <row r="5683" ht="30.0" customHeight="1">
      <c r="A5683" s="10" t="s">
        <v>971</v>
      </c>
      <c r="B5683" s="10" t="s">
        <v>42</v>
      </c>
      <c r="C5683" s="10" t="s">
        <v>231</v>
      </c>
      <c r="D5683" s="10" t="s">
        <v>972</v>
      </c>
      <c r="E5683" s="14">
        <v>0.2</v>
      </c>
      <c r="F5683" s="15">
        <f>ROUND(4.92,3)</f>
        <v>4.92</v>
      </c>
      <c r="G5683" s="12">
        <f t="shared" si="864"/>
        <v>0.98</v>
      </c>
    </row>
    <row r="5684" ht="21.0" customHeight="1">
      <c r="A5684" s="10" t="s">
        <v>22</v>
      </c>
      <c r="B5684" s="10" t="s">
        <v>18</v>
      </c>
      <c r="C5684" s="10" t="s">
        <v>23</v>
      </c>
      <c r="D5684" s="10" t="s">
        <v>24</v>
      </c>
      <c r="E5684" s="14">
        <v>0.26667</v>
      </c>
      <c r="F5684" s="15">
        <f>F5688</f>
        <v>43.8</v>
      </c>
      <c r="G5684" s="12">
        <f t="shared" si="864"/>
        <v>11.68</v>
      </c>
    </row>
    <row r="5685" ht="24.0" customHeight="1">
      <c r="A5685" s="10" t="s">
        <v>25</v>
      </c>
      <c r="B5685" s="10" t="s">
        <v>26</v>
      </c>
      <c r="C5685" s="10" t="s">
        <v>23</v>
      </c>
      <c r="D5685" s="10" t="s">
        <v>27</v>
      </c>
      <c r="E5685" s="14">
        <v>1.0</v>
      </c>
      <c r="F5685" s="15">
        <f>ROUND(21,3)</f>
        <v>21</v>
      </c>
      <c r="G5685" s="12">
        <f t="shared" si="864"/>
        <v>21</v>
      </c>
    </row>
    <row r="5686" ht="24.0" customHeight="1">
      <c r="A5686" s="10" t="s">
        <v>28</v>
      </c>
      <c r="B5686" s="10" t="s">
        <v>26</v>
      </c>
      <c r="C5686" s="10" t="s">
        <v>23</v>
      </c>
      <c r="D5686" s="10" t="s">
        <v>29</v>
      </c>
      <c r="E5686" s="14">
        <v>1.0</v>
      </c>
      <c r="F5686" s="15">
        <f t="shared" ref="F5686:F5687" si="865">ROUND(19,3)</f>
        <v>19</v>
      </c>
      <c r="G5686" s="12">
        <f t="shared" si="864"/>
        <v>19</v>
      </c>
    </row>
    <row r="5687" ht="24.0" customHeight="1">
      <c r="A5687" s="10" t="s">
        <v>30</v>
      </c>
      <c r="B5687" s="10" t="s">
        <v>26</v>
      </c>
      <c r="C5687" s="10" t="s">
        <v>23</v>
      </c>
      <c r="D5687" s="10" t="s">
        <v>31</v>
      </c>
      <c r="E5687" s="14">
        <v>0.2</v>
      </c>
      <c r="F5687" s="15">
        <f t="shared" si="865"/>
        <v>19</v>
      </c>
      <c r="G5687" s="12">
        <f t="shared" si="864"/>
        <v>3.8</v>
      </c>
    </row>
    <row r="5688" ht="15.0" customHeight="1">
      <c r="A5688" s="11"/>
      <c r="B5688" s="11"/>
      <c r="C5688" s="11"/>
      <c r="D5688" s="10" t="s">
        <v>22</v>
      </c>
      <c r="E5688" s="14">
        <v>0.26667</v>
      </c>
      <c r="F5688" s="15">
        <f>ROUND((G5685+G5686+G5687),3)</f>
        <v>43.8</v>
      </c>
      <c r="G5688" s="12">
        <f t="shared" si="864"/>
        <v>11.68</v>
      </c>
    </row>
    <row r="5689" ht="15.0" customHeight="1">
      <c r="A5689" s="10" t="s">
        <v>32</v>
      </c>
      <c r="B5689" s="10"/>
      <c r="C5689" s="10" t="s">
        <v>33</v>
      </c>
      <c r="D5689" s="10" t="s">
        <v>34</v>
      </c>
      <c r="E5689" s="14">
        <v>3.0</v>
      </c>
      <c r="F5689" s="15">
        <f>ROUND(11.68,3)</f>
        <v>11.68</v>
      </c>
      <c r="G5689" s="12">
        <f>ROUND((E5689*F5689)/100,2)</f>
        <v>0.35</v>
      </c>
    </row>
    <row r="5690" ht="15.0" customHeight="1">
      <c r="A5690" s="16"/>
      <c r="B5690" s="16"/>
      <c r="C5690" s="16"/>
      <c r="D5690" s="17" t="s">
        <v>2547</v>
      </c>
      <c r="E5690" s="16"/>
      <c r="F5690" s="18">
        <f>ROUND((G5680+G5681+G5682+G5683+G5684+G5689)*(1+G2/100),2)</f>
        <v>123.24</v>
      </c>
      <c r="G5690" s="16"/>
    </row>
    <row r="5691" ht="48.75" customHeight="1">
      <c r="A5691" s="19" t="s">
        <v>2551</v>
      </c>
      <c r="B5691" s="20" t="s">
        <v>18</v>
      </c>
      <c r="C5691" s="20" t="s">
        <v>231</v>
      </c>
      <c r="D5691" s="20" t="s">
        <v>2552</v>
      </c>
      <c r="E5691" s="21"/>
      <c r="F5691" s="22">
        <f>F5700</f>
        <v>847.59</v>
      </c>
      <c r="G5691" s="21"/>
    </row>
    <row r="5692" ht="21.0" customHeight="1">
      <c r="A5692" s="11"/>
      <c r="B5692" s="11"/>
      <c r="C5692" s="11"/>
      <c r="D5692" s="10" t="s">
        <v>2553</v>
      </c>
    </row>
    <row r="5693" ht="30.0" customHeight="1">
      <c r="A5693" s="10" t="s">
        <v>2554</v>
      </c>
      <c r="B5693" s="10" t="s">
        <v>42</v>
      </c>
      <c r="C5693" s="10" t="s">
        <v>231</v>
      </c>
      <c r="D5693" s="10" t="s">
        <v>2555</v>
      </c>
      <c r="E5693" s="14">
        <v>1.0</v>
      </c>
      <c r="F5693" s="15">
        <f>ROUND(706.99,3)</f>
        <v>706.99</v>
      </c>
      <c r="G5693" s="12">
        <f t="shared" ref="G5693:G5698" si="866">ROUND(E5693*F5693,2)</f>
        <v>706.99</v>
      </c>
    </row>
    <row r="5694" ht="21.0" customHeight="1">
      <c r="A5694" s="10" t="s">
        <v>22</v>
      </c>
      <c r="B5694" s="10" t="s">
        <v>18</v>
      </c>
      <c r="C5694" s="10" t="s">
        <v>23</v>
      </c>
      <c r="D5694" s="10" t="s">
        <v>24</v>
      </c>
      <c r="E5694" s="14">
        <v>3.0</v>
      </c>
      <c r="F5694" s="15">
        <f>F5698</f>
        <v>43.8</v>
      </c>
      <c r="G5694" s="12">
        <f t="shared" si="866"/>
        <v>131.4</v>
      </c>
    </row>
    <row r="5695" ht="24.0" customHeight="1">
      <c r="A5695" s="10" t="s">
        <v>25</v>
      </c>
      <c r="B5695" s="10" t="s">
        <v>26</v>
      </c>
      <c r="C5695" s="10" t="s">
        <v>23</v>
      </c>
      <c r="D5695" s="10" t="s">
        <v>27</v>
      </c>
      <c r="E5695" s="14">
        <v>1.0</v>
      </c>
      <c r="F5695" s="15">
        <f>ROUND(21,3)</f>
        <v>21</v>
      </c>
      <c r="G5695" s="12">
        <f t="shared" si="866"/>
        <v>21</v>
      </c>
    </row>
    <row r="5696" ht="24.0" customHeight="1">
      <c r="A5696" s="10" t="s">
        <v>28</v>
      </c>
      <c r="B5696" s="10" t="s">
        <v>26</v>
      </c>
      <c r="C5696" s="10" t="s">
        <v>23</v>
      </c>
      <c r="D5696" s="10" t="s">
        <v>29</v>
      </c>
      <c r="E5696" s="14">
        <v>1.0</v>
      </c>
      <c r="F5696" s="15">
        <f t="shared" ref="F5696:F5697" si="867">ROUND(19,3)</f>
        <v>19</v>
      </c>
      <c r="G5696" s="12">
        <f t="shared" si="866"/>
        <v>19</v>
      </c>
    </row>
    <row r="5697" ht="24.0" customHeight="1">
      <c r="A5697" s="10" t="s">
        <v>30</v>
      </c>
      <c r="B5697" s="10" t="s">
        <v>26</v>
      </c>
      <c r="C5697" s="10" t="s">
        <v>23</v>
      </c>
      <c r="D5697" s="10" t="s">
        <v>31</v>
      </c>
      <c r="E5697" s="14">
        <v>0.2</v>
      </c>
      <c r="F5697" s="15">
        <f t="shared" si="867"/>
        <v>19</v>
      </c>
      <c r="G5697" s="12">
        <f t="shared" si="866"/>
        <v>3.8</v>
      </c>
    </row>
    <row r="5698" ht="15.0" customHeight="1">
      <c r="A5698" s="11"/>
      <c r="B5698" s="11"/>
      <c r="C5698" s="11"/>
      <c r="D5698" s="10" t="s">
        <v>22</v>
      </c>
      <c r="E5698" s="14">
        <v>3.0</v>
      </c>
      <c r="F5698" s="15">
        <f>ROUND((G5695+G5696+G5697),3)</f>
        <v>43.8</v>
      </c>
      <c r="G5698" s="12">
        <f t="shared" si="866"/>
        <v>131.4</v>
      </c>
    </row>
    <row r="5699" ht="15.0" customHeight="1">
      <c r="A5699" s="10" t="s">
        <v>32</v>
      </c>
      <c r="B5699" s="10"/>
      <c r="C5699" s="10" t="s">
        <v>33</v>
      </c>
      <c r="D5699" s="10" t="s">
        <v>34</v>
      </c>
      <c r="E5699" s="14">
        <v>7.0</v>
      </c>
      <c r="F5699" s="15">
        <f>ROUND(131.4,3)</f>
        <v>131.4</v>
      </c>
      <c r="G5699" s="12">
        <f>ROUND((E5699*F5699)/100,2)</f>
        <v>9.2</v>
      </c>
    </row>
    <row r="5700" ht="24.75" customHeight="1">
      <c r="A5700" s="16"/>
      <c r="B5700" s="16"/>
      <c r="C5700" s="16"/>
      <c r="D5700" s="17" t="s">
        <v>2551</v>
      </c>
      <c r="E5700" s="16"/>
      <c r="F5700" s="18">
        <f>ROUND((G5693+G5694+G5699)*(1+G2/100),2)</f>
        <v>847.59</v>
      </c>
      <c r="G5700" s="16"/>
    </row>
    <row r="5701" ht="39.75" customHeight="1">
      <c r="A5701" s="19" t="s">
        <v>2556</v>
      </c>
      <c r="B5701" s="20" t="s">
        <v>18</v>
      </c>
      <c r="C5701" s="20" t="s">
        <v>231</v>
      </c>
      <c r="D5701" s="20" t="s">
        <v>2557</v>
      </c>
      <c r="E5701" s="21"/>
      <c r="F5701" s="22">
        <f>F5713</f>
        <v>46.14</v>
      </c>
      <c r="G5701" s="21"/>
    </row>
    <row r="5702" ht="21.0" customHeight="1">
      <c r="A5702" s="11"/>
      <c r="B5702" s="11"/>
      <c r="C5702" s="11"/>
      <c r="D5702" s="10" t="s">
        <v>2558</v>
      </c>
    </row>
    <row r="5703" ht="39.75" customHeight="1">
      <c r="A5703" s="10" t="s">
        <v>2559</v>
      </c>
      <c r="B5703" s="10" t="s">
        <v>42</v>
      </c>
      <c r="C5703" s="10" t="s">
        <v>344</v>
      </c>
      <c r="D5703" s="10" t="s">
        <v>2560</v>
      </c>
      <c r="E5703" s="14">
        <v>1.0</v>
      </c>
      <c r="F5703" s="15">
        <f>ROUND(19.46,3)</f>
        <v>19.46</v>
      </c>
      <c r="G5703" s="12">
        <f t="shared" ref="G5703:G5711" si="868">ROUND(E5703*F5703,2)</f>
        <v>19.46</v>
      </c>
    </row>
    <row r="5704" ht="30.0" customHeight="1">
      <c r="A5704" s="10" t="s">
        <v>2543</v>
      </c>
      <c r="B5704" s="10" t="s">
        <v>42</v>
      </c>
      <c r="C5704" s="10" t="s">
        <v>43</v>
      </c>
      <c r="D5704" s="10" t="s">
        <v>2544</v>
      </c>
      <c r="E5704" s="14">
        <v>0.26</v>
      </c>
      <c r="F5704" s="15">
        <f>ROUND(3.7,3)</f>
        <v>3.7</v>
      </c>
      <c r="G5704" s="12">
        <f t="shared" si="868"/>
        <v>0.96</v>
      </c>
    </row>
    <row r="5705" ht="21.0" customHeight="1">
      <c r="A5705" s="10" t="s">
        <v>969</v>
      </c>
      <c r="B5705" s="10" t="s">
        <v>112</v>
      </c>
      <c r="C5705" s="10" t="s">
        <v>23</v>
      </c>
      <c r="D5705" s="10" t="s">
        <v>970</v>
      </c>
      <c r="E5705" s="14">
        <v>0.15</v>
      </c>
      <c r="F5705" s="15">
        <f>ROUND(2,3)</f>
        <v>2</v>
      </c>
      <c r="G5705" s="12">
        <f t="shared" si="868"/>
        <v>0.3</v>
      </c>
    </row>
    <row r="5706" ht="30.0" customHeight="1">
      <c r="A5706" s="10" t="s">
        <v>2545</v>
      </c>
      <c r="B5706" s="10" t="s">
        <v>42</v>
      </c>
      <c r="C5706" s="10" t="s">
        <v>325</v>
      </c>
      <c r="D5706" s="10" t="s">
        <v>2546</v>
      </c>
      <c r="E5706" s="14">
        <v>0.0021</v>
      </c>
      <c r="F5706" s="15">
        <f>ROUND(64.19,3)</f>
        <v>64.19</v>
      </c>
      <c r="G5706" s="12">
        <f t="shared" si="868"/>
        <v>0.13</v>
      </c>
    </row>
    <row r="5707" ht="21.0" customHeight="1">
      <c r="A5707" s="10" t="s">
        <v>22</v>
      </c>
      <c r="B5707" s="10" t="s">
        <v>18</v>
      </c>
      <c r="C5707" s="10" t="s">
        <v>23</v>
      </c>
      <c r="D5707" s="10" t="s">
        <v>24</v>
      </c>
      <c r="E5707" s="14">
        <v>0.55</v>
      </c>
      <c r="F5707" s="15">
        <f>F5711</f>
        <v>43.8</v>
      </c>
      <c r="G5707" s="12">
        <f t="shared" si="868"/>
        <v>24.09</v>
      </c>
    </row>
    <row r="5708" ht="24.0" customHeight="1">
      <c r="A5708" s="10" t="s">
        <v>25</v>
      </c>
      <c r="B5708" s="10" t="s">
        <v>26</v>
      </c>
      <c r="C5708" s="10" t="s">
        <v>23</v>
      </c>
      <c r="D5708" s="10" t="s">
        <v>27</v>
      </c>
      <c r="E5708" s="14">
        <v>1.0</v>
      </c>
      <c r="F5708" s="15">
        <f>ROUND(21,3)</f>
        <v>21</v>
      </c>
      <c r="G5708" s="12">
        <f t="shared" si="868"/>
        <v>21</v>
      </c>
    </row>
    <row r="5709" ht="24.0" customHeight="1">
      <c r="A5709" s="10" t="s">
        <v>28</v>
      </c>
      <c r="B5709" s="10" t="s">
        <v>26</v>
      </c>
      <c r="C5709" s="10" t="s">
        <v>23</v>
      </c>
      <c r="D5709" s="10" t="s">
        <v>29</v>
      </c>
      <c r="E5709" s="14">
        <v>1.0</v>
      </c>
      <c r="F5709" s="15">
        <f t="shared" ref="F5709:F5710" si="869">ROUND(19,3)</f>
        <v>19</v>
      </c>
      <c r="G5709" s="12">
        <f t="shared" si="868"/>
        <v>19</v>
      </c>
    </row>
    <row r="5710" ht="24.0" customHeight="1">
      <c r="A5710" s="10" t="s">
        <v>30</v>
      </c>
      <c r="B5710" s="10" t="s">
        <v>26</v>
      </c>
      <c r="C5710" s="10" t="s">
        <v>23</v>
      </c>
      <c r="D5710" s="10" t="s">
        <v>31</v>
      </c>
      <c r="E5710" s="14">
        <v>0.2</v>
      </c>
      <c r="F5710" s="15">
        <f t="shared" si="869"/>
        <v>19</v>
      </c>
      <c r="G5710" s="12">
        <f t="shared" si="868"/>
        <v>3.8</v>
      </c>
    </row>
    <row r="5711" ht="15.0" customHeight="1">
      <c r="A5711" s="11"/>
      <c r="B5711" s="11"/>
      <c r="C5711" s="11"/>
      <c r="D5711" s="10" t="s">
        <v>22</v>
      </c>
      <c r="E5711" s="14">
        <v>0.55</v>
      </c>
      <c r="F5711" s="15">
        <f>ROUND((G5708+G5709+G5710),3)</f>
        <v>43.8</v>
      </c>
      <c r="G5711" s="12">
        <f t="shared" si="868"/>
        <v>24.09</v>
      </c>
    </row>
    <row r="5712" ht="15.0" customHeight="1">
      <c r="A5712" s="10" t="s">
        <v>32</v>
      </c>
      <c r="B5712" s="10"/>
      <c r="C5712" s="10" t="s">
        <v>33</v>
      </c>
      <c r="D5712" s="10" t="s">
        <v>34</v>
      </c>
      <c r="E5712" s="14">
        <v>5.0</v>
      </c>
      <c r="F5712" s="15">
        <f>ROUND(24.09,3)</f>
        <v>24.09</v>
      </c>
      <c r="G5712" s="12">
        <f>ROUND((E5712*F5712)/100,2)</f>
        <v>1.2</v>
      </c>
    </row>
    <row r="5713" ht="15.0" customHeight="1">
      <c r="A5713" s="16"/>
      <c r="B5713" s="16"/>
      <c r="C5713" s="16"/>
      <c r="D5713" s="17" t="s">
        <v>2556</v>
      </c>
      <c r="E5713" s="16"/>
      <c r="F5713" s="18">
        <f>ROUND((G5703+G5704+G5705+G5706+G5707+G5712)*(1+G2/100),2)</f>
        <v>46.14</v>
      </c>
      <c r="G5713" s="16"/>
    </row>
    <row r="5714" ht="48.75" customHeight="1">
      <c r="A5714" s="19" t="s">
        <v>2561</v>
      </c>
      <c r="B5714" s="20" t="s">
        <v>18</v>
      </c>
      <c r="C5714" s="20" t="s">
        <v>231</v>
      </c>
      <c r="D5714" s="20" t="s">
        <v>2562</v>
      </c>
      <c r="E5714" s="21"/>
      <c r="F5714" s="22">
        <f>F5726</f>
        <v>57.64</v>
      </c>
      <c r="G5714" s="21"/>
    </row>
    <row r="5715" ht="21.0" customHeight="1">
      <c r="A5715" s="11"/>
      <c r="B5715" s="11"/>
      <c r="C5715" s="11"/>
      <c r="D5715" s="10" t="s">
        <v>2563</v>
      </c>
    </row>
    <row r="5716" ht="39.75" customHeight="1">
      <c r="A5716" s="10" t="s">
        <v>2559</v>
      </c>
      <c r="B5716" s="10" t="s">
        <v>42</v>
      </c>
      <c r="C5716" s="10" t="s">
        <v>344</v>
      </c>
      <c r="D5716" s="10" t="s">
        <v>2560</v>
      </c>
      <c r="E5716" s="14">
        <v>1.0</v>
      </c>
      <c r="F5716" s="15">
        <f>ROUND(19.46,3)</f>
        <v>19.46</v>
      </c>
      <c r="G5716" s="12">
        <f t="shared" ref="G5716:G5724" si="870">ROUND(E5716*F5716,2)</f>
        <v>19.46</v>
      </c>
    </row>
    <row r="5717" ht="30.0" customHeight="1">
      <c r="A5717" s="10" t="s">
        <v>2543</v>
      </c>
      <c r="B5717" s="10" t="s">
        <v>42</v>
      </c>
      <c r="C5717" s="10" t="s">
        <v>43</v>
      </c>
      <c r="D5717" s="10" t="s">
        <v>2544</v>
      </c>
      <c r="E5717" s="14">
        <v>0.26</v>
      </c>
      <c r="F5717" s="15">
        <f>ROUND(3.7,3)</f>
        <v>3.7</v>
      </c>
      <c r="G5717" s="12">
        <f t="shared" si="870"/>
        <v>0.96</v>
      </c>
    </row>
    <row r="5718" ht="21.0" customHeight="1">
      <c r="A5718" s="10" t="s">
        <v>969</v>
      </c>
      <c r="B5718" s="10" t="s">
        <v>112</v>
      </c>
      <c r="C5718" s="10" t="s">
        <v>23</v>
      </c>
      <c r="D5718" s="10" t="s">
        <v>970</v>
      </c>
      <c r="E5718" s="14">
        <v>0.15</v>
      </c>
      <c r="F5718" s="15">
        <f>ROUND(2,3)</f>
        <v>2</v>
      </c>
      <c r="G5718" s="12">
        <f t="shared" si="870"/>
        <v>0.3</v>
      </c>
    </row>
    <row r="5719" ht="30.0" customHeight="1">
      <c r="A5719" s="10" t="s">
        <v>2545</v>
      </c>
      <c r="B5719" s="10" t="s">
        <v>42</v>
      </c>
      <c r="C5719" s="10" t="s">
        <v>325</v>
      </c>
      <c r="D5719" s="10" t="s">
        <v>2546</v>
      </c>
      <c r="E5719" s="14">
        <v>0.0021</v>
      </c>
      <c r="F5719" s="15">
        <f>ROUND(64.19,3)</f>
        <v>64.19</v>
      </c>
      <c r="G5719" s="12">
        <f t="shared" si="870"/>
        <v>0.13</v>
      </c>
    </row>
    <row r="5720" ht="21.0" customHeight="1">
      <c r="A5720" s="10" t="s">
        <v>22</v>
      </c>
      <c r="B5720" s="10" t="s">
        <v>18</v>
      </c>
      <c r="C5720" s="10" t="s">
        <v>23</v>
      </c>
      <c r="D5720" s="10" t="s">
        <v>24</v>
      </c>
      <c r="E5720" s="14">
        <v>0.8</v>
      </c>
      <c r="F5720" s="15">
        <f>F5724</f>
        <v>43.8</v>
      </c>
      <c r="G5720" s="12">
        <f t="shared" si="870"/>
        <v>35.04</v>
      </c>
    </row>
    <row r="5721" ht="24.0" customHeight="1">
      <c r="A5721" s="10" t="s">
        <v>25</v>
      </c>
      <c r="B5721" s="10" t="s">
        <v>26</v>
      </c>
      <c r="C5721" s="10" t="s">
        <v>23</v>
      </c>
      <c r="D5721" s="10" t="s">
        <v>27</v>
      </c>
      <c r="E5721" s="14">
        <v>1.0</v>
      </c>
      <c r="F5721" s="15">
        <f>ROUND(21,3)</f>
        <v>21</v>
      </c>
      <c r="G5721" s="12">
        <f t="shared" si="870"/>
        <v>21</v>
      </c>
    </row>
    <row r="5722" ht="24.0" customHeight="1">
      <c r="A5722" s="10" t="s">
        <v>28</v>
      </c>
      <c r="B5722" s="10" t="s">
        <v>26</v>
      </c>
      <c r="C5722" s="10" t="s">
        <v>23</v>
      </c>
      <c r="D5722" s="10" t="s">
        <v>29</v>
      </c>
      <c r="E5722" s="14">
        <v>1.0</v>
      </c>
      <c r="F5722" s="15">
        <f t="shared" ref="F5722:F5723" si="871">ROUND(19,3)</f>
        <v>19</v>
      </c>
      <c r="G5722" s="12">
        <f t="shared" si="870"/>
        <v>19</v>
      </c>
    </row>
    <row r="5723" ht="24.0" customHeight="1">
      <c r="A5723" s="10" t="s">
        <v>30</v>
      </c>
      <c r="B5723" s="10" t="s">
        <v>26</v>
      </c>
      <c r="C5723" s="10" t="s">
        <v>23</v>
      </c>
      <c r="D5723" s="10" t="s">
        <v>31</v>
      </c>
      <c r="E5723" s="14">
        <v>0.2</v>
      </c>
      <c r="F5723" s="15">
        <f t="shared" si="871"/>
        <v>19</v>
      </c>
      <c r="G5723" s="12">
        <f t="shared" si="870"/>
        <v>3.8</v>
      </c>
    </row>
    <row r="5724" ht="15.0" customHeight="1">
      <c r="A5724" s="11"/>
      <c r="B5724" s="11"/>
      <c r="C5724" s="11"/>
      <c r="D5724" s="10" t="s">
        <v>22</v>
      </c>
      <c r="E5724" s="14">
        <v>0.8</v>
      </c>
      <c r="F5724" s="15">
        <f>ROUND((G5721+G5722+G5723),3)</f>
        <v>43.8</v>
      </c>
      <c r="G5724" s="12">
        <f t="shared" si="870"/>
        <v>35.04</v>
      </c>
    </row>
    <row r="5725" ht="15.0" customHeight="1">
      <c r="A5725" s="10" t="s">
        <v>32</v>
      </c>
      <c r="B5725" s="10"/>
      <c r="C5725" s="10" t="s">
        <v>33</v>
      </c>
      <c r="D5725" s="10" t="s">
        <v>34</v>
      </c>
      <c r="E5725" s="14">
        <v>5.0</v>
      </c>
      <c r="F5725" s="15">
        <f>ROUND(35.04,3)</f>
        <v>35.04</v>
      </c>
      <c r="G5725" s="12">
        <f>ROUND((E5725*F5725)/100,2)</f>
        <v>1.75</v>
      </c>
    </row>
    <row r="5726" ht="15.0" customHeight="1">
      <c r="A5726" s="16"/>
      <c r="B5726" s="16"/>
      <c r="C5726" s="16"/>
      <c r="D5726" s="17" t="s">
        <v>2561</v>
      </c>
      <c r="E5726" s="16"/>
      <c r="F5726" s="18">
        <f>ROUND((G5716+G5717+G5718+G5719+G5720+G5725)*(1+G2/100),2)</f>
        <v>57.64</v>
      </c>
      <c r="G5726" s="16"/>
    </row>
    <row r="5727" ht="67.5" customHeight="1">
      <c r="A5727" s="19" t="s">
        <v>2564</v>
      </c>
      <c r="B5727" s="20" t="s">
        <v>18</v>
      </c>
      <c r="C5727" s="20" t="s">
        <v>351</v>
      </c>
      <c r="D5727" s="20" t="s">
        <v>2565</v>
      </c>
      <c r="E5727" s="21"/>
      <c r="F5727" s="22">
        <f>F5736</f>
        <v>13.25</v>
      </c>
      <c r="G5727" s="21"/>
    </row>
    <row r="5728" ht="30.0" customHeight="1">
      <c r="A5728" s="11"/>
      <c r="B5728" s="11"/>
      <c r="C5728" s="11"/>
      <c r="D5728" s="10" t="s">
        <v>2566</v>
      </c>
    </row>
    <row r="5729" ht="30.0" customHeight="1">
      <c r="A5729" s="10" t="s">
        <v>1813</v>
      </c>
      <c r="B5729" s="10" t="s">
        <v>42</v>
      </c>
      <c r="C5729" s="10" t="s">
        <v>43</v>
      </c>
      <c r="D5729" s="10" t="s">
        <v>1814</v>
      </c>
      <c r="E5729" s="14">
        <v>0.1</v>
      </c>
      <c r="F5729" s="15">
        <f>ROUND(6.19,3)</f>
        <v>6.19</v>
      </c>
      <c r="G5729" s="12">
        <f t="shared" ref="G5729:G5734" si="872">ROUND(E5729*F5729,2)</f>
        <v>0.62</v>
      </c>
    </row>
    <row r="5730" ht="21.0" customHeight="1">
      <c r="A5730" s="10" t="s">
        <v>22</v>
      </c>
      <c r="B5730" s="10" t="s">
        <v>18</v>
      </c>
      <c r="C5730" s="10" t="s">
        <v>23</v>
      </c>
      <c r="D5730" s="10" t="s">
        <v>24</v>
      </c>
      <c r="E5730" s="14">
        <v>0.28</v>
      </c>
      <c r="F5730" s="15">
        <f>F5734</f>
        <v>43.8</v>
      </c>
      <c r="G5730" s="12">
        <f t="shared" si="872"/>
        <v>12.26</v>
      </c>
    </row>
    <row r="5731" ht="24.0" customHeight="1">
      <c r="A5731" s="10" t="s">
        <v>25</v>
      </c>
      <c r="B5731" s="10" t="s">
        <v>26</v>
      </c>
      <c r="C5731" s="10" t="s">
        <v>23</v>
      </c>
      <c r="D5731" s="10" t="s">
        <v>27</v>
      </c>
      <c r="E5731" s="14">
        <v>1.0</v>
      </c>
      <c r="F5731" s="15">
        <f>ROUND(21,3)</f>
        <v>21</v>
      </c>
      <c r="G5731" s="12">
        <f t="shared" si="872"/>
        <v>21</v>
      </c>
    </row>
    <row r="5732" ht="24.0" customHeight="1">
      <c r="A5732" s="10" t="s">
        <v>28</v>
      </c>
      <c r="B5732" s="10" t="s">
        <v>26</v>
      </c>
      <c r="C5732" s="10" t="s">
        <v>23</v>
      </c>
      <c r="D5732" s="10" t="s">
        <v>29</v>
      </c>
      <c r="E5732" s="14">
        <v>1.0</v>
      </c>
      <c r="F5732" s="15">
        <f t="shared" ref="F5732:F5733" si="873">ROUND(19,3)</f>
        <v>19</v>
      </c>
      <c r="G5732" s="12">
        <f t="shared" si="872"/>
        <v>19</v>
      </c>
    </row>
    <row r="5733" ht="24.0" customHeight="1">
      <c r="A5733" s="10" t="s">
        <v>30</v>
      </c>
      <c r="B5733" s="10" t="s">
        <v>26</v>
      </c>
      <c r="C5733" s="10" t="s">
        <v>23</v>
      </c>
      <c r="D5733" s="10" t="s">
        <v>31</v>
      </c>
      <c r="E5733" s="14">
        <v>0.2</v>
      </c>
      <c r="F5733" s="15">
        <f t="shared" si="873"/>
        <v>19</v>
      </c>
      <c r="G5733" s="12">
        <f t="shared" si="872"/>
        <v>3.8</v>
      </c>
    </row>
    <row r="5734" ht="15.0" customHeight="1">
      <c r="A5734" s="11"/>
      <c r="B5734" s="11"/>
      <c r="C5734" s="11"/>
      <c r="D5734" s="10" t="s">
        <v>22</v>
      </c>
      <c r="E5734" s="14">
        <v>0.28</v>
      </c>
      <c r="F5734" s="15">
        <f>ROUND((G5731+G5732+G5733),3)</f>
        <v>43.8</v>
      </c>
      <c r="G5734" s="12">
        <f t="shared" si="872"/>
        <v>12.26</v>
      </c>
    </row>
    <row r="5735" ht="15.0" customHeight="1">
      <c r="A5735" s="10" t="s">
        <v>32</v>
      </c>
      <c r="B5735" s="10"/>
      <c r="C5735" s="10" t="s">
        <v>33</v>
      </c>
      <c r="D5735" s="10" t="s">
        <v>34</v>
      </c>
      <c r="E5735" s="14">
        <v>3.0</v>
      </c>
      <c r="F5735" s="15">
        <f>ROUND(12.26,3)</f>
        <v>12.26</v>
      </c>
      <c r="G5735" s="12">
        <f>ROUND((E5735*F5735)/100,2)</f>
        <v>0.37</v>
      </c>
    </row>
    <row r="5736" ht="24.75" customHeight="1">
      <c r="A5736" s="16"/>
      <c r="B5736" s="16"/>
      <c r="C5736" s="16"/>
      <c r="D5736" s="17" t="s">
        <v>2564</v>
      </c>
      <c r="E5736" s="16"/>
      <c r="F5736" s="18">
        <f>ROUND((G5729+G5730+G5735)*(1+G2/100),2)</f>
        <v>13.25</v>
      </c>
      <c r="G5736" s="16"/>
    </row>
    <row r="5737" ht="57.75" customHeight="1">
      <c r="A5737" s="19" t="s">
        <v>2567</v>
      </c>
      <c r="B5737" s="20" t="s">
        <v>18</v>
      </c>
      <c r="C5737" s="20" t="s">
        <v>351</v>
      </c>
      <c r="D5737" s="20" t="s">
        <v>2568</v>
      </c>
      <c r="E5737" s="21"/>
      <c r="F5737" s="22">
        <f>F5747</f>
        <v>10.47</v>
      </c>
      <c r="G5737" s="21"/>
    </row>
    <row r="5738" ht="30.0" customHeight="1">
      <c r="A5738" s="11"/>
      <c r="B5738" s="11"/>
      <c r="C5738" s="11"/>
      <c r="D5738" s="10" t="s">
        <v>2568</v>
      </c>
    </row>
    <row r="5739" ht="30.0" customHeight="1">
      <c r="A5739" s="10" t="s">
        <v>2569</v>
      </c>
      <c r="B5739" s="10" t="s">
        <v>42</v>
      </c>
      <c r="C5739" s="10" t="s">
        <v>43</v>
      </c>
      <c r="D5739" s="10" t="s">
        <v>2570</v>
      </c>
      <c r="E5739" s="14">
        <v>0.00333</v>
      </c>
      <c r="F5739" s="15">
        <f>ROUND(86.31,3)</f>
        <v>86.31</v>
      </c>
      <c r="G5739" s="12">
        <f t="shared" ref="G5739:G5745" si="874">ROUND(E5739*F5739,2)</f>
        <v>0.29</v>
      </c>
    </row>
    <row r="5740" ht="30.0" customHeight="1">
      <c r="A5740" s="10" t="s">
        <v>1763</v>
      </c>
      <c r="B5740" s="10" t="s">
        <v>42</v>
      </c>
      <c r="C5740" s="10" t="s">
        <v>1245</v>
      </c>
      <c r="D5740" s="10" t="s">
        <v>1764</v>
      </c>
      <c r="E5740" s="14">
        <v>0.18333</v>
      </c>
      <c r="F5740" s="15">
        <f>ROUND(6.32,3)</f>
        <v>6.32</v>
      </c>
      <c r="G5740" s="12">
        <f t="shared" si="874"/>
        <v>1.16</v>
      </c>
    </row>
    <row r="5741" ht="21.0" customHeight="1">
      <c r="A5741" s="10" t="s">
        <v>22</v>
      </c>
      <c r="B5741" s="10" t="s">
        <v>18</v>
      </c>
      <c r="C5741" s="10" t="s">
        <v>23</v>
      </c>
      <c r="D5741" s="10" t="s">
        <v>24</v>
      </c>
      <c r="E5741" s="14">
        <v>0.2</v>
      </c>
      <c r="F5741" s="15">
        <f>F5745</f>
        <v>43.8</v>
      </c>
      <c r="G5741" s="12">
        <f t="shared" si="874"/>
        <v>8.76</v>
      </c>
    </row>
    <row r="5742" ht="24.0" customHeight="1">
      <c r="A5742" s="10" t="s">
        <v>25</v>
      </c>
      <c r="B5742" s="10" t="s">
        <v>26</v>
      </c>
      <c r="C5742" s="10" t="s">
        <v>23</v>
      </c>
      <c r="D5742" s="10" t="s">
        <v>27</v>
      </c>
      <c r="E5742" s="14">
        <v>1.0</v>
      </c>
      <c r="F5742" s="15">
        <f>ROUND(21,3)</f>
        <v>21</v>
      </c>
      <c r="G5742" s="12">
        <f t="shared" si="874"/>
        <v>21</v>
      </c>
    </row>
    <row r="5743" ht="24.0" customHeight="1">
      <c r="A5743" s="10" t="s">
        <v>28</v>
      </c>
      <c r="B5743" s="10" t="s">
        <v>26</v>
      </c>
      <c r="C5743" s="10" t="s">
        <v>23</v>
      </c>
      <c r="D5743" s="10" t="s">
        <v>29</v>
      </c>
      <c r="E5743" s="14">
        <v>1.0</v>
      </c>
      <c r="F5743" s="15">
        <f t="shared" ref="F5743:F5744" si="875">ROUND(19,3)</f>
        <v>19</v>
      </c>
      <c r="G5743" s="12">
        <f t="shared" si="874"/>
        <v>19</v>
      </c>
    </row>
    <row r="5744" ht="24.0" customHeight="1">
      <c r="A5744" s="10" t="s">
        <v>30</v>
      </c>
      <c r="B5744" s="10" t="s">
        <v>26</v>
      </c>
      <c r="C5744" s="10" t="s">
        <v>23</v>
      </c>
      <c r="D5744" s="10" t="s">
        <v>31</v>
      </c>
      <c r="E5744" s="14">
        <v>0.2</v>
      </c>
      <c r="F5744" s="15">
        <f t="shared" si="875"/>
        <v>19</v>
      </c>
      <c r="G5744" s="12">
        <f t="shared" si="874"/>
        <v>3.8</v>
      </c>
    </row>
    <row r="5745" ht="15.0" customHeight="1">
      <c r="A5745" s="11"/>
      <c r="B5745" s="11"/>
      <c r="C5745" s="11"/>
      <c r="D5745" s="10" t="s">
        <v>22</v>
      </c>
      <c r="E5745" s="14">
        <v>0.2</v>
      </c>
      <c r="F5745" s="15">
        <f>ROUND((G5742+G5743+G5744),3)</f>
        <v>43.8</v>
      </c>
      <c r="G5745" s="12">
        <f t="shared" si="874"/>
        <v>8.76</v>
      </c>
    </row>
    <row r="5746" ht="15.0" customHeight="1">
      <c r="A5746" s="10" t="s">
        <v>32</v>
      </c>
      <c r="B5746" s="10"/>
      <c r="C5746" s="10" t="s">
        <v>33</v>
      </c>
      <c r="D5746" s="10" t="s">
        <v>34</v>
      </c>
      <c r="E5746" s="14">
        <v>3.0</v>
      </c>
      <c r="F5746" s="15">
        <f>ROUND(8.76,3)</f>
        <v>8.76</v>
      </c>
      <c r="G5746" s="12">
        <f>ROUND((E5746*F5746)/100,2)</f>
        <v>0.26</v>
      </c>
    </row>
    <row r="5747" ht="24.75" customHeight="1">
      <c r="A5747" s="16"/>
      <c r="B5747" s="16"/>
      <c r="C5747" s="16"/>
      <c r="D5747" s="17" t="s">
        <v>2567</v>
      </c>
      <c r="E5747" s="16"/>
      <c r="F5747" s="18">
        <f>ROUND((G5739+G5740+G5741+G5746)*(1+G2/100),2)</f>
        <v>10.47</v>
      </c>
      <c r="G5747" s="16"/>
    </row>
    <row r="5748" ht="57.75" customHeight="1">
      <c r="A5748" s="19" t="s">
        <v>2571</v>
      </c>
      <c r="B5748" s="20" t="s">
        <v>18</v>
      </c>
      <c r="C5748" s="20" t="s">
        <v>351</v>
      </c>
      <c r="D5748" s="20" t="s">
        <v>2572</v>
      </c>
      <c r="E5748" s="21"/>
      <c r="F5748" s="22">
        <f>F5758</f>
        <v>14.08</v>
      </c>
      <c r="G5748" s="21"/>
    </row>
    <row r="5749" ht="30.0" customHeight="1">
      <c r="A5749" s="11"/>
      <c r="B5749" s="11"/>
      <c r="C5749" s="11"/>
      <c r="D5749" s="10" t="s">
        <v>2572</v>
      </c>
    </row>
    <row r="5750" ht="30.0" customHeight="1">
      <c r="A5750" s="10" t="s">
        <v>2569</v>
      </c>
      <c r="B5750" s="10" t="s">
        <v>42</v>
      </c>
      <c r="C5750" s="10" t="s">
        <v>43</v>
      </c>
      <c r="D5750" s="10" t="s">
        <v>2570</v>
      </c>
      <c r="E5750" s="14">
        <v>0.00333</v>
      </c>
      <c r="F5750" s="15">
        <f>ROUND(86.31,3)</f>
        <v>86.31</v>
      </c>
      <c r="G5750" s="12">
        <f t="shared" ref="G5750:G5756" si="876">ROUND(E5750*F5750,2)</f>
        <v>0.29</v>
      </c>
    </row>
    <row r="5751" ht="30.0" customHeight="1">
      <c r="A5751" s="10" t="s">
        <v>1763</v>
      </c>
      <c r="B5751" s="10" t="s">
        <v>42</v>
      </c>
      <c r="C5751" s="10" t="s">
        <v>1245</v>
      </c>
      <c r="D5751" s="10" t="s">
        <v>1764</v>
      </c>
      <c r="E5751" s="14">
        <v>0.18333</v>
      </c>
      <c r="F5751" s="15">
        <f>ROUND(6.32,3)</f>
        <v>6.32</v>
      </c>
      <c r="G5751" s="12">
        <f t="shared" si="876"/>
        <v>1.16</v>
      </c>
    </row>
    <row r="5752" ht="21.0" customHeight="1">
      <c r="A5752" s="10" t="s">
        <v>22</v>
      </c>
      <c r="B5752" s="10" t="s">
        <v>18</v>
      </c>
      <c r="C5752" s="10" t="s">
        <v>23</v>
      </c>
      <c r="D5752" s="10" t="s">
        <v>24</v>
      </c>
      <c r="E5752" s="14">
        <v>0.28</v>
      </c>
      <c r="F5752" s="15">
        <f>F5756</f>
        <v>43.8</v>
      </c>
      <c r="G5752" s="12">
        <f t="shared" si="876"/>
        <v>12.26</v>
      </c>
    </row>
    <row r="5753" ht="24.0" customHeight="1">
      <c r="A5753" s="10" t="s">
        <v>25</v>
      </c>
      <c r="B5753" s="10" t="s">
        <v>26</v>
      </c>
      <c r="C5753" s="10" t="s">
        <v>23</v>
      </c>
      <c r="D5753" s="10" t="s">
        <v>27</v>
      </c>
      <c r="E5753" s="14">
        <v>1.0</v>
      </c>
      <c r="F5753" s="15">
        <f>ROUND(21,3)</f>
        <v>21</v>
      </c>
      <c r="G5753" s="12">
        <f t="shared" si="876"/>
        <v>21</v>
      </c>
    </row>
    <row r="5754" ht="24.0" customHeight="1">
      <c r="A5754" s="10" t="s">
        <v>28</v>
      </c>
      <c r="B5754" s="10" t="s">
        <v>26</v>
      </c>
      <c r="C5754" s="10" t="s">
        <v>23</v>
      </c>
      <c r="D5754" s="10" t="s">
        <v>29</v>
      </c>
      <c r="E5754" s="14">
        <v>1.0</v>
      </c>
      <c r="F5754" s="15">
        <f t="shared" ref="F5754:F5755" si="877">ROUND(19,3)</f>
        <v>19</v>
      </c>
      <c r="G5754" s="12">
        <f t="shared" si="876"/>
        <v>19</v>
      </c>
    </row>
    <row r="5755" ht="24.0" customHeight="1">
      <c r="A5755" s="10" t="s">
        <v>30</v>
      </c>
      <c r="B5755" s="10" t="s">
        <v>26</v>
      </c>
      <c r="C5755" s="10" t="s">
        <v>23</v>
      </c>
      <c r="D5755" s="10" t="s">
        <v>31</v>
      </c>
      <c r="E5755" s="14">
        <v>0.2</v>
      </c>
      <c r="F5755" s="15">
        <f t="shared" si="877"/>
        <v>19</v>
      </c>
      <c r="G5755" s="12">
        <f t="shared" si="876"/>
        <v>3.8</v>
      </c>
    </row>
    <row r="5756" ht="15.0" customHeight="1">
      <c r="A5756" s="11"/>
      <c r="B5756" s="11"/>
      <c r="C5756" s="11"/>
      <c r="D5756" s="10" t="s">
        <v>22</v>
      </c>
      <c r="E5756" s="14">
        <v>0.28</v>
      </c>
      <c r="F5756" s="15">
        <f>ROUND((G5753+G5754+G5755),3)</f>
        <v>43.8</v>
      </c>
      <c r="G5756" s="12">
        <f t="shared" si="876"/>
        <v>12.26</v>
      </c>
    </row>
    <row r="5757" ht="15.0" customHeight="1">
      <c r="A5757" s="10" t="s">
        <v>32</v>
      </c>
      <c r="B5757" s="10"/>
      <c r="C5757" s="10" t="s">
        <v>33</v>
      </c>
      <c r="D5757" s="10" t="s">
        <v>34</v>
      </c>
      <c r="E5757" s="14">
        <v>3.0</v>
      </c>
      <c r="F5757" s="15">
        <f>ROUND(12.26,3)</f>
        <v>12.26</v>
      </c>
      <c r="G5757" s="12">
        <f>ROUND((E5757*F5757)/100,2)</f>
        <v>0.37</v>
      </c>
    </row>
    <row r="5758" ht="24.75" customHeight="1">
      <c r="A5758" s="16"/>
      <c r="B5758" s="16"/>
      <c r="C5758" s="16"/>
      <c r="D5758" s="17" t="s">
        <v>2571</v>
      </c>
      <c r="E5758" s="16"/>
      <c r="F5758" s="18">
        <f>ROUND((G5750+G5751+G5752+G5757)*(1+G2/100),2)</f>
        <v>14.08</v>
      </c>
      <c r="G5758" s="16"/>
    </row>
    <row r="5759" ht="21.0" customHeight="1">
      <c r="A5759" s="19" t="s">
        <v>2573</v>
      </c>
      <c r="B5759" s="20" t="s">
        <v>18</v>
      </c>
      <c r="C5759" s="20" t="s">
        <v>295</v>
      </c>
      <c r="D5759" s="20" t="s">
        <v>2574</v>
      </c>
      <c r="E5759" s="21"/>
      <c r="F5759" s="22">
        <f>F5763</f>
        <v>448</v>
      </c>
      <c r="G5759" s="21"/>
    </row>
    <row r="5760" ht="39.75" customHeight="1">
      <c r="A5760" s="11"/>
      <c r="B5760" s="11"/>
      <c r="C5760" s="11"/>
      <c r="D5760" s="10" t="s">
        <v>2575</v>
      </c>
    </row>
    <row r="5761" ht="30.0" customHeight="1">
      <c r="A5761" s="10" t="s">
        <v>2576</v>
      </c>
      <c r="B5761" s="10" t="s">
        <v>42</v>
      </c>
      <c r="C5761" s="10" t="s">
        <v>304</v>
      </c>
      <c r="D5761" s="10" t="s">
        <v>2577</v>
      </c>
      <c r="E5761" s="14">
        <v>1.0</v>
      </c>
      <c r="F5761" s="15">
        <f>ROUND(250,3)</f>
        <v>250</v>
      </c>
      <c r="G5761" s="12">
        <f t="shared" ref="G5761:G5762" si="878">ROUND(E5761*F5761,2)</f>
        <v>250</v>
      </c>
    </row>
    <row r="5762" ht="24.0" customHeight="1">
      <c r="A5762" s="10" t="s">
        <v>1186</v>
      </c>
      <c r="B5762" s="10" t="s">
        <v>26</v>
      </c>
      <c r="C5762" s="10" t="s">
        <v>23</v>
      </c>
      <c r="D5762" s="10" t="s">
        <v>1187</v>
      </c>
      <c r="E5762" s="14">
        <v>4.0</v>
      </c>
      <c r="F5762" s="15">
        <f>ROUND(49.5,3)</f>
        <v>49.5</v>
      </c>
      <c r="G5762" s="12">
        <f t="shared" si="878"/>
        <v>198</v>
      </c>
    </row>
    <row r="5763" ht="15.0" customHeight="1">
      <c r="A5763" s="16"/>
      <c r="B5763" s="16"/>
      <c r="C5763" s="16"/>
      <c r="D5763" s="17" t="s">
        <v>2573</v>
      </c>
      <c r="E5763" s="16"/>
      <c r="F5763" s="18">
        <f>ROUND((G5761+G5762)*(1+G2/100),2)</f>
        <v>448</v>
      </c>
      <c r="G5763" s="16"/>
    </row>
    <row r="5764" ht="21.0" customHeight="1">
      <c r="A5764" s="19" t="s">
        <v>2578</v>
      </c>
      <c r="B5764" s="20" t="s">
        <v>18</v>
      </c>
      <c r="C5764" s="20" t="s">
        <v>295</v>
      </c>
      <c r="D5764" s="20" t="s">
        <v>2579</v>
      </c>
      <c r="E5764" s="21"/>
      <c r="F5764" s="22">
        <f>F5768</f>
        <v>906.5</v>
      </c>
      <c r="G5764" s="21"/>
    </row>
    <row r="5765" ht="168.75" customHeight="1">
      <c r="A5765" s="11"/>
      <c r="B5765" s="11"/>
      <c r="C5765" s="11"/>
      <c r="D5765" s="10" t="s">
        <v>2580</v>
      </c>
    </row>
    <row r="5766" ht="21.0" customHeight="1">
      <c r="A5766" s="10" t="s">
        <v>2581</v>
      </c>
      <c r="B5766" s="10" t="s">
        <v>42</v>
      </c>
      <c r="C5766" s="10" t="s">
        <v>304</v>
      </c>
      <c r="D5766" s="10" t="s">
        <v>2579</v>
      </c>
      <c r="E5766" s="14">
        <v>1.0</v>
      </c>
      <c r="F5766" s="15">
        <f>ROUND(758,3)</f>
        <v>758</v>
      </c>
      <c r="G5766" s="12">
        <f t="shared" ref="G5766:G5767" si="879">ROUND(E5766*F5766,2)</f>
        <v>758</v>
      </c>
    </row>
    <row r="5767" ht="24.0" customHeight="1">
      <c r="A5767" s="10" t="s">
        <v>1186</v>
      </c>
      <c r="B5767" s="10" t="s">
        <v>26</v>
      </c>
      <c r="C5767" s="10" t="s">
        <v>23</v>
      </c>
      <c r="D5767" s="10" t="s">
        <v>1187</v>
      </c>
      <c r="E5767" s="14">
        <v>3.0</v>
      </c>
      <c r="F5767" s="15">
        <f>ROUND(49.5,3)</f>
        <v>49.5</v>
      </c>
      <c r="G5767" s="12">
        <f t="shared" si="879"/>
        <v>148.5</v>
      </c>
    </row>
    <row r="5768" ht="15.0" customHeight="1">
      <c r="A5768" s="16"/>
      <c r="B5768" s="16"/>
      <c r="C5768" s="16"/>
      <c r="D5768" s="17" t="s">
        <v>2578</v>
      </c>
      <c r="E5768" s="16"/>
      <c r="F5768" s="18">
        <f>ROUND((G5766+G5767)*(1+G2/100),2)</f>
        <v>906.5</v>
      </c>
      <c r="G5768" s="16"/>
    </row>
    <row r="5769" ht="15.0" customHeight="1">
      <c r="A5769" s="19" t="s">
        <v>2582</v>
      </c>
      <c r="B5769" s="20" t="s">
        <v>18</v>
      </c>
      <c r="C5769" s="20" t="s">
        <v>537</v>
      </c>
      <c r="D5769" s="20" t="s">
        <v>2583</v>
      </c>
      <c r="E5769" s="21"/>
      <c r="F5769" s="22">
        <f>F5774</f>
        <v>56.38</v>
      </c>
      <c r="G5769" s="21"/>
    </row>
    <row r="5770" ht="30.0" customHeight="1">
      <c r="A5770" s="11"/>
      <c r="B5770" s="11"/>
      <c r="C5770" s="11"/>
      <c r="D5770" s="10" t="s">
        <v>2584</v>
      </c>
    </row>
    <row r="5771" ht="21.0" customHeight="1">
      <c r="A5771" s="10" t="s">
        <v>2585</v>
      </c>
      <c r="B5771" s="10" t="s">
        <v>42</v>
      </c>
      <c r="C5771" s="10" t="s">
        <v>304</v>
      </c>
      <c r="D5771" s="10" t="s">
        <v>2586</v>
      </c>
      <c r="E5771" s="14">
        <v>0.1</v>
      </c>
      <c r="F5771" s="15">
        <f>ROUND(8.5,3)</f>
        <v>8.5</v>
      </c>
      <c r="G5771" s="12">
        <f t="shared" ref="G5771:G5773" si="880">ROUND(E5771*F5771,2)</f>
        <v>0.85</v>
      </c>
    </row>
    <row r="5772" ht="30.0" customHeight="1">
      <c r="A5772" s="10" t="s">
        <v>2587</v>
      </c>
      <c r="B5772" s="10" t="s">
        <v>42</v>
      </c>
      <c r="C5772" s="10" t="s">
        <v>351</v>
      </c>
      <c r="D5772" s="10" t="s">
        <v>2588</v>
      </c>
      <c r="E5772" s="14">
        <v>1.0</v>
      </c>
      <c r="F5772" s="15">
        <f>ROUND(37.21,3)</f>
        <v>37.21</v>
      </c>
      <c r="G5772" s="12">
        <f t="shared" si="880"/>
        <v>37.21</v>
      </c>
    </row>
    <row r="5773" ht="24.0" customHeight="1">
      <c r="A5773" s="10" t="s">
        <v>1186</v>
      </c>
      <c r="B5773" s="10" t="s">
        <v>26</v>
      </c>
      <c r="C5773" s="10" t="s">
        <v>23</v>
      </c>
      <c r="D5773" s="10" t="s">
        <v>1187</v>
      </c>
      <c r="E5773" s="14">
        <v>0.37</v>
      </c>
      <c r="F5773" s="15">
        <f>ROUND(49.5,3)</f>
        <v>49.5</v>
      </c>
      <c r="G5773" s="12">
        <f t="shared" si="880"/>
        <v>18.32</v>
      </c>
    </row>
    <row r="5774" ht="15.0" customHeight="1">
      <c r="A5774" s="16"/>
      <c r="B5774" s="16"/>
      <c r="C5774" s="16"/>
      <c r="D5774" s="17" t="s">
        <v>2582</v>
      </c>
      <c r="E5774" s="16"/>
      <c r="F5774" s="18">
        <f>ROUND((G5771+G5772+G5773)*(1+G2/100),2)</f>
        <v>56.38</v>
      </c>
      <c r="G5774" s="16"/>
    </row>
    <row r="5775" ht="15.0" customHeight="1">
      <c r="A5775" s="19" t="s">
        <v>2589</v>
      </c>
      <c r="B5775" s="20" t="s">
        <v>18</v>
      </c>
      <c r="C5775" s="20" t="s">
        <v>537</v>
      </c>
      <c r="D5775" s="20" t="s">
        <v>2590</v>
      </c>
      <c r="E5775" s="21"/>
      <c r="F5775" s="22">
        <f>F5784</f>
        <v>9.4</v>
      </c>
      <c r="G5775" s="21"/>
    </row>
    <row r="5776" ht="12.0" customHeight="1">
      <c r="A5776" s="11"/>
      <c r="B5776" s="11"/>
      <c r="C5776" s="11"/>
      <c r="D5776" s="10" t="s">
        <v>2590</v>
      </c>
    </row>
    <row r="5777" ht="15.0" customHeight="1">
      <c r="A5777" s="10" t="s">
        <v>2591</v>
      </c>
      <c r="B5777" s="10" t="s">
        <v>42</v>
      </c>
      <c r="C5777" s="10" t="s">
        <v>351</v>
      </c>
      <c r="D5777" s="10" t="s">
        <v>2592</v>
      </c>
      <c r="E5777" s="14">
        <v>1.0</v>
      </c>
      <c r="F5777" s="15">
        <f>ROUND(5.34,3)</f>
        <v>5.34</v>
      </c>
      <c r="G5777" s="12">
        <f t="shared" ref="G5777:G5782" si="881">ROUND(E5777*F5777,2)</f>
        <v>5.34</v>
      </c>
    </row>
    <row r="5778" ht="21.0" customHeight="1">
      <c r="A5778" s="10" t="s">
        <v>22</v>
      </c>
      <c r="B5778" s="10" t="s">
        <v>18</v>
      </c>
      <c r="C5778" s="10" t="s">
        <v>23</v>
      </c>
      <c r="D5778" s="10" t="s">
        <v>24</v>
      </c>
      <c r="E5778" s="14">
        <v>0.09</v>
      </c>
      <c r="F5778" s="15">
        <f>F5782</f>
        <v>43.8</v>
      </c>
      <c r="G5778" s="12">
        <f t="shared" si="881"/>
        <v>3.94</v>
      </c>
    </row>
    <row r="5779" ht="24.0" customHeight="1">
      <c r="A5779" s="10" t="s">
        <v>25</v>
      </c>
      <c r="B5779" s="10" t="s">
        <v>26</v>
      </c>
      <c r="C5779" s="10" t="s">
        <v>23</v>
      </c>
      <c r="D5779" s="10" t="s">
        <v>27</v>
      </c>
      <c r="E5779" s="14">
        <v>1.0</v>
      </c>
      <c r="F5779" s="15">
        <f>ROUND(21,3)</f>
        <v>21</v>
      </c>
      <c r="G5779" s="12">
        <f t="shared" si="881"/>
        <v>21</v>
      </c>
    </row>
    <row r="5780" ht="24.0" customHeight="1">
      <c r="A5780" s="10" t="s">
        <v>28</v>
      </c>
      <c r="B5780" s="10" t="s">
        <v>26</v>
      </c>
      <c r="C5780" s="10" t="s">
        <v>23</v>
      </c>
      <c r="D5780" s="10" t="s">
        <v>29</v>
      </c>
      <c r="E5780" s="14">
        <v>1.0</v>
      </c>
      <c r="F5780" s="15">
        <f t="shared" ref="F5780:F5781" si="882">ROUND(19,3)</f>
        <v>19</v>
      </c>
      <c r="G5780" s="12">
        <f t="shared" si="881"/>
        <v>19</v>
      </c>
    </row>
    <row r="5781" ht="24.0" customHeight="1">
      <c r="A5781" s="10" t="s">
        <v>30</v>
      </c>
      <c r="B5781" s="10" t="s">
        <v>26</v>
      </c>
      <c r="C5781" s="10" t="s">
        <v>23</v>
      </c>
      <c r="D5781" s="10" t="s">
        <v>31</v>
      </c>
      <c r="E5781" s="14">
        <v>0.2</v>
      </c>
      <c r="F5781" s="15">
        <f t="shared" si="882"/>
        <v>19</v>
      </c>
      <c r="G5781" s="12">
        <f t="shared" si="881"/>
        <v>3.8</v>
      </c>
    </row>
    <row r="5782" ht="15.0" customHeight="1">
      <c r="A5782" s="11"/>
      <c r="B5782" s="11"/>
      <c r="C5782" s="11"/>
      <c r="D5782" s="10" t="s">
        <v>22</v>
      </c>
      <c r="E5782" s="14">
        <v>0.09</v>
      </c>
      <c r="F5782" s="15">
        <f>ROUND((G5779+G5780+G5781),3)</f>
        <v>43.8</v>
      </c>
      <c r="G5782" s="12">
        <f t="shared" si="881"/>
        <v>3.94</v>
      </c>
    </row>
    <row r="5783" ht="15.0" customHeight="1">
      <c r="A5783" s="10" t="s">
        <v>32</v>
      </c>
      <c r="B5783" s="10"/>
      <c r="C5783" s="10" t="s">
        <v>33</v>
      </c>
      <c r="D5783" s="10" t="s">
        <v>34</v>
      </c>
      <c r="E5783" s="14">
        <v>3.0</v>
      </c>
      <c r="F5783" s="15">
        <f>ROUND(3.94,3)</f>
        <v>3.94</v>
      </c>
      <c r="G5783" s="12">
        <f>ROUND((E5783*F5783)/100,2)</f>
        <v>0.12</v>
      </c>
    </row>
    <row r="5784" ht="15.0" customHeight="1">
      <c r="A5784" s="16"/>
      <c r="B5784" s="16"/>
      <c r="C5784" s="16"/>
      <c r="D5784" s="17" t="s">
        <v>2589</v>
      </c>
      <c r="E5784" s="16"/>
      <c r="F5784" s="18">
        <f>ROUND((G5777+G5778+G5783)*(1+G2/100),2)</f>
        <v>9.4</v>
      </c>
      <c r="G5784" s="16"/>
    </row>
    <row r="5785" ht="15.0" customHeight="1">
      <c r="A5785" s="19" t="s">
        <v>2593</v>
      </c>
      <c r="B5785" s="20" t="s">
        <v>18</v>
      </c>
      <c r="C5785" s="20" t="s">
        <v>295</v>
      </c>
      <c r="D5785" s="20" t="s">
        <v>2594</v>
      </c>
      <c r="E5785" s="21"/>
      <c r="F5785" s="22">
        <f>F5794</f>
        <v>788.9</v>
      </c>
      <c r="G5785" s="21"/>
    </row>
    <row r="5786" ht="48.75" customHeight="1">
      <c r="A5786" s="11"/>
      <c r="B5786" s="11"/>
      <c r="C5786" s="11"/>
      <c r="D5786" s="10" t="s">
        <v>2595</v>
      </c>
    </row>
    <row r="5787" ht="30.0" customHeight="1">
      <c r="A5787" s="10" t="s">
        <v>2596</v>
      </c>
      <c r="B5787" s="10" t="s">
        <v>42</v>
      </c>
      <c r="C5787" s="10" t="s">
        <v>304</v>
      </c>
      <c r="D5787" s="10" t="s">
        <v>2597</v>
      </c>
      <c r="E5787" s="14">
        <v>1.0</v>
      </c>
      <c r="F5787" s="15">
        <f>ROUND(26.9,3)</f>
        <v>26.9</v>
      </c>
      <c r="G5787" s="12">
        <f t="shared" ref="G5787:G5793" si="883">ROUND(E5787*F5787,2)</f>
        <v>26.9</v>
      </c>
    </row>
    <row r="5788" ht="21.0" customHeight="1">
      <c r="A5788" s="10" t="s">
        <v>2598</v>
      </c>
      <c r="B5788" s="10" t="s">
        <v>42</v>
      </c>
      <c r="C5788" s="10" t="s">
        <v>304</v>
      </c>
      <c r="D5788" s="10" t="s">
        <v>2599</v>
      </c>
      <c r="E5788" s="14">
        <v>1.0</v>
      </c>
      <c r="F5788" s="15">
        <f>ROUND(78.95,3)</f>
        <v>78.95</v>
      </c>
      <c r="G5788" s="12">
        <f t="shared" si="883"/>
        <v>78.95</v>
      </c>
    </row>
    <row r="5789" ht="21.0" customHeight="1">
      <c r="A5789" s="10" t="s">
        <v>2600</v>
      </c>
      <c r="B5789" s="10" t="s">
        <v>42</v>
      </c>
      <c r="C5789" s="10" t="s">
        <v>304</v>
      </c>
      <c r="D5789" s="10" t="s">
        <v>2601</v>
      </c>
      <c r="E5789" s="14">
        <v>1.0</v>
      </c>
      <c r="F5789" s="15">
        <f>ROUND(21.95,3)</f>
        <v>21.95</v>
      </c>
      <c r="G5789" s="12">
        <f t="shared" si="883"/>
        <v>21.95</v>
      </c>
    </row>
    <row r="5790" ht="21.0" customHeight="1">
      <c r="A5790" s="10" t="s">
        <v>2602</v>
      </c>
      <c r="B5790" s="10" t="s">
        <v>42</v>
      </c>
      <c r="C5790" s="10" t="s">
        <v>304</v>
      </c>
      <c r="D5790" s="10" t="s">
        <v>2603</v>
      </c>
      <c r="E5790" s="14">
        <v>1.0</v>
      </c>
      <c r="F5790" s="15">
        <f>ROUND(76.75,3)</f>
        <v>76.75</v>
      </c>
      <c r="G5790" s="12">
        <f t="shared" si="883"/>
        <v>76.75</v>
      </c>
    </row>
    <row r="5791" ht="21.0" customHeight="1">
      <c r="A5791" s="10" t="s">
        <v>2604</v>
      </c>
      <c r="B5791" s="10" t="s">
        <v>42</v>
      </c>
      <c r="C5791" s="10" t="s">
        <v>304</v>
      </c>
      <c r="D5791" s="10" t="s">
        <v>2605</v>
      </c>
      <c r="E5791" s="14">
        <v>1.0</v>
      </c>
      <c r="F5791" s="15">
        <f>ROUND(31.85,3)</f>
        <v>31.85</v>
      </c>
      <c r="G5791" s="12">
        <f t="shared" si="883"/>
        <v>31.85</v>
      </c>
    </row>
    <row r="5792" ht="30.0" customHeight="1">
      <c r="A5792" s="10" t="s">
        <v>2606</v>
      </c>
      <c r="B5792" s="10" t="s">
        <v>42</v>
      </c>
      <c r="C5792" s="10" t="s">
        <v>304</v>
      </c>
      <c r="D5792" s="10" t="s">
        <v>2607</v>
      </c>
      <c r="E5792" s="14">
        <v>1.0</v>
      </c>
      <c r="F5792" s="15">
        <f>ROUND(107,3)</f>
        <v>107</v>
      </c>
      <c r="G5792" s="12">
        <f t="shared" si="883"/>
        <v>107</v>
      </c>
    </row>
    <row r="5793" ht="24.0" customHeight="1">
      <c r="A5793" s="10" t="s">
        <v>1186</v>
      </c>
      <c r="B5793" s="10" t="s">
        <v>26</v>
      </c>
      <c r="C5793" s="10" t="s">
        <v>23</v>
      </c>
      <c r="D5793" s="10" t="s">
        <v>1187</v>
      </c>
      <c r="E5793" s="14">
        <v>9.0</v>
      </c>
      <c r="F5793" s="15">
        <f>ROUND(49.5,3)</f>
        <v>49.5</v>
      </c>
      <c r="G5793" s="12">
        <f t="shared" si="883"/>
        <v>445.5</v>
      </c>
    </row>
    <row r="5794" ht="15.0" customHeight="1">
      <c r="A5794" s="16"/>
      <c r="B5794" s="16"/>
      <c r="C5794" s="16"/>
      <c r="D5794" s="17" t="s">
        <v>2593</v>
      </c>
      <c r="E5794" s="16"/>
      <c r="F5794" s="18">
        <f>ROUND((G5787+G5788+G5789+G5790+G5791+G5792+G5793)*(1+G2/100),2)</f>
        <v>788.9</v>
      </c>
      <c r="G5794" s="16"/>
    </row>
    <row r="5795" ht="15.0" customHeight="1">
      <c r="A5795" s="19" t="s">
        <v>2608</v>
      </c>
      <c r="B5795" s="20" t="s">
        <v>18</v>
      </c>
      <c r="C5795" s="20" t="s">
        <v>222</v>
      </c>
      <c r="D5795" s="20" t="s">
        <v>2609</v>
      </c>
      <c r="E5795" s="21"/>
      <c r="F5795" s="22">
        <f>F5798</f>
        <v>198</v>
      </c>
      <c r="G5795" s="21"/>
    </row>
    <row r="5796" ht="39.75" customHeight="1">
      <c r="A5796" s="11"/>
      <c r="B5796" s="11"/>
      <c r="C5796" s="11"/>
      <c r="D5796" s="10" t="s">
        <v>2610</v>
      </c>
    </row>
    <row r="5797" ht="24.0" customHeight="1">
      <c r="A5797" s="10" t="s">
        <v>1186</v>
      </c>
      <c r="B5797" s="10" t="s">
        <v>26</v>
      </c>
      <c r="C5797" s="10" t="s">
        <v>23</v>
      </c>
      <c r="D5797" s="10" t="s">
        <v>1187</v>
      </c>
      <c r="E5797" s="14">
        <v>4.0</v>
      </c>
      <c r="F5797" s="15">
        <f>ROUND(49.5,3)</f>
        <v>49.5</v>
      </c>
      <c r="G5797" s="12">
        <f>ROUND(E5797*F5797,2)</f>
        <v>198</v>
      </c>
    </row>
    <row r="5798" ht="15.0" customHeight="1">
      <c r="A5798" s="16"/>
      <c r="B5798" s="16"/>
      <c r="C5798" s="16"/>
      <c r="D5798" s="17" t="s">
        <v>2608</v>
      </c>
      <c r="E5798" s="16"/>
      <c r="F5798" s="18">
        <f>ROUND((G5797)*(1+G2/100),2)</f>
        <v>198</v>
      </c>
      <c r="G5798" s="16"/>
    </row>
    <row r="5799" ht="15.0" customHeight="1">
      <c r="A5799" s="19" t="s">
        <v>2611</v>
      </c>
      <c r="B5799" s="20" t="s">
        <v>18</v>
      </c>
      <c r="C5799" s="20" t="s">
        <v>222</v>
      </c>
      <c r="D5799" s="20" t="s">
        <v>2612</v>
      </c>
      <c r="E5799" s="21"/>
      <c r="F5799" s="22">
        <f>F5805</f>
        <v>2320.5</v>
      </c>
      <c r="G5799" s="21"/>
    </row>
    <row r="5800" ht="21.0" customHeight="1">
      <c r="A5800" s="11"/>
      <c r="B5800" s="11"/>
      <c r="C5800" s="11"/>
      <c r="D5800" s="10" t="s">
        <v>2613</v>
      </c>
    </row>
    <row r="5801" ht="21.0" customHeight="1">
      <c r="A5801" s="10" t="s">
        <v>2614</v>
      </c>
      <c r="B5801" s="10" t="s">
        <v>42</v>
      </c>
      <c r="C5801" s="10" t="s">
        <v>304</v>
      </c>
      <c r="D5801" s="10" t="s">
        <v>2615</v>
      </c>
      <c r="E5801" s="14">
        <v>5.5</v>
      </c>
      <c r="F5801" s="15">
        <f>ROUND(189,3)</f>
        <v>189</v>
      </c>
      <c r="G5801" s="12">
        <f t="shared" ref="G5801:G5804" si="884">ROUND(E5801*F5801,2)</f>
        <v>1039.5</v>
      </c>
    </row>
    <row r="5802" ht="21.0" customHeight="1">
      <c r="A5802" s="10" t="s">
        <v>2616</v>
      </c>
      <c r="B5802" s="10" t="s">
        <v>42</v>
      </c>
      <c r="C5802" s="10" t="s">
        <v>485</v>
      </c>
      <c r="D5802" s="10" t="s">
        <v>2617</v>
      </c>
      <c r="E5802" s="14">
        <v>1.0</v>
      </c>
      <c r="F5802" s="15">
        <f>ROUND(1,3)</f>
        <v>1</v>
      </c>
      <c r="G5802" s="12">
        <f t="shared" si="884"/>
        <v>1</v>
      </c>
    </row>
    <row r="5803" ht="21.0" customHeight="1">
      <c r="A5803" s="10" t="s">
        <v>2585</v>
      </c>
      <c r="B5803" s="10" t="s">
        <v>42</v>
      </c>
      <c r="C5803" s="10" t="s">
        <v>304</v>
      </c>
      <c r="D5803" s="10" t="s">
        <v>2586</v>
      </c>
      <c r="E5803" s="14">
        <v>5.0</v>
      </c>
      <c r="F5803" s="15">
        <f>ROUND(8.5,3)</f>
        <v>8.5</v>
      </c>
      <c r="G5803" s="12">
        <f t="shared" si="884"/>
        <v>42.5</v>
      </c>
    </row>
    <row r="5804" ht="24.0" customHeight="1">
      <c r="A5804" s="10" t="s">
        <v>1186</v>
      </c>
      <c r="B5804" s="10" t="s">
        <v>26</v>
      </c>
      <c r="C5804" s="10" t="s">
        <v>23</v>
      </c>
      <c r="D5804" s="10" t="s">
        <v>1187</v>
      </c>
      <c r="E5804" s="14">
        <v>25.0</v>
      </c>
      <c r="F5804" s="15">
        <f>ROUND(49.5,3)</f>
        <v>49.5</v>
      </c>
      <c r="G5804" s="12">
        <f t="shared" si="884"/>
        <v>1237.5</v>
      </c>
    </row>
    <row r="5805" ht="15.0" customHeight="1">
      <c r="A5805" s="16"/>
      <c r="B5805" s="16"/>
      <c r="C5805" s="16"/>
      <c r="D5805" s="17" t="s">
        <v>2611</v>
      </c>
      <c r="E5805" s="16"/>
      <c r="F5805" s="18">
        <f>ROUND((G5801+G5802+G5803+G5804)*(1+G2/100),2)</f>
        <v>2320.5</v>
      </c>
      <c r="G5805" s="16"/>
    </row>
    <row r="5806" ht="30.0" customHeight="1">
      <c r="A5806" s="19" t="s">
        <v>2618</v>
      </c>
      <c r="B5806" s="20" t="s">
        <v>18</v>
      </c>
      <c r="C5806" s="20" t="s">
        <v>295</v>
      </c>
      <c r="D5806" s="20" t="s">
        <v>2619</v>
      </c>
      <c r="E5806" s="21"/>
      <c r="F5806" s="22">
        <f>F5826</f>
        <v>339</v>
      </c>
      <c r="G5806" s="21"/>
    </row>
    <row r="5807" ht="132.0" customHeight="1">
      <c r="A5807" s="11"/>
      <c r="B5807" s="11"/>
      <c r="C5807" s="11"/>
      <c r="D5807" s="10" t="s">
        <v>2620</v>
      </c>
    </row>
    <row r="5808" ht="30.0" customHeight="1">
      <c r="A5808" s="10" t="s">
        <v>2621</v>
      </c>
      <c r="B5808" s="10" t="s">
        <v>18</v>
      </c>
      <c r="C5808" s="10" t="s">
        <v>251</v>
      </c>
      <c r="D5808" s="10" t="s">
        <v>2622</v>
      </c>
      <c r="E5808" s="14">
        <v>6.0</v>
      </c>
      <c r="F5808" s="15">
        <f>F5813</f>
        <v>26.26</v>
      </c>
      <c r="G5808" s="12">
        <f t="shared" ref="G5808:G5811" si="885">ROUND(E5808*F5808,2)</f>
        <v>157.56</v>
      </c>
    </row>
    <row r="5809" ht="30.0" customHeight="1">
      <c r="A5809" s="10" t="s">
        <v>1051</v>
      </c>
      <c r="B5809" s="10" t="s">
        <v>42</v>
      </c>
      <c r="C5809" s="10" t="s">
        <v>43</v>
      </c>
      <c r="D5809" s="10" t="s">
        <v>1052</v>
      </c>
      <c r="E5809" s="14">
        <v>0.07</v>
      </c>
      <c r="F5809" s="15">
        <f>ROUND(110.66,3)</f>
        <v>110.66</v>
      </c>
      <c r="G5809" s="12">
        <f t="shared" si="885"/>
        <v>7.75</v>
      </c>
    </row>
    <row r="5810" ht="24.0" customHeight="1">
      <c r="A5810" s="10" t="s">
        <v>1053</v>
      </c>
      <c r="B5810" s="10" t="s">
        <v>42</v>
      </c>
      <c r="C5810" s="10" t="s">
        <v>43</v>
      </c>
      <c r="D5810" s="10" t="s">
        <v>1054</v>
      </c>
      <c r="E5810" s="14">
        <v>0.1</v>
      </c>
      <c r="F5810" s="15">
        <f>ROUND(4.63,3)</f>
        <v>4.63</v>
      </c>
      <c r="G5810" s="12">
        <f t="shared" si="885"/>
        <v>0.46</v>
      </c>
    </row>
    <row r="5811" ht="21.0" customHeight="1">
      <c r="A5811" s="10" t="s">
        <v>22</v>
      </c>
      <c r="B5811" s="10" t="s">
        <v>18</v>
      </c>
      <c r="C5811" s="10" t="s">
        <v>23</v>
      </c>
      <c r="D5811" s="10" t="s">
        <v>24</v>
      </c>
      <c r="E5811" s="14">
        <v>0.4</v>
      </c>
      <c r="F5811" s="15">
        <f>ROUND(43.8,3)</f>
        <v>43.8</v>
      </c>
      <c r="G5811" s="12">
        <f t="shared" si="885"/>
        <v>17.52</v>
      </c>
    </row>
    <row r="5812" ht="15.0" customHeight="1">
      <c r="A5812" s="10" t="s">
        <v>32</v>
      </c>
      <c r="B5812" s="10"/>
      <c r="C5812" s="10" t="s">
        <v>33</v>
      </c>
      <c r="D5812" s="10" t="s">
        <v>34</v>
      </c>
      <c r="E5812" s="14">
        <v>3.0</v>
      </c>
      <c r="F5812" s="15">
        <f>ROUND(17.52,3)</f>
        <v>17.52</v>
      </c>
      <c r="G5812" s="12">
        <f>ROUND((E5812*F5812)/100,2)</f>
        <v>0.53</v>
      </c>
    </row>
    <row r="5813" ht="15.0" customHeight="1">
      <c r="A5813" s="11"/>
      <c r="B5813" s="11"/>
      <c r="C5813" s="11"/>
      <c r="D5813" s="10" t="s">
        <v>2621</v>
      </c>
      <c r="E5813" s="14">
        <v>6.0</v>
      </c>
      <c r="F5813" s="15">
        <f>ROUND((G5809+G5810+G5811+G5812),3)</f>
        <v>26.26</v>
      </c>
      <c r="G5813" s="12">
        <f t="shared" ref="G5813:G5816" si="886">ROUND(E5813*F5813,2)</f>
        <v>157.56</v>
      </c>
    </row>
    <row r="5814" ht="30.0" customHeight="1">
      <c r="A5814" s="10" t="s">
        <v>2623</v>
      </c>
      <c r="B5814" s="10" t="s">
        <v>18</v>
      </c>
      <c r="C5814" s="10" t="s">
        <v>251</v>
      </c>
      <c r="D5814" s="10" t="s">
        <v>2624</v>
      </c>
      <c r="E5814" s="14">
        <v>6.0</v>
      </c>
      <c r="F5814" s="15">
        <f>F5818</f>
        <v>5.93</v>
      </c>
      <c r="G5814" s="12">
        <f t="shared" si="886"/>
        <v>35.58</v>
      </c>
    </row>
    <row r="5815" ht="21.0" customHeight="1">
      <c r="A5815" s="10" t="s">
        <v>2625</v>
      </c>
      <c r="B5815" s="10" t="s">
        <v>42</v>
      </c>
      <c r="C5815" s="10" t="s">
        <v>304</v>
      </c>
      <c r="D5815" s="10" t="s">
        <v>2626</v>
      </c>
      <c r="E5815" s="14">
        <v>0.5</v>
      </c>
      <c r="F5815" s="15">
        <f>ROUND(2.84,3)</f>
        <v>2.84</v>
      </c>
      <c r="G5815" s="12">
        <f t="shared" si="886"/>
        <v>1.42</v>
      </c>
    </row>
    <row r="5816" ht="21.0" customHeight="1">
      <c r="A5816" s="10" t="s">
        <v>22</v>
      </c>
      <c r="B5816" s="10" t="s">
        <v>18</v>
      </c>
      <c r="C5816" s="10" t="s">
        <v>23</v>
      </c>
      <c r="D5816" s="10" t="s">
        <v>24</v>
      </c>
      <c r="E5816" s="14">
        <v>0.1</v>
      </c>
      <c r="F5816" s="15">
        <f>ROUND(43.8,3)</f>
        <v>43.8</v>
      </c>
      <c r="G5816" s="12">
        <f t="shared" si="886"/>
        <v>4.38</v>
      </c>
    </row>
    <row r="5817" ht="15.0" customHeight="1">
      <c r="A5817" s="10" t="s">
        <v>32</v>
      </c>
      <c r="B5817" s="10"/>
      <c r="C5817" s="10" t="s">
        <v>33</v>
      </c>
      <c r="D5817" s="10" t="s">
        <v>34</v>
      </c>
      <c r="E5817" s="14">
        <v>3.0</v>
      </c>
      <c r="F5817" s="15">
        <f>ROUND(4.38,3)</f>
        <v>4.38</v>
      </c>
      <c r="G5817" s="12">
        <f>ROUND((E5817*F5817)/100,2)</f>
        <v>0.13</v>
      </c>
    </row>
    <row r="5818" ht="15.0" customHeight="1">
      <c r="A5818" s="11"/>
      <c r="B5818" s="11"/>
      <c r="C5818" s="11"/>
      <c r="D5818" s="10" t="s">
        <v>2623</v>
      </c>
      <c r="E5818" s="14">
        <v>6.0</v>
      </c>
      <c r="F5818" s="15">
        <f>ROUND((G5815+G5816+G5817),3)</f>
        <v>5.93</v>
      </c>
      <c r="G5818" s="12">
        <f t="shared" ref="G5818:G5823" si="887">ROUND(E5818*F5818,2)</f>
        <v>35.58</v>
      </c>
    </row>
    <row r="5819" ht="15.0" customHeight="1">
      <c r="A5819" s="10" t="s">
        <v>2627</v>
      </c>
      <c r="B5819" s="10" t="s">
        <v>18</v>
      </c>
      <c r="C5819" s="10" t="s">
        <v>251</v>
      </c>
      <c r="D5819" s="10" t="s">
        <v>2628</v>
      </c>
      <c r="E5819" s="14">
        <v>6.0</v>
      </c>
      <c r="F5819" s="15">
        <f>F5825</f>
        <v>24.31</v>
      </c>
      <c r="G5819" s="12">
        <f t="shared" si="887"/>
        <v>145.86</v>
      </c>
    </row>
    <row r="5820" ht="30.0" customHeight="1">
      <c r="A5820" s="10" t="s">
        <v>2629</v>
      </c>
      <c r="B5820" s="10" t="s">
        <v>42</v>
      </c>
      <c r="C5820" s="10" t="s">
        <v>521</v>
      </c>
      <c r="D5820" s="10" t="s">
        <v>2630</v>
      </c>
      <c r="E5820" s="14">
        <v>0.6</v>
      </c>
      <c r="F5820" s="15">
        <f>ROUND(8.63,3)</f>
        <v>8.63</v>
      </c>
      <c r="G5820" s="12">
        <f t="shared" si="887"/>
        <v>5.18</v>
      </c>
    </row>
    <row r="5821" ht="15.0" customHeight="1">
      <c r="A5821" s="10" t="s">
        <v>2631</v>
      </c>
      <c r="B5821" s="10" t="s">
        <v>42</v>
      </c>
      <c r="C5821" s="10" t="s">
        <v>304</v>
      </c>
      <c r="D5821" s="10" t="s">
        <v>2632</v>
      </c>
      <c r="E5821" s="14">
        <v>0.3</v>
      </c>
      <c r="F5821" s="15">
        <f>ROUND(5,3)</f>
        <v>5</v>
      </c>
      <c r="G5821" s="12">
        <f t="shared" si="887"/>
        <v>1.5</v>
      </c>
    </row>
    <row r="5822" ht="15.0" customHeight="1">
      <c r="A5822" s="10" t="s">
        <v>2633</v>
      </c>
      <c r="B5822" s="10" t="s">
        <v>42</v>
      </c>
      <c r="C5822" s="10" t="s">
        <v>521</v>
      </c>
      <c r="D5822" s="10" t="s">
        <v>2634</v>
      </c>
      <c r="E5822" s="14">
        <v>0.2</v>
      </c>
      <c r="F5822" s="15">
        <f>ROUND(9.2,3)</f>
        <v>9.2</v>
      </c>
      <c r="G5822" s="12">
        <f t="shared" si="887"/>
        <v>1.84</v>
      </c>
    </row>
    <row r="5823" ht="21.0" customHeight="1">
      <c r="A5823" s="10" t="s">
        <v>1416</v>
      </c>
      <c r="B5823" s="10" t="s">
        <v>18</v>
      </c>
      <c r="C5823" s="10" t="s">
        <v>23</v>
      </c>
      <c r="D5823" s="10" t="s">
        <v>1417</v>
      </c>
      <c r="E5823" s="14">
        <v>0.35</v>
      </c>
      <c r="F5823" s="15">
        <f>ROUND(43.8,3)</f>
        <v>43.8</v>
      </c>
      <c r="G5823" s="12">
        <f t="shared" si="887"/>
        <v>15.33</v>
      </c>
    </row>
    <row r="5824" ht="15.0" customHeight="1">
      <c r="A5824" s="10" t="s">
        <v>32</v>
      </c>
      <c r="B5824" s="10"/>
      <c r="C5824" s="10" t="s">
        <v>33</v>
      </c>
      <c r="D5824" s="10" t="s">
        <v>34</v>
      </c>
      <c r="E5824" s="14">
        <v>3.0</v>
      </c>
      <c r="F5824" s="15">
        <f>ROUND(15.33,3)</f>
        <v>15.33</v>
      </c>
      <c r="G5824" s="12">
        <f>ROUND((E5824*F5824)/100,2)</f>
        <v>0.46</v>
      </c>
    </row>
    <row r="5825" ht="15.0" customHeight="1">
      <c r="A5825" s="11"/>
      <c r="B5825" s="11"/>
      <c r="C5825" s="11"/>
      <c r="D5825" s="10" t="s">
        <v>2627</v>
      </c>
      <c r="E5825" s="14">
        <v>6.0</v>
      </c>
      <c r="F5825" s="15">
        <f>ROUND((G5820+G5821+G5822+G5823+G5824),3)</f>
        <v>24.31</v>
      </c>
      <c r="G5825" s="12">
        <f>ROUND(E5825*F5825,2)</f>
        <v>145.86</v>
      </c>
    </row>
    <row r="5826" ht="15.0" customHeight="1">
      <c r="A5826" s="16"/>
      <c r="B5826" s="16"/>
      <c r="C5826" s="16"/>
      <c r="D5826" s="17" t="s">
        <v>2618</v>
      </c>
      <c r="E5826" s="16"/>
      <c r="F5826" s="18">
        <f>ROUND((G5808+G5814+G5819)*(1+G2/100),2)</f>
        <v>339</v>
      </c>
      <c r="G5826" s="16"/>
    </row>
    <row r="5827" ht="57.75" customHeight="1">
      <c r="A5827" s="19" t="s">
        <v>2635</v>
      </c>
      <c r="B5827" s="20" t="s">
        <v>18</v>
      </c>
      <c r="C5827" s="20" t="s">
        <v>231</v>
      </c>
      <c r="D5827" s="20" t="s">
        <v>2636</v>
      </c>
      <c r="E5827" s="21"/>
      <c r="F5827" s="22">
        <f>F5837</f>
        <v>495.91</v>
      </c>
      <c r="G5827" s="21"/>
    </row>
    <row r="5828" ht="21.0" customHeight="1">
      <c r="A5828" s="11"/>
      <c r="B5828" s="11"/>
      <c r="C5828" s="11"/>
      <c r="D5828" s="10" t="s">
        <v>2637</v>
      </c>
    </row>
    <row r="5829" ht="30.0" customHeight="1">
      <c r="A5829" s="10" t="s">
        <v>2638</v>
      </c>
      <c r="B5829" s="10" t="s">
        <v>42</v>
      </c>
      <c r="C5829" s="10" t="s">
        <v>231</v>
      </c>
      <c r="D5829" s="10" t="s">
        <v>2639</v>
      </c>
      <c r="E5829" s="14">
        <v>1.0</v>
      </c>
      <c r="F5829" s="15">
        <f>ROUND(216.23,3)</f>
        <v>216.23</v>
      </c>
      <c r="G5829" s="12">
        <f t="shared" ref="G5829:G5835" si="888">ROUND(E5829*F5829,2)</f>
        <v>216.23</v>
      </c>
    </row>
    <row r="5830" ht="39.75" customHeight="1">
      <c r="A5830" s="10" t="s">
        <v>2640</v>
      </c>
      <c r="B5830" s="10" t="s">
        <v>42</v>
      </c>
      <c r="C5830" s="10" t="s">
        <v>184</v>
      </c>
      <c r="D5830" s="10" t="s">
        <v>2641</v>
      </c>
      <c r="E5830" s="14">
        <v>1.44</v>
      </c>
      <c r="F5830" s="15">
        <f>ROUND(2.6,3)</f>
        <v>2.6</v>
      </c>
      <c r="G5830" s="12">
        <f t="shared" si="888"/>
        <v>3.74</v>
      </c>
    </row>
    <row r="5831" ht="21.0" customHeight="1">
      <c r="A5831" s="10" t="s">
        <v>22</v>
      </c>
      <c r="B5831" s="10" t="s">
        <v>18</v>
      </c>
      <c r="C5831" s="10" t="s">
        <v>23</v>
      </c>
      <c r="D5831" s="10" t="s">
        <v>24</v>
      </c>
      <c r="E5831" s="14">
        <v>6.0</v>
      </c>
      <c r="F5831" s="15">
        <f>F5835</f>
        <v>43.8</v>
      </c>
      <c r="G5831" s="12">
        <f t="shared" si="888"/>
        <v>262.8</v>
      </c>
    </row>
    <row r="5832" ht="24.0" customHeight="1">
      <c r="A5832" s="10" t="s">
        <v>25</v>
      </c>
      <c r="B5832" s="10" t="s">
        <v>26</v>
      </c>
      <c r="C5832" s="10" t="s">
        <v>23</v>
      </c>
      <c r="D5832" s="10" t="s">
        <v>27</v>
      </c>
      <c r="E5832" s="14">
        <v>1.0</v>
      </c>
      <c r="F5832" s="15">
        <f>ROUND(21,3)</f>
        <v>21</v>
      </c>
      <c r="G5832" s="12">
        <f t="shared" si="888"/>
        <v>21</v>
      </c>
    </row>
    <row r="5833" ht="24.0" customHeight="1">
      <c r="A5833" s="10" t="s">
        <v>28</v>
      </c>
      <c r="B5833" s="10" t="s">
        <v>26</v>
      </c>
      <c r="C5833" s="10" t="s">
        <v>23</v>
      </c>
      <c r="D5833" s="10" t="s">
        <v>29</v>
      </c>
      <c r="E5833" s="14">
        <v>1.0</v>
      </c>
      <c r="F5833" s="15">
        <f t="shared" ref="F5833:F5834" si="889">ROUND(19,3)</f>
        <v>19</v>
      </c>
      <c r="G5833" s="12">
        <f t="shared" si="888"/>
        <v>19</v>
      </c>
    </row>
    <row r="5834" ht="24.0" customHeight="1">
      <c r="A5834" s="10" t="s">
        <v>30</v>
      </c>
      <c r="B5834" s="10" t="s">
        <v>26</v>
      </c>
      <c r="C5834" s="10" t="s">
        <v>23</v>
      </c>
      <c r="D5834" s="10" t="s">
        <v>31</v>
      </c>
      <c r="E5834" s="14">
        <v>0.2</v>
      </c>
      <c r="F5834" s="15">
        <f t="shared" si="889"/>
        <v>19</v>
      </c>
      <c r="G5834" s="12">
        <f t="shared" si="888"/>
        <v>3.8</v>
      </c>
    </row>
    <row r="5835" ht="15.0" customHeight="1">
      <c r="A5835" s="11"/>
      <c r="B5835" s="11"/>
      <c r="C5835" s="11"/>
      <c r="D5835" s="10" t="s">
        <v>22</v>
      </c>
      <c r="E5835" s="14">
        <v>6.0</v>
      </c>
      <c r="F5835" s="15">
        <f>ROUND((G5832+G5833+G5834),3)</f>
        <v>43.8</v>
      </c>
      <c r="G5835" s="12">
        <f t="shared" si="888"/>
        <v>262.8</v>
      </c>
    </row>
    <row r="5836" ht="15.0" customHeight="1">
      <c r="A5836" s="10" t="s">
        <v>32</v>
      </c>
      <c r="B5836" s="10"/>
      <c r="C5836" s="10" t="s">
        <v>33</v>
      </c>
      <c r="D5836" s="10" t="s">
        <v>34</v>
      </c>
      <c r="E5836" s="14">
        <v>5.0</v>
      </c>
      <c r="F5836" s="15">
        <f>ROUND(262.8,3)</f>
        <v>262.8</v>
      </c>
      <c r="G5836" s="12">
        <f>ROUND((E5836*F5836)/100,2)</f>
        <v>13.14</v>
      </c>
    </row>
    <row r="5837" ht="15.0" customHeight="1">
      <c r="A5837" s="16"/>
      <c r="B5837" s="16"/>
      <c r="C5837" s="16"/>
      <c r="D5837" s="17" t="s">
        <v>2635</v>
      </c>
      <c r="E5837" s="16"/>
      <c r="F5837" s="18">
        <f>ROUND((G5829+G5830+G5831+G5836)*(1+G2/100),2)</f>
        <v>495.91</v>
      </c>
      <c r="G5837" s="16"/>
    </row>
    <row r="5838" ht="57.75" customHeight="1">
      <c r="A5838" s="19" t="s">
        <v>2642</v>
      </c>
      <c r="B5838" s="20" t="s">
        <v>18</v>
      </c>
      <c r="C5838" s="20" t="s">
        <v>231</v>
      </c>
      <c r="D5838" s="20" t="s">
        <v>2643</v>
      </c>
      <c r="E5838" s="21"/>
      <c r="F5838" s="22">
        <f>F5848</f>
        <v>600.66</v>
      </c>
      <c r="G5838" s="21"/>
    </row>
    <row r="5839" ht="21.0" customHeight="1">
      <c r="A5839" s="11"/>
      <c r="B5839" s="11"/>
      <c r="C5839" s="11"/>
      <c r="D5839" s="10" t="s">
        <v>2644</v>
      </c>
    </row>
    <row r="5840" ht="30.0" customHeight="1">
      <c r="A5840" s="10" t="s">
        <v>2645</v>
      </c>
      <c r="B5840" s="10" t="s">
        <v>42</v>
      </c>
      <c r="C5840" s="10" t="s">
        <v>231</v>
      </c>
      <c r="D5840" s="10" t="s">
        <v>2646</v>
      </c>
      <c r="E5840" s="14">
        <v>1.0</v>
      </c>
      <c r="F5840" s="15">
        <f>ROUND(229,3)</f>
        <v>229</v>
      </c>
      <c r="G5840" s="12">
        <f t="shared" ref="G5840:G5846" si="890">ROUND(E5840*F5840,2)</f>
        <v>229</v>
      </c>
    </row>
    <row r="5841" ht="39.75" customHeight="1">
      <c r="A5841" s="10" t="s">
        <v>2640</v>
      </c>
      <c r="B5841" s="10" t="s">
        <v>42</v>
      </c>
      <c r="C5841" s="10" t="s">
        <v>184</v>
      </c>
      <c r="D5841" s="10" t="s">
        <v>2641</v>
      </c>
      <c r="E5841" s="14">
        <v>1.44</v>
      </c>
      <c r="F5841" s="15">
        <f>ROUND(2.6,3)</f>
        <v>2.6</v>
      </c>
      <c r="G5841" s="12">
        <f t="shared" si="890"/>
        <v>3.74</v>
      </c>
    </row>
    <row r="5842" ht="21.0" customHeight="1">
      <c r="A5842" s="10" t="s">
        <v>22</v>
      </c>
      <c r="B5842" s="10" t="s">
        <v>18</v>
      </c>
      <c r="C5842" s="10" t="s">
        <v>23</v>
      </c>
      <c r="D5842" s="10" t="s">
        <v>24</v>
      </c>
      <c r="E5842" s="14">
        <v>8.0</v>
      </c>
      <c r="F5842" s="15">
        <f>F5846</f>
        <v>43.8</v>
      </c>
      <c r="G5842" s="12">
        <f t="shared" si="890"/>
        <v>350.4</v>
      </c>
    </row>
    <row r="5843" ht="24.0" customHeight="1">
      <c r="A5843" s="10" t="s">
        <v>25</v>
      </c>
      <c r="B5843" s="10" t="s">
        <v>26</v>
      </c>
      <c r="C5843" s="10" t="s">
        <v>23</v>
      </c>
      <c r="D5843" s="10" t="s">
        <v>27</v>
      </c>
      <c r="E5843" s="14">
        <v>1.0</v>
      </c>
      <c r="F5843" s="15">
        <f>ROUND(21,3)</f>
        <v>21</v>
      </c>
      <c r="G5843" s="12">
        <f t="shared" si="890"/>
        <v>21</v>
      </c>
    </row>
    <row r="5844" ht="24.0" customHeight="1">
      <c r="A5844" s="10" t="s">
        <v>28</v>
      </c>
      <c r="B5844" s="10" t="s">
        <v>26</v>
      </c>
      <c r="C5844" s="10" t="s">
        <v>23</v>
      </c>
      <c r="D5844" s="10" t="s">
        <v>29</v>
      </c>
      <c r="E5844" s="14">
        <v>1.0</v>
      </c>
      <c r="F5844" s="15">
        <f t="shared" ref="F5844:F5845" si="891">ROUND(19,3)</f>
        <v>19</v>
      </c>
      <c r="G5844" s="12">
        <f t="shared" si="890"/>
        <v>19</v>
      </c>
    </row>
    <row r="5845" ht="24.0" customHeight="1">
      <c r="A5845" s="10" t="s">
        <v>30</v>
      </c>
      <c r="B5845" s="10" t="s">
        <v>26</v>
      </c>
      <c r="C5845" s="10" t="s">
        <v>23</v>
      </c>
      <c r="D5845" s="10" t="s">
        <v>31</v>
      </c>
      <c r="E5845" s="14">
        <v>0.2</v>
      </c>
      <c r="F5845" s="15">
        <f t="shared" si="891"/>
        <v>19</v>
      </c>
      <c r="G5845" s="12">
        <f t="shared" si="890"/>
        <v>3.8</v>
      </c>
    </row>
    <row r="5846" ht="15.0" customHeight="1">
      <c r="A5846" s="11"/>
      <c r="B5846" s="11"/>
      <c r="C5846" s="11"/>
      <c r="D5846" s="10" t="s">
        <v>22</v>
      </c>
      <c r="E5846" s="14">
        <v>8.0</v>
      </c>
      <c r="F5846" s="15">
        <f>ROUND((G5843+G5844+G5845),3)</f>
        <v>43.8</v>
      </c>
      <c r="G5846" s="12">
        <f t="shared" si="890"/>
        <v>350.4</v>
      </c>
    </row>
    <row r="5847" ht="15.0" customHeight="1">
      <c r="A5847" s="10" t="s">
        <v>32</v>
      </c>
      <c r="B5847" s="10"/>
      <c r="C5847" s="10" t="s">
        <v>33</v>
      </c>
      <c r="D5847" s="10" t="s">
        <v>34</v>
      </c>
      <c r="E5847" s="14">
        <v>5.0</v>
      </c>
      <c r="F5847" s="15">
        <f>ROUND(350.4,3)</f>
        <v>350.4</v>
      </c>
      <c r="G5847" s="12">
        <f>ROUND((E5847*F5847)/100,2)</f>
        <v>17.52</v>
      </c>
    </row>
    <row r="5848" ht="24.75" customHeight="1">
      <c r="A5848" s="16"/>
      <c r="B5848" s="16"/>
      <c r="C5848" s="16"/>
      <c r="D5848" s="17" t="s">
        <v>2642</v>
      </c>
      <c r="E5848" s="16"/>
      <c r="F5848" s="18">
        <f>ROUND((G5840+G5841+G5842+G5847)*(1+G2/100),2)</f>
        <v>600.66</v>
      </c>
      <c r="G5848" s="16"/>
    </row>
    <row r="5849" ht="39.75" customHeight="1">
      <c r="A5849" s="19" t="s">
        <v>2647</v>
      </c>
      <c r="B5849" s="20" t="s">
        <v>18</v>
      </c>
      <c r="C5849" s="20" t="s">
        <v>231</v>
      </c>
      <c r="D5849" s="20" t="s">
        <v>2648</v>
      </c>
      <c r="E5849" s="21"/>
      <c r="F5849" s="22">
        <f>F5860</f>
        <v>48.18</v>
      </c>
      <c r="G5849" s="21"/>
    </row>
    <row r="5850" ht="21.0" customHeight="1">
      <c r="A5850" s="11"/>
      <c r="B5850" s="11"/>
      <c r="C5850" s="11"/>
      <c r="D5850" s="10" t="s">
        <v>2649</v>
      </c>
    </row>
    <row r="5851" ht="30.0" customHeight="1">
      <c r="A5851" s="10" t="s">
        <v>2650</v>
      </c>
      <c r="B5851" s="10" t="s">
        <v>42</v>
      </c>
      <c r="C5851" s="10" t="s">
        <v>344</v>
      </c>
      <c r="D5851" s="10" t="s">
        <v>2651</v>
      </c>
      <c r="E5851" s="14">
        <v>1.0</v>
      </c>
      <c r="F5851" s="15">
        <f>ROUND(2.99,3)</f>
        <v>2.99</v>
      </c>
      <c r="G5851" s="12">
        <f t="shared" ref="G5851:G5858" si="892">ROUND(E5851*F5851,2)</f>
        <v>2.99</v>
      </c>
    </row>
    <row r="5852" ht="30.0" customHeight="1">
      <c r="A5852" s="10" t="s">
        <v>2652</v>
      </c>
      <c r="B5852" s="10" t="s">
        <v>42</v>
      </c>
      <c r="C5852" s="10" t="s">
        <v>344</v>
      </c>
      <c r="D5852" s="10" t="s">
        <v>2653</v>
      </c>
      <c r="E5852" s="14">
        <v>1.0</v>
      </c>
      <c r="F5852" s="15">
        <f>ROUND(4.92,3)</f>
        <v>4.92</v>
      </c>
      <c r="G5852" s="12">
        <f t="shared" si="892"/>
        <v>4.92</v>
      </c>
    </row>
    <row r="5853" ht="30.0" customHeight="1">
      <c r="A5853" s="10" t="s">
        <v>2654</v>
      </c>
      <c r="B5853" s="10" t="s">
        <v>42</v>
      </c>
      <c r="C5853" s="10" t="s">
        <v>344</v>
      </c>
      <c r="D5853" s="10" t="s">
        <v>2655</v>
      </c>
      <c r="E5853" s="14">
        <v>1.0</v>
      </c>
      <c r="F5853" s="15">
        <f>ROUND(15.74,3)</f>
        <v>15.74</v>
      </c>
      <c r="G5853" s="12">
        <f t="shared" si="892"/>
        <v>15.74</v>
      </c>
    </row>
    <row r="5854" ht="21.0" customHeight="1">
      <c r="A5854" s="10" t="s">
        <v>22</v>
      </c>
      <c r="B5854" s="10" t="s">
        <v>18</v>
      </c>
      <c r="C5854" s="10" t="s">
        <v>23</v>
      </c>
      <c r="D5854" s="10" t="s">
        <v>24</v>
      </c>
      <c r="E5854" s="14">
        <v>0.53333</v>
      </c>
      <c r="F5854" s="15">
        <f>F5858</f>
        <v>43.8</v>
      </c>
      <c r="G5854" s="12">
        <f t="shared" si="892"/>
        <v>23.36</v>
      </c>
    </row>
    <row r="5855" ht="24.0" customHeight="1">
      <c r="A5855" s="10" t="s">
        <v>25</v>
      </c>
      <c r="B5855" s="10" t="s">
        <v>26</v>
      </c>
      <c r="C5855" s="10" t="s">
        <v>23</v>
      </c>
      <c r="D5855" s="10" t="s">
        <v>27</v>
      </c>
      <c r="E5855" s="14">
        <v>1.0</v>
      </c>
      <c r="F5855" s="15">
        <f>ROUND(21,3)</f>
        <v>21</v>
      </c>
      <c r="G5855" s="12">
        <f t="shared" si="892"/>
        <v>21</v>
      </c>
    </row>
    <row r="5856" ht="24.0" customHeight="1">
      <c r="A5856" s="10" t="s">
        <v>28</v>
      </c>
      <c r="B5856" s="10" t="s">
        <v>26</v>
      </c>
      <c r="C5856" s="10" t="s">
        <v>23</v>
      </c>
      <c r="D5856" s="10" t="s">
        <v>29</v>
      </c>
      <c r="E5856" s="14">
        <v>1.0</v>
      </c>
      <c r="F5856" s="15">
        <f t="shared" ref="F5856:F5857" si="893">ROUND(19,3)</f>
        <v>19</v>
      </c>
      <c r="G5856" s="12">
        <f t="shared" si="892"/>
        <v>19</v>
      </c>
    </row>
    <row r="5857" ht="24.0" customHeight="1">
      <c r="A5857" s="10" t="s">
        <v>30</v>
      </c>
      <c r="B5857" s="10" t="s">
        <v>26</v>
      </c>
      <c r="C5857" s="10" t="s">
        <v>23</v>
      </c>
      <c r="D5857" s="10" t="s">
        <v>31</v>
      </c>
      <c r="E5857" s="14">
        <v>0.2</v>
      </c>
      <c r="F5857" s="15">
        <f t="shared" si="893"/>
        <v>19</v>
      </c>
      <c r="G5857" s="12">
        <f t="shared" si="892"/>
        <v>3.8</v>
      </c>
    </row>
    <row r="5858" ht="15.0" customHeight="1">
      <c r="A5858" s="11"/>
      <c r="B5858" s="11"/>
      <c r="C5858" s="11"/>
      <c r="D5858" s="10" t="s">
        <v>22</v>
      </c>
      <c r="E5858" s="14">
        <v>0.53333</v>
      </c>
      <c r="F5858" s="15">
        <f>ROUND((G5855+G5856+G5857),3)</f>
        <v>43.8</v>
      </c>
      <c r="G5858" s="12">
        <f t="shared" si="892"/>
        <v>23.36</v>
      </c>
    </row>
    <row r="5859" ht="15.0" customHeight="1">
      <c r="A5859" s="10" t="s">
        <v>32</v>
      </c>
      <c r="B5859" s="10"/>
      <c r="C5859" s="10" t="s">
        <v>33</v>
      </c>
      <c r="D5859" s="10" t="s">
        <v>34</v>
      </c>
      <c r="E5859" s="14">
        <v>5.0</v>
      </c>
      <c r="F5859" s="15">
        <f>ROUND(23.36,3)</f>
        <v>23.36</v>
      </c>
      <c r="G5859" s="12">
        <f>ROUND((E5859*F5859)/100,2)</f>
        <v>1.17</v>
      </c>
    </row>
    <row r="5860" ht="15.0" customHeight="1">
      <c r="A5860" s="16"/>
      <c r="B5860" s="16"/>
      <c r="C5860" s="16"/>
      <c r="D5860" s="17" t="s">
        <v>2647</v>
      </c>
      <c r="E5860" s="16"/>
      <c r="F5860" s="18">
        <f>ROUND((G5851+G5852+G5853+G5854+G5859)*(1+G2/100),2)</f>
        <v>48.18</v>
      </c>
      <c r="G5860" s="16"/>
    </row>
    <row r="5861" ht="39.75" customHeight="1">
      <c r="A5861" s="19" t="s">
        <v>2656</v>
      </c>
      <c r="B5861" s="20" t="s">
        <v>18</v>
      </c>
      <c r="C5861" s="20" t="s">
        <v>231</v>
      </c>
      <c r="D5861" s="20" t="s">
        <v>2657</v>
      </c>
      <c r="E5861" s="21"/>
      <c r="F5861" s="22">
        <f>F5873</f>
        <v>18.76</v>
      </c>
      <c r="G5861" s="21"/>
    </row>
    <row r="5862" ht="21.0" customHeight="1">
      <c r="A5862" s="11"/>
      <c r="B5862" s="11"/>
      <c r="C5862" s="11"/>
      <c r="D5862" s="10" t="s">
        <v>2658</v>
      </c>
    </row>
    <row r="5863" ht="39.75" customHeight="1">
      <c r="A5863" s="10" t="s">
        <v>2659</v>
      </c>
      <c r="B5863" s="10" t="s">
        <v>42</v>
      </c>
      <c r="C5863" s="10" t="s">
        <v>344</v>
      </c>
      <c r="D5863" s="10" t="s">
        <v>2660</v>
      </c>
      <c r="E5863" s="14">
        <v>1.0</v>
      </c>
      <c r="F5863" s="15">
        <f>ROUND(3.84,3)</f>
        <v>3.84</v>
      </c>
      <c r="G5863" s="12">
        <f t="shared" ref="G5863:G5871" si="894">ROUND(E5863*F5863,2)</f>
        <v>3.84</v>
      </c>
    </row>
    <row r="5864" ht="30.0" customHeight="1">
      <c r="A5864" s="10" t="s">
        <v>2543</v>
      </c>
      <c r="B5864" s="10" t="s">
        <v>42</v>
      </c>
      <c r="C5864" s="10" t="s">
        <v>43</v>
      </c>
      <c r="D5864" s="10" t="s">
        <v>2544</v>
      </c>
      <c r="E5864" s="14">
        <v>0.26</v>
      </c>
      <c r="F5864" s="15">
        <f>ROUND(3.7,3)</f>
        <v>3.7</v>
      </c>
      <c r="G5864" s="12">
        <f t="shared" si="894"/>
        <v>0.96</v>
      </c>
    </row>
    <row r="5865" ht="21.0" customHeight="1">
      <c r="A5865" s="10" t="s">
        <v>969</v>
      </c>
      <c r="B5865" s="10" t="s">
        <v>112</v>
      </c>
      <c r="C5865" s="10" t="s">
        <v>23</v>
      </c>
      <c r="D5865" s="10" t="s">
        <v>970</v>
      </c>
      <c r="E5865" s="14">
        <v>0.15</v>
      </c>
      <c r="F5865" s="15">
        <f>ROUND(2,3)</f>
        <v>2</v>
      </c>
      <c r="G5865" s="12">
        <f t="shared" si="894"/>
        <v>0.3</v>
      </c>
    </row>
    <row r="5866" ht="30.0" customHeight="1">
      <c r="A5866" s="10" t="s">
        <v>2545</v>
      </c>
      <c r="B5866" s="10" t="s">
        <v>42</v>
      </c>
      <c r="C5866" s="10" t="s">
        <v>325</v>
      </c>
      <c r="D5866" s="10" t="s">
        <v>2546</v>
      </c>
      <c r="E5866" s="14">
        <v>0.0021</v>
      </c>
      <c r="F5866" s="15">
        <f>ROUND(64.19,3)</f>
        <v>64.19</v>
      </c>
      <c r="G5866" s="12">
        <f t="shared" si="894"/>
        <v>0.13</v>
      </c>
    </row>
    <row r="5867" ht="21.0" customHeight="1">
      <c r="A5867" s="10" t="s">
        <v>22</v>
      </c>
      <c r="B5867" s="10" t="s">
        <v>18</v>
      </c>
      <c r="C5867" s="10" t="s">
        <v>23</v>
      </c>
      <c r="D5867" s="10" t="s">
        <v>24</v>
      </c>
      <c r="E5867" s="14">
        <v>0.3</v>
      </c>
      <c r="F5867" s="15">
        <f>F5871</f>
        <v>43.8</v>
      </c>
      <c r="G5867" s="12">
        <f t="shared" si="894"/>
        <v>13.14</v>
      </c>
    </row>
    <row r="5868" ht="24.0" customHeight="1">
      <c r="A5868" s="10" t="s">
        <v>25</v>
      </c>
      <c r="B5868" s="10" t="s">
        <v>26</v>
      </c>
      <c r="C5868" s="10" t="s">
        <v>23</v>
      </c>
      <c r="D5868" s="10" t="s">
        <v>27</v>
      </c>
      <c r="E5868" s="14">
        <v>1.0</v>
      </c>
      <c r="F5868" s="15">
        <f>ROUND(21,3)</f>
        <v>21</v>
      </c>
      <c r="G5868" s="12">
        <f t="shared" si="894"/>
        <v>21</v>
      </c>
    </row>
    <row r="5869" ht="24.0" customHeight="1">
      <c r="A5869" s="10" t="s">
        <v>28</v>
      </c>
      <c r="B5869" s="10" t="s">
        <v>26</v>
      </c>
      <c r="C5869" s="10" t="s">
        <v>23</v>
      </c>
      <c r="D5869" s="10" t="s">
        <v>29</v>
      </c>
      <c r="E5869" s="14">
        <v>1.0</v>
      </c>
      <c r="F5869" s="15">
        <f t="shared" ref="F5869:F5870" si="895">ROUND(19,3)</f>
        <v>19</v>
      </c>
      <c r="G5869" s="12">
        <f t="shared" si="894"/>
        <v>19</v>
      </c>
    </row>
    <row r="5870" ht="24.0" customHeight="1">
      <c r="A5870" s="10" t="s">
        <v>30</v>
      </c>
      <c r="B5870" s="10" t="s">
        <v>26</v>
      </c>
      <c r="C5870" s="10" t="s">
        <v>23</v>
      </c>
      <c r="D5870" s="10" t="s">
        <v>31</v>
      </c>
      <c r="E5870" s="14">
        <v>0.2</v>
      </c>
      <c r="F5870" s="15">
        <f t="shared" si="895"/>
        <v>19</v>
      </c>
      <c r="G5870" s="12">
        <f t="shared" si="894"/>
        <v>3.8</v>
      </c>
    </row>
    <row r="5871" ht="15.0" customHeight="1">
      <c r="A5871" s="11"/>
      <c r="B5871" s="11"/>
      <c r="C5871" s="11"/>
      <c r="D5871" s="10" t="s">
        <v>22</v>
      </c>
      <c r="E5871" s="14">
        <v>0.3</v>
      </c>
      <c r="F5871" s="15">
        <f>ROUND((G5868+G5869+G5870),3)</f>
        <v>43.8</v>
      </c>
      <c r="G5871" s="12">
        <f t="shared" si="894"/>
        <v>13.14</v>
      </c>
    </row>
    <row r="5872" ht="15.0" customHeight="1">
      <c r="A5872" s="10" t="s">
        <v>32</v>
      </c>
      <c r="B5872" s="10"/>
      <c r="C5872" s="10" t="s">
        <v>33</v>
      </c>
      <c r="D5872" s="10" t="s">
        <v>34</v>
      </c>
      <c r="E5872" s="14">
        <v>3.0</v>
      </c>
      <c r="F5872" s="15">
        <f>ROUND(13.14,3)</f>
        <v>13.14</v>
      </c>
      <c r="G5872" s="12">
        <f>ROUND((E5872*F5872)/100,2)</f>
        <v>0.39</v>
      </c>
    </row>
    <row r="5873" ht="15.0" customHeight="1">
      <c r="A5873" s="16"/>
      <c r="B5873" s="16"/>
      <c r="C5873" s="16"/>
      <c r="D5873" s="17" t="s">
        <v>2656</v>
      </c>
      <c r="E5873" s="16"/>
      <c r="F5873" s="18">
        <f>ROUND((G5863+G5864+G5865+G5866+G5867+G5872)*(1+G2/100),2)</f>
        <v>18.76</v>
      </c>
      <c r="G5873" s="16"/>
    </row>
    <row r="5874" ht="48.75" customHeight="1">
      <c r="A5874" s="19" t="s">
        <v>2661</v>
      </c>
      <c r="B5874" s="20" t="s">
        <v>18</v>
      </c>
      <c r="C5874" s="20" t="s">
        <v>231</v>
      </c>
      <c r="D5874" s="20" t="s">
        <v>2662</v>
      </c>
      <c r="E5874" s="21"/>
      <c r="F5874" s="22">
        <f>F5886</f>
        <v>25.93</v>
      </c>
      <c r="G5874" s="21"/>
    </row>
    <row r="5875" ht="21.0" customHeight="1">
      <c r="A5875" s="11"/>
      <c r="B5875" s="11"/>
      <c r="C5875" s="11"/>
      <c r="D5875" s="10" t="s">
        <v>2663</v>
      </c>
    </row>
    <row r="5876" ht="39.75" customHeight="1">
      <c r="A5876" s="10" t="s">
        <v>2659</v>
      </c>
      <c r="B5876" s="10" t="s">
        <v>42</v>
      </c>
      <c r="C5876" s="10" t="s">
        <v>344</v>
      </c>
      <c r="D5876" s="10" t="s">
        <v>2660</v>
      </c>
      <c r="E5876" s="14">
        <v>1.0</v>
      </c>
      <c r="F5876" s="15">
        <f>ROUND(3.84,3)</f>
        <v>3.84</v>
      </c>
      <c r="G5876" s="12">
        <f t="shared" ref="G5876:G5884" si="896">ROUND(E5876*F5876,2)</f>
        <v>3.84</v>
      </c>
    </row>
    <row r="5877" ht="30.0" customHeight="1">
      <c r="A5877" s="10" t="s">
        <v>2543</v>
      </c>
      <c r="B5877" s="10" t="s">
        <v>42</v>
      </c>
      <c r="C5877" s="10" t="s">
        <v>43</v>
      </c>
      <c r="D5877" s="10" t="s">
        <v>2544</v>
      </c>
      <c r="E5877" s="14">
        <v>0.26</v>
      </c>
      <c r="F5877" s="15">
        <f>ROUND(3.7,3)</f>
        <v>3.7</v>
      </c>
      <c r="G5877" s="12">
        <f t="shared" si="896"/>
        <v>0.96</v>
      </c>
    </row>
    <row r="5878" ht="21.0" customHeight="1">
      <c r="A5878" s="10" t="s">
        <v>969</v>
      </c>
      <c r="B5878" s="10" t="s">
        <v>112</v>
      </c>
      <c r="C5878" s="10" t="s">
        <v>23</v>
      </c>
      <c r="D5878" s="10" t="s">
        <v>970</v>
      </c>
      <c r="E5878" s="14">
        <v>0.15</v>
      </c>
      <c r="F5878" s="15">
        <f>ROUND(2,3)</f>
        <v>2</v>
      </c>
      <c r="G5878" s="12">
        <f t="shared" si="896"/>
        <v>0.3</v>
      </c>
    </row>
    <row r="5879" ht="30.0" customHeight="1">
      <c r="A5879" s="10" t="s">
        <v>2545</v>
      </c>
      <c r="B5879" s="10" t="s">
        <v>42</v>
      </c>
      <c r="C5879" s="10" t="s">
        <v>325</v>
      </c>
      <c r="D5879" s="10" t="s">
        <v>2546</v>
      </c>
      <c r="E5879" s="14">
        <v>0.0021</v>
      </c>
      <c r="F5879" s="15">
        <f>ROUND(64.19,3)</f>
        <v>64.19</v>
      </c>
      <c r="G5879" s="12">
        <f t="shared" si="896"/>
        <v>0.13</v>
      </c>
    </row>
    <row r="5880" ht="21.0" customHeight="1">
      <c r="A5880" s="10" t="s">
        <v>22</v>
      </c>
      <c r="B5880" s="10" t="s">
        <v>18</v>
      </c>
      <c r="C5880" s="10" t="s">
        <v>23</v>
      </c>
      <c r="D5880" s="10" t="s">
        <v>24</v>
      </c>
      <c r="E5880" s="14">
        <v>0.45</v>
      </c>
      <c r="F5880" s="15">
        <f>F5884</f>
        <v>43.8</v>
      </c>
      <c r="G5880" s="12">
        <f t="shared" si="896"/>
        <v>19.71</v>
      </c>
    </row>
    <row r="5881" ht="24.0" customHeight="1">
      <c r="A5881" s="10" t="s">
        <v>25</v>
      </c>
      <c r="B5881" s="10" t="s">
        <v>26</v>
      </c>
      <c r="C5881" s="10" t="s">
        <v>23</v>
      </c>
      <c r="D5881" s="10" t="s">
        <v>27</v>
      </c>
      <c r="E5881" s="14">
        <v>1.0</v>
      </c>
      <c r="F5881" s="15">
        <f>ROUND(21,3)</f>
        <v>21</v>
      </c>
      <c r="G5881" s="12">
        <f t="shared" si="896"/>
        <v>21</v>
      </c>
    </row>
    <row r="5882" ht="24.0" customHeight="1">
      <c r="A5882" s="10" t="s">
        <v>28</v>
      </c>
      <c r="B5882" s="10" t="s">
        <v>26</v>
      </c>
      <c r="C5882" s="10" t="s">
        <v>23</v>
      </c>
      <c r="D5882" s="10" t="s">
        <v>29</v>
      </c>
      <c r="E5882" s="14">
        <v>1.0</v>
      </c>
      <c r="F5882" s="15">
        <f t="shared" ref="F5882:F5883" si="897">ROUND(19,3)</f>
        <v>19</v>
      </c>
      <c r="G5882" s="12">
        <f t="shared" si="896"/>
        <v>19</v>
      </c>
    </row>
    <row r="5883" ht="24.0" customHeight="1">
      <c r="A5883" s="10" t="s">
        <v>30</v>
      </c>
      <c r="B5883" s="10" t="s">
        <v>26</v>
      </c>
      <c r="C5883" s="10" t="s">
        <v>23</v>
      </c>
      <c r="D5883" s="10" t="s">
        <v>31</v>
      </c>
      <c r="E5883" s="14">
        <v>0.2</v>
      </c>
      <c r="F5883" s="15">
        <f t="shared" si="897"/>
        <v>19</v>
      </c>
      <c r="G5883" s="12">
        <f t="shared" si="896"/>
        <v>3.8</v>
      </c>
    </row>
    <row r="5884" ht="15.0" customHeight="1">
      <c r="A5884" s="11"/>
      <c r="B5884" s="11"/>
      <c r="C5884" s="11"/>
      <c r="D5884" s="10" t="s">
        <v>22</v>
      </c>
      <c r="E5884" s="14">
        <v>0.45</v>
      </c>
      <c r="F5884" s="15">
        <f>ROUND((G5881+G5882+G5883),3)</f>
        <v>43.8</v>
      </c>
      <c r="G5884" s="12">
        <f t="shared" si="896"/>
        <v>19.71</v>
      </c>
    </row>
    <row r="5885" ht="15.0" customHeight="1">
      <c r="A5885" s="10" t="s">
        <v>32</v>
      </c>
      <c r="B5885" s="10"/>
      <c r="C5885" s="10" t="s">
        <v>33</v>
      </c>
      <c r="D5885" s="10" t="s">
        <v>34</v>
      </c>
      <c r="E5885" s="14">
        <v>5.0</v>
      </c>
      <c r="F5885" s="15">
        <f>ROUND(19.71,3)</f>
        <v>19.71</v>
      </c>
      <c r="G5885" s="12">
        <f>ROUND((E5885*F5885)/100,2)</f>
        <v>0.99</v>
      </c>
    </row>
    <row r="5886" ht="15.0" customHeight="1">
      <c r="A5886" s="16"/>
      <c r="B5886" s="16"/>
      <c r="C5886" s="16"/>
      <c r="D5886" s="17" t="s">
        <v>2661</v>
      </c>
      <c r="E5886" s="16"/>
      <c r="F5886" s="18">
        <f>ROUND((G5876+G5877+G5878+G5879+G5880+G5885)*(1+G2/100),2)</f>
        <v>25.93</v>
      </c>
      <c r="G5886" s="16"/>
    </row>
    <row r="5887" ht="39.75" customHeight="1">
      <c r="A5887" s="19" t="s">
        <v>2664</v>
      </c>
      <c r="B5887" s="20" t="s">
        <v>18</v>
      </c>
      <c r="C5887" s="20" t="s">
        <v>231</v>
      </c>
      <c r="D5887" s="20" t="s">
        <v>2665</v>
      </c>
      <c r="E5887" s="21"/>
      <c r="F5887" s="22">
        <f>F5899</f>
        <v>20.19</v>
      </c>
      <c r="G5887" s="21"/>
    </row>
    <row r="5888" ht="21.0" customHeight="1">
      <c r="A5888" s="11"/>
      <c r="B5888" s="11"/>
      <c r="C5888" s="11"/>
      <c r="D5888" s="10" t="s">
        <v>2666</v>
      </c>
    </row>
    <row r="5889" ht="39.75" customHeight="1">
      <c r="A5889" s="10" t="s">
        <v>2667</v>
      </c>
      <c r="B5889" s="10" t="s">
        <v>42</v>
      </c>
      <c r="C5889" s="10" t="s">
        <v>344</v>
      </c>
      <c r="D5889" s="10" t="s">
        <v>2668</v>
      </c>
      <c r="E5889" s="14">
        <v>1.0</v>
      </c>
      <c r="F5889" s="15">
        <f>ROUND(5,3)</f>
        <v>5</v>
      </c>
      <c r="G5889" s="12">
        <f t="shared" ref="G5889:G5897" si="898">ROUND(E5889*F5889,2)</f>
        <v>5</v>
      </c>
    </row>
    <row r="5890" ht="30.0" customHeight="1">
      <c r="A5890" s="10" t="s">
        <v>2543</v>
      </c>
      <c r="B5890" s="10" t="s">
        <v>42</v>
      </c>
      <c r="C5890" s="10" t="s">
        <v>43</v>
      </c>
      <c r="D5890" s="10" t="s">
        <v>2544</v>
      </c>
      <c r="E5890" s="14">
        <v>0.26</v>
      </c>
      <c r="F5890" s="15">
        <f>ROUND(3.7,3)</f>
        <v>3.7</v>
      </c>
      <c r="G5890" s="12">
        <f t="shared" si="898"/>
        <v>0.96</v>
      </c>
    </row>
    <row r="5891" ht="21.0" customHeight="1">
      <c r="A5891" s="10" t="s">
        <v>969</v>
      </c>
      <c r="B5891" s="10" t="s">
        <v>112</v>
      </c>
      <c r="C5891" s="10" t="s">
        <v>23</v>
      </c>
      <c r="D5891" s="10" t="s">
        <v>970</v>
      </c>
      <c r="E5891" s="14">
        <v>0.15</v>
      </c>
      <c r="F5891" s="15">
        <f>ROUND(2,3)</f>
        <v>2</v>
      </c>
      <c r="G5891" s="12">
        <f t="shared" si="898"/>
        <v>0.3</v>
      </c>
    </row>
    <row r="5892" ht="30.0" customHeight="1">
      <c r="A5892" s="10" t="s">
        <v>2545</v>
      </c>
      <c r="B5892" s="10" t="s">
        <v>42</v>
      </c>
      <c r="C5892" s="10" t="s">
        <v>325</v>
      </c>
      <c r="D5892" s="10" t="s">
        <v>2546</v>
      </c>
      <c r="E5892" s="14">
        <v>0.0021</v>
      </c>
      <c r="F5892" s="15">
        <f>ROUND(64.19,3)</f>
        <v>64.19</v>
      </c>
      <c r="G5892" s="12">
        <f t="shared" si="898"/>
        <v>0.13</v>
      </c>
    </row>
    <row r="5893" ht="21.0" customHeight="1">
      <c r="A5893" s="10" t="s">
        <v>22</v>
      </c>
      <c r="B5893" s="10" t="s">
        <v>18</v>
      </c>
      <c r="C5893" s="10" t="s">
        <v>23</v>
      </c>
      <c r="D5893" s="10" t="s">
        <v>24</v>
      </c>
      <c r="E5893" s="14">
        <v>0.3</v>
      </c>
      <c r="F5893" s="15">
        <f>F5897</f>
        <v>43.8</v>
      </c>
      <c r="G5893" s="12">
        <f t="shared" si="898"/>
        <v>13.14</v>
      </c>
    </row>
    <row r="5894" ht="24.0" customHeight="1">
      <c r="A5894" s="10" t="s">
        <v>25</v>
      </c>
      <c r="B5894" s="10" t="s">
        <v>26</v>
      </c>
      <c r="C5894" s="10" t="s">
        <v>23</v>
      </c>
      <c r="D5894" s="10" t="s">
        <v>27</v>
      </c>
      <c r="E5894" s="14">
        <v>1.0</v>
      </c>
      <c r="F5894" s="15">
        <f>ROUND(21,3)</f>
        <v>21</v>
      </c>
      <c r="G5894" s="12">
        <f t="shared" si="898"/>
        <v>21</v>
      </c>
    </row>
    <row r="5895" ht="24.0" customHeight="1">
      <c r="A5895" s="10" t="s">
        <v>28</v>
      </c>
      <c r="B5895" s="10" t="s">
        <v>26</v>
      </c>
      <c r="C5895" s="10" t="s">
        <v>23</v>
      </c>
      <c r="D5895" s="10" t="s">
        <v>29</v>
      </c>
      <c r="E5895" s="14">
        <v>1.0</v>
      </c>
      <c r="F5895" s="15">
        <f t="shared" ref="F5895:F5896" si="899">ROUND(19,3)</f>
        <v>19</v>
      </c>
      <c r="G5895" s="12">
        <f t="shared" si="898"/>
        <v>19</v>
      </c>
    </row>
    <row r="5896" ht="24.0" customHeight="1">
      <c r="A5896" s="10" t="s">
        <v>30</v>
      </c>
      <c r="B5896" s="10" t="s">
        <v>26</v>
      </c>
      <c r="C5896" s="10" t="s">
        <v>23</v>
      </c>
      <c r="D5896" s="10" t="s">
        <v>31</v>
      </c>
      <c r="E5896" s="14">
        <v>0.2</v>
      </c>
      <c r="F5896" s="15">
        <f t="shared" si="899"/>
        <v>19</v>
      </c>
      <c r="G5896" s="12">
        <f t="shared" si="898"/>
        <v>3.8</v>
      </c>
    </row>
    <row r="5897" ht="15.0" customHeight="1">
      <c r="A5897" s="11"/>
      <c r="B5897" s="11"/>
      <c r="C5897" s="11"/>
      <c r="D5897" s="10" t="s">
        <v>22</v>
      </c>
      <c r="E5897" s="14">
        <v>0.3</v>
      </c>
      <c r="F5897" s="15">
        <f>ROUND((G5894+G5895+G5896),3)</f>
        <v>43.8</v>
      </c>
      <c r="G5897" s="12">
        <f t="shared" si="898"/>
        <v>13.14</v>
      </c>
    </row>
    <row r="5898" ht="15.0" customHeight="1">
      <c r="A5898" s="10" t="s">
        <v>32</v>
      </c>
      <c r="B5898" s="10"/>
      <c r="C5898" s="10" t="s">
        <v>33</v>
      </c>
      <c r="D5898" s="10" t="s">
        <v>34</v>
      </c>
      <c r="E5898" s="14">
        <v>5.0</v>
      </c>
      <c r="F5898" s="15">
        <f>ROUND(13.14,3)</f>
        <v>13.14</v>
      </c>
      <c r="G5898" s="12">
        <f>ROUND((E5898*F5898)/100,2)</f>
        <v>0.66</v>
      </c>
    </row>
    <row r="5899" ht="15.0" customHeight="1">
      <c r="A5899" s="16"/>
      <c r="B5899" s="16"/>
      <c r="C5899" s="16"/>
      <c r="D5899" s="17" t="s">
        <v>2664</v>
      </c>
      <c r="E5899" s="16"/>
      <c r="F5899" s="18">
        <f>ROUND((G5889+G5890+G5891+G5892+G5893+G5898)*(1+G2/100),2)</f>
        <v>20.19</v>
      </c>
      <c r="G5899" s="16"/>
    </row>
    <row r="5900" ht="48.75" customHeight="1">
      <c r="A5900" s="19" t="s">
        <v>2669</v>
      </c>
      <c r="B5900" s="20" t="s">
        <v>18</v>
      </c>
      <c r="C5900" s="20" t="s">
        <v>231</v>
      </c>
      <c r="D5900" s="20" t="s">
        <v>2670</v>
      </c>
      <c r="E5900" s="21"/>
      <c r="F5900" s="22">
        <f>F5912</f>
        <v>27.09</v>
      </c>
      <c r="G5900" s="21"/>
    </row>
    <row r="5901" ht="21.0" customHeight="1">
      <c r="A5901" s="11"/>
      <c r="B5901" s="11"/>
      <c r="C5901" s="11"/>
      <c r="D5901" s="10" t="s">
        <v>2671</v>
      </c>
    </row>
    <row r="5902" ht="39.75" customHeight="1">
      <c r="A5902" s="10" t="s">
        <v>2667</v>
      </c>
      <c r="B5902" s="10" t="s">
        <v>42</v>
      </c>
      <c r="C5902" s="10" t="s">
        <v>344</v>
      </c>
      <c r="D5902" s="10" t="s">
        <v>2668</v>
      </c>
      <c r="E5902" s="14">
        <v>1.0</v>
      </c>
      <c r="F5902" s="15">
        <f>ROUND(5,3)</f>
        <v>5</v>
      </c>
      <c r="G5902" s="12">
        <f t="shared" ref="G5902:G5910" si="900">ROUND(E5902*F5902,2)</f>
        <v>5</v>
      </c>
    </row>
    <row r="5903" ht="30.0" customHeight="1">
      <c r="A5903" s="10" t="s">
        <v>2543</v>
      </c>
      <c r="B5903" s="10" t="s">
        <v>42</v>
      </c>
      <c r="C5903" s="10" t="s">
        <v>43</v>
      </c>
      <c r="D5903" s="10" t="s">
        <v>2544</v>
      </c>
      <c r="E5903" s="14">
        <v>0.26</v>
      </c>
      <c r="F5903" s="15">
        <f>ROUND(3.7,3)</f>
        <v>3.7</v>
      </c>
      <c r="G5903" s="12">
        <f t="shared" si="900"/>
        <v>0.96</v>
      </c>
    </row>
    <row r="5904" ht="21.0" customHeight="1">
      <c r="A5904" s="10" t="s">
        <v>969</v>
      </c>
      <c r="B5904" s="10" t="s">
        <v>112</v>
      </c>
      <c r="C5904" s="10" t="s">
        <v>23</v>
      </c>
      <c r="D5904" s="10" t="s">
        <v>970</v>
      </c>
      <c r="E5904" s="14">
        <v>0.15</v>
      </c>
      <c r="F5904" s="15">
        <f>ROUND(2,3)</f>
        <v>2</v>
      </c>
      <c r="G5904" s="12">
        <f t="shared" si="900"/>
        <v>0.3</v>
      </c>
    </row>
    <row r="5905" ht="30.0" customHeight="1">
      <c r="A5905" s="10" t="s">
        <v>2545</v>
      </c>
      <c r="B5905" s="10" t="s">
        <v>42</v>
      </c>
      <c r="C5905" s="10" t="s">
        <v>325</v>
      </c>
      <c r="D5905" s="10" t="s">
        <v>2546</v>
      </c>
      <c r="E5905" s="14">
        <v>0.0021</v>
      </c>
      <c r="F5905" s="15">
        <f>ROUND(64.19,3)</f>
        <v>64.19</v>
      </c>
      <c r="G5905" s="12">
        <f t="shared" si="900"/>
        <v>0.13</v>
      </c>
    </row>
    <row r="5906" ht="21.0" customHeight="1">
      <c r="A5906" s="10" t="s">
        <v>22</v>
      </c>
      <c r="B5906" s="10" t="s">
        <v>18</v>
      </c>
      <c r="C5906" s="10" t="s">
        <v>23</v>
      </c>
      <c r="D5906" s="10" t="s">
        <v>24</v>
      </c>
      <c r="E5906" s="14">
        <v>0.45</v>
      </c>
      <c r="F5906" s="15">
        <f>F5910</f>
        <v>43.8</v>
      </c>
      <c r="G5906" s="12">
        <f t="shared" si="900"/>
        <v>19.71</v>
      </c>
    </row>
    <row r="5907" ht="24.0" customHeight="1">
      <c r="A5907" s="10" t="s">
        <v>25</v>
      </c>
      <c r="B5907" s="10" t="s">
        <v>26</v>
      </c>
      <c r="C5907" s="10" t="s">
        <v>23</v>
      </c>
      <c r="D5907" s="10" t="s">
        <v>27</v>
      </c>
      <c r="E5907" s="14">
        <v>1.0</v>
      </c>
      <c r="F5907" s="15">
        <f>ROUND(21,3)</f>
        <v>21</v>
      </c>
      <c r="G5907" s="12">
        <f t="shared" si="900"/>
        <v>21</v>
      </c>
    </row>
    <row r="5908" ht="24.0" customHeight="1">
      <c r="A5908" s="10" t="s">
        <v>28</v>
      </c>
      <c r="B5908" s="10" t="s">
        <v>26</v>
      </c>
      <c r="C5908" s="10" t="s">
        <v>23</v>
      </c>
      <c r="D5908" s="10" t="s">
        <v>29</v>
      </c>
      <c r="E5908" s="14">
        <v>1.0</v>
      </c>
      <c r="F5908" s="15">
        <f t="shared" ref="F5908:F5909" si="901">ROUND(19,3)</f>
        <v>19</v>
      </c>
      <c r="G5908" s="12">
        <f t="shared" si="900"/>
        <v>19</v>
      </c>
    </row>
    <row r="5909" ht="24.0" customHeight="1">
      <c r="A5909" s="10" t="s">
        <v>30</v>
      </c>
      <c r="B5909" s="10" t="s">
        <v>26</v>
      </c>
      <c r="C5909" s="10" t="s">
        <v>23</v>
      </c>
      <c r="D5909" s="10" t="s">
        <v>31</v>
      </c>
      <c r="E5909" s="14">
        <v>0.2</v>
      </c>
      <c r="F5909" s="15">
        <f t="shared" si="901"/>
        <v>19</v>
      </c>
      <c r="G5909" s="12">
        <f t="shared" si="900"/>
        <v>3.8</v>
      </c>
    </row>
    <row r="5910" ht="15.0" customHeight="1">
      <c r="A5910" s="11"/>
      <c r="B5910" s="11"/>
      <c r="C5910" s="11"/>
      <c r="D5910" s="10" t="s">
        <v>22</v>
      </c>
      <c r="E5910" s="14">
        <v>0.45</v>
      </c>
      <c r="F5910" s="15">
        <f>ROUND((G5907+G5908+G5909),3)</f>
        <v>43.8</v>
      </c>
      <c r="G5910" s="12">
        <f t="shared" si="900"/>
        <v>19.71</v>
      </c>
    </row>
    <row r="5911" ht="15.0" customHeight="1">
      <c r="A5911" s="10" t="s">
        <v>32</v>
      </c>
      <c r="B5911" s="10"/>
      <c r="C5911" s="10" t="s">
        <v>33</v>
      </c>
      <c r="D5911" s="10" t="s">
        <v>34</v>
      </c>
      <c r="E5911" s="14">
        <v>5.0</v>
      </c>
      <c r="F5911" s="15">
        <f>ROUND(19.71,3)</f>
        <v>19.71</v>
      </c>
      <c r="G5911" s="12">
        <f>ROUND((E5911*F5911)/100,2)</f>
        <v>0.99</v>
      </c>
    </row>
    <row r="5912" ht="15.0" customHeight="1">
      <c r="A5912" s="16"/>
      <c r="B5912" s="16"/>
      <c r="C5912" s="16"/>
      <c r="D5912" s="17" t="s">
        <v>2669</v>
      </c>
      <c r="E5912" s="16"/>
      <c r="F5912" s="18">
        <f>ROUND((G5902+G5903+G5904+G5905+G5906+G5911)*(1+G2/100),2)</f>
        <v>27.09</v>
      </c>
      <c r="G5912" s="16"/>
    </row>
    <row r="5913" ht="15.0" customHeight="1">
      <c r="A5913" s="23"/>
      <c r="B5913" s="23"/>
      <c r="C5913" s="23"/>
      <c r="D5913" s="36" t="s">
        <v>2501</v>
      </c>
      <c r="E5913" s="37"/>
      <c r="F5913" s="37"/>
      <c r="G5913" s="37"/>
    </row>
    <row r="5914" ht="15.0" customHeight="1">
      <c r="A5914" s="38" t="s">
        <v>2672</v>
      </c>
      <c r="B5914" s="38" t="s">
        <v>10</v>
      </c>
      <c r="C5914" s="39"/>
      <c r="D5914" s="38" t="s">
        <v>2673</v>
      </c>
      <c r="E5914" s="39"/>
      <c r="F5914" s="39"/>
      <c r="G5914" s="39"/>
    </row>
    <row r="5915" ht="15.0" customHeight="1">
      <c r="A5915" s="40" t="s">
        <v>2674</v>
      </c>
      <c r="B5915" s="40" t="s">
        <v>10</v>
      </c>
      <c r="C5915" s="41"/>
      <c r="D5915" s="40" t="s">
        <v>2674</v>
      </c>
      <c r="E5915" s="41"/>
      <c r="F5915" s="41"/>
      <c r="G5915" s="41"/>
    </row>
    <row r="5916" ht="30.0" customHeight="1">
      <c r="A5916" s="13" t="s">
        <v>2675</v>
      </c>
      <c r="B5916" s="10" t="s">
        <v>18</v>
      </c>
      <c r="C5916" s="10" t="s">
        <v>344</v>
      </c>
      <c r="D5916" s="10" t="s">
        <v>2676</v>
      </c>
      <c r="E5916" s="11"/>
      <c r="F5916" s="12">
        <f>F5925</f>
        <v>10.54</v>
      </c>
      <c r="G5916" s="11"/>
    </row>
    <row r="5917" ht="21.0" customHeight="1">
      <c r="A5917" s="11"/>
      <c r="B5917" s="11"/>
      <c r="C5917" s="11"/>
      <c r="D5917" s="10" t="s">
        <v>2676</v>
      </c>
    </row>
    <row r="5918" ht="30.0" customHeight="1">
      <c r="A5918" s="10" t="s">
        <v>2677</v>
      </c>
      <c r="B5918" s="10" t="s">
        <v>42</v>
      </c>
      <c r="C5918" s="10" t="s">
        <v>344</v>
      </c>
      <c r="D5918" s="10" t="s">
        <v>2678</v>
      </c>
      <c r="E5918" s="14">
        <v>1.0</v>
      </c>
      <c r="F5918" s="15">
        <f>ROUND(6.03,3)</f>
        <v>6.03</v>
      </c>
      <c r="G5918" s="12">
        <f t="shared" ref="G5918:G5923" si="902">ROUND(E5918*F5918,2)</f>
        <v>6.03</v>
      </c>
    </row>
    <row r="5919" ht="21.0" customHeight="1">
      <c r="A5919" s="10" t="s">
        <v>22</v>
      </c>
      <c r="B5919" s="10" t="s">
        <v>18</v>
      </c>
      <c r="C5919" s="10" t="s">
        <v>23</v>
      </c>
      <c r="D5919" s="10" t="s">
        <v>24</v>
      </c>
      <c r="E5919" s="14">
        <v>0.1</v>
      </c>
      <c r="F5919" s="15">
        <f>F5923</f>
        <v>43.8</v>
      </c>
      <c r="G5919" s="12">
        <f t="shared" si="902"/>
        <v>4.38</v>
      </c>
    </row>
    <row r="5920" ht="24.0" customHeight="1">
      <c r="A5920" s="10" t="s">
        <v>25</v>
      </c>
      <c r="B5920" s="10" t="s">
        <v>26</v>
      </c>
      <c r="C5920" s="10" t="s">
        <v>23</v>
      </c>
      <c r="D5920" s="10" t="s">
        <v>27</v>
      </c>
      <c r="E5920" s="14">
        <v>1.0</v>
      </c>
      <c r="F5920" s="15">
        <f>ROUND(21,3)</f>
        <v>21</v>
      </c>
      <c r="G5920" s="12">
        <f t="shared" si="902"/>
        <v>21</v>
      </c>
    </row>
    <row r="5921" ht="24.0" customHeight="1">
      <c r="A5921" s="10" t="s">
        <v>28</v>
      </c>
      <c r="B5921" s="10" t="s">
        <v>26</v>
      </c>
      <c r="C5921" s="10" t="s">
        <v>23</v>
      </c>
      <c r="D5921" s="10" t="s">
        <v>29</v>
      </c>
      <c r="E5921" s="14">
        <v>1.0</v>
      </c>
      <c r="F5921" s="15">
        <f t="shared" ref="F5921:F5922" si="903">ROUND(19,3)</f>
        <v>19</v>
      </c>
      <c r="G5921" s="12">
        <f t="shared" si="902"/>
        <v>19</v>
      </c>
    </row>
    <row r="5922" ht="24.0" customHeight="1">
      <c r="A5922" s="10" t="s">
        <v>30</v>
      </c>
      <c r="B5922" s="10" t="s">
        <v>26</v>
      </c>
      <c r="C5922" s="10" t="s">
        <v>23</v>
      </c>
      <c r="D5922" s="10" t="s">
        <v>31</v>
      </c>
      <c r="E5922" s="14">
        <v>0.2</v>
      </c>
      <c r="F5922" s="15">
        <f t="shared" si="903"/>
        <v>19</v>
      </c>
      <c r="G5922" s="12">
        <f t="shared" si="902"/>
        <v>3.8</v>
      </c>
    </row>
    <row r="5923" ht="15.0" customHeight="1">
      <c r="A5923" s="11"/>
      <c r="B5923" s="11"/>
      <c r="C5923" s="11"/>
      <c r="D5923" s="10" t="s">
        <v>22</v>
      </c>
      <c r="E5923" s="14">
        <v>0.1</v>
      </c>
      <c r="F5923" s="15">
        <f>ROUND((G5920+G5921+G5922),3)</f>
        <v>43.8</v>
      </c>
      <c r="G5923" s="12">
        <f t="shared" si="902"/>
        <v>4.38</v>
      </c>
    </row>
    <row r="5924" ht="15.0" customHeight="1">
      <c r="A5924" s="10" t="s">
        <v>32</v>
      </c>
      <c r="B5924" s="10"/>
      <c r="C5924" s="10" t="s">
        <v>33</v>
      </c>
      <c r="D5924" s="10" t="s">
        <v>34</v>
      </c>
      <c r="E5924" s="14">
        <v>3.0</v>
      </c>
      <c r="F5924" s="15">
        <f>ROUND(4.38,3)</f>
        <v>4.38</v>
      </c>
      <c r="G5924" s="12">
        <f>ROUND((E5924*F5924)/100,2)</f>
        <v>0.13</v>
      </c>
    </row>
    <row r="5925" ht="15.0" customHeight="1">
      <c r="A5925" s="16"/>
      <c r="B5925" s="16"/>
      <c r="C5925" s="16"/>
      <c r="D5925" s="17" t="s">
        <v>2675</v>
      </c>
      <c r="E5925" s="16"/>
      <c r="F5925" s="18">
        <f>ROUND((G5918+G5919+G5924)*(1+G2/100),2)</f>
        <v>10.54</v>
      </c>
      <c r="G5925" s="16"/>
    </row>
    <row r="5926" ht="39.75" customHeight="1">
      <c r="A5926" s="19" t="s">
        <v>2679</v>
      </c>
      <c r="B5926" s="20" t="s">
        <v>18</v>
      </c>
      <c r="C5926" s="20" t="s">
        <v>344</v>
      </c>
      <c r="D5926" s="20" t="s">
        <v>2680</v>
      </c>
      <c r="E5926" s="21"/>
      <c r="F5926" s="22">
        <f>F5935</f>
        <v>11.11</v>
      </c>
      <c r="G5926" s="21"/>
    </row>
    <row r="5927" ht="21.0" customHeight="1">
      <c r="A5927" s="11"/>
      <c r="B5927" s="11"/>
      <c r="C5927" s="11"/>
      <c r="D5927" s="10" t="s">
        <v>2680</v>
      </c>
    </row>
    <row r="5928" ht="30.0" customHeight="1">
      <c r="A5928" s="10" t="s">
        <v>2681</v>
      </c>
      <c r="B5928" s="10" t="s">
        <v>42</v>
      </c>
      <c r="C5928" s="10" t="s">
        <v>344</v>
      </c>
      <c r="D5928" s="10" t="s">
        <v>2682</v>
      </c>
      <c r="E5928" s="14">
        <v>1.0</v>
      </c>
      <c r="F5928" s="15">
        <f>ROUND(6.6,3)</f>
        <v>6.6</v>
      </c>
      <c r="G5928" s="12">
        <f t="shared" ref="G5928:G5933" si="904">ROUND(E5928*F5928,2)</f>
        <v>6.6</v>
      </c>
    </row>
    <row r="5929" ht="21.0" customHeight="1">
      <c r="A5929" s="10" t="s">
        <v>22</v>
      </c>
      <c r="B5929" s="10" t="s">
        <v>18</v>
      </c>
      <c r="C5929" s="10" t="s">
        <v>23</v>
      </c>
      <c r="D5929" s="10" t="s">
        <v>24</v>
      </c>
      <c r="E5929" s="14">
        <v>0.1</v>
      </c>
      <c r="F5929" s="15">
        <f>F5933</f>
        <v>43.8</v>
      </c>
      <c r="G5929" s="12">
        <f t="shared" si="904"/>
        <v>4.38</v>
      </c>
    </row>
    <row r="5930" ht="24.0" customHeight="1">
      <c r="A5930" s="10" t="s">
        <v>25</v>
      </c>
      <c r="B5930" s="10" t="s">
        <v>26</v>
      </c>
      <c r="C5930" s="10" t="s">
        <v>23</v>
      </c>
      <c r="D5930" s="10" t="s">
        <v>27</v>
      </c>
      <c r="E5930" s="14">
        <v>1.0</v>
      </c>
      <c r="F5930" s="15">
        <f>ROUND(21,3)</f>
        <v>21</v>
      </c>
      <c r="G5930" s="12">
        <f t="shared" si="904"/>
        <v>21</v>
      </c>
    </row>
    <row r="5931" ht="24.0" customHeight="1">
      <c r="A5931" s="10" t="s">
        <v>28</v>
      </c>
      <c r="B5931" s="10" t="s">
        <v>26</v>
      </c>
      <c r="C5931" s="10" t="s">
        <v>23</v>
      </c>
      <c r="D5931" s="10" t="s">
        <v>29</v>
      </c>
      <c r="E5931" s="14">
        <v>1.0</v>
      </c>
      <c r="F5931" s="15">
        <f t="shared" ref="F5931:F5932" si="905">ROUND(19,3)</f>
        <v>19</v>
      </c>
      <c r="G5931" s="12">
        <f t="shared" si="904"/>
        <v>19</v>
      </c>
    </row>
    <row r="5932" ht="24.0" customHeight="1">
      <c r="A5932" s="10" t="s">
        <v>30</v>
      </c>
      <c r="B5932" s="10" t="s">
        <v>26</v>
      </c>
      <c r="C5932" s="10" t="s">
        <v>23</v>
      </c>
      <c r="D5932" s="10" t="s">
        <v>31</v>
      </c>
      <c r="E5932" s="14">
        <v>0.2</v>
      </c>
      <c r="F5932" s="15">
        <f t="shared" si="905"/>
        <v>19</v>
      </c>
      <c r="G5932" s="12">
        <f t="shared" si="904"/>
        <v>3.8</v>
      </c>
    </row>
    <row r="5933" ht="15.0" customHeight="1">
      <c r="A5933" s="11"/>
      <c r="B5933" s="11"/>
      <c r="C5933" s="11"/>
      <c r="D5933" s="10" t="s">
        <v>22</v>
      </c>
      <c r="E5933" s="14">
        <v>0.1</v>
      </c>
      <c r="F5933" s="15">
        <f>ROUND((G5930+G5931+G5932),3)</f>
        <v>43.8</v>
      </c>
      <c r="G5933" s="12">
        <f t="shared" si="904"/>
        <v>4.38</v>
      </c>
    </row>
    <row r="5934" ht="15.0" customHeight="1">
      <c r="A5934" s="10" t="s">
        <v>32</v>
      </c>
      <c r="B5934" s="10"/>
      <c r="C5934" s="10" t="s">
        <v>33</v>
      </c>
      <c r="D5934" s="10" t="s">
        <v>34</v>
      </c>
      <c r="E5934" s="14">
        <v>3.0</v>
      </c>
      <c r="F5934" s="15">
        <f>ROUND(4.38,3)</f>
        <v>4.38</v>
      </c>
      <c r="G5934" s="12">
        <f>ROUND((E5934*F5934)/100,2)</f>
        <v>0.13</v>
      </c>
    </row>
    <row r="5935" ht="15.0" customHeight="1">
      <c r="A5935" s="16"/>
      <c r="B5935" s="16"/>
      <c r="C5935" s="16"/>
      <c r="D5935" s="17" t="s">
        <v>2679</v>
      </c>
      <c r="E5935" s="16"/>
      <c r="F5935" s="18">
        <f>ROUND((G5928+G5929+G5934)*(1+G2/100),2)</f>
        <v>11.11</v>
      </c>
      <c r="G5935" s="16"/>
    </row>
    <row r="5936" ht="30.0" customHeight="1">
      <c r="A5936" s="19" t="s">
        <v>2683</v>
      </c>
      <c r="B5936" s="20" t="s">
        <v>18</v>
      </c>
      <c r="C5936" s="20" t="s">
        <v>344</v>
      </c>
      <c r="D5936" s="20" t="s">
        <v>2684</v>
      </c>
      <c r="E5936" s="21"/>
      <c r="F5936" s="22">
        <f>F5945</f>
        <v>8.55</v>
      </c>
      <c r="G5936" s="21"/>
    </row>
    <row r="5937" ht="12.0" customHeight="1">
      <c r="A5937" s="11"/>
      <c r="B5937" s="11"/>
      <c r="C5937" s="11"/>
      <c r="D5937" s="10" t="s">
        <v>2684</v>
      </c>
    </row>
    <row r="5938" ht="30.0" customHeight="1">
      <c r="A5938" s="10" t="s">
        <v>2685</v>
      </c>
      <c r="B5938" s="10" t="s">
        <v>42</v>
      </c>
      <c r="C5938" s="10" t="s">
        <v>344</v>
      </c>
      <c r="D5938" s="10" t="s">
        <v>2686</v>
      </c>
      <c r="E5938" s="14">
        <v>1.0</v>
      </c>
      <c r="F5938" s="15">
        <f>ROUND(4.04,3)</f>
        <v>4.04</v>
      </c>
      <c r="G5938" s="12">
        <f t="shared" ref="G5938:G5943" si="906">ROUND(E5938*F5938,2)</f>
        <v>4.04</v>
      </c>
    </row>
    <row r="5939" ht="21.0" customHeight="1">
      <c r="A5939" s="10" t="s">
        <v>22</v>
      </c>
      <c r="B5939" s="10" t="s">
        <v>18</v>
      </c>
      <c r="C5939" s="10" t="s">
        <v>23</v>
      </c>
      <c r="D5939" s="10" t="s">
        <v>24</v>
      </c>
      <c r="E5939" s="14">
        <v>0.1</v>
      </c>
      <c r="F5939" s="15">
        <f>F5943</f>
        <v>43.8</v>
      </c>
      <c r="G5939" s="12">
        <f t="shared" si="906"/>
        <v>4.38</v>
      </c>
    </row>
    <row r="5940" ht="24.0" customHeight="1">
      <c r="A5940" s="10" t="s">
        <v>25</v>
      </c>
      <c r="B5940" s="10" t="s">
        <v>26</v>
      </c>
      <c r="C5940" s="10" t="s">
        <v>23</v>
      </c>
      <c r="D5940" s="10" t="s">
        <v>27</v>
      </c>
      <c r="E5940" s="14">
        <v>1.0</v>
      </c>
      <c r="F5940" s="15">
        <f>ROUND(21,3)</f>
        <v>21</v>
      </c>
      <c r="G5940" s="12">
        <f t="shared" si="906"/>
        <v>21</v>
      </c>
    </row>
    <row r="5941" ht="24.0" customHeight="1">
      <c r="A5941" s="10" t="s">
        <v>28</v>
      </c>
      <c r="B5941" s="10" t="s">
        <v>26</v>
      </c>
      <c r="C5941" s="10" t="s">
        <v>23</v>
      </c>
      <c r="D5941" s="10" t="s">
        <v>29</v>
      </c>
      <c r="E5941" s="14">
        <v>1.0</v>
      </c>
      <c r="F5941" s="15">
        <f t="shared" ref="F5941:F5942" si="907">ROUND(19,3)</f>
        <v>19</v>
      </c>
      <c r="G5941" s="12">
        <f t="shared" si="906"/>
        <v>19</v>
      </c>
    </row>
    <row r="5942" ht="24.0" customHeight="1">
      <c r="A5942" s="10" t="s">
        <v>30</v>
      </c>
      <c r="B5942" s="10" t="s">
        <v>26</v>
      </c>
      <c r="C5942" s="10" t="s">
        <v>23</v>
      </c>
      <c r="D5942" s="10" t="s">
        <v>31</v>
      </c>
      <c r="E5942" s="14">
        <v>0.2</v>
      </c>
      <c r="F5942" s="15">
        <f t="shared" si="907"/>
        <v>19</v>
      </c>
      <c r="G5942" s="12">
        <f t="shared" si="906"/>
        <v>3.8</v>
      </c>
    </row>
    <row r="5943" ht="15.0" customHeight="1">
      <c r="A5943" s="11"/>
      <c r="B5943" s="11"/>
      <c r="C5943" s="11"/>
      <c r="D5943" s="10" t="s">
        <v>22</v>
      </c>
      <c r="E5943" s="14">
        <v>0.1</v>
      </c>
      <c r="F5943" s="15">
        <f>ROUND((G5940+G5941+G5942),3)</f>
        <v>43.8</v>
      </c>
      <c r="G5943" s="12">
        <f t="shared" si="906"/>
        <v>4.38</v>
      </c>
    </row>
    <row r="5944" ht="15.0" customHeight="1">
      <c r="A5944" s="10" t="s">
        <v>32</v>
      </c>
      <c r="B5944" s="10"/>
      <c r="C5944" s="10" t="s">
        <v>33</v>
      </c>
      <c r="D5944" s="10" t="s">
        <v>34</v>
      </c>
      <c r="E5944" s="14">
        <v>3.0</v>
      </c>
      <c r="F5944" s="15">
        <f>ROUND(4.38,3)</f>
        <v>4.38</v>
      </c>
      <c r="G5944" s="12">
        <f>ROUND((E5944*F5944)/100,2)</f>
        <v>0.13</v>
      </c>
    </row>
    <row r="5945" ht="15.0" customHeight="1">
      <c r="A5945" s="16"/>
      <c r="B5945" s="16"/>
      <c r="C5945" s="16"/>
      <c r="D5945" s="17" t="s">
        <v>2683</v>
      </c>
      <c r="E5945" s="16"/>
      <c r="F5945" s="18">
        <f>ROUND((G5938+G5939+G5944)*(1+G2/100),2)</f>
        <v>8.55</v>
      </c>
      <c r="G5945" s="16"/>
    </row>
    <row r="5946" ht="15.0" customHeight="1">
      <c r="A5946" s="23"/>
      <c r="B5946" s="23"/>
      <c r="C5946" s="23"/>
      <c r="D5946" s="32" t="s">
        <v>2674</v>
      </c>
      <c r="E5946" s="33"/>
      <c r="F5946" s="33"/>
      <c r="G5946" s="33"/>
    </row>
    <row r="5947" ht="24.75" customHeight="1">
      <c r="A5947" s="34" t="s">
        <v>2687</v>
      </c>
      <c r="B5947" s="34" t="s">
        <v>10</v>
      </c>
      <c r="C5947" s="35"/>
      <c r="D5947" s="34" t="s">
        <v>2688</v>
      </c>
      <c r="E5947" s="35"/>
      <c r="F5947" s="35"/>
      <c r="G5947" s="35"/>
    </row>
    <row r="5948" ht="57.75" customHeight="1">
      <c r="A5948" s="13" t="s">
        <v>2689</v>
      </c>
      <c r="B5948" s="10" t="s">
        <v>18</v>
      </c>
      <c r="C5948" s="10" t="s">
        <v>351</v>
      </c>
      <c r="D5948" s="10" t="s">
        <v>2690</v>
      </c>
      <c r="E5948" s="11"/>
      <c r="F5948" s="12">
        <f>F5959</f>
        <v>36.89</v>
      </c>
      <c r="G5948" s="11"/>
    </row>
    <row r="5949" ht="39.75" customHeight="1">
      <c r="A5949" s="11"/>
      <c r="B5949" s="11"/>
      <c r="C5949" s="11"/>
      <c r="D5949" s="10" t="s">
        <v>2691</v>
      </c>
    </row>
    <row r="5950" ht="30.0" customHeight="1">
      <c r="A5950" s="10" t="s">
        <v>2692</v>
      </c>
      <c r="B5950" s="10" t="s">
        <v>42</v>
      </c>
      <c r="C5950" s="10" t="s">
        <v>344</v>
      </c>
      <c r="D5950" s="10" t="s">
        <v>2693</v>
      </c>
      <c r="E5950" s="14">
        <v>5.5</v>
      </c>
      <c r="F5950" s="15">
        <f>ROUND(2.13,3)</f>
        <v>2.13</v>
      </c>
      <c r="G5950" s="12">
        <f t="shared" ref="G5950:G5957" si="908">ROUND(E5950*F5950,2)</f>
        <v>11.72</v>
      </c>
    </row>
    <row r="5951" ht="30.0" customHeight="1">
      <c r="A5951" s="10" t="s">
        <v>2694</v>
      </c>
      <c r="B5951" s="10" t="s">
        <v>42</v>
      </c>
      <c r="C5951" s="10" t="s">
        <v>184</v>
      </c>
      <c r="D5951" s="10" t="s">
        <v>2695</v>
      </c>
      <c r="E5951" s="14">
        <v>0.088</v>
      </c>
      <c r="F5951" s="15">
        <f>ROUND(15.43,3)</f>
        <v>15.43</v>
      </c>
      <c r="G5951" s="12">
        <f t="shared" si="908"/>
        <v>1.36</v>
      </c>
    </row>
    <row r="5952" ht="30.0" customHeight="1">
      <c r="A5952" s="10" t="s">
        <v>2053</v>
      </c>
      <c r="B5952" s="10" t="s">
        <v>42</v>
      </c>
      <c r="C5952" s="10" t="s">
        <v>184</v>
      </c>
      <c r="D5952" s="10" t="s">
        <v>2054</v>
      </c>
      <c r="E5952" s="14">
        <v>0.10667</v>
      </c>
      <c r="F5952" s="15">
        <f>ROUND(11.74,3)</f>
        <v>11.74</v>
      </c>
      <c r="G5952" s="12">
        <f t="shared" si="908"/>
        <v>1.25</v>
      </c>
    </row>
    <row r="5953" ht="21.0" customHeight="1">
      <c r="A5953" s="10" t="s">
        <v>22</v>
      </c>
      <c r="B5953" s="10" t="s">
        <v>18</v>
      </c>
      <c r="C5953" s="10" t="s">
        <v>23</v>
      </c>
      <c r="D5953" s="10" t="s">
        <v>24</v>
      </c>
      <c r="E5953" s="14">
        <v>0.5</v>
      </c>
      <c r="F5953" s="15">
        <f>F5957</f>
        <v>43.8</v>
      </c>
      <c r="G5953" s="12">
        <f t="shared" si="908"/>
        <v>21.9</v>
      </c>
    </row>
    <row r="5954" ht="24.0" customHeight="1">
      <c r="A5954" s="10" t="s">
        <v>25</v>
      </c>
      <c r="B5954" s="10" t="s">
        <v>26</v>
      </c>
      <c r="C5954" s="10" t="s">
        <v>23</v>
      </c>
      <c r="D5954" s="10" t="s">
        <v>27</v>
      </c>
      <c r="E5954" s="14">
        <v>1.0</v>
      </c>
      <c r="F5954" s="15">
        <f>ROUND(21,3)</f>
        <v>21</v>
      </c>
      <c r="G5954" s="12">
        <f t="shared" si="908"/>
        <v>21</v>
      </c>
    </row>
    <row r="5955" ht="24.0" customHeight="1">
      <c r="A5955" s="10" t="s">
        <v>28</v>
      </c>
      <c r="B5955" s="10" t="s">
        <v>26</v>
      </c>
      <c r="C5955" s="10" t="s">
        <v>23</v>
      </c>
      <c r="D5955" s="10" t="s">
        <v>29</v>
      </c>
      <c r="E5955" s="14">
        <v>1.0</v>
      </c>
      <c r="F5955" s="15">
        <f t="shared" ref="F5955:F5956" si="909">ROUND(19,3)</f>
        <v>19</v>
      </c>
      <c r="G5955" s="12">
        <f t="shared" si="908"/>
        <v>19</v>
      </c>
    </row>
    <row r="5956" ht="24.0" customHeight="1">
      <c r="A5956" s="10" t="s">
        <v>30</v>
      </c>
      <c r="B5956" s="10" t="s">
        <v>26</v>
      </c>
      <c r="C5956" s="10" t="s">
        <v>23</v>
      </c>
      <c r="D5956" s="10" t="s">
        <v>31</v>
      </c>
      <c r="E5956" s="14">
        <v>0.2</v>
      </c>
      <c r="F5956" s="15">
        <f t="shared" si="909"/>
        <v>19</v>
      </c>
      <c r="G5956" s="12">
        <f t="shared" si="908"/>
        <v>3.8</v>
      </c>
    </row>
    <row r="5957" ht="15.0" customHeight="1">
      <c r="A5957" s="11"/>
      <c r="B5957" s="11"/>
      <c r="C5957" s="11"/>
      <c r="D5957" s="10" t="s">
        <v>22</v>
      </c>
      <c r="E5957" s="14">
        <v>0.5</v>
      </c>
      <c r="F5957" s="15">
        <f>ROUND((G5954+G5955+G5956),3)</f>
        <v>43.8</v>
      </c>
      <c r="G5957" s="12">
        <f t="shared" si="908"/>
        <v>21.9</v>
      </c>
    </row>
    <row r="5958" ht="15.0" customHeight="1">
      <c r="A5958" s="10" t="s">
        <v>32</v>
      </c>
      <c r="B5958" s="10"/>
      <c r="C5958" s="10" t="s">
        <v>33</v>
      </c>
      <c r="D5958" s="10" t="s">
        <v>34</v>
      </c>
      <c r="E5958" s="14">
        <v>3.0</v>
      </c>
      <c r="F5958" s="15">
        <f>ROUND(21.9,3)</f>
        <v>21.9</v>
      </c>
      <c r="G5958" s="12">
        <f>ROUND((E5958*F5958)/100,2)</f>
        <v>0.66</v>
      </c>
    </row>
    <row r="5959" ht="15.0" customHeight="1">
      <c r="A5959" s="16"/>
      <c r="B5959" s="16"/>
      <c r="C5959" s="16"/>
      <c r="D5959" s="17" t="s">
        <v>2689</v>
      </c>
      <c r="E5959" s="16"/>
      <c r="F5959" s="18">
        <f>ROUND((G5950+G5951+G5952+G5953+G5958)*(1+G2/100),2)</f>
        <v>36.89</v>
      </c>
      <c r="G5959" s="16"/>
    </row>
    <row r="5960" ht="30.0" customHeight="1">
      <c r="A5960" s="19" t="s">
        <v>2696</v>
      </c>
      <c r="B5960" s="20" t="s">
        <v>18</v>
      </c>
      <c r="C5960" s="20" t="s">
        <v>351</v>
      </c>
      <c r="D5960" s="20" t="s">
        <v>2697</v>
      </c>
      <c r="E5960" s="21"/>
      <c r="F5960" s="22">
        <f>F5971</f>
        <v>36.89</v>
      </c>
      <c r="G5960" s="21"/>
    </row>
    <row r="5961" ht="39.75" customHeight="1">
      <c r="A5961" s="11"/>
      <c r="B5961" s="11"/>
      <c r="C5961" s="11"/>
      <c r="D5961" s="10" t="s">
        <v>2691</v>
      </c>
    </row>
    <row r="5962" ht="30.0" customHeight="1">
      <c r="A5962" s="10" t="s">
        <v>2692</v>
      </c>
      <c r="B5962" s="10" t="s">
        <v>42</v>
      </c>
      <c r="C5962" s="10" t="s">
        <v>344</v>
      </c>
      <c r="D5962" s="10" t="s">
        <v>2693</v>
      </c>
      <c r="E5962" s="14">
        <v>5.5</v>
      </c>
      <c r="F5962" s="15">
        <f>ROUND(2.13,3)</f>
        <v>2.13</v>
      </c>
      <c r="G5962" s="12">
        <f t="shared" ref="G5962:G5969" si="910">ROUND(E5962*F5962,2)</f>
        <v>11.72</v>
      </c>
    </row>
    <row r="5963" ht="30.0" customHeight="1">
      <c r="A5963" s="10" t="s">
        <v>2694</v>
      </c>
      <c r="B5963" s="10" t="s">
        <v>42</v>
      </c>
      <c r="C5963" s="10" t="s">
        <v>184</v>
      </c>
      <c r="D5963" s="10" t="s">
        <v>2695</v>
      </c>
      <c r="E5963" s="14">
        <v>0.088</v>
      </c>
      <c r="F5963" s="15">
        <f>ROUND(15.43,3)</f>
        <v>15.43</v>
      </c>
      <c r="G5963" s="12">
        <f t="shared" si="910"/>
        <v>1.36</v>
      </c>
    </row>
    <row r="5964" ht="30.0" customHeight="1">
      <c r="A5964" s="10" t="s">
        <v>2053</v>
      </c>
      <c r="B5964" s="10" t="s">
        <v>42</v>
      </c>
      <c r="C5964" s="10" t="s">
        <v>184</v>
      </c>
      <c r="D5964" s="10" t="s">
        <v>2054</v>
      </c>
      <c r="E5964" s="14">
        <v>0.10667</v>
      </c>
      <c r="F5964" s="15">
        <f>ROUND(11.74,3)</f>
        <v>11.74</v>
      </c>
      <c r="G5964" s="12">
        <f t="shared" si="910"/>
        <v>1.25</v>
      </c>
    </row>
    <row r="5965" ht="21.0" customHeight="1">
      <c r="A5965" s="10" t="s">
        <v>22</v>
      </c>
      <c r="B5965" s="10" t="s">
        <v>18</v>
      </c>
      <c r="C5965" s="10" t="s">
        <v>23</v>
      </c>
      <c r="D5965" s="10" t="s">
        <v>24</v>
      </c>
      <c r="E5965" s="14">
        <v>0.5</v>
      </c>
      <c r="F5965" s="15">
        <f>F5969</f>
        <v>43.8</v>
      </c>
      <c r="G5965" s="12">
        <f t="shared" si="910"/>
        <v>21.9</v>
      </c>
    </row>
    <row r="5966" ht="24.0" customHeight="1">
      <c r="A5966" s="10" t="s">
        <v>25</v>
      </c>
      <c r="B5966" s="10" t="s">
        <v>26</v>
      </c>
      <c r="C5966" s="10" t="s">
        <v>23</v>
      </c>
      <c r="D5966" s="10" t="s">
        <v>27</v>
      </c>
      <c r="E5966" s="14">
        <v>1.0</v>
      </c>
      <c r="F5966" s="15">
        <f>ROUND(21,3)</f>
        <v>21</v>
      </c>
      <c r="G5966" s="12">
        <f t="shared" si="910"/>
        <v>21</v>
      </c>
    </row>
    <row r="5967" ht="24.0" customHeight="1">
      <c r="A5967" s="10" t="s">
        <v>28</v>
      </c>
      <c r="B5967" s="10" t="s">
        <v>26</v>
      </c>
      <c r="C5967" s="10" t="s">
        <v>23</v>
      </c>
      <c r="D5967" s="10" t="s">
        <v>29</v>
      </c>
      <c r="E5967" s="14">
        <v>1.0</v>
      </c>
      <c r="F5967" s="15">
        <f t="shared" ref="F5967:F5968" si="911">ROUND(19,3)</f>
        <v>19</v>
      </c>
      <c r="G5967" s="12">
        <f t="shared" si="910"/>
        <v>19</v>
      </c>
    </row>
    <row r="5968" ht="24.0" customHeight="1">
      <c r="A5968" s="10" t="s">
        <v>30</v>
      </c>
      <c r="B5968" s="10" t="s">
        <v>26</v>
      </c>
      <c r="C5968" s="10" t="s">
        <v>23</v>
      </c>
      <c r="D5968" s="10" t="s">
        <v>31</v>
      </c>
      <c r="E5968" s="14">
        <v>0.2</v>
      </c>
      <c r="F5968" s="15">
        <f t="shared" si="911"/>
        <v>19</v>
      </c>
      <c r="G5968" s="12">
        <f t="shared" si="910"/>
        <v>3.8</v>
      </c>
    </row>
    <row r="5969" ht="15.0" customHeight="1">
      <c r="A5969" s="11"/>
      <c r="B5969" s="11"/>
      <c r="C5969" s="11"/>
      <c r="D5969" s="10" t="s">
        <v>22</v>
      </c>
      <c r="E5969" s="14">
        <v>0.5</v>
      </c>
      <c r="F5969" s="15">
        <f>ROUND((G5966+G5967+G5968),3)</f>
        <v>43.8</v>
      </c>
      <c r="G5969" s="12">
        <f t="shared" si="910"/>
        <v>21.9</v>
      </c>
    </row>
    <row r="5970" ht="15.0" customHeight="1">
      <c r="A5970" s="10" t="s">
        <v>32</v>
      </c>
      <c r="B5970" s="10"/>
      <c r="C5970" s="10" t="s">
        <v>33</v>
      </c>
      <c r="D5970" s="10" t="s">
        <v>34</v>
      </c>
      <c r="E5970" s="14">
        <v>3.0</v>
      </c>
      <c r="F5970" s="15">
        <f>ROUND(21.9,3)</f>
        <v>21.9</v>
      </c>
      <c r="G5970" s="12">
        <f>ROUND((E5970*F5970)/100,2)</f>
        <v>0.66</v>
      </c>
    </row>
    <row r="5971" ht="15.0" customHeight="1">
      <c r="A5971" s="16"/>
      <c r="B5971" s="16"/>
      <c r="C5971" s="16"/>
      <c r="D5971" s="17" t="s">
        <v>2696</v>
      </c>
      <c r="E5971" s="16"/>
      <c r="F5971" s="18">
        <f>ROUND((G5962+G5963+G5964+G5965+G5970)*(1+G2/100),2)</f>
        <v>36.89</v>
      </c>
      <c r="G5971" s="16"/>
    </row>
    <row r="5972" ht="48.75" customHeight="1">
      <c r="A5972" s="19" t="s">
        <v>2698</v>
      </c>
      <c r="B5972" s="20" t="s">
        <v>18</v>
      </c>
      <c r="C5972" s="20" t="s">
        <v>351</v>
      </c>
      <c r="D5972" s="20" t="s">
        <v>2699</v>
      </c>
      <c r="E5972" s="21"/>
      <c r="F5972" s="22">
        <f>F5983</f>
        <v>57.77</v>
      </c>
      <c r="G5972" s="21"/>
    </row>
    <row r="5973" ht="21.0" customHeight="1">
      <c r="A5973" s="11"/>
      <c r="B5973" s="11"/>
      <c r="C5973" s="11"/>
      <c r="D5973" s="10" t="s">
        <v>2699</v>
      </c>
    </row>
    <row r="5974" ht="30.0" customHeight="1">
      <c r="A5974" s="10" t="s">
        <v>2700</v>
      </c>
      <c r="B5974" s="10" t="s">
        <v>42</v>
      </c>
      <c r="C5974" s="10" t="s">
        <v>344</v>
      </c>
      <c r="D5974" s="10" t="s">
        <v>2701</v>
      </c>
      <c r="E5974" s="14">
        <v>3.5</v>
      </c>
      <c r="F5974" s="15">
        <f>ROUND(6.06,3)</f>
        <v>6.06</v>
      </c>
      <c r="G5974" s="12">
        <f t="shared" ref="G5974:G5981" si="912">ROUND(E5974*F5974,2)</f>
        <v>21.21</v>
      </c>
    </row>
    <row r="5975" ht="30.0" customHeight="1">
      <c r="A5975" s="10" t="s">
        <v>2694</v>
      </c>
      <c r="B5975" s="10" t="s">
        <v>42</v>
      </c>
      <c r="C5975" s="10" t="s">
        <v>184</v>
      </c>
      <c r="D5975" s="10" t="s">
        <v>2695</v>
      </c>
      <c r="E5975" s="14">
        <v>0.0968</v>
      </c>
      <c r="F5975" s="15">
        <f>ROUND(15.43,3)</f>
        <v>15.43</v>
      </c>
      <c r="G5975" s="12">
        <f t="shared" si="912"/>
        <v>1.49</v>
      </c>
    </row>
    <row r="5976" ht="30.0" customHeight="1">
      <c r="A5976" s="10" t="s">
        <v>2053</v>
      </c>
      <c r="B5976" s="10" t="s">
        <v>42</v>
      </c>
      <c r="C5976" s="10" t="s">
        <v>184</v>
      </c>
      <c r="D5976" s="10" t="s">
        <v>2054</v>
      </c>
      <c r="E5976" s="14">
        <v>0.0494</v>
      </c>
      <c r="F5976" s="15">
        <f>ROUND(11.74,3)</f>
        <v>11.74</v>
      </c>
      <c r="G5976" s="12">
        <f t="shared" si="912"/>
        <v>0.58</v>
      </c>
    </row>
    <row r="5977" ht="21.0" customHeight="1">
      <c r="A5977" s="10" t="s">
        <v>22</v>
      </c>
      <c r="B5977" s="10" t="s">
        <v>18</v>
      </c>
      <c r="C5977" s="10" t="s">
        <v>23</v>
      </c>
      <c r="D5977" s="10" t="s">
        <v>24</v>
      </c>
      <c r="E5977" s="14">
        <v>0.75</v>
      </c>
      <c r="F5977" s="15">
        <f>F5981</f>
        <v>43.8</v>
      </c>
      <c r="G5977" s="12">
        <f t="shared" si="912"/>
        <v>32.85</v>
      </c>
    </row>
    <row r="5978" ht="24.0" customHeight="1">
      <c r="A5978" s="10" t="s">
        <v>25</v>
      </c>
      <c r="B5978" s="10" t="s">
        <v>26</v>
      </c>
      <c r="C5978" s="10" t="s">
        <v>23</v>
      </c>
      <c r="D5978" s="10" t="s">
        <v>27</v>
      </c>
      <c r="E5978" s="14">
        <v>1.0</v>
      </c>
      <c r="F5978" s="15">
        <f>ROUND(21,3)</f>
        <v>21</v>
      </c>
      <c r="G5978" s="12">
        <f t="shared" si="912"/>
        <v>21</v>
      </c>
    </row>
    <row r="5979" ht="24.0" customHeight="1">
      <c r="A5979" s="10" t="s">
        <v>28</v>
      </c>
      <c r="B5979" s="10" t="s">
        <v>26</v>
      </c>
      <c r="C5979" s="10" t="s">
        <v>23</v>
      </c>
      <c r="D5979" s="10" t="s">
        <v>29</v>
      </c>
      <c r="E5979" s="14">
        <v>1.0</v>
      </c>
      <c r="F5979" s="15">
        <f t="shared" ref="F5979:F5980" si="913">ROUND(19,3)</f>
        <v>19</v>
      </c>
      <c r="G5979" s="12">
        <f t="shared" si="912"/>
        <v>19</v>
      </c>
    </row>
    <row r="5980" ht="24.0" customHeight="1">
      <c r="A5980" s="10" t="s">
        <v>30</v>
      </c>
      <c r="B5980" s="10" t="s">
        <v>26</v>
      </c>
      <c r="C5980" s="10" t="s">
        <v>23</v>
      </c>
      <c r="D5980" s="10" t="s">
        <v>31</v>
      </c>
      <c r="E5980" s="14">
        <v>0.2</v>
      </c>
      <c r="F5980" s="15">
        <f t="shared" si="913"/>
        <v>19</v>
      </c>
      <c r="G5980" s="12">
        <f t="shared" si="912"/>
        <v>3.8</v>
      </c>
    </row>
    <row r="5981" ht="15.0" customHeight="1">
      <c r="A5981" s="11"/>
      <c r="B5981" s="11"/>
      <c r="C5981" s="11"/>
      <c r="D5981" s="10" t="s">
        <v>22</v>
      </c>
      <c r="E5981" s="14">
        <v>0.75</v>
      </c>
      <c r="F5981" s="15">
        <f>ROUND((G5978+G5979+G5980),3)</f>
        <v>43.8</v>
      </c>
      <c r="G5981" s="12">
        <f t="shared" si="912"/>
        <v>32.85</v>
      </c>
    </row>
    <row r="5982" ht="15.0" customHeight="1">
      <c r="A5982" s="10" t="s">
        <v>32</v>
      </c>
      <c r="B5982" s="10"/>
      <c r="C5982" s="10" t="s">
        <v>33</v>
      </c>
      <c r="D5982" s="10" t="s">
        <v>34</v>
      </c>
      <c r="E5982" s="14">
        <v>5.0</v>
      </c>
      <c r="F5982" s="15">
        <f>ROUND(32.85,3)</f>
        <v>32.85</v>
      </c>
      <c r="G5982" s="12">
        <f>ROUND((E5982*F5982)/100,2)</f>
        <v>1.64</v>
      </c>
    </row>
    <row r="5983" ht="24.75" customHeight="1">
      <c r="A5983" s="16"/>
      <c r="B5983" s="16"/>
      <c r="C5983" s="16"/>
      <c r="D5983" s="17" t="s">
        <v>2698</v>
      </c>
      <c r="E5983" s="16"/>
      <c r="F5983" s="18">
        <f>ROUND((G5974+G5975+G5976+G5977+G5982)*(1+G2/100),2)</f>
        <v>57.77</v>
      </c>
      <c r="G5983" s="16"/>
    </row>
    <row r="5984" ht="48.75" customHeight="1">
      <c r="A5984" s="19" t="s">
        <v>2702</v>
      </c>
      <c r="B5984" s="20" t="s">
        <v>18</v>
      </c>
      <c r="C5984" s="20" t="s">
        <v>351</v>
      </c>
      <c r="D5984" s="20" t="s">
        <v>2703</v>
      </c>
      <c r="E5984" s="21"/>
      <c r="F5984" s="22">
        <f>F5995</f>
        <v>47.81</v>
      </c>
      <c r="G5984" s="21"/>
    </row>
    <row r="5985" ht="21.0" customHeight="1">
      <c r="A5985" s="11"/>
      <c r="B5985" s="11"/>
      <c r="C5985" s="11"/>
      <c r="D5985" s="10" t="s">
        <v>2703</v>
      </c>
    </row>
    <row r="5986" ht="30.0" customHeight="1">
      <c r="A5986" s="10" t="s">
        <v>2700</v>
      </c>
      <c r="B5986" s="10" t="s">
        <v>42</v>
      </c>
      <c r="C5986" s="10" t="s">
        <v>344</v>
      </c>
      <c r="D5986" s="10" t="s">
        <v>2701</v>
      </c>
      <c r="E5986" s="14">
        <v>3.5</v>
      </c>
      <c r="F5986" s="15">
        <f>ROUND(6.06,3)</f>
        <v>6.06</v>
      </c>
      <c r="G5986" s="12">
        <f t="shared" ref="G5986:G5993" si="914">ROUND(E5986*F5986,2)</f>
        <v>21.21</v>
      </c>
    </row>
    <row r="5987" ht="30.0" customHeight="1">
      <c r="A5987" s="10" t="s">
        <v>2694</v>
      </c>
      <c r="B5987" s="10" t="s">
        <v>42</v>
      </c>
      <c r="C5987" s="10" t="s">
        <v>184</v>
      </c>
      <c r="D5987" s="10" t="s">
        <v>2695</v>
      </c>
      <c r="E5987" s="14">
        <v>0.0968</v>
      </c>
      <c r="F5987" s="15">
        <f>ROUND(15.43,3)</f>
        <v>15.43</v>
      </c>
      <c r="G5987" s="12">
        <f t="shared" si="914"/>
        <v>1.49</v>
      </c>
    </row>
    <row r="5988" ht="30.0" customHeight="1">
      <c r="A5988" s="10" t="s">
        <v>2053</v>
      </c>
      <c r="B5988" s="10" t="s">
        <v>42</v>
      </c>
      <c r="C5988" s="10" t="s">
        <v>184</v>
      </c>
      <c r="D5988" s="10" t="s">
        <v>2054</v>
      </c>
      <c r="E5988" s="14">
        <v>0.0494</v>
      </c>
      <c r="F5988" s="15">
        <f>ROUND(11.74,3)</f>
        <v>11.74</v>
      </c>
      <c r="G5988" s="12">
        <f t="shared" si="914"/>
        <v>0.58</v>
      </c>
    </row>
    <row r="5989" ht="21.0" customHeight="1">
      <c r="A5989" s="10" t="s">
        <v>22</v>
      </c>
      <c r="B5989" s="10" t="s">
        <v>18</v>
      </c>
      <c r="C5989" s="10" t="s">
        <v>23</v>
      </c>
      <c r="D5989" s="10" t="s">
        <v>24</v>
      </c>
      <c r="E5989" s="14">
        <v>0.53333</v>
      </c>
      <c r="F5989" s="15">
        <f>F5993</f>
        <v>43.8</v>
      </c>
      <c r="G5989" s="12">
        <f t="shared" si="914"/>
        <v>23.36</v>
      </c>
    </row>
    <row r="5990" ht="24.0" customHeight="1">
      <c r="A5990" s="10" t="s">
        <v>25</v>
      </c>
      <c r="B5990" s="10" t="s">
        <v>26</v>
      </c>
      <c r="C5990" s="10" t="s">
        <v>23</v>
      </c>
      <c r="D5990" s="10" t="s">
        <v>27</v>
      </c>
      <c r="E5990" s="14">
        <v>1.0</v>
      </c>
      <c r="F5990" s="15">
        <f>ROUND(21,3)</f>
        <v>21</v>
      </c>
      <c r="G5990" s="12">
        <f t="shared" si="914"/>
        <v>21</v>
      </c>
    </row>
    <row r="5991" ht="24.0" customHeight="1">
      <c r="A5991" s="10" t="s">
        <v>28</v>
      </c>
      <c r="B5991" s="10" t="s">
        <v>26</v>
      </c>
      <c r="C5991" s="10" t="s">
        <v>23</v>
      </c>
      <c r="D5991" s="10" t="s">
        <v>29</v>
      </c>
      <c r="E5991" s="14">
        <v>1.0</v>
      </c>
      <c r="F5991" s="15">
        <f t="shared" ref="F5991:F5992" si="915">ROUND(19,3)</f>
        <v>19</v>
      </c>
      <c r="G5991" s="12">
        <f t="shared" si="914"/>
        <v>19</v>
      </c>
    </row>
    <row r="5992" ht="24.0" customHeight="1">
      <c r="A5992" s="10" t="s">
        <v>30</v>
      </c>
      <c r="B5992" s="10" t="s">
        <v>26</v>
      </c>
      <c r="C5992" s="10" t="s">
        <v>23</v>
      </c>
      <c r="D5992" s="10" t="s">
        <v>31</v>
      </c>
      <c r="E5992" s="14">
        <v>0.2</v>
      </c>
      <c r="F5992" s="15">
        <f t="shared" si="915"/>
        <v>19</v>
      </c>
      <c r="G5992" s="12">
        <f t="shared" si="914"/>
        <v>3.8</v>
      </c>
    </row>
    <row r="5993" ht="15.0" customHeight="1">
      <c r="A5993" s="11"/>
      <c r="B5993" s="11"/>
      <c r="C5993" s="11"/>
      <c r="D5993" s="10" t="s">
        <v>22</v>
      </c>
      <c r="E5993" s="14">
        <v>0.53333</v>
      </c>
      <c r="F5993" s="15">
        <f>ROUND((G5990+G5991+G5992),3)</f>
        <v>43.8</v>
      </c>
      <c r="G5993" s="12">
        <f t="shared" si="914"/>
        <v>23.36</v>
      </c>
    </row>
    <row r="5994" ht="15.0" customHeight="1">
      <c r="A5994" s="10" t="s">
        <v>32</v>
      </c>
      <c r="B5994" s="10"/>
      <c r="C5994" s="10" t="s">
        <v>33</v>
      </c>
      <c r="D5994" s="10" t="s">
        <v>34</v>
      </c>
      <c r="E5994" s="14">
        <v>5.0</v>
      </c>
      <c r="F5994" s="15">
        <f>ROUND(23.36,3)</f>
        <v>23.36</v>
      </c>
      <c r="G5994" s="12">
        <f>ROUND((E5994*F5994)/100,2)</f>
        <v>1.17</v>
      </c>
    </row>
    <row r="5995" ht="24.75" customHeight="1">
      <c r="A5995" s="16"/>
      <c r="B5995" s="16"/>
      <c r="C5995" s="16"/>
      <c r="D5995" s="17" t="s">
        <v>2702</v>
      </c>
      <c r="E5995" s="16"/>
      <c r="F5995" s="18">
        <f>ROUND((G5986+G5987+G5988+G5989+G5994)*(1+G2/100),2)</f>
        <v>47.81</v>
      </c>
      <c r="G5995" s="16"/>
    </row>
    <row r="5996" ht="48.75" customHeight="1">
      <c r="A5996" s="19" t="s">
        <v>2704</v>
      </c>
      <c r="B5996" s="20" t="s">
        <v>18</v>
      </c>
      <c r="C5996" s="20" t="s">
        <v>351</v>
      </c>
      <c r="D5996" s="20" t="s">
        <v>2705</v>
      </c>
      <c r="E5996" s="21"/>
      <c r="F5996" s="22">
        <f>F6007</f>
        <v>48.11</v>
      </c>
      <c r="G5996" s="21"/>
    </row>
    <row r="5997" ht="21.0" customHeight="1">
      <c r="A5997" s="11"/>
      <c r="B5997" s="11"/>
      <c r="C5997" s="11"/>
      <c r="D5997" s="10" t="s">
        <v>2705</v>
      </c>
    </row>
    <row r="5998" ht="39.75" customHeight="1">
      <c r="A5998" s="10" t="s">
        <v>2706</v>
      </c>
      <c r="B5998" s="10" t="s">
        <v>42</v>
      </c>
      <c r="C5998" s="10" t="s">
        <v>344</v>
      </c>
      <c r="D5998" s="10" t="s">
        <v>2707</v>
      </c>
      <c r="E5998" s="14">
        <v>4.0</v>
      </c>
      <c r="F5998" s="15">
        <f>ROUND(2.8,3)</f>
        <v>2.8</v>
      </c>
      <c r="G5998" s="12">
        <f t="shared" ref="G5998:G6005" si="916">ROUND(E5998*F5998,2)</f>
        <v>11.2</v>
      </c>
    </row>
    <row r="5999" ht="30.0" customHeight="1">
      <c r="A5999" s="10" t="s">
        <v>2694</v>
      </c>
      <c r="B5999" s="10" t="s">
        <v>42</v>
      </c>
      <c r="C5999" s="10" t="s">
        <v>184</v>
      </c>
      <c r="D5999" s="10" t="s">
        <v>2695</v>
      </c>
      <c r="E5999" s="14">
        <v>0.097</v>
      </c>
      <c r="F5999" s="15">
        <f>ROUND(15.43,3)</f>
        <v>15.43</v>
      </c>
      <c r="G5999" s="12">
        <f t="shared" si="916"/>
        <v>1.5</v>
      </c>
    </row>
    <row r="6000" ht="30.0" customHeight="1">
      <c r="A6000" s="10" t="s">
        <v>2053</v>
      </c>
      <c r="B6000" s="10" t="s">
        <v>42</v>
      </c>
      <c r="C6000" s="10" t="s">
        <v>184</v>
      </c>
      <c r="D6000" s="10" t="s">
        <v>2054</v>
      </c>
      <c r="E6000" s="14">
        <v>0.078</v>
      </c>
      <c r="F6000" s="15">
        <f>ROUND(11.74,3)</f>
        <v>11.74</v>
      </c>
      <c r="G6000" s="12">
        <f t="shared" si="916"/>
        <v>0.92</v>
      </c>
    </row>
    <row r="6001" ht="21.0" customHeight="1">
      <c r="A6001" s="10" t="s">
        <v>22</v>
      </c>
      <c r="B6001" s="10" t="s">
        <v>18</v>
      </c>
      <c r="C6001" s="10" t="s">
        <v>23</v>
      </c>
      <c r="D6001" s="10" t="s">
        <v>24</v>
      </c>
      <c r="E6001" s="14">
        <v>0.75</v>
      </c>
      <c r="F6001" s="15">
        <f>F6005</f>
        <v>43.8</v>
      </c>
      <c r="G6001" s="12">
        <f t="shared" si="916"/>
        <v>32.85</v>
      </c>
    </row>
    <row r="6002" ht="24.0" customHeight="1">
      <c r="A6002" s="10" t="s">
        <v>25</v>
      </c>
      <c r="B6002" s="10" t="s">
        <v>26</v>
      </c>
      <c r="C6002" s="10" t="s">
        <v>23</v>
      </c>
      <c r="D6002" s="10" t="s">
        <v>27</v>
      </c>
      <c r="E6002" s="14">
        <v>1.0</v>
      </c>
      <c r="F6002" s="15">
        <f>ROUND(21,3)</f>
        <v>21</v>
      </c>
      <c r="G6002" s="12">
        <f t="shared" si="916"/>
        <v>21</v>
      </c>
    </row>
    <row r="6003" ht="24.0" customHeight="1">
      <c r="A6003" s="10" t="s">
        <v>28</v>
      </c>
      <c r="B6003" s="10" t="s">
        <v>26</v>
      </c>
      <c r="C6003" s="10" t="s">
        <v>23</v>
      </c>
      <c r="D6003" s="10" t="s">
        <v>29</v>
      </c>
      <c r="E6003" s="14">
        <v>1.0</v>
      </c>
      <c r="F6003" s="15">
        <f t="shared" ref="F6003:F6004" si="917">ROUND(19,3)</f>
        <v>19</v>
      </c>
      <c r="G6003" s="12">
        <f t="shared" si="916"/>
        <v>19</v>
      </c>
    </row>
    <row r="6004" ht="24.0" customHeight="1">
      <c r="A6004" s="10" t="s">
        <v>30</v>
      </c>
      <c r="B6004" s="10" t="s">
        <v>26</v>
      </c>
      <c r="C6004" s="10" t="s">
        <v>23</v>
      </c>
      <c r="D6004" s="10" t="s">
        <v>31</v>
      </c>
      <c r="E6004" s="14">
        <v>0.2</v>
      </c>
      <c r="F6004" s="15">
        <f t="shared" si="917"/>
        <v>19</v>
      </c>
      <c r="G6004" s="12">
        <f t="shared" si="916"/>
        <v>3.8</v>
      </c>
    </row>
    <row r="6005" ht="15.0" customHeight="1">
      <c r="A6005" s="11"/>
      <c r="B6005" s="11"/>
      <c r="C6005" s="11"/>
      <c r="D6005" s="10" t="s">
        <v>22</v>
      </c>
      <c r="E6005" s="14">
        <v>0.75</v>
      </c>
      <c r="F6005" s="15">
        <f>ROUND((G6002+G6003+G6004),3)</f>
        <v>43.8</v>
      </c>
      <c r="G6005" s="12">
        <f t="shared" si="916"/>
        <v>32.85</v>
      </c>
    </row>
    <row r="6006" ht="15.0" customHeight="1">
      <c r="A6006" s="10" t="s">
        <v>32</v>
      </c>
      <c r="B6006" s="10"/>
      <c r="C6006" s="10" t="s">
        <v>33</v>
      </c>
      <c r="D6006" s="10" t="s">
        <v>34</v>
      </c>
      <c r="E6006" s="14">
        <v>5.0</v>
      </c>
      <c r="F6006" s="15">
        <f>ROUND(32.85,3)</f>
        <v>32.85</v>
      </c>
      <c r="G6006" s="12">
        <f>ROUND((E6006*F6006)/100,2)</f>
        <v>1.64</v>
      </c>
    </row>
    <row r="6007" ht="24.75" customHeight="1">
      <c r="A6007" s="16"/>
      <c r="B6007" s="16"/>
      <c r="C6007" s="16"/>
      <c r="D6007" s="17" t="s">
        <v>2704</v>
      </c>
      <c r="E6007" s="16"/>
      <c r="F6007" s="18">
        <f>ROUND((G5998+G5999+G6000+G6001+G6006)*(1+G2/100),2)</f>
        <v>48.11</v>
      </c>
      <c r="G6007" s="16"/>
    </row>
    <row r="6008" ht="48.75" customHeight="1">
      <c r="A6008" s="19" t="s">
        <v>2708</v>
      </c>
      <c r="B6008" s="20" t="s">
        <v>18</v>
      </c>
      <c r="C6008" s="20" t="s">
        <v>351</v>
      </c>
      <c r="D6008" s="20" t="s">
        <v>2709</v>
      </c>
      <c r="E6008" s="21"/>
      <c r="F6008" s="22">
        <f>F6019</f>
        <v>38.15</v>
      </c>
      <c r="G6008" s="21"/>
    </row>
    <row r="6009" ht="21.0" customHeight="1">
      <c r="A6009" s="11"/>
      <c r="B6009" s="11"/>
      <c r="C6009" s="11"/>
      <c r="D6009" s="10" t="s">
        <v>2709</v>
      </c>
    </row>
    <row r="6010" ht="39.75" customHeight="1">
      <c r="A6010" s="10" t="s">
        <v>2706</v>
      </c>
      <c r="B6010" s="10" t="s">
        <v>42</v>
      </c>
      <c r="C6010" s="10" t="s">
        <v>344</v>
      </c>
      <c r="D6010" s="10" t="s">
        <v>2707</v>
      </c>
      <c r="E6010" s="14">
        <v>4.0</v>
      </c>
      <c r="F6010" s="15">
        <f>ROUND(2.8,3)</f>
        <v>2.8</v>
      </c>
      <c r="G6010" s="12">
        <f t="shared" ref="G6010:G6017" si="918">ROUND(E6010*F6010,2)</f>
        <v>11.2</v>
      </c>
    </row>
    <row r="6011" ht="30.0" customHeight="1">
      <c r="A6011" s="10" t="s">
        <v>2694</v>
      </c>
      <c r="B6011" s="10" t="s">
        <v>42</v>
      </c>
      <c r="C6011" s="10" t="s">
        <v>184</v>
      </c>
      <c r="D6011" s="10" t="s">
        <v>2695</v>
      </c>
      <c r="E6011" s="14">
        <v>0.097</v>
      </c>
      <c r="F6011" s="15">
        <f>ROUND(15.43,3)</f>
        <v>15.43</v>
      </c>
      <c r="G6011" s="12">
        <f t="shared" si="918"/>
        <v>1.5</v>
      </c>
    </row>
    <row r="6012" ht="30.0" customHeight="1">
      <c r="A6012" s="10" t="s">
        <v>2053</v>
      </c>
      <c r="B6012" s="10" t="s">
        <v>42</v>
      </c>
      <c r="C6012" s="10" t="s">
        <v>184</v>
      </c>
      <c r="D6012" s="10" t="s">
        <v>2054</v>
      </c>
      <c r="E6012" s="14">
        <v>0.078</v>
      </c>
      <c r="F6012" s="15">
        <f>ROUND(11.74,3)</f>
        <v>11.74</v>
      </c>
      <c r="G6012" s="12">
        <f t="shared" si="918"/>
        <v>0.92</v>
      </c>
    </row>
    <row r="6013" ht="21.0" customHeight="1">
      <c r="A6013" s="10" t="s">
        <v>22</v>
      </c>
      <c r="B6013" s="10" t="s">
        <v>18</v>
      </c>
      <c r="C6013" s="10" t="s">
        <v>23</v>
      </c>
      <c r="D6013" s="10" t="s">
        <v>24</v>
      </c>
      <c r="E6013" s="14">
        <v>0.53333</v>
      </c>
      <c r="F6013" s="15">
        <f>F6017</f>
        <v>43.8</v>
      </c>
      <c r="G6013" s="12">
        <f t="shared" si="918"/>
        <v>23.36</v>
      </c>
    </row>
    <row r="6014" ht="24.0" customHeight="1">
      <c r="A6014" s="10" t="s">
        <v>25</v>
      </c>
      <c r="B6014" s="10" t="s">
        <v>26</v>
      </c>
      <c r="C6014" s="10" t="s">
        <v>23</v>
      </c>
      <c r="D6014" s="10" t="s">
        <v>27</v>
      </c>
      <c r="E6014" s="14">
        <v>1.0</v>
      </c>
      <c r="F6014" s="15">
        <f>ROUND(21,3)</f>
        <v>21</v>
      </c>
      <c r="G6014" s="12">
        <f t="shared" si="918"/>
        <v>21</v>
      </c>
    </row>
    <row r="6015" ht="24.0" customHeight="1">
      <c r="A6015" s="10" t="s">
        <v>28</v>
      </c>
      <c r="B6015" s="10" t="s">
        <v>26</v>
      </c>
      <c r="C6015" s="10" t="s">
        <v>23</v>
      </c>
      <c r="D6015" s="10" t="s">
        <v>29</v>
      </c>
      <c r="E6015" s="14">
        <v>1.0</v>
      </c>
      <c r="F6015" s="15">
        <f t="shared" ref="F6015:F6016" si="919">ROUND(19,3)</f>
        <v>19</v>
      </c>
      <c r="G6015" s="12">
        <f t="shared" si="918"/>
        <v>19</v>
      </c>
    </row>
    <row r="6016" ht="24.0" customHeight="1">
      <c r="A6016" s="10" t="s">
        <v>30</v>
      </c>
      <c r="B6016" s="10" t="s">
        <v>26</v>
      </c>
      <c r="C6016" s="10" t="s">
        <v>23</v>
      </c>
      <c r="D6016" s="10" t="s">
        <v>31</v>
      </c>
      <c r="E6016" s="14">
        <v>0.2</v>
      </c>
      <c r="F6016" s="15">
        <f t="shared" si="919"/>
        <v>19</v>
      </c>
      <c r="G6016" s="12">
        <f t="shared" si="918"/>
        <v>3.8</v>
      </c>
    </row>
    <row r="6017" ht="15.0" customHeight="1">
      <c r="A6017" s="11"/>
      <c r="B6017" s="11"/>
      <c r="C6017" s="11"/>
      <c r="D6017" s="10" t="s">
        <v>22</v>
      </c>
      <c r="E6017" s="14">
        <v>0.53333</v>
      </c>
      <c r="F6017" s="15">
        <f>ROUND((G6014+G6015+G6016),3)</f>
        <v>43.8</v>
      </c>
      <c r="G6017" s="12">
        <f t="shared" si="918"/>
        <v>23.36</v>
      </c>
    </row>
    <row r="6018" ht="15.0" customHeight="1">
      <c r="A6018" s="10" t="s">
        <v>32</v>
      </c>
      <c r="B6018" s="10"/>
      <c r="C6018" s="10" t="s">
        <v>33</v>
      </c>
      <c r="D6018" s="10" t="s">
        <v>34</v>
      </c>
      <c r="E6018" s="14">
        <v>5.0</v>
      </c>
      <c r="F6018" s="15">
        <f>ROUND(23.36,3)</f>
        <v>23.36</v>
      </c>
      <c r="G6018" s="12">
        <f>ROUND((E6018*F6018)/100,2)</f>
        <v>1.17</v>
      </c>
    </row>
    <row r="6019" ht="24.75" customHeight="1">
      <c r="A6019" s="16"/>
      <c r="B6019" s="16"/>
      <c r="C6019" s="16"/>
      <c r="D6019" s="17" t="s">
        <v>2708</v>
      </c>
      <c r="E6019" s="16"/>
      <c r="F6019" s="18">
        <f>ROUND((G6010+G6011+G6012+G6013+G6018)*(1+G2/100),2)</f>
        <v>38.15</v>
      </c>
      <c r="G6019" s="16"/>
    </row>
    <row r="6020" ht="57.75" customHeight="1">
      <c r="A6020" s="19" t="s">
        <v>2710</v>
      </c>
      <c r="B6020" s="20" t="s">
        <v>18</v>
      </c>
      <c r="C6020" s="20" t="s">
        <v>351</v>
      </c>
      <c r="D6020" s="20" t="s">
        <v>2711</v>
      </c>
      <c r="E6020" s="21"/>
      <c r="F6020" s="22">
        <f>F6033</f>
        <v>51.6</v>
      </c>
      <c r="G6020" s="21"/>
    </row>
    <row r="6021" ht="21.0" customHeight="1">
      <c r="A6021" s="11"/>
      <c r="B6021" s="11"/>
      <c r="C6021" s="11"/>
      <c r="D6021" s="10" t="s">
        <v>2711</v>
      </c>
    </row>
    <row r="6022" ht="39.75" customHeight="1">
      <c r="A6022" s="10" t="s">
        <v>2712</v>
      </c>
      <c r="B6022" s="10" t="s">
        <v>42</v>
      </c>
      <c r="C6022" s="10" t="s">
        <v>344</v>
      </c>
      <c r="D6022" s="10" t="s">
        <v>2713</v>
      </c>
      <c r="E6022" s="14">
        <v>2.2</v>
      </c>
      <c r="F6022" s="15">
        <f>ROUND(12.02,3)</f>
        <v>12.02</v>
      </c>
      <c r="G6022" s="12">
        <f t="shared" ref="G6022:G6031" si="920">ROUND(E6022*F6022,2)</f>
        <v>26.44</v>
      </c>
    </row>
    <row r="6023" ht="39.75" customHeight="1">
      <c r="A6023" s="10" t="s">
        <v>2640</v>
      </c>
      <c r="B6023" s="10" t="s">
        <v>42</v>
      </c>
      <c r="C6023" s="10" t="s">
        <v>184</v>
      </c>
      <c r="D6023" s="10" t="s">
        <v>2641</v>
      </c>
      <c r="E6023" s="14">
        <v>0.64</v>
      </c>
      <c r="F6023" s="15">
        <f>ROUND(2.6,3)</f>
        <v>2.6</v>
      </c>
      <c r="G6023" s="12">
        <f t="shared" si="920"/>
        <v>1.66</v>
      </c>
    </row>
    <row r="6024" ht="30.0" customHeight="1">
      <c r="A6024" s="10" t="s">
        <v>2053</v>
      </c>
      <c r="B6024" s="10" t="s">
        <v>42</v>
      </c>
      <c r="C6024" s="10" t="s">
        <v>184</v>
      </c>
      <c r="D6024" s="10" t="s">
        <v>2054</v>
      </c>
      <c r="E6024" s="14">
        <v>0.03</v>
      </c>
      <c r="F6024" s="15">
        <f>ROUND(11.74,3)</f>
        <v>11.74</v>
      </c>
      <c r="G6024" s="12">
        <f t="shared" si="920"/>
        <v>0.35</v>
      </c>
    </row>
    <row r="6025" ht="39.75" customHeight="1">
      <c r="A6025" s="10" t="s">
        <v>953</v>
      </c>
      <c r="B6025" s="10" t="s">
        <v>112</v>
      </c>
      <c r="C6025" s="10" t="s">
        <v>23</v>
      </c>
      <c r="D6025" s="10" t="s">
        <v>954</v>
      </c>
      <c r="E6025" s="14">
        <v>0.25</v>
      </c>
      <c r="F6025" s="15">
        <f>ROUND(1.75,3)</f>
        <v>1.75</v>
      </c>
      <c r="G6025" s="12">
        <f t="shared" si="920"/>
        <v>0.44</v>
      </c>
    </row>
    <row r="6026" ht="30.0" customHeight="1">
      <c r="A6026" s="10" t="s">
        <v>1793</v>
      </c>
      <c r="B6026" s="10" t="s">
        <v>42</v>
      </c>
      <c r="C6026" s="10" t="s">
        <v>956</v>
      </c>
      <c r="D6026" s="10" t="s">
        <v>1794</v>
      </c>
      <c r="E6026" s="14">
        <v>0.01667</v>
      </c>
      <c r="F6026" s="15">
        <f>ROUND(8.81,3)</f>
        <v>8.81</v>
      </c>
      <c r="G6026" s="12">
        <f t="shared" si="920"/>
        <v>0.15</v>
      </c>
    </row>
    <row r="6027" ht="21.0" customHeight="1">
      <c r="A6027" s="10" t="s">
        <v>22</v>
      </c>
      <c r="B6027" s="10" t="s">
        <v>18</v>
      </c>
      <c r="C6027" s="10" t="s">
        <v>23</v>
      </c>
      <c r="D6027" s="10" t="s">
        <v>24</v>
      </c>
      <c r="E6027" s="14">
        <v>0.5</v>
      </c>
      <c r="F6027" s="15">
        <f>F6031</f>
        <v>43.8</v>
      </c>
      <c r="G6027" s="12">
        <f t="shared" si="920"/>
        <v>21.9</v>
      </c>
    </row>
    <row r="6028" ht="24.0" customHeight="1">
      <c r="A6028" s="10" t="s">
        <v>25</v>
      </c>
      <c r="B6028" s="10" t="s">
        <v>26</v>
      </c>
      <c r="C6028" s="10" t="s">
        <v>23</v>
      </c>
      <c r="D6028" s="10" t="s">
        <v>27</v>
      </c>
      <c r="E6028" s="14">
        <v>1.0</v>
      </c>
      <c r="F6028" s="15">
        <f>ROUND(21,3)</f>
        <v>21</v>
      </c>
      <c r="G6028" s="12">
        <f t="shared" si="920"/>
        <v>21</v>
      </c>
    </row>
    <row r="6029" ht="24.0" customHeight="1">
      <c r="A6029" s="10" t="s">
        <v>28</v>
      </c>
      <c r="B6029" s="10" t="s">
        <v>26</v>
      </c>
      <c r="C6029" s="10" t="s">
        <v>23</v>
      </c>
      <c r="D6029" s="10" t="s">
        <v>29</v>
      </c>
      <c r="E6029" s="14">
        <v>1.0</v>
      </c>
      <c r="F6029" s="15">
        <f t="shared" ref="F6029:F6030" si="921">ROUND(19,3)</f>
        <v>19</v>
      </c>
      <c r="G6029" s="12">
        <f t="shared" si="920"/>
        <v>19</v>
      </c>
    </row>
    <row r="6030" ht="24.0" customHeight="1">
      <c r="A6030" s="10" t="s">
        <v>30</v>
      </c>
      <c r="B6030" s="10" t="s">
        <v>26</v>
      </c>
      <c r="C6030" s="10" t="s">
        <v>23</v>
      </c>
      <c r="D6030" s="10" t="s">
        <v>31</v>
      </c>
      <c r="E6030" s="14">
        <v>0.2</v>
      </c>
      <c r="F6030" s="15">
        <f t="shared" si="921"/>
        <v>19</v>
      </c>
      <c r="G6030" s="12">
        <f t="shared" si="920"/>
        <v>3.8</v>
      </c>
    </row>
    <row r="6031" ht="15.0" customHeight="1">
      <c r="A6031" s="11"/>
      <c r="B6031" s="11"/>
      <c r="C6031" s="11"/>
      <c r="D6031" s="10" t="s">
        <v>22</v>
      </c>
      <c r="E6031" s="14">
        <v>0.5</v>
      </c>
      <c r="F6031" s="15">
        <f>ROUND((G6028+G6029+G6030),3)</f>
        <v>43.8</v>
      </c>
      <c r="G6031" s="12">
        <f t="shared" si="920"/>
        <v>21.9</v>
      </c>
    </row>
    <row r="6032" ht="15.0" customHeight="1">
      <c r="A6032" s="10" t="s">
        <v>32</v>
      </c>
      <c r="B6032" s="10"/>
      <c r="C6032" s="10" t="s">
        <v>33</v>
      </c>
      <c r="D6032" s="10" t="s">
        <v>34</v>
      </c>
      <c r="E6032" s="14">
        <v>3.0</v>
      </c>
      <c r="F6032" s="15">
        <f>ROUND(21.9,3)</f>
        <v>21.9</v>
      </c>
      <c r="G6032" s="12">
        <f>ROUND((E6032*F6032)/100,2)</f>
        <v>0.66</v>
      </c>
    </row>
    <row r="6033" ht="24.75" customHeight="1">
      <c r="A6033" s="16"/>
      <c r="B6033" s="16"/>
      <c r="C6033" s="16"/>
      <c r="D6033" s="17" t="s">
        <v>2710</v>
      </c>
      <c r="E6033" s="16"/>
      <c r="F6033" s="18">
        <f>ROUND((G6022+G6023+G6024+G6025+G6026+G6027+G6032)*(1+G2/100),2)</f>
        <v>51.6</v>
      </c>
      <c r="G6033" s="16"/>
    </row>
    <row r="6034" ht="57.75" customHeight="1">
      <c r="A6034" s="19" t="s">
        <v>2714</v>
      </c>
      <c r="B6034" s="20" t="s">
        <v>18</v>
      </c>
      <c r="C6034" s="20" t="s">
        <v>351</v>
      </c>
      <c r="D6034" s="20" t="s">
        <v>2715</v>
      </c>
      <c r="E6034" s="21"/>
      <c r="F6034" s="22">
        <f>F6047</f>
        <v>53.57</v>
      </c>
      <c r="G6034" s="21"/>
    </row>
    <row r="6035" ht="21.0" customHeight="1">
      <c r="A6035" s="11"/>
      <c r="B6035" s="11"/>
      <c r="C6035" s="11"/>
      <c r="D6035" s="10" t="s">
        <v>2715</v>
      </c>
    </row>
    <row r="6036" ht="39.75" customHeight="1">
      <c r="A6036" s="10" t="s">
        <v>2712</v>
      </c>
      <c r="B6036" s="10" t="s">
        <v>42</v>
      </c>
      <c r="C6036" s="10" t="s">
        <v>344</v>
      </c>
      <c r="D6036" s="10" t="s">
        <v>2713</v>
      </c>
      <c r="E6036" s="14">
        <v>2.2</v>
      </c>
      <c r="F6036" s="15">
        <f>ROUND(12.02,3)</f>
        <v>12.02</v>
      </c>
      <c r="G6036" s="12">
        <f t="shared" ref="G6036:G6045" si="922">ROUND(E6036*F6036,2)</f>
        <v>26.44</v>
      </c>
    </row>
    <row r="6037" ht="39.75" customHeight="1">
      <c r="A6037" s="10" t="s">
        <v>2640</v>
      </c>
      <c r="B6037" s="10" t="s">
        <v>42</v>
      </c>
      <c r="C6037" s="10" t="s">
        <v>184</v>
      </c>
      <c r="D6037" s="10" t="s">
        <v>2641</v>
      </c>
      <c r="E6037" s="14">
        <v>0.64</v>
      </c>
      <c r="F6037" s="15">
        <f>ROUND(2.6,3)</f>
        <v>2.6</v>
      </c>
      <c r="G6037" s="12">
        <f t="shared" si="922"/>
        <v>1.66</v>
      </c>
    </row>
    <row r="6038" ht="30.0" customHeight="1">
      <c r="A6038" s="10" t="s">
        <v>2053</v>
      </c>
      <c r="B6038" s="10" t="s">
        <v>42</v>
      </c>
      <c r="C6038" s="10" t="s">
        <v>184</v>
      </c>
      <c r="D6038" s="10" t="s">
        <v>2054</v>
      </c>
      <c r="E6038" s="14">
        <v>0.03</v>
      </c>
      <c r="F6038" s="15">
        <f>ROUND(11.74,3)</f>
        <v>11.74</v>
      </c>
      <c r="G6038" s="12">
        <f t="shared" si="922"/>
        <v>0.35</v>
      </c>
    </row>
    <row r="6039" ht="39.75" customHeight="1">
      <c r="A6039" s="10" t="s">
        <v>953</v>
      </c>
      <c r="B6039" s="10" t="s">
        <v>112</v>
      </c>
      <c r="C6039" s="10" t="s">
        <v>23</v>
      </c>
      <c r="D6039" s="10" t="s">
        <v>954</v>
      </c>
      <c r="E6039" s="14">
        <v>0.25</v>
      </c>
      <c r="F6039" s="15">
        <f>ROUND(1.75,3)</f>
        <v>1.75</v>
      </c>
      <c r="G6039" s="12">
        <f t="shared" si="922"/>
        <v>0.44</v>
      </c>
    </row>
    <row r="6040" ht="30.0" customHeight="1">
      <c r="A6040" s="10" t="s">
        <v>1793</v>
      </c>
      <c r="B6040" s="10" t="s">
        <v>42</v>
      </c>
      <c r="C6040" s="10" t="s">
        <v>956</v>
      </c>
      <c r="D6040" s="10" t="s">
        <v>1794</v>
      </c>
      <c r="E6040" s="14">
        <v>0.01667</v>
      </c>
      <c r="F6040" s="15">
        <f>ROUND(8.81,3)</f>
        <v>8.81</v>
      </c>
      <c r="G6040" s="12">
        <f t="shared" si="922"/>
        <v>0.15</v>
      </c>
    </row>
    <row r="6041" ht="21.0" customHeight="1">
      <c r="A6041" s="10" t="s">
        <v>22</v>
      </c>
      <c r="B6041" s="10" t="s">
        <v>18</v>
      </c>
      <c r="C6041" s="10" t="s">
        <v>23</v>
      </c>
      <c r="D6041" s="10" t="s">
        <v>24</v>
      </c>
      <c r="E6041" s="14">
        <v>0.53333</v>
      </c>
      <c r="F6041" s="15">
        <f>F6045</f>
        <v>43.8</v>
      </c>
      <c r="G6041" s="12">
        <f t="shared" si="922"/>
        <v>23.36</v>
      </c>
    </row>
    <row r="6042" ht="24.0" customHeight="1">
      <c r="A6042" s="10" t="s">
        <v>25</v>
      </c>
      <c r="B6042" s="10" t="s">
        <v>26</v>
      </c>
      <c r="C6042" s="10" t="s">
        <v>23</v>
      </c>
      <c r="D6042" s="10" t="s">
        <v>27</v>
      </c>
      <c r="E6042" s="14">
        <v>1.0</v>
      </c>
      <c r="F6042" s="15">
        <f>ROUND(21,3)</f>
        <v>21</v>
      </c>
      <c r="G6042" s="12">
        <f t="shared" si="922"/>
        <v>21</v>
      </c>
    </row>
    <row r="6043" ht="24.0" customHeight="1">
      <c r="A6043" s="10" t="s">
        <v>28</v>
      </c>
      <c r="B6043" s="10" t="s">
        <v>26</v>
      </c>
      <c r="C6043" s="10" t="s">
        <v>23</v>
      </c>
      <c r="D6043" s="10" t="s">
        <v>29</v>
      </c>
      <c r="E6043" s="14">
        <v>1.0</v>
      </c>
      <c r="F6043" s="15">
        <f t="shared" ref="F6043:F6044" si="923">ROUND(19,3)</f>
        <v>19</v>
      </c>
      <c r="G6043" s="12">
        <f t="shared" si="922"/>
        <v>19</v>
      </c>
    </row>
    <row r="6044" ht="24.0" customHeight="1">
      <c r="A6044" s="10" t="s">
        <v>30</v>
      </c>
      <c r="B6044" s="10" t="s">
        <v>26</v>
      </c>
      <c r="C6044" s="10" t="s">
        <v>23</v>
      </c>
      <c r="D6044" s="10" t="s">
        <v>31</v>
      </c>
      <c r="E6044" s="14">
        <v>0.2</v>
      </c>
      <c r="F6044" s="15">
        <f t="shared" si="923"/>
        <v>19</v>
      </c>
      <c r="G6044" s="12">
        <f t="shared" si="922"/>
        <v>3.8</v>
      </c>
    </row>
    <row r="6045" ht="15.0" customHeight="1">
      <c r="A6045" s="11"/>
      <c r="B6045" s="11"/>
      <c r="C6045" s="11"/>
      <c r="D6045" s="10" t="s">
        <v>22</v>
      </c>
      <c r="E6045" s="14">
        <v>0.53333</v>
      </c>
      <c r="F6045" s="15">
        <f>ROUND((G6042+G6043+G6044),3)</f>
        <v>43.8</v>
      </c>
      <c r="G6045" s="12">
        <f t="shared" si="922"/>
        <v>23.36</v>
      </c>
    </row>
    <row r="6046" ht="15.0" customHeight="1">
      <c r="A6046" s="10" t="s">
        <v>32</v>
      </c>
      <c r="B6046" s="10"/>
      <c r="C6046" s="10" t="s">
        <v>33</v>
      </c>
      <c r="D6046" s="10" t="s">
        <v>34</v>
      </c>
      <c r="E6046" s="14">
        <v>5.0</v>
      </c>
      <c r="F6046" s="15">
        <f>ROUND(23.36,3)</f>
        <v>23.36</v>
      </c>
      <c r="G6046" s="12">
        <f>ROUND((E6046*F6046)/100,2)</f>
        <v>1.17</v>
      </c>
    </row>
    <row r="6047" ht="24.75" customHeight="1">
      <c r="A6047" s="16"/>
      <c r="B6047" s="16"/>
      <c r="C6047" s="16"/>
      <c r="D6047" s="17" t="s">
        <v>2714</v>
      </c>
      <c r="E6047" s="16"/>
      <c r="F6047" s="18">
        <f>ROUND((G6036+G6037+G6038+G6039+G6040+G6041+G6046)*(1+G2/100),2)</f>
        <v>53.57</v>
      </c>
      <c r="G6047" s="16"/>
    </row>
    <row r="6048" ht="39.75" customHeight="1">
      <c r="A6048" s="19" t="s">
        <v>2716</v>
      </c>
      <c r="B6048" s="20" t="s">
        <v>18</v>
      </c>
      <c r="C6048" s="20" t="s">
        <v>351</v>
      </c>
      <c r="D6048" s="20" t="s">
        <v>2717</v>
      </c>
      <c r="E6048" s="21"/>
      <c r="F6048" s="22">
        <f>F6059</f>
        <v>59.1</v>
      </c>
      <c r="G6048" s="21"/>
    </row>
    <row r="6049" ht="21.0" customHeight="1">
      <c r="A6049" s="11"/>
      <c r="B6049" s="11"/>
      <c r="C6049" s="11"/>
      <c r="D6049" s="10" t="s">
        <v>2717</v>
      </c>
    </row>
    <row r="6050" ht="39.75" customHeight="1">
      <c r="A6050" s="10" t="s">
        <v>2718</v>
      </c>
      <c r="B6050" s="10" t="s">
        <v>42</v>
      </c>
      <c r="C6050" s="10" t="s">
        <v>344</v>
      </c>
      <c r="D6050" s="10" t="s">
        <v>2719</v>
      </c>
      <c r="E6050" s="14">
        <v>3.0</v>
      </c>
      <c r="F6050" s="15">
        <f>ROUND(7.4,3)</f>
        <v>7.4</v>
      </c>
      <c r="G6050" s="12">
        <f t="shared" ref="G6050:G6057" si="924">ROUND(E6050*F6050,2)</f>
        <v>22.2</v>
      </c>
    </row>
    <row r="6051" ht="30.0" customHeight="1">
      <c r="A6051" s="10" t="s">
        <v>2694</v>
      </c>
      <c r="B6051" s="10" t="s">
        <v>42</v>
      </c>
      <c r="C6051" s="10" t="s">
        <v>184</v>
      </c>
      <c r="D6051" s="10" t="s">
        <v>2695</v>
      </c>
      <c r="E6051" s="14">
        <v>0.09</v>
      </c>
      <c r="F6051" s="15">
        <f>ROUND(15.43,3)</f>
        <v>15.43</v>
      </c>
      <c r="G6051" s="12">
        <f t="shared" si="924"/>
        <v>1.39</v>
      </c>
    </row>
    <row r="6052" ht="30.0" customHeight="1">
      <c r="A6052" s="10" t="s">
        <v>2053</v>
      </c>
      <c r="B6052" s="10" t="s">
        <v>42</v>
      </c>
      <c r="C6052" s="10" t="s">
        <v>184</v>
      </c>
      <c r="D6052" s="10" t="s">
        <v>2054</v>
      </c>
      <c r="E6052" s="14">
        <v>0.0867</v>
      </c>
      <c r="F6052" s="15">
        <f>ROUND(11.74,3)</f>
        <v>11.74</v>
      </c>
      <c r="G6052" s="12">
        <f t="shared" si="924"/>
        <v>1.02</v>
      </c>
    </row>
    <row r="6053" ht="21.0" customHeight="1">
      <c r="A6053" s="10" t="s">
        <v>22</v>
      </c>
      <c r="B6053" s="10" t="s">
        <v>18</v>
      </c>
      <c r="C6053" s="10" t="s">
        <v>23</v>
      </c>
      <c r="D6053" s="10" t="s">
        <v>24</v>
      </c>
      <c r="E6053" s="14">
        <v>0.75</v>
      </c>
      <c r="F6053" s="15">
        <f>F6057</f>
        <v>43.8</v>
      </c>
      <c r="G6053" s="12">
        <f t="shared" si="924"/>
        <v>32.85</v>
      </c>
    </row>
    <row r="6054" ht="24.0" customHeight="1">
      <c r="A6054" s="10" t="s">
        <v>25</v>
      </c>
      <c r="B6054" s="10" t="s">
        <v>26</v>
      </c>
      <c r="C6054" s="10" t="s">
        <v>23</v>
      </c>
      <c r="D6054" s="10" t="s">
        <v>27</v>
      </c>
      <c r="E6054" s="14">
        <v>1.0</v>
      </c>
      <c r="F6054" s="15">
        <f>ROUND(21,3)</f>
        <v>21</v>
      </c>
      <c r="G6054" s="12">
        <f t="shared" si="924"/>
        <v>21</v>
      </c>
    </row>
    <row r="6055" ht="24.0" customHeight="1">
      <c r="A6055" s="10" t="s">
        <v>28</v>
      </c>
      <c r="B6055" s="10" t="s">
        <v>26</v>
      </c>
      <c r="C6055" s="10" t="s">
        <v>23</v>
      </c>
      <c r="D6055" s="10" t="s">
        <v>29</v>
      </c>
      <c r="E6055" s="14">
        <v>1.0</v>
      </c>
      <c r="F6055" s="15">
        <f t="shared" ref="F6055:F6056" si="925">ROUND(19,3)</f>
        <v>19</v>
      </c>
      <c r="G6055" s="12">
        <f t="shared" si="924"/>
        <v>19</v>
      </c>
    </row>
    <row r="6056" ht="24.0" customHeight="1">
      <c r="A6056" s="10" t="s">
        <v>30</v>
      </c>
      <c r="B6056" s="10" t="s">
        <v>26</v>
      </c>
      <c r="C6056" s="10" t="s">
        <v>23</v>
      </c>
      <c r="D6056" s="10" t="s">
        <v>31</v>
      </c>
      <c r="E6056" s="14">
        <v>0.2</v>
      </c>
      <c r="F6056" s="15">
        <f t="shared" si="925"/>
        <v>19</v>
      </c>
      <c r="G6056" s="12">
        <f t="shared" si="924"/>
        <v>3.8</v>
      </c>
    </row>
    <row r="6057" ht="15.0" customHeight="1">
      <c r="A6057" s="11"/>
      <c r="B6057" s="11"/>
      <c r="C6057" s="11"/>
      <c r="D6057" s="10" t="s">
        <v>22</v>
      </c>
      <c r="E6057" s="14">
        <v>0.75</v>
      </c>
      <c r="F6057" s="15">
        <f>ROUND((G6054+G6055+G6056),3)</f>
        <v>43.8</v>
      </c>
      <c r="G6057" s="12">
        <f t="shared" si="924"/>
        <v>32.85</v>
      </c>
    </row>
    <row r="6058" ht="15.0" customHeight="1">
      <c r="A6058" s="10" t="s">
        <v>32</v>
      </c>
      <c r="B6058" s="10"/>
      <c r="C6058" s="10" t="s">
        <v>33</v>
      </c>
      <c r="D6058" s="10" t="s">
        <v>34</v>
      </c>
      <c r="E6058" s="14">
        <v>5.0</v>
      </c>
      <c r="F6058" s="15">
        <f>ROUND(32.85,3)</f>
        <v>32.85</v>
      </c>
      <c r="G6058" s="12">
        <f>ROUND((E6058*F6058)/100,2)</f>
        <v>1.64</v>
      </c>
    </row>
    <row r="6059" ht="24.75" customHeight="1">
      <c r="A6059" s="16"/>
      <c r="B6059" s="16"/>
      <c r="C6059" s="16"/>
      <c r="D6059" s="17" t="s">
        <v>2716</v>
      </c>
      <c r="E6059" s="16"/>
      <c r="F6059" s="18">
        <f>ROUND((G6050+G6051+G6052+G6053+G6058)*(1+G2/100),2)</f>
        <v>59.1</v>
      </c>
      <c r="G6059" s="16"/>
    </row>
    <row r="6060" ht="39.75" customHeight="1">
      <c r="A6060" s="19" t="s">
        <v>2720</v>
      </c>
      <c r="B6060" s="20" t="s">
        <v>18</v>
      </c>
      <c r="C6060" s="20" t="s">
        <v>351</v>
      </c>
      <c r="D6060" s="20" t="s">
        <v>2721</v>
      </c>
      <c r="E6060" s="21"/>
      <c r="F6060" s="22">
        <f>F6071</f>
        <v>49.14</v>
      </c>
      <c r="G6060" s="21"/>
    </row>
    <row r="6061" ht="21.0" customHeight="1">
      <c r="A6061" s="11"/>
      <c r="B6061" s="11"/>
      <c r="C6061" s="11"/>
      <c r="D6061" s="10" t="s">
        <v>2721</v>
      </c>
    </row>
    <row r="6062" ht="39.75" customHeight="1">
      <c r="A6062" s="10" t="s">
        <v>2718</v>
      </c>
      <c r="B6062" s="10" t="s">
        <v>42</v>
      </c>
      <c r="C6062" s="10" t="s">
        <v>344</v>
      </c>
      <c r="D6062" s="10" t="s">
        <v>2719</v>
      </c>
      <c r="E6062" s="14">
        <v>3.0</v>
      </c>
      <c r="F6062" s="15">
        <f>ROUND(7.4,3)</f>
        <v>7.4</v>
      </c>
      <c r="G6062" s="12">
        <f t="shared" ref="G6062:G6069" si="926">ROUND(E6062*F6062,2)</f>
        <v>22.2</v>
      </c>
    </row>
    <row r="6063" ht="30.0" customHeight="1">
      <c r="A6063" s="10" t="s">
        <v>2694</v>
      </c>
      <c r="B6063" s="10" t="s">
        <v>42</v>
      </c>
      <c r="C6063" s="10" t="s">
        <v>184</v>
      </c>
      <c r="D6063" s="10" t="s">
        <v>2695</v>
      </c>
      <c r="E6063" s="14">
        <v>0.09</v>
      </c>
      <c r="F6063" s="15">
        <f>ROUND(15.43,3)</f>
        <v>15.43</v>
      </c>
      <c r="G6063" s="12">
        <f t="shared" si="926"/>
        <v>1.39</v>
      </c>
    </row>
    <row r="6064" ht="30.0" customHeight="1">
      <c r="A6064" s="10" t="s">
        <v>2053</v>
      </c>
      <c r="B6064" s="10" t="s">
        <v>42</v>
      </c>
      <c r="C6064" s="10" t="s">
        <v>184</v>
      </c>
      <c r="D6064" s="10" t="s">
        <v>2054</v>
      </c>
      <c r="E6064" s="14">
        <v>0.0867</v>
      </c>
      <c r="F6064" s="15">
        <f>ROUND(11.74,3)</f>
        <v>11.74</v>
      </c>
      <c r="G6064" s="12">
        <f t="shared" si="926"/>
        <v>1.02</v>
      </c>
    </row>
    <row r="6065" ht="21.0" customHeight="1">
      <c r="A6065" s="10" t="s">
        <v>22</v>
      </c>
      <c r="B6065" s="10" t="s">
        <v>18</v>
      </c>
      <c r="C6065" s="10" t="s">
        <v>23</v>
      </c>
      <c r="D6065" s="10" t="s">
        <v>24</v>
      </c>
      <c r="E6065" s="14">
        <v>0.53333</v>
      </c>
      <c r="F6065" s="15">
        <f>F6069</f>
        <v>43.8</v>
      </c>
      <c r="G6065" s="12">
        <f t="shared" si="926"/>
        <v>23.36</v>
      </c>
    </row>
    <row r="6066" ht="24.0" customHeight="1">
      <c r="A6066" s="10" t="s">
        <v>25</v>
      </c>
      <c r="B6066" s="10" t="s">
        <v>26</v>
      </c>
      <c r="C6066" s="10" t="s">
        <v>23</v>
      </c>
      <c r="D6066" s="10" t="s">
        <v>27</v>
      </c>
      <c r="E6066" s="14">
        <v>1.0</v>
      </c>
      <c r="F6066" s="15">
        <f>ROUND(21,3)</f>
        <v>21</v>
      </c>
      <c r="G6066" s="12">
        <f t="shared" si="926"/>
        <v>21</v>
      </c>
    </row>
    <row r="6067" ht="24.0" customHeight="1">
      <c r="A6067" s="10" t="s">
        <v>28</v>
      </c>
      <c r="B6067" s="10" t="s">
        <v>26</v>
      </c>
      <c r="C6067" s="10" t="s">
        <v>23</v>
      </c>
      <c r="D6067" s="10" t="s">
        <v>29</v>
      </c>
      <c r="E6067" s="14">
        <v>1.0</v>
      </c>
      <c r="F6067" s="15">
        <f t="shared" ref="F6067:F6068" si="927">ROUND(19,3)</f>
        <v>19</v>
      </c>
      <c r="G6067" s="12">
        <f t="shared" si="926"/>
        <v>19</v>
      </c>
    </row>
    <row r="6068" ht="24.0" customHeight="1">
      <c r="A6068" s="10" t="s">
        <v>30</v>
      </c>
      <c r="B6068" s="10" t="s">
        <v>26</v>
      </c>
      <c r="C6068" s="10" t="s">
        <v>23</v>
      </c>
      <c r="D6068" s="10" t="s">
        <v>31</v>
      </c>
      <c r="E6068" s="14">
        <v>0.2</v>
      </c>
      <c r="F6068" s="15">
        <f t="shared" si="927"/>
        <v>19</v>
      </c>
      <c r="G6068" s="12">
        <f t="shared" si="926"/>
        <v>3.8</v>
      </c>
    </row>
    <row r="6069" ht="15.0" customHeight="1">
      <c r="A6069" s="11"/>
      <c r="B6069" s="11"/>
      <c r="C6069" s="11"/>
      <c r="D6069" s="10" t="s">
        <v>22</v>
      </c>
      <c r="E6069" s="14">
        <v>0.53333</v>
      </c>
      <c r="F6069" s="15">
        <f>ROUND((G6066+G6067+G6068),3)</f>
        <v>43.8</v>
      </c>
      <c r="G6069" s="12">
        <f t="shared" si="926"/>
        <v>23.36</v>
      </c>
    </row>
    <row r="6070" ht="15.0" customHeight="1">
      <c r="A6070" s="10" t="s">
        <v>32</v>
      </c>
      <c r="B6070" s="10"/>
      <c r="C6070" s="10" t="s">
        <v>33</v>
      </c>
      <c r="D6070" s="10" t="s">
        <v>34</v>
      </c>
      <c r="E6070" s="14">
        <v>5.0</v>
      </c>
      <c r="F6070" s="15">
        <f>ROUND(23.36,3)</f>
        <v>23.36</v>
      </c>
      <c r="G6070" s="12">
        <f>ROUND((E6070*F6070)/100,2)</f>
        <v>1.17</v>
      </c>
    </row>
    <row r="6071" ht="24.75" customHeight="1">
      <c r="A6071" s="16"/>
      <c r="B6071" s="16"/>
      <c r="C6071" s="16"/>
      <c r="D6071" s="17" t="s">
        <v>2720</v>
      </c>
      <c r="E6071" s="16"/>
      <c r="F6071" s="18">
        <f>ROUND((G6062+G6063+G6064+G6065+G6070)*(1+G2/100),2)</f>
        <v>49.14</v>
      </c>
      <c r="G6071" s="16"/>
    </row>
    <row r="6072" ht="39.75" customHeight="1">
      <c r="A6072" s="19" t="s">
        <v>2722</v>
      </c>
      <c r="B6072" s="20" t="s">
        <v>18</v>
      </c>
      <c r="C6072" s="20" t="s">
        <v>351</v>
      </c>
      <c r="D6072" s="20" t="s">
        <v>2723</v>
      </c>
      <c r="E6072" s="21"/>
      <c r="F6072" s="22">
        <f>F6083</f>
        <v>64.87</v>
      </c>
      <c r="G6072" s="21"/>
    </row>
    <row r="6073" ht="21.0" customHeight="1">
      <c r="A6073" s="11"/>
      <c r="B6073" s="11"/>
      <c r="C6073" s="11"/>
      <c r="D6073" s="10" t="s">
        <v>2723</v>
      </c>
    </row>
    <row r="6074" ht="39.75" customHeight="1">
      <c r="A6074" s="10" t="s">
        <v>2724</v>
      </c>
      <c r="B6074" s="10" t="s">
        <v>42</v>
      </c>
      <c r="C6074" s="10" t="s">
        <v>344</v>
      </c>
      <c r="D6074" s="10" t="s">
        <v>2725</v>
      </c>
      <c r="E6074" s="14">
        <v>3.0</v>
      </c>
      <c r="F6074" s="15">
        <f>ROUND(9.05,3)</f>
        <v>9.05</v>
      </c>
      <c r="G6074" s="12">
        <f t="shared" ref="G6074:G6081" si="928">ROUND(E6074*F6074,2)</f>
        <v>27.15</v>
      </c>
    </row>
    <row r="6075" ht="30.0" customHeight="1">
      <c r="A6075" s="10" t="s">
        <v>2694</v>
      </c>
      <c r="B6075" s="10" t="s">
        <v>42</v>
      </c>
      <c r="C6075" s="10" t="s">
        <v>184</v>
      </c>
      <c r="D6075" s="10" t="s">
        <v>2695</v>
      </c>
      <c r="E6075" s="14">
        <v>0.128</v>
      </c>
      <c r="F6075" s="15">
        <f>ROUND(15.43,3)</f>
        <v>15.43</v>
      </c>
      <c r="G6075" s="12">
        <f t="shared" si="928"/>
        <v>1.98</v>
      </c>
    </row>
    <row r="6076" ht="30.0" customHeight="1">
      <c r="A6076" s="10" t="s">
        <v>2053</v>
      </c>
      <c r="B6076" s="10" t="s">
        <v>42</v>
      </c>
      <c r="C6076" s="10" t="s">
        <v>184</v>
      </c>
      <c r="D6076" s="10" t="s">
        <v>2054</v>
      </c>
      <c r="E6076" s="14">
        <v>0.1062</v>
      </c>
      <c r="F6076" s="15">
        <f>ROUND(11.74,3)</f>
        <v>11.74</v>
      </c>
      <c r="G6076" s="12">
        <f t="shared" si="928"/>
        <v>1.25</v>
      </c>
    </row>
    <row r="6077" ht="21.0" customHeight="1">
      <c r="A6077" s="10" t="s">
        <v>22</v>
      </c>
      <c r="B6077" s="10" t="s">
        <v>18</v>
      </c>
      <c r="C6077" s="10" t="s">
        <v>23</v>
      </c>
      <c r="D6077" s="10" t="s">
        <v>24</v>
      </c>
      <c r="E6077" s="14">
        <v>0.75</v>
      </c>
      <c r="F6077" s="15">
        <f>F6081</f>
        <v>43.8</v>
      </c>
      <c r="G6077" s="12">
        <f t="shared" si="928"/>
        <v>32.85</v>
      </c>
    </row>
    <row r="6078" ht="24.0" customHeight="1">
      <c r="A6078" s="10" t="s">
        <v>25</v>
      </c>
      <c r="B6078" s="10" t="s">
        <v>26</v>
      </c>
      <c r="C6078" s="10" t="s">
        <v>23</v>
      </c>
      <c r="D6078" s="10" t="s">
        <v>27</v>
      </c>
      <c r="E6078" s="14">
        <v>1.0</v>
      </c>
      <c r="F6078" s="15">
        <f>ROUND(21,3)</f>
        <v>21</v>
      </c>
      <c r="G6078" s="12">
        <f t="shared" si="928"/>
        <v>21</v>
      </c>
    </row>
    <row r="6079" ht="24.0" customHeight="1">
      <c r="A6079" s="10" t="s">
        <v>28</v>
      </c>
      <c r="B6079" s="10" t="s">
        <v>26</v>
      </c>
      <c r="C6079" s="10" t="s">
        <v>23</v>
      </c>
      <c r="D6079" s="10" t="s">
        <v>29</v>
      </c>
      <c r="E6079" s="14">
        <v>1.0</v>
      </c>
      <c r="F6079" s="15">
        <f t="shared" ref="F6079:F6080" si="929">ROUND(19,3)</f>
        <v>19</v>
      </c>
      <c r="G6079" s="12">
        <f t="shared" si="928"/>
        <v>19</v>
      </c>
    </row>
    <row r="6080" ht="24.0" customHeight="1">
      <c r="A6080" s="10" t="s">
        <v>30</v>
      </c>
      <c r="B6080" s="10" t="s">
        <v>26</v>
      </c>
      <c r="C6080" s="10" t="s">
        <v>23</v>
      </c>
      <c r="D6080" s="10" t="s">
        <v>31</v>
      </c>
      <c r="E6080" s="14">
        <v>0.2</v>
      </c>
      <c r="F6080" s="15">
        <f t="shared" si="929"/>
        <v>19</v>
      </c>
      <c r="G6080" s="12">
        <f t="shared" si="928"/>
        <v>3.8</v>
      </c>
    </row>
    <row r="6081" ht="15.0" customHeight="1">
      <c r="A6081" s="11"/>
      <c r="B6081" s="11"/>
      <c r="C6081" s="11"/>
      <c r="D6081" s="10" t="s">
        <v>22</v>
      </c>
      <c r="E6081" s="14">
        <v>0.75</v>
      </c>
      <c r="F6081" s="15">
        <f>ROUND((G6078+G6079+G6080),3)</f>
        <v>43.8</v>
      </c>
      <c r="G6081" s="12">
        <f t="shared" si="928"/>
        <v>32.85</v>
      </c>
    </row>
    <row r="6082" ht="15.0" customHeight="1">
      <c r="A6082" s="10" t="s">
        <v>32</v>
      </c>
      <c r="B6082" s="10"/>
      <c r="C6082" s="10" t="s">
        <v>33</v>
      </c>
      <c r="D6082" s="10" t="s">
        <v>34</v>
      </c>
      <c r="E6082" s="14">
        <v>5.0</v>
      </c>
      <c r="F6082" s="15">
        <f>ROUND(32.85,3)</f>
        <v>32.85</v>
      </c>
      <c r="G6082" s="12">
        <f>ROUND((E6082*F6082)/100,2)</f>
        <v>1.64</v>
      </c>
    </row>
    <row r="6083" ht="24.75" customHeight="1">
      <c r="A6083" s="16"/>
      <c r="B6083" s="16"/>
      <c r="C6083" s="16"/>
      <c r="D6083" s="17" t="s">
        <v>2722</v>
      </c>
      <c r="E6083" s="16"/>
      <c r="F6083" s="18">
        <f>ROUND((G6074+G6075+G6076+G6077+G6082)*(1+G2/100),2)</f>
        <v>64.87</v>
      </c>
      <c r="G6083" s="16"/>
    </row>
    <row r="6084" ht="39.75" customHeight="1">
      <c r="A6084" s="19" t="s">
        <v>2726</v>
      </c>
      <c r="B6084" s="20" t="s">
        <v>18</v>
      </c>
      <c r="C6084" s="20" t="s">
        <v>351</v>
      </c>
      <c r="D6084" s="20" t="s">
        <v>2727</v>
      </c>
      <c r="E6084" s="21"/>
      <c r="F6084" s="22">
        <f>F6095</f>
        <v>54.91</v>
      </c>
      <c r="G6084" s="21"/>
    </row>
    <row r="6085" ht="21.0" customHeight="1">
      <c r="A6085" s="11"/>
      <c r="B6085" s="11"/>
      <c r="C6085" s="11"/>
      <c r="D6085" s="10" t="s">
        <v>2728</v>
      </c>
    </row>
    <row r="6086" ht="39.75" customHeight="1">
      <c r="A6086" s="10" t="s">
        <v>2724</v>
      </c>
      <c r="B6086" s="10" t="s">
        <v>42</v>
      </c>
      <c r="C6086" s="10" t="s">
        <v>344</v>
      </c>
      <c r="D6086" s="10" t="s">
        <v>2725</v>
      </c>
      <c r="E6086" s="14">
        <v>3.0</v>
      </c>
      <c r="F6086" s="15">
        <f>ROUND(9.05,3)</f>
        <v>9.05</v>
      </c>
      <c r="G6086" s="12">
        <f t="shared" ref="G6086:G6093" si="930">ROUND(E6086*F6086,2)</f>
        <v>27.15</v>
      </c>
    </row>
    <row r="6087" ht="30.0" customHeight="1">
      <c r="A6087" s="10" t="s">
        <v>2694</v>
      </c>
      <c r="B6087" s="10" t="s">
        <v>42</v>
      </c>
      <c r="C6087" s="10" t="s">
        <v>184</v>
      </c>
      <c r="D6087" s="10" t="s">
        <v>2695</v>
      </c>
      <c r="E6087" s="14">
        <v>0.128</v>
      </c>
      <c r="F6087" s="15">
        <f>ROUND(15.43,3)</f>
        <v>15.43</v>
      </c>
      <c r="G6087" s="12">
        <f t="shared" si="930"/>
        <v>1.98</v>
      </c>
    </row>
    <row r="6088" ht="30.0" customHeight="1">
      <c r="A6088" s="10" t="s">
        <v>2053</v>
      </c>
      <c r="B6088" s="10" t="s">
        <v>42</v>
      </c>
      <c r="C6088" s="10" t="s">
        <v>184</v>
      </c>
      <c r="D6088" s="10" t="s">
        <v>2054</v>
      </c>
      <c r="E6088" s="14">
        <v>0.1062</v>
      </c>
      <c r="F6088" s="15">
        <f>ROUND(11.74,3)</f>
        <v>11.74</v>
      </c>
      <c r="G6088" s="12">
        <f t="shared" si="930"/>
        <v>1.25</v>
      </c>
    </row>
    <row r="6089" ht="21.0" customHeight="1">
      <c r="A6089" s="10" t="s">
        <v>22</v>
      </c>
      <c r="B6089" s="10" t="s">
        <v>18</v>
      </c>
      <c r="C6089" s="10" t="s">
        <v>23</v>
      </c>
      <c r="D6089" s="10" t="s">
        <v>24</v>
      </c>
      <c r="E6089" s="14">
        <v>0.53333</v>
      </c>
      <c r="F6089" s="15">
        <f>F6093</f>
        <v>43.8</v>
      </c>
      <c r="G6089" s="12">
        <f t="shared" si="930"/>
        <v>23.36</v>
      </c>
    </row>
    <row r="6090" ht="24.0" customHeight="1">
      <c r="A6090" s="10" t="s">
        <v>25</v>
      </c>
      <c r="B6090" s="10" t="s">
        <v>26</v>
      </c>
      <c r="C6090" s="10" t="s">
        <v>23</v>
      </c>
      <c r="D6090" s="10" t="s">
        <v>27</v>
      </c>
      <c r="E6090" s="14">
        <v>1.0</v>
      </c>
      <c r="F6090" s="15">
        <f>ROUND(21,3)</f>
        <v>21</v>
      </c>
      <c r="G6090" s="12">
        <f t="shared" si="930"/>
        <v>21</v>
      </c>
    </row>
    <row r="6091" ht="24.0" customHeight="1">
      <c r="A6091" s="10" t="s">
        <v>28</v>
      </c>
      <c r="B6091" s="10" t="s">
        <v>26</v>
      </c>
      <c r="C6091" s="10" t="s">
        <v>23</v>
      </c>
      <c r="D6091" s="10" t="s">
        <v>29</v>
      </c>
      <c r="E6091" s="14">
        <v>1.0</v>
      </c>
      <c r="F6091" s="15">
        <f t="shared" ref="F6091:F6092" si="931">ROUND(19,3)</f>
        <v>19</v>
      </c>
      <c r="G6091" s="12">
        <f t="shared" si="930"/>
        <v>19</v>
      </c>
    </row>
    <row r="6092" ht="24.0" customHeight="1">
      <c r="A6092" s="10" t="s">
        <v>30</v>
      </c>
      <c r="B6092" s="10" t="s">
        <v>26</v>
      </c>
      <c r="C6092" s="10" t="s">
        <v>23</v>
      </c>
      <c r="D6092" s="10" t="s">
        <v>31</v>
      </c>
      <c r="E6092" s="14">
        <v>0.2</v>
      </c>
      <c r="F6092" s="15">
        <f t="shared" si="931"/>
        <v>19</v>
      </c>
      <c r="G6092" s="12">
        <f t="shared" si="930"/>
        <v>3.8</v>
      </c>
    </row>
    <row r="6093" ht="15.0" customHeight="1">
      <c r="A6093" s="11"/>
      <c r="B6093" s="11"/>
      <c r="C6093" s="11"/>
      <c r="D6093" s="10" t="s">
        <v>22</v>
      </c>
      <c r="E6093" s="14">
        <v>0.53333</v>
      </c>
      <c r="F6093" s="15">
        <f>ROUND((G6090+G6091+G6092),3)</f>
        <v>43.8</v>
      </c>
      <c r="G6093" s="12">
        <f t="shared" si="930"/>
        <v>23.36</v>
      </c>
    </row>
    <row r="6094" ht="15.0" customHeight="1">
      <c r="A6094" s="10" t="s">
        <v>32</v>
      </c>
      <c r="B6094" s="10"/>
      <c r="C6094" s="10" t="s">
        <v>33</v>
      </c>
      <c r="D6094" s="10" t="s">
        <v>34</v>
      </c>
      <c r="E6094" s="14">
        <v>5.0</v>
      </c>
      <c r="F6094" s="15">
        <f>ROUND(23.36,3)</f>
        <v>23.36</v>
      </c>
      <c r="G6094" s="12">
        <f>ROUND((E6094*F6094)/100,2)</f>
        <v>1.17</v>
      </c>
    </row>
    <row r="6095" ht="24.75" customHeight="1">
      <c r="A6095" s="16"/>
      <c r="B6095" s="16"/>
      <c r="C6095" s="16"/>
      <c r="D6095" s="17" t="s">
        <v>2726</v>
      </c>
      <c r="E6095" s="16"/>
      <c r="F6095" s="18">
        <f>ROUND((G6086+G6087+G6088+G6089+G6094)*(1+G2/100),2)</f>
        <v>54.91</v>
      </c>
      <c r="G6095" s="16"/>
    </row>
    <row r="6096" ht="48.75" customHeight="1">
      <c r="A6096" s="19" t="s">
        <v>2729</v>
      </c>
      <c r="B6096" s="20" t="s">
        <v>18</v>
      </c>
      <c r="C6096" s="20" t="s">
        <v>351</v>
      </c>
      <c r="D6096" s="20" t="s">
        <v>2730</v>
      </c>
      <c r="E6096" s="21"/>
      <c r="F6096" s="22">
        <f>F6109</f>
        <v>42.57</v>
      </c>
      <c r="G6096" s="21"/>
    </row>
    <row r="6097" ht="21.0" customHeight="1">
      <c r="A6097" s="11"/>
      <c r="B6097" s="11"/>
      <c r="C6097" s="11"/>
      <c r="D6097" s="10" t="s">
        <v>2730</v>
      </c>
    </row>
    <row r="6098" ht="30.0" customHeight="1">
      <c r="A6098" s="10" t="s">
        <v>2731</v>
      </c>
      <c r="B6098" s="10" t="s">
        <v>42</v>
      </c>
      <c r="C6098" s="10" t="s">
        <v>344</v>
      </c>
      <c r="D6098" s="10" t="s">
        <v>2732</v>
      </c>
      <c r="E6098" s="14">
        <v>0.3465</v>
      </c>
      <c r="F6098" s="15">
        <f>ROUND(60,3)</f>
        <v>60</v>
      </c>
      <c r="G6098" s="12">
        <f t="shared" ref="G6098:G6107" si="932">ROUND(E6098*F6098,2)</f>
        <v>20.79</v>
      </c>
    </row>
    <row r="6099" ht="30.0" customHeight="1">
      <c r="A6099" s="10" t="s">
        <v>2733</v>
      </c>
      <c r="B6099" s="10" t="s">
        <v>42</v>
      </c>
      <c r="C6099" s="10" t="s">
        <v>344</v>
      </c>
      <c r="D6099" s="10" t="s">
        <v>2734</v>
      </c>
      <c r="E6099" s="14">
        <v>0.33333</v>
      </c>
      <c r="F6099" s="15">
        <f>ROUND(4.1,3)</f>
        <v>4.1</v>
      </c>
      <c r="G6099" s="12">
        <f t="shared" si="932"/>
        <v>1.37</v>
      </c>
    </row>
    <row r="6100" ht="30.0" customHeight="1">
      <c r="A6100" s="10" t="s">
        <v>2735</v>
      </c>
      <c r="B6100" s="10" t="s">
        <v>42</v>
      </c>
      <c r="C6100" s="10" t="s">
        <v>344</v>
      </c>
      <c r="D6100" s="10" t="s">
        <v>2736</v>
      </c>
      <c r="E6100" s="14">
        <v>0.26667</v>
      </c>
      <c r="F6100" s="15">
        <f>ROUND(18.2,3)</f>
        <v>18.2</v>
      </c>
      <c r="G6100" s="12">
        <f t="shared" si="932"/>
        <v>4.85</v>
      </c>
    </row>
    <row r="6101" ht="21.0" customHeight="1">
      <c r="A6101" s="10" t="s">
        <v>967</v>
      </c>
      <c r="B6101" s="10" t="s">
        <v>42</v>
      </c>
      <c r="C6101" s="10" t="s">
        <v>325</v>
      </c>
      <c r="D6101" s="10" t="s">
        <v>968</v>
      </c>
      <c r="E6101" s="14">
        <v>0.06</v>
      </c>
      <c r="F6101" s="15">
        <f>ROUND(6.49,3)</f>
        <v>6.49</v>
      </c>
      <c r="G6101" s="12">
        <f t="shared" si="932"/>
        <v>0.39</v>
      </c>
    </row>
    <row r="6102" ht="30.0" customHeight="1">
      <c r="A6102" s="10" t="s">
        <v>2543</v>
      </c>
      <c r="B6102" s="10" t="s">
        <v>42</v>
      </c>
      <c r="C6102" s="10" t="s">
        <v>43</v>
      </c>
      <c r="D6102" s="10" t="s">
        <v>2544</v>
      </c>
      <c r="E6102" s="14">
        <v>0.3</v>
      </c>
      <c r="F6102" s="15">
        <f>ROUND(3.7,3)</f>
        <v>3.7</v>
      </c>
      <c r="G6102" s="12">
        <f t="shared" si="932"/>
        <v>1.11</v>
      </c>
    </row>
    <row r="6103" ht="21.0" customHeight="1">
      <c r="A6103" s="10" t="s">
        <v>22</v>
      </c>
      <c r="B6103" s="10" t="s">
        <v>18</v>
      </c>
      <c r="C6103" s="10" t="s">
        <v>23</v>
      </c>
      <c r="D6103" s="10" t="s">
        <v>24</v>
      </c>
      <c r="E6103" s="14">
        <v>0.3</v>
      </c>
      <c r="F6103" s="15">
        <f>F6107</f>
        <v>43.8</v>
      </c>
      <c r="G6103" s="12">
        <f t="shared" si="932"/>
        <v>13.14</v>
      </c>
    </row>
    <row r="6104" ht="24.0" customHeight="1">
      <c r="A6104" s="10" t="s">
        <v>25</v>
      </c>
      <c r="B6104" s="10" t="s">
        <v>26</v>
      </c>
      <c r="C6104" s="10" t="s">
        <v>23</v>
      </c>
      <c r="D6104" s="10" t="s">
        <v>27</v>
      </c>
      <c r="E6104" s="14">
        <v>1.0</v>
      </c>
      <c r="F6104" s="15">
        <f>ROUND(21,3)</f>
        <v>21</v>
      </c>
      <c r="G6104" s="12">
        <f t="shared" si="932"/>
        <v>21</v>
      </c>
    </row>
    <row r="6105" ht="24.0" customHeight="1">
      <c r="A6105" s="10" t="s">
        <v>28</v>
      </c>
      <c r="B6105" s="10" t="s">
        <v>26</v>
      </c>
      <c r="C6105" s="10" t="s">
        <v>23</v>
      </c>
      <c r="D6105" s="10" t="s">
        <v>29</v>
      </c>
      <c r="E6105" s="14">
        <v>1.0</v>
      </c>
      <c r="F6105" s="15">
        <f t="shared" ref="F6105:F6106" si="933">ROUND(19,3)</f>
        <v>19</v>
      </c>
      <c r="G6105" s="12">
        <f t="shared" si="932"/>
        <v>19</v>
      </c>
    </row>
    <row r="6106" ht="24.0" customHeight="1">
      <c r="A6106" s="10" t="s">
        <v>30</v>
      </c>
      <c r="B6106" s="10" t="s">
        <v>26</v>
      </c>
      <c r="C6106" s="10" t="s">
        <v>23</v>
      </c>
      <c r="D6106" s="10" t="s">
        <v>31</v>
      </c>
      <c r="E6106" s="14">
        <v>0.2</v>
      </c>
      <c r="F6106" s="15">
        <f t="shared" si="933"/>
        <v>19</v>
      </c>
      <c r="G6106" s="12">
        <f t="shared" si="932"/>
        <v>3.8</v>
      </c>
    </row>
    <row r="6107" ht="15.0" customHeight="1">
      <c r="A6107" s="11"/>
      <c r="B6107" s="11"/>
      <c r="C6107" s="11"/>
      <c r="D6107" s="10" t="s">
        <v>22</v>
      </c>
      <c r="E6107" s="14">
        <v>0.3</v>
      </c>
      <c r="F6107" s="15">
        <f>ROUND((G6104+G6105+G6106),3)</f>
        <v>43.8</v>
      </c>
      <c r="G6107" s="12">
        <f t="shared" si="932"/>
        <v>13.14</v>
      </c>
    </row>
    <row r="6108" ht="15.0" customHeight="1">
      <c r="A6108" s="10" t="s">
        <v>32</v>
      </c>
      <c r="B6108" s="10"/>
      <c r="C6108" s="10" t="s">
        <v>33</v>
      </c>
      <c r="D6108" s="10" t="s">
        <v>34</v>
      </c>
      <c r="E6108" s="14">
        <v>7.0</v>
      </c>
      <c r="F6108" s="15">
        <f>ROUND(13.14,3)</f>
        <v>13.14</v>
      </c>
      <c r="G6108" s="12">
        <f>ROUND((E6108*F6108)/100,2)</f>
        <v>0.92</v>
      </c>
    </row>
    <row r="6109" ht="24.75" customHeight="1">
      <c r="A6109" s="16"/>
      <c r="B6109" s="16"/>
      <c r="C6109" s="16"/>
      <c r="D6109" s="17" t="s">
        <v>2729</v>
      </c>
      <c r="E6109" s="16"/>
      <c r="F6109" s="18">
        <f>ROUND((G6098+G6099+G6100+G6101+G6102+G6103+G6108)*(1+G2/100),2)</f>
        <v>42.57</v>
      </c>
      <c r="G6109" s="16"/>
    </row>
    <row r="6110" ht="48.75" customHeight="1">
      <c r="A6110" s="19" t="s">
        <v>2737</v>
      </c>
      <c r="B6110" s="20" t="s">
        <v>18</v>
      </c>
      <c r="C6110" s="20" t="s">
        <v>351</v>
      </c>
      <c r="D6110" s="20" t="s">
        <v>2738</v>
      </c>
      <c r="E6110" s="21"/>
      <c r="F6110" s="22">
        <f>F6123</f>
        <v>48.2</v>
      </c>
      <c r="G6110" s="21"/>
    </row>
    <row r="6111" ht="21.0" customHeight="1">
      <c r="A6111" s="11"/>
      <c r="B6111" s="11"/>
      <c r="C6111" s="11"/>
      <c r="D6111" s="10" t="s">
        <v>2738</v>
      </c>
    </row>
    <row r="6112" ht="30.0" customHeight="1">
      <c r="A6112" s="10" t="s">
        <v>2731</v>
      </c>
      <c r="B6112" s="10" t="s">
        <v>42</v>
      </c>
      <c r="C6112" s="10" t="s">
        <v>344</v>
      </c>
      <c r="D6112" s="10" t="s">
        <v>2732</v>
      </c>
      <c r="E6112" s="14">
        <v>0.3465</v>
      </c>
      <c r="F6112" s="15">
        <f>ROUND(60,3)</f>
        <v>60</v>
      </c>
      <c r="G6112" s="12">
        <f t="shared" ref="G6112:G6121" si="934">ROUND(E6112*F6112,2)</f>
        <v>20.79</v>
      </c>
    </row>
    <row r="6113" ht="30.0" customHeight="1">
      <c r="A6113" s="10" t="s">
        <v>2733</v>
      </c>
      <c r="B6113" s="10" t="s">
        <v>42</v>
      </c>
      <c r="C6113" s="10" t="s">
        <v>344</v>
      </c>
      <c r="D6113" s="10" t="s">
        <v>2734</v>
      </c>
      <c r="E6113" s="14">
        <v>0.33333</v>
      </c>
      <c r="F6113" s="15">
        <f>ROUND(4.1,3)</f>
        <v>4.1</v>
      </c>
      <c r="G6113" s="12">
        <f t="shared" si="934"/>
        <v>1.37</v>
      </c>
    </row>
    <row r="6114" ht="30.0" customHeight="1">
      <c r="A6114" s="10" t="s">
        <v>2735</v>
      </c>
      <c r="B6114" s="10" t="s">
        <v>42</v>
      </c>
      <c r="C6114" s="10" t="s">
        <v>344</v>
      </c>
      <c r="D6114" s="10" t="s">
        <v>2736</v>
      </c>
      <c r="E6114" s="14">
        <v>0.26667</v>
      </c>
      <c r="F6114" s="15">
        <f>ROUND(18.2,3)</f>
        <v>18.2</v>
      </c>
      <c r="G6114" s="12">
        <f t="shared" si="934"/>
        <v>4.85</v>
      </c>
    </row>
    <row r="6115" ht="21.0" customHeight="1">
      <c r="A6115" s="10" t="s">
        <v>967</v>
      </c>
      <c r="B6115" s="10" t="s">
        <v>42</v>
      </c>
      <c r="C6115" s="10" t="s">
        <v>325</v>
      </c>
      <c r="D6115" s="10" t="s">
        <v>968</v>
      </c>
      <c r="E6115" s="14">
        <v>0.06</v>
      </c>
      <c r="F6115" s="15">
        <f>ROUND(6.49,3)</f>
        <v>6.49</v>
      </c>
      <c r="G6115" s="12">
        <f t="shared" si="934"/>
        <v>0.39</v>
      </c>
    </row>
    <row r="6116" ht="30.0" customHeight="1">
      <c r="A6116" s="10" t="s">
        <v>2543</v>
      </c>
      <c r="B6116" s="10" t="s">
        <v>42</v>
      </c>
      <c r="C6116" s="10" t="s">
        <v>43</v>
      </c>
      <c r="D6116" s="10" t="s">
        <v>2544</v>
      </c>
      <c r="E6116" s="14">
        <v>0.3</v>
      </c>
      <c r="F6116" s="15">
        <f>ROUND(3.7,3)</f>
        <v>3.7</v>
      </c>
      <c r="G6116" s="12">
        <f t="shared" si="934"/>
        <v>1.11</v>
      </c>
    </row>
    <row r="6117" ht="21.0" customHeight="1">
      <c r="A6117" s="10" t="s">
        <v>22</v>
      </c>
      <c r="B6117" s="10" t="s">
        <v>18</v>
      </c>
      <c r="C6117" s="10" t="s">
        <v>23</v>
      </c>
      <c r="D6117" s="10" t="s">
        <v>24</v>
      </c>
      <c r="E6117" s="14">
        <v>0.42</v>
      </c>
      <c r="F6117" s="15">
        <f>F6121</f>
        <v>43.8</v>
      </c>
      <c r="G6117" s="12">
        <f t="shared" si="934"/>
        <v>18.4</v>
      </c>
    </row>
    <row r="6118" ht="24.0" customHeight="1">
      <c r="A6118" s="10" t="s">
        <v>25</v>
      </c>
      <c r="B6118" s="10" t="s">
        <v>26</v>
      </c>
      <c r="C6118" s="10" t="s">
        <v>23</v>
      </c>
      <c r="D6118" s="10" t="s">
        <v>27</v>
      </c>
      <c r="E6118" s="14">
        <v>1.0</v>
      </c>
      <c r="F6118" s="15">
        <f>ROUND(21,3)</f>
        <v>21</v>
      </c>
      <c r="G6118" s="12">
        <f t="shared" si="934"/>
        <v>21</v>
      </c>
    </row>
    <row r="6119" ht="24.0" customHeight="1">
      <c r="A6119" s="10" t="s">
        <v>28</v>
      </c>
      <c r="B6119" s="10" t="s">
        <v>26</v>
      </c>
      <c r="C6119" s="10" t="s">
        <v>23</v>
      </c>
      <c r="D6119" s="10" t="s">
        <v>29</v>
      </c>
      <c r="E6119" s="14">
        <v>1.0</v>
      </c>
      <c r="F6119" s="15">
        <f t="shared" ref="F6119:F6120" si="935">ROUND(19,3)</f>
        <v>19</v>
      </c>
      <c r="G6119" s="12">
        <f t="shared" si="934"/>
        <v>19</v>
      </c>
    </row>
    <row r="6120" ht="24.0" customHeight="1">
      <c r="A6120" s="10" t="s">
        <v>30</v>
      </c>
      <c r="B6120" s="10" t="s">
        <v>26</v>
      </c>
      <c r="C6120" s="10" t="s">
        <v>23</v>
      </c>
      <c r="D6120" s="10" t="s">
        <v>31</v>
      </c>
      <c r="E6120" s="14">
        <v>0.2</v>
      </c>
      <c r="F6120" s="15">
        <f t="shared" si="935"/>
        <v>19</v>
      </c>
      <c r="G6120" s="12">
        <f t="shared" si="934"/>
        <v>3.8</v>
      </c>
    </row>
    <row r="6121" ht="15.0" customHeight="1">
      <c r="A6121" s="11"/>
      <c r="B6121" s="11"/>
      <c r="C6121" s="11"/>
      <c r="D6121" s="10" t="s">
        <v>22</v>
      </c>
      <c r="E6121" s="14">
        <v>0.42</v>
      </c>
      <c r="F6121" s="15">
        <f>ROUND((G6118+G6119+G6120),3)</f>
        <v>43.8</v>
      </c>
      <c r="G6121" s="12">
        <f t="shared" si="934"/>
        <v>18.4</v>
      </c>
    </row>
    <row r="6122" ht="15.0" customHeight="1">
      <c r="A6122" s="10" t="s">
        <v>32</v>
      </c>
      <c r="B6122" s="10"/>
      <c r="C6122" s="10" t="s">
        <v>33</v>
      </c>
      <c r="D6122" s="10" t="s">
        <v>34</v>
      </c>
      <c r="E6122" s="14">
        <v>7.0</v>
      </c>
      <c r="F6122" s="15">
        <f>ROUND(18.4,3)</f>
        <v>18.4</v>
      </c>
      <c r="G6122" s="12">
        <f>ROUND((E6122*F6122)/100,2)</f>
        <v>1.29</v>
      </c>
    </row>
    <row r="6123" ht="24.75" customHeight="1">
      <c r="A6123" s="16"/>
      <c r="B6123" s="16"/>
      <c r="C6123" s="16"/>
      <c r="D6123" s="17" t="s">
        <v>2737</v>
      </c>
      <c r="E6123" s="16"/>
      <c r="F6123" s="18">
        <f>ROUND((G6112+G6113+G6114+G6115+G6116+G6117+G6122)*(1+G2/100),2)</f>
        <v>48.2</v>
      </c>
      <c r="G6123" s="16"/>
    </row>
    <row r="6124" ht="48.75" customHeight="1">
      <c r="A6124" s="19" t="s">
        <v>2739</v>
      </c>
      <c r="B6124" s="20" t="s">
        <v>18</v>
      </c>
      <c r="C6124" s="20" t="s">
        <v>351</v>
      </c>
      <c r="D6124" s="20" t="s">
        <v>2740</v>
      </c>
      <c r="E6124" s="21"/>
      <c r="F6124" s="22">
        <f>F6135</f>
        <v>88.23</v>
      </c>
      <c r="G6124" s="21"/>
    </row>
    <row r="6125" ht="21.0" customHeight="1">
      <c r="A6125" s="11"/>
      <c r="B6125" s="11"/>
      <c r="C6125" s="11"/>
      <c r="D6125" s="10" t="s">
        <v>2740</v>
      </c>
    </row>
    <row r="6126" ht="30.0" customHeight="1">
      <c r="A6126" s="10" t="s">
        <v>2741</v>
      </c>
      <c r="B6126" s="10" t="s">
        <v>42</v>
      </c>
      <c r="C6126" s="10" t="s">
        <v>344</v>
      </c>
      <c r="D6126" s="10" t="s">
        <v>2742</v>
      </c>
      <c r="E6126" s="14">
        <v>5.25</v>
      </c>
      <c r="F6126" s="15">
        <f>ROUND(9.82,3)</f>
        <v>9.82</v>
      </c>
      <c r="G6126" s="12">
        <f t="shared" ref="G6126:G6133" si="936">ROUND(E6126*F6126,2)</f>
        <v>51.56</v>
      </c>
    </row>
    <row r="6127" ht="30.0" customHeight="1">
      <c r="A6127" s="10" t="s">
        <v>2694</v>
      </c>
      <c r="B6127" s="10" t="s">
        <v>42</v>
      </c>
      <c r="C6127" s="10" t="s">
        <v>184</v>
      </c>
      <c r="D6127" s="10" t="s">
        <v>2695</v>
      </c>
      <c r="E6127" s="14">
        <v>0.088</v>
      </c>
      <c r="F6127" s="15">
        <f>ROUND(15.43,3)</f>
        <v>15.43</v>
      </c>
      <c r="G6127" s="12">
        <f t="shared" si="936"/>
        <v>1.36</v>
      </c>
    </row>
    <row r="6128" ht="30.0" customHeight="1">
      <c r="A6128" s="10" t="s">
        <v>2053</v>
      </c>
      <c r="B6128" s="10" t="s">
        <v>42</v>
      </c>
      <c r="C6128" s="10" t="s">
        <v>184</v>
      </c>
      <c r="D6128" s="10" t="s">
        <v>2054</v>
      </c>
      <c r="E6128" s="14">
        <v>0.07</v>
      </c>
      <c r="F6128" s="15">
        <f>ROUND(11.74,3)</f>
        <v>11.74</v>
      </c>
      <c r="G6128" s="12">
        <f t="shared" si="936"/>
        <v>0.82</v>
      </c>
    </row>
    <row r="6129" ht="21.0" customHeight="1">
      <c r="A6129" s="10" t="s">
        <v>22</v>
      </c>
      <c r="B6129" s="10" t="s">
        <v>18</v>
      </c>
      <c r="C6129" s="10" t="s">
        <v>23</v>
      </c>
      <c r="D6129" s="10" t="s">
        <v>24</v>
      </c>
      <c r="E6129" s="14">
        <v>0.75</v>
      </c>
      <c r="F6129" s="15">
        <f>F6133</f>
        <v>43.8</v>
      </c>
      <c r="G6129" s="12">
        <f t="shared" si="936"/>
        <v>32.85</v>
      </c>
    </row>
    <row r="6130" ht="24.0" customHeight="1">
      <c r="A6130" s="10" t="s">
        <v>25</v>
      </c>
      <c r="B6130" s="10" t="s">
        <v>26</v>
      </c>
      <c r="C6130" s="10" t="s">
        <v>23</v>
      </c>
      <c r="D6130" s="10" t="s">
        <v>27</v>
      </c>
      <c r="E6130" s="14">
        <v>1.0</v>
      </c>
      <c r="F6130" s="15">
        <f>ROUND(21,3)</f>
        <v>21</v>
      </c>
      <c r="G6130" s="12">
        <f t="shared" si="936"/>
        <v>21</v>
      </c>
    </row>
    <row r="6131" ht="24.0" customHeight="1">
      <c r="A6131" s="10" t="s">
        <v>28</v>
      </c>
      <c r="B6131" s="10" t="s">
        <v>26</v>
      </c>
      <c r="C6131" s="10" t="s">
        <v>23</v>
      </c>
      <c r="D6131" s="10" t="s">
        <v>29</v>
      </c>
      <c r="E6131" s="14">
        <v>1.0</v>
      </c>
      <c r="F6131" s="15">
        <f t="shared" ref="F6131:F6132" si="937">ROUND(19,3)</f>
        <v>19</v>
      </c>
      <c r="G6131" s="12">
        <f t="shared" si="936"/>
        <v>19</v>
      </c>
    </row>
    <row r="6132" ht="24.0" customHeight="1">
      <c r="A6132" s="10" t="s">
        <v>30</v>
      </c>
      <c r="B6132" s="10" t="s">
        <v>26</v>
      </c>
      <c r="C6132" s="10" t="s">
        <v>23</v>
      </c>
      <c r="D6132" s="10" t="s">
        <v>31</v>
      </c>
      <c r="E6132" s="14">
        <v>0.2</v>
      </c>
      <c r="F6132" s="15">
        <f t="shared" si="937"/>
        <v>19</v>
      </c>
      <c r="G6132" s="12">
        <f t="shared" si="936"/>
        <v>3.8</v>
      </c>
    </row>
    <row r="6133" ht="15.0" customHeight="1">
      <c r="A6133" s="11"/>
      <c r="B6133" s="11"/>
      <c r="C6133" s="11"/>
      <c r="D6133" s="10" t="s">
        <v>22</v>
      </c>
      <c r="E6133" s="14">
        <v>0.75</v>
      </c>
      <c r="F6133" s="15">
        <f>ROUND((G6130+G6131+G6132),3)</f>
        <v>43.8</v>
      </c>
      <c r="G6133" s="12">
        <f t="shared" si="936"/>
        <v>32.85</v>
      </c>
    </row>
    <row r="6134" ht="15.0" customHeight="1">
      <c r="A6134" s="10" t="s">
        <v>32</v>
      </c>
      <c r="B6134" s="10"/>
      <c r="C6134" s="10" t="s">
        <v>33</v>
      </c>
      <c r="D6134" s="10" t="s">
        <v>34</v>
      </c>
      <c r="E6134" s="14">
        <v>5.0</v>
      </c>
      <c r="F6134" s="15">
        <f>ROUND(32.85,3)</f>
        <v>32.85</v>
      </c>
      <c r="G6134" s="12">
        <f>ROUND((E6134*F6134)/100,2)</f>
        <v>1.64</v>
      </c>
    </row>
    <row r="6135" ht="15.0" customHeight="1">
      <c r="A6135" s="16"/>
      <c r="B6135" s="16"/>
      <c r="C6135" s="16"/>
      <c r="D6135" s="17" t="s">
        <v>2739</v>
      </c>
      <c r="E6135" s="16"/>
      <c r="F6135" s="18">
        <f>ROUND((G6126+G6127+G6128+G6129+G6134)*(1+G2/100),2)</f>
        <v>88.23</v>
      </c>
      <c r="G6135" s="16"/>
    </row>
    <row r="6136" ht="48.75" customHeight="1">
      <c r="A6136" s="19" t="s">
        <v>2743</v>
      </c>
      <c r="B6136" s="20" t="s">
        <v>18</v>
      </c>
      <c r="C6136" s="20" t="s">
        <v>351</v>
      </c>
      <c r="D6136" s="20" t="s">
        <v>2744</v>
      </c>
      <c r="E6136" s="21"/>
      <c r="F6136" s="22">
        <f>F6147</f>
        <v>79.03</v>
      </c>
      <c r="G6136" s="21"/>
    </row>
    <row r="6137" ht="21.0" customHeight="1">
      <c r="A6137" s="11"/>
      <c r="B6137" s="11"/>
      <c r="C6137" s="11"/>
      <c r="D6137" s="10" t="s">
        <v>2744</v>
      </c>
    </row>
    <row r="6138" ht="30.0" customHeight="1">
      <c r="A6138" s="10" t="s">
        <v>2741</v>
      </c>
      <c r="B6138" s="10" t="s">
        <v>42</v>
      </c>
      <c r="C6138" s="10" t="s">
        <v>344</v>
      </c>
      <c r="D6138" s="10" t="s">
        <v>2742</v>
      </c>
      <c r="E6138" s="14">
        <v>5.25</v>
      </c>
      <c r="F6138" s="15">
        <f>ROUND(9.82,3)</f>
        <v>9.82</v>
      </c>
      <c r="G6138" s="12">
        <f t="shared" ref="G6138:G6145" si="938">ROUND(E6138*F6138,2)</f>
        <v>51.56</v>
      </c>
    </row>
    <row r="6139" ht="30.0" customHeight="1">
      <c r="A6139" s="10" t="s">
        <v>2694</v>
      </c>
      <c r="B6139" s="10" t="s">
        <v>42</v>
      </c>
      <c r="C6139" s="10" t="s">
        <v>184</v>
      </c>
      <c r="D6139" s="10" t="s">
        <v>2695</v>
      </c>
      <c r="E6139" s="14">
        <v>0.088</v>
      </c>
      <c r="F6139" s="15">
        <f>ROUND(15.43,3)</f>
        <v>15.43</v>
      </c>
      <c r="G6139" s="12">
        <f t="shared" si="938"/>
        <v>1.36</v>
      </c>
    </row>
    <row r="6140" ht="30.0" customHeight="1">
      <c r="A6140" s="10" t="s">
        <v>2053</v>
      </c>
      <c r="B6140" s="10" t="s">
        <v>42</v>
      </c>
      <c r="C6140" s="10" t="s">
        <v>184</v>
      </c>
      <c r="D6140" s="10" t="s">
        <v>2054</v>
      </c>
      <c r="E6140" s="14">
        <v>0.07</v>
      </c>
      <c r="F6140" s="15">
        <f>ROUND(11.74,3)</f>
        <v>11.74</v>
      </c>
      <c r="G6140" s="12">
        <f t="shared" si="938"/>
        <v>0.82</v>
      </c>
    </row>
    <row r="6141" ht="21.0" customHeight="1">
      <c r="A6141" s="10" t="s">
        <v>22</v>
      </c>
      <c r="B6141" s="10" t="s">
        <v>18</v>
      </c>
      <c r="C6141" s="10" t="s">
        <v>23</v>
      </c>
      <c r="D6141" s="10" t="s">
        <v>24</v>
      </c>
      <c r="E6141" s="14">
        <v>0.55</v>
      </c>
      <c r="F6141" s="15">
        <f>F6145</f>
        <v>43.8</v>
      </c>
      <c r="G6141" s="12">
        <f t="shared" si="938"/>
        <v>24.09</v>
      </c>
    </row>
    <row r="6142" ht="24.0" customHeight="1">
      <c r="A6142" s="10" t="s">
        <v>25</v>
      </c>
      <c r="B6142" s="10" t="s">
        <v>26</v>
      </c>
      <c r="C6142" s="10" t="s">
        <v>23</v>
      </c>
      <c r="D6142" s="10" t="s">
        <v>27</v>
      </c>
      <c r="E6142" s="14">
        <v>1.0</v>
      </c>
      <c r="F6142" s="15">
        <f>ROUND(21,3)</f>
        <v>21</v>
      </c>
      <c r="G6142" s="12">
        <f t="shared" si="938"/>
        <v>21</v>
      </c>
    </row>
    <row r="6143" ht="24.0" customHeight="1">
      <c r="A6143" s="10" t="s">
        <v>28</v>
      </c>
      <c r="B6143" s="10" t="s">
        <v>26</v>
      </c>
      <c r="C6143" s="10" t="s">
        <v>23</v>
      </c>
      <c r="D6143" s="10" t="s">
        <v>29</v>
      </c>
      <c r="E6143" s="14">
        <v>1.0</v>
      </c>
      <c r="F6143" s="15">
        <f t="shared" ref="F6143:F6144" si="939">ROUND(19,3)</f>
        <v>19</v>
      </c>
      <c r="G6143" s="12">
        <f t="shared" si="938"/>
        <v>19</v>
      </c>
    </row>
    <row r="6144" ht="24.0" customHeight="1">
      <c r="A6144" s="10" t="s">
        <v>30</v>
      </c>
      <c r="B6144" s="10" t="s">
        <v>26</v>
      </c>
      <c r="C6144" s="10" t="s">
        <v>23</v>
      </c>
      <c r="D6144" s="10" t="s">
        <v>31</v>
      </c>
      <c r="E6144" s="14">
        <v>0.2</v>
      </c>
      <c r="F6144" s="15">
        <f t="shared" si="939"/>
        <v>19</v>
      </c>
      <c r="G6144" s="12">
        <f t="shared" si="938"/>
        <v>3.8</v>
      </c>
    </row>
    <row r="6145" ht="15.0" customHeight="1">
      <c r="A6145" s="11"/>
      <c r="B6145" s="11"/>
      <c r="C6145" s="11"/>
      <c r="D6145" s="10" t="s">
        <v>22</v>
      </c>
      <c r="E6145" s="14">
        <v>0.55</v>
      </c>
      <c r="F6145" s="15">
        <f>ROUND((G6142+G6143+G6144),3)</f>
        <v>43.8</v>
      </c>
      <c r="G6145" s="12">
        <f t="shared" si="938"/>
        <v>24.09</v>
      </c>
    </row>
    <row r="6146" ht="15.0" customHeight="1">
      <c r="A6146" s="10" t="s">
        <v>32</v>
      </c>
      <c r="B6146" s="10"/>
      <c r="C6146" s="10" t="s">
        <v>33</v>
      </c>
      <c r="D6146" s="10" t="s">
        <v>34</v>
      </c>
      <c r="E6146" s="14">
        <v>5.0</v>
      </c>
      <c r="F6146" s="15">
        <f>ROUND(24.09,3)</f>
        <v>24.09</v>
      </c>
      <c r="G6146" s="12">
        <f>ROUND((E6146*F6146)/100,2)</f>
        <v>1.2</v>
      </c>
    </row>
    <row r="6147" ht="15.0" customHeight="1">
      <c r="A6147" s="16"/>
      <c r="B6147" s="16"/>
      <c r="C6147" s="16"/>
      <c r="D6147" s="17" t="s">
        <v>2743</v>
      </c>
      <c r="E6147" s="16"/>
      <c r="F6147" s="18">
        <f>ROUND((G6138+G6139+G6140+G6141+G6146)*(1+G2/100),2)</f>
        <v>79.03</v>
      </c>
      <c r="G6147" s="16"/>
    </row>
    <row r="6148" ht="15.0" customHeight="1">
      <c r="A6148" s="23"/>
      <c r="B6148" s="23"/>
      <c r="C6148" s="23"/>
      <c r="D6148" s="32" t="s">
        <v>2687</v>
      </c>
      <c r="E6148" s="33"/>
      <c r="F6148" s="33"/>
      <c r="G6148" s="33"/>
    </row>
    <row r="6149" ht="15.0" customHeight="1">
      <c r="A6149" s="34" t="s">
        <v>2745</v>
      </c>
      <c r="B6149" s="34" t="s">
        <v>10</v>
      </c>
      <c r="C6149" s="35"/>
      <c r="D6149" s="34" t="s">
        <v>2746</v>
      </c>
      <c r="E6149" s="35"/>
      <c r="F6149" s="35"/>
      <c r="G6149" s="35"/>
    </row>
    <row r="6150" ht="67.5" customHeight="1">
      <c r="A6150" s="13" t="s">
        <v>2747</v>
      </c>
      <c r="B6150" s="10" t="s">
        <v>18</v>
      </c>
      <c r="C6150" s="10" t="s">
        <v>351</v>
      </c>
      <c r="D6150" s="10" t="s">
        <v>2748</v>
      </c>
      <c r="E6150" s="11"/>
      <c r="F6150" s="12">
        <f>F6161</f>
        <v>25.77</v>
      </c>
      <c r="G6150" s="11"/>
    </row>
    <row r="6151" ht="30.0" customHeight="1">
      <c r="A6151" s="11"/>
      <c r="B6151" s="11"/>
      <c r="C6151" s="11"/>
      <c r="D6151" s="10" t="s">
        <v>2749</v>
      </c>
    </row>
    <row r="6152" ht="39.75" customHeight="1">
      <c r="A6152" s="10" t="s">
        <v>2750</v>
      </c>
      <c r="B6152" s="10" t="s">
        <v>42</v>
      </c>
      <c r="C6152" s="10" t="s">
        <v>19</v>
      </c>
      <c r="D6152" s="10" t="s">
        <v>2751</v>
      </c>
      <c r="E6152" s="14">
        <v>0.15</v>
      </c>
      <c r="F6152" s="15">
        <f>ROUND(10.12,3)</f>
        <v>10.12</v>
      </c>
      <c r="G6152" s="12">
        <f t="shared" ref="G6152:G6159" si="940">ROUND(E6152*F6152,2)</f>
        <v>1.52</v>
      </c>
    </row>
    <row r="6153" ht="30.0" customHeight="1">
      <c r="A6153" s="10" t="s">
        <v>2694</v>
      </c>
      <c r="B6153" s="10" t="s">
        <v>42</v>
      </c>
      <c r="C6153" s="10" t="s">
        <v>184</v>
      </c>
      <c r="D6153" s="10" t="s">
        <v>2695</v>
      </c>
      <c r="E6153" s="14">
        <v>0.0616</v>
      </c>
      <c r="F6153" s="15">
        <f>ROUND(15.43,3)</f>
        <v>15.43</v>
      </c>
      <c r="G6153" s="12">
        <f t="shared" si="940"/>
        <v>0.95</v>
      </c>
    </row>
    <row r="6154" ht="30.0" customHeight="1">
      <c r="A6154" s="10" t="s">
        <v>2053</v>
      </c>
      <c r="B6154" s="10" t="s">
        <v>42</v>
      </c>
      <c r="C6154" s="10" t="s">
        <v>184</v>
      </c>
      <c r="D6154" s="10" t="s">
        <v>2054</v>
      </c>
      <c r="E6154" s="14">
        <v>0.02534</v>
      </c>
      <c r="F6154" s="15">
        <f>ROUND(11.74,3)</f>
        <v>11.74</v>
      </c>
      <c r="G6154" s="12">
        <f t="shared" si="940"/>
        <v>0.3</v>
      </c>
    </row>
    <row r="6155" ht="21.0" customHeight="1">
      <c r="A6155" s="10" t="s">
        <v>22</v>
      </c>
      <c r="B6155" s="10" t="s">
        <v>18</v>
      </c>
      <c r="C6155" s="10" t="s">
        <v>23</v>
      </c>
      <c r="D6155" s="10" t="s">
        <v>24</v>
      </c>
      <c r="E6155" s="14">
        <v>0.5</v>
      </c>
      <c r="F6155" s="15">
        <f>F6159</f>
        <v>43.8</v>
      </c>
      <c r="G6155" s="12">
        <f t="shared" si="940"/>
        <v>21.9</v>
      </c>
    </row>
    <row r="6156" ht="24.0" customHeight="1">
      <c r="A6156" s="10" t="s">
        <v>25</v>
      </c>
      <c r="B6156" s="10" t="s">
        <v>26</v>
      </c>
      <c r="C6156" s="10" t="s">
        <v>23</v>
      </c>
      <c r="D6156" s="10" t="s">
        <v>27</v>
      </c>
      <c r="E6156" s="14">
        <v>1.0</v>
      </c>
      <c r="F6156" s="15">
        <f>ROUND(21,3)</f>
        <v>21</v>
      </c>
      <c r="G6156" s="12">
        <f t="shared" si="940"/>
        <v>21</v>
      </c>
    </row>
    <row r="6157" ht="24.0" customHeight="1">
      <c r="A6157" s="10" t="s">
        <v>28</v>
      </c>
      <c r="B6157" s="10" t="s">
        <v>26</v>
      </c>
      <c r="C6157" s="10" t="s">
        <v>23</v>
      </c>
      <c r="D6157" s="10" t="s">
        <v>29</v>
      </c>
      <c r="E6157" s="14">
        <v>1.0</v>
      </c>
      <c r="F6157" s="15">
        <f t="shared" ref="F6157:F6158" si="941">ROUND(19,3)</f>
        <v>19</v>
      </c>
      <c r="G6157" s="12">
        <f t="shared" si="940"/>
        <v>19</v>
      </c>
    </row>
    <row r="6158" ht="24.0" customHeight="1">
      <c r="A6158" s="10" t="s">
        <v>30</v>
      </c>
      <c r="B6158" s="10" t="s">
        <v>26</v>
      </c>
      <c r="C6158" s="10" t="s">
        <v>23</v>
      </c>
      <c r="D6158" s="10" t="s">
        <v>31</v>
      </c>
      <c r="E6158" s="14">
        <v>0.2</v>
      </c>
      <c r="F6158" s="15">
        <f t="shared" si="941"/>
        <v>19</v>
      </c>
      <c r="G6158" s="12">
        <f t="shared" si="940"/>
        <v>3.8</v>
      </c>
    </row>
    <row r="6159" ht="15.0" customHeight="1">
      <c r="A6159" s="11"/>
      <c r="B6159" s="11"/>
      <c r="C6159" s="11"/>
      <c r="D6159" s="10" t="s">
        <v>22</v>
      </c>
      <c r="E6159" s="14">
        <v>0.5</v>
      </c>
      <c r="F6159" s="15">
        <f>ROUND((G6156+G6157+G6158),3)</f>
        <v>43.8</v>
      </c>
      <c r="G6159" s="12">
        <f t="shared" si="940"/>
        <v>21.9</v>
      </c>
    </row>
    <row r="6160" ht="15.0" customHeight="1">
      <c r="A6160" s="10" t="s">
        <v>32</v>
      </c>
      <c r="B6160" s="10"/>
      <c r="C6160" s="10" t="s">
        <v>33</v>
      </c>
      <c r="D6160" s="10" t="s">
        <v>34</v>
      </c>
      <c r="E6160" s="14">
        <v>5.0</v>
      </c>
      <c r="F6160" s="15">
        <f>ROUND(21.9,3)</f>
        <v>21.9</v>
      </c>
      <c r="G6160" s="12">
        <f>ROUND((E6160*F6160)/100,2)</f>
        <v>1.1</v>
      </c>
    </row>
    <row r="6161" ht="24.75" customHeight="1">
      <c r="A6161" s="16"/>
      <c r="B6161" s="16"/>
      <c r="C6161" s="16"/>
      <c r="D6161" s="17" t="s">
        <v>2747</v>
      </c>
      <c r="E6161" s="16"/>
      <c r="F6161" s="18">
        <f>ROUND((G6152+G6153+G6154+G6155+G6160)*(1+G2/100),2)</f>
        <v>25.77</v>
      </c>
      <c r="G6161" s="16"/>
    </row>
    <row r="6162" ht="39.75" customHeight="1">
      <c r="A6162" s="19" t="s">
        <v>2752</v>
      </c>
      <c r="B6162" s="20" t="s">
        <v>18</v>
      </c>
      <c r="C6162" s="20" t="s">
        <v>351</v>
      </c>
      <c r="D6162" s="20" t="s">
        <v>2753</v>
      </c>
      <c r="E6162" s="21"/>
      <c r="F6162" s="22">
        <f>F6173</f>
        <v>22.17</v>
      </c>
      <c r="G6162" s="21"/>
    </row>
    <row r="6163" ht="21.0" customHeight="1">
      <c r="A6163" s="11"/>
      <c r="B6163" s="11"/>
      <c r="C6163" s="11"/>
      <c r="D6163" s="10" t="s">
        <v>2754</v>
      </c>
    </row>
    <row r="6164" ht="30.0" customHeight="1">
      <c r="A6164" s="10" t="s">
        <v>2755</v>
      </c>
      <c r="B6164" s="10" t="s">
        <v>42</v>
      </c>
      <c r="C6164" s="10" t="s">
        <v>344</v>
      </c>
      <c r="D6164" s="10" t="s">
        <v>2756</v>
      </c>
      <c r="E6164" s="14">
        <v>4.0</v>
      </c>
      <c r="F6164" s="15">
        <f>ROUND(0.4,3)</f>
        <v>0.4</v>
      </c>
      <c r="G6164" s="12">
        <f t="shared" ref="G6164:G6171" si="942">ROUND(E6164*F6164,2)</f>
        <v>1.6</v>
      </c>
    </row>
    <row r="6165" ht="30.0" customHeight="1">
      <c r="A6165" s="10" t="s">
        <v>2694</v>
      </c>
      <c r="B6165" s="10" t="s">
        <v>42</v>
      </c>
      <c r="C6165" s="10" t="s">
        <v>184</v>
      </c>
      <c r="D6165" s="10" t="s">
        <v>2695</v>
      </c>
      <c r="E6165" s="14">
        <v>0.0616</v>
      </c>
      <c r="F6165" s="15">
        <f>ROUND(15.43,3)</f>
        <v>15.43</v>
      </c>
      <c r="G6165" s="12">
        <f t="shared" si="942"/>
        <v>0.95</v>
      </c>
    </row>
    <row r="6166" ht="30.0" customHeight="1">
      <c r="A6166" s="10" t="s">
        <v>2053</v>
      </c>
      <c r="B6166" s="10" t="s">
        <v>42</v>
      </c>
      <c r="C6166" s="10" t="s">
        <v>184</v>
      </c>
      <c r="D6166" s="10" t="s">
        <v>2054</v>
      </c>
      <c r="E6166" s="14">
        <v>0.02534</v>
      </c>
      <c r="F6166" s="15">
        <f>ROUND(11.74,3)</f>
        <v>11.74</v>
      </c>
      <c r="G6166" s="12">
        <f t="shared" si="942"/>
        <v>0.3</v>
      </c>
    </row>
    <row r="6167" ht="21.0" customHeight="1">
      <c r="A6167" s="10" t="s">
        <v>22</v>
      </c>
      <c r="B6167" s="10" t="s">
        <v>18</v>
      </c>
      <c r="C6167" s="10" t="s">
        <v>23</v>
      </c>
      <c r="D6167" s="10" t="s">
        <v>24</v>
      </c>
      <c r="E6167" s="14">
        <v>0.42</v>
      </c>
      <c r="F6167" s="15">
        <f>F6171</f>
        <v>43.8</v>
      </c>
      <c r="G6167" s="12">
        <f t="shared" si="942"/>
        <v>18.4</v>
      </c>
    </row>
    <row r="6168" ht="24.0" customHeight="1">
      <c r="A6168" s="10" t="s">
        <v>25</v>
      </c>
      <c r="B6168" s="10" t="s">
        <v>26</v>
      </c>
      <c r="C6168" s="10" t="s">
        <v>23</v>
      </c>
      <c r="D6168" s="10" t="s">
        <v>27</v>
      </c>
      <c r="E6168" s="14">
        <v>1.0</v>
      </c>
      <c r="F6168" s="15">
        <f>ROUND(21,3)</f>
        <v>21</v>
      </c>
      <c r="G6168" s="12">
        <f t="shared" si="942"/>
        <v>21</v>
      </c>
    </row>
    <row r="6169" ht="24.0" customHeight="1">
      <c r="A6169" s="10" t="s">
        <v>28</v>
      </c>
      <c r="B6169" s="10" t="s">
        <v>26</v>
      </c>
      <c r="C6169" s="10" t="s">
        <v>23</v>
      </c>
      <c r="D6169" s="10" t="s">
        <v>29</v>
      </c>
      <c r="E6169" s="14">
        <v>1.0</v>
      </c>
      <c r="F6169" s="15">
        <f t="shared" ref="F6169:F6170" si="943">ROUND(19,3)</f>
        <v>19</v>
      </c>
      <c r="G6169" s="12">
        <f t="shared" si="942"/>
        <v>19</v>
      </c>
    </row>
    <row r="6170" ht="24.0" customHeight="1">
      <c r="A6170" s="10" t="s">
        <v>30</v>
      </c>
      <c r="B6170" s="10" t="s">
        <v>26</v>
      </c>
      <c r="C6170" s="10" t="s">
        <v>23</v>
      </c>
      <c r="D6170" s="10" t="s">
        <v>31</v>
      </c>
      <c r="E6170" s="14">
        <v>0.2</v>
      </c>
      <c r="F6170" s="15">
        <f t="shared" si="943"/>
        <v>19</v>
      </c>
      <c r="G6170" s="12">
        <f t="shared" si="942"/>
        <v>3.8</v>
      </c>
    </row>
    <row r="6171" ht="15.0" customHeight="1">
      <c r="A6171" s="11"/>
      <c r="B6171" s="11"/>
      <c r="C6171" s="11"/>
      <c r="D6171" s="10" t="s">
        <v>22</v>
      </c>
      <c r="E6171" s="14">
        <v>0.42</v>
      </c>
      <c r="F6171" s="15">
        <f>ROUND((G6168+G6169+G6170),3)</f>
        <v>43.8</v>
      </c>
      <c r="G6171" s="12">
        <f t="shared" si="942"/>
        <v>18.4</v>
      </c>
    </row>
    <row r="6172" ht="15.0" customHeight="1">
      <c r="A6172" s="10" t="s">
        <v>32</v>
      </c>
      <c r="B6172" s="10"/>
      <c r="C6172" s="10" t="s">
        <v>33</v>
      </c>
      <c r="D6172" s="10" t="s">
        <v>34</v>
      </c>
      <c r="E6172" s="14">
        <v>5.0</v>
      </c>
      <c r="F6172" s="15">
        <f>ROUND(18.4,3)</f>
        <v>18.4</v>
      </c>
      <c r="G6172" s="12">
        <f>ROUND((E6172*F6172)/100,2)</f>
        <v>0.92</v>
      </c>
    </row>
    <row r="6173" ht="15.0" customHeight="1">
      <c r="A6173" s="16"/>
      <c r="B6173" s="16"/>
      <c r="C6173" s="16"/>
      <c r="D6173" s="17" t="s">
        <v>2752</v>
      </c>
      <c r="E6173" s="16"/>
      <c r="F6173" s="18">
        <f>ROUND((G6164+G6165+G6166+G6167+G6172)*(1+G2/100),2)</f>
        <v>22.17</v>
      </c>
      <c r="G6173" s="16"/>
    </row>
    <row r="6174" ht="39.75" customHeight="1">
      <c r="A6174" s="19" t="s">
        <v>2757</v>
      </c>
      <c r="B6174" s="20" t="s">
        <v>18</v>
      </c>
      <c r="C6174" s="20" t="s">
        <v>351</v>
      </c>
      <c r="D6174" s="20" t="s">
        <v>2758</v>
      </c>
      <c r="E6174" s="21"/>
      <c r="F6174" s="22">
        <f>F6185</f>
        <v>16.65</v>
      </c>
      <c r="G6174" s="21"/>
    </row>
    <row r="6175" ht="21.0" customHeight="1">
      <c r="A6175" s="11"/>
      <c r="B6175" s="11"/>
      <c r="C6175" s="11"/>
      <c r="D6175" s="10" t="s">
        <v>2759</v>
      </c>
    </row>
    <row r="6176" ht="30.0" customHeight="1">
      <c r="A6176" s="10" t="s">
        <v>2755</v>
      </c>
      <c r="B6176" s="10" t="s">
        <v>42</v>
      </c>
      <c r="C6176" s="10" t="s">
        <v>344</v>
      </c>
      <c r="D6176" s="10" t="s">
        <v>2756</v>
      </c>
      <c r="E6176" s="14">
        <v>4.0</v>
      </c>
      <c r="F6176" s="15">
        <f>ROUND(0.4,3)</f>
        <v>0.4</v>
      </c>
      <c r="G6176" s="12">
        <f t="shared" ref="G6176:G6183" si="944">ROUND(E6176*F6176,2)</f>
        <v>1.6</v>
      </c>
    </row>
    <row r="6177" ht="30.0" customHeight="1">
      <c r="A6177" s="10" t="s">
        <v>2694</v>
      </c>
      <c r="B6177" s="10" t="s">
        <v>42</v>
      </c>
      <c r="C6177" s="10" t="s">
        <v>184</v>
      </c>
      <c r="D6177" s="10" t="s">
        <v>2695</v>
      </c>
      <c r="E6177" s="14">
        <v>0.0616</v>
      </c>
      <c r="F6177" s="15">
        <f>ROUND(15.43,3)</f>
        <v>15.43</v>
      </c>
      <c r="G6177" s="12">
        <f t="shared" si="944"/>
        <v>0.95</v>
      </c>
    </row>
    <row r="6178" ht="30.0" customHeight="1">
      <c r="A6178" s="10" t="s">
        <v>2053</v>
      </c>
      <c r="B6178" s="10" t="s">
        <v>42</v>
      </c>
      <c r="C6178" s="10" t="s">
        <v>184</v>
      </c>
      <c r="D6178" s="10" t="s">
        <v>2054</v>
      </c>
      <c r="E6178" s="14">
        <v>0.02534</v>
      </c>
      <c r="F6178" s="15">
        <f>ROUND(11.74,3)</f>
        <v>11.74</v>
      </c>
      <c r="G6178" s="12">
        <f t="shared" si="944"/>
        <v>0.3</v>
      </c>
    </row>
    <row r="6179" ht="21.0" customHeight="1">
      <c r="A6179" s="10" t="s">
        <v>22</v>
      </c>
      <c r="B6179" s="10" t="s">
        <v>18</v>
      </c>
      <c r="C6179" s="10" t="s">
        <v>23</v>
      </c>
      <c r="D6179" s="10" t="s">
        <v>24</v>
      </c>
      <c r="E6179" s="14">
        <v>0.3</v>
      </c>
      <c r="F6179" s="15">
        <f>F6183</f>
        <v>43.8</v>
      </c>
      <c r="G6179" s="12">
        <f t="shared" si="944"/>
        <v>13.14</v>
      </c>
    </row>
    <row r="6180" ht="24.0" customHeight="1">
      <c r="A6180" s="10" t="s">
        <v>25</v>
      </c>
      <c r="B6180" s="10" t="s">
        <v>26</v>
      </c>
      <c r="C6180" s="10" t="s">
        <v>23</v>
      </c>
      <c r="D6180" s="10" t="s">
        <v>27</v>
      </c>
      <c r="E6180" s="14">
        <v>1.0</v>
      </c>
      <c r="F6180" s="15">
        <f>ROUND(21,3)</f>
        <v>21</v>
      </c>
      <c r="G6180" s="12">
        <f t="shared" si="944"/>
        <v>21</v>
      </c>
    </row>
    <row r="6181" ht="24.0" customHeight="1">
      <c r="A6181" s="10" t="s">
        <v>28</v>
      </c>
      <c r="B6181" s="10" t="s">
        <v>26</v>
      </c>
      <c r="C6181" s="10" t="s">
        <v>23</v>
      </c>
      <c r="D6181" s="10" t="s">
        <v>29</v>
      </c>
      <c r="E6181" s="14">
        <v>1.0</v>
      </c>
      <c r="F6181" s="15">
        <f t="shared" ref="F6181:F6182" si="945">ROUND(19,3)</f>
        <v>19</v>
      </c>
      <c r="G6181" s="12">
        <f t="shared" si="944"/>
        <v>19</v>
      </c>
    </row>
    <row r="6182" ht="24.0" customHeight="1">
      <c r="A6182" s="10" t="s">
        <v>30</v>
      </c>
      <c r="B6182" s="10" t="s">
        <v>26</v>
      </c>
      <c r="C6182" s="10" t="s">
        <v>23</v>
      </c>
      <c r="D6182" s="10" t="s">
        <v>31</v>
      </c>
      <c r="E6182" s="14">
        <v>0.2</v>
      </c>
      <c r="F6182" s="15">
        <f t="shared" si="945"/>
        <v>19</v>
      </c>
      <c r="G6182" s="12">
        <f t="shared" si="944"/>
        <v>3.8</v>
      </c>
    </row>
    <row r="6183" ht="15.0" customHeight="1">
      <c r="A6183" s="11"/>
      <c r="B6183" s="11"/>
      <c r="C6183" s="11"/>
      <c r="D6183" s="10" t="s">
        <v>22</v>
      </c>
      <c r="E6183" s="14">
        <v>0.3</v>
      </c>
      <c r="F6183" s="15">
        <f>ROUND((G6180+G6181+G6182),3)</f>
        <v>43.8</v>
      </c>
      <c r="G6183" s="12">
        <f t="shared" si="944"/>
        <v>13.14</v>
      </c>
    </row>
    <row r="6184" ht="15.0" customHeight="1">
      <c r="A6184" s="10" t="s">
        <v>32</v>
      </c>
      <c r="B6184" s="10"/>
      <c r="C6184" s="10" t="s">
        <v>33</v>
      </c>
      <c r="D6184" s="10" t="s">
        <v>34</v>
      </c>
      <c r="E6184" s="14">
        <v>5.0</v>
      </c>
      <c r="F6184" s="15">
        <f>ROUND(13.14,3)</f>
        <v>13.14</v>
      </c>
      <c r="G6184" s="12">
        <f>ROUND((E6184*F6184)/100,2)</f>
        <v>0.66</v>
      </c>
    </row>
    <row r="6185" ht="15.0" customHeight="1">
      <c r="A6185" s="16"/>
      <c r="B6185" s="16"/>
      <c r="C6185" s="16"/>
      <c r="D6185" s="17" t="s">
        <v>2757</v>
      </c>
      <c r="E6185" s="16"/>
      <c r="F6185" s="18">
        <f>ROUND((G6176+G6177+G6178+G6179+G6184)*(1+G2/100),2)</f>
        <v>16.65</v>
      </c>
      <c r="G6185" s="16"/>
    </row>
    <row r="6186" ht="39.75" customHeight="1">
      <c r="A6186" s="19" t="s">
        <v>2760</v>
      </c>
      <c r="B6186" s="20" t="s">
        <v>18</v>
      </c>
      <c r="C6186" s="20" t="s">
        <v>351</v>
      </c>
      <c r="D6186" s="20" t="s">
        <v>2761</v>
      </c>
      <c r="E6186" s="21"/>
      <c r="F6186" s="22">
        <f>F6197</f>
        <v>28.7</v>
      </c>
      <c r="G6186" s="21"/>
    </row>
    <row r="6187" ht="21.0" customHeight="1">
      <c r="A6187" s="11"/>
      <c r="B6187" s="11"/>
      <c r="C6187" s="11"/>
      <c r="D6187" s="10" t="s">
        <v>2762</v>
      </c>
    </row>
    <row r="6188" ht="30.0" customHeight="1">
      <c r="A6188" s="10" t="s">
        <v>2755</v>
      </c>
      <c r="B6188" s="10" t="s">
        <v>42</v>
      </c>
      <c r="C6188" s="10" t="s">
        <v>344</v>
      </c>
      <c r="D6188" s="10" t="s">
        <v>2756</v>
      </c>
      <c r="E6188" s="14">
        <v>8.0</v>
      </c>
      <c r="F6188" s="15">
        <f>ROUND(0.4,3)</f>
        <v>0.4</v>
      </c>
      <c r="G6188" s="12">
        <f t="shared" ref="G6188:G6195" si="946">ROUND(E6188*F6188,2)</f>
        <v>3.2</v>
      </c>
    </row>
    <row r="6189" ht="30.0" customHeight="1">
      <c r="A6189" s="10" t="s">
        <v>2694</v>
      </c>
      <c r="B6189" s="10" t="s">
        <v>42</v>
      </c>
      <c r="C6189" s="10" t="s">
        <v>184</v>
      </c>
      <c r="D6189" s="10" t="s">
        <v>2695</v>
      </c>
      <c r="E6189" s="14">
        <v>0.1232</v>
      </c>
      <c r="F6189" s="15">
        <f>ROUND(15.43,3)</f>
        <v>15.43</v>
      </c>
      <c r="G6189" s="12">
        <f t="shared" si="946"/>
        <v>1.9</v>
      </c>
    </row>
    <row r="6190" ht="30.0" customHeight="1">
      <c r="A6190" s="10" t="s">
        <v>2053</v>
      </c>
      <c r="B6190" s="10" t="s">
        <v>42</v>
      </c>
      <c r="C6190" s="10" t="s">
        <v>184</v>
      </c>
      <c r="D6190" s="10" t="s">
        <v>2054</v>
      </c>
      <c r="E6190" s="14">
        <v>0.05069</v>
      </c>
      <c r="F6190" s="15">
        <f>ROUND(11.74,3)</f>
        <v>11.74</v>
      </c>
      <c r="G6190" s="12">
        <f t="shared" si="946"/>
        <v>0.6</v>
      </c>
    </row>
    <row r="6191" ht="21.0" customHeight="1">
      <c r="A6191" s="10" t="s">
        <v>22</v>
      </c>
      <c r="B6191" s="10" t="s">
        <v>18</v>
      </c>
      <c r="C6191" s="10" t="s">
        <v>23</v>
      </c>
      <c r="D6191" s="10" t="s">
        <v>24</v>
      </c>
      <c r="E6191" s="14">
        <v>0.5</v>
      </c>
      <c r="F6191" s="15">
        <f>F6195</f>
        <v>43.8</v>
      </c>
      <c r="G6191" s="12">
        <f t="shared" si="946"/>
        <v>21.9</v>
      </c>
    </row>
    <row r="6192" ht="24.0" customHeight="1">
      <c r="A6192" s="10" t="s">
        <v>25</v>
      </c>
      <c r="B6192" s="10" t="s">
        <v>26</v>
      </c>
      <c r="C6192" s="10" t="s">
        <v>23</v>
      </c>
      <c r="D6192" s="10" t="s">
        <v>27</v>
      </c>
      <c r="E6192" s="14">
        <v>1.0</v>
      </c>
      <c r="F6192" s="15">
        <f>ROUND(21,3)</f>
        <v>21</v>
      </c>
      <c r="G6192" s="12">
        <f t="shared" si="946"/>
        <v>21</v>
      </c>
    </row>
    <row r="6193" ht="24.0" customHeight="1">
      <c r="A6193" s="10" t="s">
        <v>28</v>
      </c>
      <c r="B6193" s="10" t="s">
        <v>26</v>
      </c>
      <c r="C6193" s="10" t="s">
        <v>23</v>
      </c>
      <c r="D6193" s="10" t="s">
        <v>29</v>
      </c>
      <c r="E6193" s="14">
        <v>1.0</v>
      </c>
      <c r="F6193" s="15">
        <f t="shared" ref="F6193:F6194" si="947">ROUND(19,3)</f>
        <v>19</v>
      </c>
      <c r="G6193" s="12">
        <f t="shared" si="946"/>
        <v>19</v>
      </c>
    </row>
    <row r="6194" ht="24.0" customHeight="1">
      <c r="A6194" s="10" t="s">
        <v>30</v>
      </c>
      <c r="B6194" s="10" t="s">
        <v>26</v>
      </c>
      <c r="C6194" s="10" t="s">
        <v>23</v>
      </c>
      <c r="D6194" s="10" t="s">
        <v>31</v>
      </c>
      <c r="E6194" s="14">
        <v>0.2</v>
      </c>
      <c r="F6194" s="15">
        <f t="shared" si="947"/>
        <v>19</v>
      </c>
      <c r="G6194" s="12">
        <f t="shared" si="946"/>
        <v>3.8</v>
      </c>
    </row>
    <row r="6195" ht="15.0" customHeight="1">
      <c r="A6195" s="11"/>
      <c r="B6195" s="11"/>
      <c r="C6195" s="11"/>
      <c r="D6195" s="10" t="s">
        <v>22</v>
      </c>
      <c r="E6195" s="14">
        <v>0.5</v>
      </c>
      <c r="F6195" s="15">
        <f>ROUND((G6192+G6193+G6194),3)</f>
        <v>43.8</v>
      </c>
      <c r="G6195" s="12">
        <f t="shared" si="946"/>
        <v>21.9</v>
      </c>
    </row>
    <row r="6196" ht="15.0" customHeight="1">
      <c r="A6196" s="10" t="s">
        <v>32</v>
      </c>
      <c r="B6196" s="10"/>
      <c r="C6196" s="10" t="s">
        <v>33</v>
      </c>
      <c r="D6196" s="10" t="s">
        <v>34</v>
      </c>
      <c r="E6196" s="14">
        <v>5.0</v>
      </c>
      <c r="F6196" s="15">
        <f>ROUND(21.9,3)</f>
        <v>21.9</v>
      </c>
      <c r="G6196" s="12">
        <f>ROUND((E6196*F6196)/100,2)</f>
        <v>1.1</v>
      </c>
    </row>
    <row r="6197" ht="15.0" customHeight="1">
      <c r="A6197" s="16"/>
      <c r="B6197" s="16"/>
      <c r="C6197" s="16"/>
      <c r="D6197" s="17" t="s">
        <v>2760</v>
      </c>
      <c r="E6197" s="16"/>
      <c r="F6197" s="18">
        <f>ROUND((G6188+G6189+G6190+G6191+G6196)*(1+G2/100),2)</f>
        <v>28.7</v>
      </c>
      <c r="G6197" s="16"/>
    </row>
    <row r="6198" ht="39.75" customHeight="1">
      <c r="A6198" s="19" t="s">
        <v>2763</v>
      </c>
      <c r="B6198" s="20" t="s">
        <v>18</v>
      </c>
      <c r="C6198" s="20" t="s">
        <v>351</v>
      </c>
      <c r="D6198" s="20" t="s">
        <v>2764</v>
      </c>
      <c r="E6198" s="21"/>
      <c r="F6198" s="22">
        <f>F6209</f>
        <v>21.8</v>
      </c>
      <c r="G6198" s="21"/>
    </row>
    <row r="6199" ht="21.0" customHeight="1">
      <c r="A6199" s="11"/>
      <c r="B6199" s="11"/>
      <c r="C6199" s="11"/>
      <c r="D6199" s="10" t="s">
        <v>2765</v>
      </c>
    </row>
    <row r="6200" ht="30.0" customHeight="1">
      <c r="A6200" s="10" t="s">
        <v>2755</v>
      </c>
      <c r="B6200" s="10" t="s">
        <v>42</v>
      </c>
      <c r="C6200" s="10" t="s">
        <v>344</v>
      </c>
      <c r="D6200" s="10" t="s">
        <v>2756</v>
      </c>
      <c r="E6200" s="14">
        <v>8.0</v>
      </c>
      <c r="F6200" s="15">
        <f>ROUND(0.4,3)</f>
        <v>0.4</v>
      </c>
      <c r="G6200" s="12">
        <f t="shared" ref="G6200:G6207" si="948">ROUND(E6200*F6200,2)</f>
        <v>3.2</v>
      </c>
    </row>
    <row r="6201" ht="30.0" customHeight="1">
      <c r="A6201" s="10" t="s">
        <v>2694</v>
      </c>
      <c r="B6201" s="10" t="s">
        <v>42</v>
      </c>
      <c r="C6201" s="10" t="s">
        <v>184</v>
      </c>
      <c r="D6201" s="10" t="s">
        <v>2695</v>
      </c>
      <c r="E6201" s="14">
        <v>0.1232</v>
      </c>
      <c r="F6201" s="15">
        <f>ROUND(15.43,3)</f>
        <v>15.43</v>
      </c>
      <c r="G6201" s="12">
        <f t="shared" si="948"/>
        <v>1.9</v>
      </c>
    </row>
    <row r="6202" ht="30.0" customHeight="1">
      <c r="A6202" s="10" t="s">
        <v>2053</v>
      </c>
      <c r="B6202" s="10" t="s">
        <v>42</v>
      </c>
      <c r="C6202" s="10" t="s">
        <v>184</v>
      </c>
      <c r="D6202" s="10" t="s">
        <v>2054</v>
      </c>
      <c r="E6202" s="14">
        <v>0.05069</v>
      </c>
      <c r="F6202" s="15">
        <f>ROUND(11.74,3)</f>
        <v>11.74</v>
      </c>
      <c r="G6202" s="12">
        <f t="shared" si="948"/>
        <v>0.6</v>
      </c>
    </row>
    <row r="6203" ht="21.0" customHeight="1">
      <c r="A6203" s="10" t="s">
        <v>22</v>
      </c>
      <c r="B6203" s="10" t="s">
        <v>18</v>
      </c>
      <c r="C6203" s="10" t="s">
        <v>23</v>
      </c>
      <c r="D6203" s="10" t="s">
        <v>24</v>
      </c>
      <c r="E6203" s="14">
        <v>0.35</v>
      </c>
      <c r="F6203" s="15">
        <f>F6207</f>
        <v>43.8</v>
      </c>
      <c r="G6203" s="12">
        <f t="shared" si="948"/>
        <v>15.33</v>
      </c>
    </row>
    <row r="6204" ht="24.0" customHeight="1">
      <c r="A6204" s="10" t="s">
        <v>25</v>
      </c>
      <c r="B6204" s="10" t="s">
        <v>26</v>
      </c>
      <c r="C6204" s="10" t="s">
        <v>23</v>
      </c>
      <c r="D6204" s="10" t="s">
        <v>27</v>
      </c>
      <c r="E6204" s="14">
        <v>1.0</v>
      </c>
      <c r="F6204" s="15">
        <f>ROUND(21,3)</f>
        <v>21</v>
      </c>
      <c r="G6204" s="12">
        <f t="shared" si="948"/>
        <v>21</v>
      </c>
    </row>
    <row r="6205" ht="24.0" customHeight="1">
      <c r="A6205" s="10" t="s">
        <v>28</v>
      </c>
      <c r="B6205" s="10" t="s">
        <v>26</v>
      </c>
      <c r="C6205" s="10" t="s">
        <v>23</v>
      </c>
      <c r="D6205" s="10" t="s">
        <v>29</v>
      </c>
      <c r="E6205" s="14">
        <v>1.0</v>
      </c>
      <c r="F6205" s="15">
        <f t="shared" ref="F6205:F6206" si="949">ROUND(19,3)</f>
        <v>19</v>
      </c>
      <c r="G6205" s="12">
        <f t="shared" si="948"/>
        <v>19</v>
      </c>
    </row>
    <row r="6206" ht="24.0" customHeight="1">
      <c r="A6206" s="10" t="s">
        <v>30</v>
      </c>
      <c r="B6206" s="10" t="s">
        <v>26</v>
      </c>
      <c r="C6206" s="10" t="s">
        <v>23</v>
      </c>
      <c r="D6206" s="10" t="s">
        <v>31</v>
      </c>
      <c r="E6206" s="14">
        <v>0.2</v>
      </c>
      <c r="F6206" s="15">
        <f t="shared" si="949"/>
        <v>19</v>
      </c>
      <c r="G6206" s="12">
        <f t="shared" si="948"/>
        <v>3.8</v>
      </c>
    </row>
    <row r="6207" ht="15.0" customHeight="1">
      <c r="A6207" s="11"/>
      <c r="B6207" s="11"/>
      <c r="C6207" s="11"/>
      <c r="D6207" s="10" t="s">
        <v>22</v>
      </c>
      <c r="E6207" s="14">
        <v>0.35</v>
      </c>
      <c r="F6207" s="15">
        <f>ROUND((G6204+G6205+G6206),3)</f>
        <v>43.8</v>
      </c>
      <c r="G6207" s="12">
        <f t="shared" si="948"/>
        <v>15.33</v>
      </c>
    </row>
    <row r="6208" ht="15.0" customHeight="1">
      <c r="A6208" s="10" t="s">
        <v>32</v>
      </c>
      <c r="B6208" s="10"/>
      <c r="C6208" s="10" t="s">
        <v>33</v>
      </c>
      <c r="D6208" s="10" t="s">
        <v>34</v>
      </c>
      <c r="E6208" s="14">
        <v>5.0</v>
      </c>
      <c r="F6208" s="15">
        <f>ROUND(15.33,3)</f>
        <v>15.33</v>
      </c>
      <c r="G6208" s="12">
        <f>ROUND((E6208*F6208)/100,2)</f>
        <v>0.77</v>
      </c>
    </row>
    <row r="6209" ht="15.0" customHeight="1">
      <c r="A6209" s="16"/>
      <c r="B6209" s="16"/>
      <c r="C6209" s="16"/>
      <c r="D6209" s="17" t="s">
        <v>2763</v>
      </c>
      <c r="E6209" s="16"/>
      <c r="F6209" s="18">
        <f>ROUND((G6200+G6201+G6202+G6203+G6208)*(1+G2/100),2)</f>
        <v>21.8</v>
      </c>
      <c r="G6209" s="16"/>
    </row>
    <row r="6210" ht="48.75" customHeight="1">
      <c r="A6210" s="19" t="s">
        <v>2766</v>
      </c>
      <c r="B6210" s="20" t="s">
        <v>18</v>
      </c>
      <c r="C6210" s="20" t="s">
        <v>351</v>
      </c>
      <c r="D6210" s="20" t="s">
        <v>2767</v>
      </c>
      <c r="E6210" s="21"/>
      <c r="F6210" s="22">
        <f>F6223</f>
        <v>19.45</v>
      </c>
      <c r="G6210" s="21"/>
    </row>
    <row r="6211" ht="21.0" customHeight="1">
      <c r="A6211" s="11"/>
      <c r="B6211" s="11"/>
      <c r="C6211" s="11"/>
      <c r="D6211" s="10" t="s">
        <v>2768</v>
      </c>
    </row>
    <row r="6212" ht="39.75" customHeight="1">
      <c r="A6212" s="10" t="s">
        <v>2769</v>
      </c>
      <c r="B6212" s="10" t="s">
        <v>42</v>
      </c>
      <c r="C6212" s="10" t="s">
        <v>19</v>
      </c>
      <c r="D6212" s="10" t="s">
        <v>2770</v>
      </c>
      <c r="E6212" s="14">
        <v>0.11367</v>
      </c>
      <c r="F6212" s="15">
        <f>ROUND(29,3)</f>
        <v>29</v>
      </c>
      <c r="G6212" s="12">
        <f t="shared" ref="G6212:G6221" si="950">ROUND(E6212*F6212,2)</f>
        <v>3.3</v>
      </c>
    </row>
    <row r="6213" ht="30.0" customHeight="1">
      <c r="A6213" s="10" t="s">
        <v>2694</v>
      </c>
      <c r="B6213" s="10" t="s">
        <v>42</v>
      </c>
      <c r="C6213" s="10" t="s">
        <v>184</v>
      </c>
      <c r="D6213" s="10" t="s">
        <v>2695</v>
      </c>
      <c r="E6213" s="14">
        <v>0.044</v>
      </c>
      <c r="F6213" s="15">
        <f>ROUND(15.43,3)</f>
        <v>15.43</v>
      </c>
      <c r="G6213" s="12">
        <f t="shared" si="950"/>
        <v>0.68</v>
      </c>
    </row>
    <row r="6214" ht="30.0" customHeight="1">
      <c r="A6214" s="10" t="s">
        <v>2053</v>
      </c>
      <c r="B6214" s="10" t="s">
        <v>42</v>
      </c>
      <c r="C6214" s="10" t="s">
        <v>184</v>
      </c>
      <c r="D6214" s="10" t="s">
        <v>2054</v>
      </c>
      <c r="E6214" s="14">
        <v>0.01862</v>
      </c>
      <c r="F6214" s="15">
        <f>ROUND(11.74,3)</f>
        <v>11.74</v>
      </c>
      <c r="G6214" s="12">
        <f t="shared" si="950"/>
        <v>0.22</v>
      </c>
    </row>
    <row r="6215" ht="30.0" customHeight="1">
      <c r="A6215" s="10" t="s">
        <v>2771</v>
      </c>
      <c r="B6215" s="10" t="s">
        <v>42</v>
      </c>
      <c r="C6215" s="10" t="s">
        <v>956</v>
      </c>
      <c r="D6215" s="10" t="s">
        <v>2772</v>
      </c>
      <c r="E6215" s="14">
        <v>0.01</v>
      </c>
      <c r="F6215" s="15">
        <f>ROUND(24.98,3)</f>
        <v>24.98</v>
      </c>
      <c r="G6215" s="12">
        <f t="shared" si="950"/>
        <v>0.25</v>
      </c>
    </row>
    <row r="6216" ht="39.75" customHeight="1">
      <c r="A6216" s="10" t="s">
        <v>953</v>
      </c>
      <c r="B6216" s="10" t="s">
        <v>112</v>
      </c>
      <c r="C6216" s="10" t="s">
        <v>23</v>
      </c>
      <c r="D6216" s="10" t="s">
        <v>954</v>
      </c>
      <c r="E6216" s="14">
        <v>0.16</v>
      </c>
      <c r="F6216" s="15">
        <f>ROUND(1.75,3)</f>
        <v>1.75</v>
      </c>
      <c r="G6216" s="12">
        <f t="shared" si="950"/>
        <v>0.28</v>
      </c>
    </row>
    <row r="6217" ht="21.0" customHeight="1">
      <c r="A6217" s="10" t="s">
        <v>22</v>
      </c>
      <c r="B6217" s="10" t="s">
        <v>18</v>
      </c>
      <c r="C6217" s="10" t="s">
        <v>23</v>
      </c>
      <c r="D6217" s="10" t="s">
        <v>24</v>
      </c>
      <c r="E6217" s="14">
        <v>0.32</v>
      </c>
      <c r="F6217" s="15">
        <f>F6221</f>
        <v>43.8</v>
      </c>
      <c r="G6217" s="12">
        <f t="shared" si="950"/>
        <v>14.02</v>
      </c>
    </row>
    <row r="6218" ht="24.0" customHeight="1">
      <c r="A6218" s="10" t="s">
        <v>25</v>
      </c>
      <c r="B6218" s="10" t="s">
        <v>26</v>
      </c>
      <c r="C6218" s="10" t="s">
        <v>23</v>
      </c>
      <c r="D6218" s="10" t="s">
        <v>27</v>
      </c>
      <c r="E6218" s="14">
        <v>1.0</v>
      </c>
      <c r="F6218" s="15">
        <f>ROUND(21,3)</f>
        <v>21</v>
      </c>
      <c r="G6218" s="12">
        <f t="shared" si="950"/>
        <v>21</v>
      </c>
    </row>
    <row r="6219" ht="24.0" customHeight="1">
      <c r="A6219" s="10" t="s">
        <v>28</v>
      </c>
      <c r="B6219" s="10" t="s">
        <v>26</v>
      </c>
      <c r="C6219" s="10" t="s">
        <v>23</v>
      </c>
      <c r="D6219" s="10" t="s">
        <v>29</v>
      </c>
      <c r="E6219" s="14">
        <v>1.0</v>
      </c>
      <c r="F6219" s="15">
        <f t="shared" ref="F6219:F6220" si="951">ROUND(19,3)</f>
        <v>19</v>
      </c>
      <c r="G6219" s="12">
        <f t="shared" si="950"/>
        <v>19</v>
      </c>
    </row>
    <row r="6220" ht="24.0" customHeight="1">
      <c r="A6220" s="10" t="s">
        <v>30</v>
      </c>
      <c r="B6220" s="10" t="s">
        <v>26</v>
      </c>
      <c r="C6220" s="10" t="s">
        <v>23</v>
      </c>
      <c r="D6220" s="10" t="s">
        <v>31</v>
      </c>
      <c r="E6220" s="14">
        <v>0.2</v>
      </c>
      <c r="F6220" s="15">
        <f t="shared" si="951"/>
        <v>19</v>
      </c>
      <c r="G6220" s="12">
        <f t="shared" si="950"/>
        <v>3.8</v>
      </c>
    </row>
    <row r="6221" ht="15.0" customHeight="1">
      <c r="A6221" s="11"/>
      <c r="B6221" s="11"/>
      <c r="C6221" s="11"/>
      <c r="D6221" s="10" t="s">
        <v>22</v>
      </c>
      <c r="E6221" s="14">
        <v>0.32</v>
      </c>
      <c r="F6221" s="15">
        <f>ROUND((G6218+G6219+G6220),3)</f>
        <v>43.8</v>
      </c>
      <c r="G6221" s="12">
        <f t="shared" si="950"/>
        <v>14.02</v>
      </c>
    </row>
    <row r="6222" ht="15.0" customHeight="1">
      <c r="A6222" s="10" t="s">
        <v>32</v>
      </c>
      <c r="B6222" s="10"/>
      <c r="C6222" s="10" t="s">
        <v>33</v>
      </c>
      <c r="D6222" s="10" t="s">
        <v>34</v>
      </c>
      <c r="E6222" s="14">
        <v>5.0</v>
      </c>
      <c r="F6222" s="15">
        <f>ROUND(14.02,3)</f>
        <v>14.02</v>
      </c>
      <c r="G6222" s="12">
        <f>ROUND((E6222*F6222)/100,2)</f>
        <v>0.7</v>
      </c>
    </row>
    <row r="6223" ht="15.0" customHeight="1">
      <c r="A6223" s="16"/>
      <c r="B6223" s="16"/>
      <c r="C6223" s="16"/>
      <c r="D6223" s="17" t="s">
        <v>2766</v>
      </c>
      <c r="E6223" s="16"/>
      <c r="F6223" s="18">
        <f>ROUND((G6212+G6213+G6214+G6215+G6216+G6217+G6222)*(1+G2/100),2)</f>
        <v>19.45</v>
      </c>
      <c r="G6223" s="16"/>
    </row>
    <row r="6224" ht="15.0" customHeight="1">
      <c r="A6224" s="23"/>
      <c r="B6224" s="23"/>
      <c r="C6224" s="23"/>
      <c r="D6224" s="32" t="s">
        <v>2745</v>
      </c>
      <c r="E6224" s="33"/>
      <c r="F6224" s="33"/>
      <c r="G6224" s="33"/>
    </row>
    <row r="6225" ht="15.0" customHeight="1">
      <c r="A6225" s="34" t="s">
        <v>2773</v>
      </c>
      <c r="B6225" s="34" t="s">
        <v>10</v>
      </c>
      <c r="C6225" s="35"/>
      <c r="D6225" s="34" t="s">
        <v>2773</v>
      </c>
      <c r="E6225" s="35"/>
      <c r="F6225" s="35"/>
      <c r="G6225" s="35"/>
    </row>
    <row r="6226" ht="39.75" customHeight="1">
      <c r="A6226" s="13" t="s">
        <v>2774</v>
      </c>
      <c r="B6226" s="10" t="s">
        <v>18</v>
      </c>
      <c r="C6226" s="10" t="s">
        <v>351</v>
      </c>
      <c r="D6226" s="10" t="s">
        <v>2775</v>
      </c>
      <c r="E6226" s="11"/>
      <c r="F6226" s="12">
        <f>F6237</f>
        <v>37.86</v>
      </c>
      <c r="G6226" s="11"/>
    </row>
    <row r="6227" ht="39.75" customHeight="1">
      <c r="A6227" s="11"/>
      <c r="B6227" s="11"/>
      <c r="C6227" s="11"/>
      <c r="D6227" s="10" t="s">
        <v>2776</v>
      </c>
    </row>
    <row r="6228" ht="30.0" customHeight="1">
      <c r="A6228" s="10" t="s">
        <v>2777</v>
      </c>
      <c r="B6228" s="10" t="s">
        <v>42</v>
      </c>
      <c r="C6228" s="10" t="s">
        <v>344</v>
      </c>
      <c r="D6228" s="10" t="s">
        <v>2778</v>
      </c>
      <c r="E6228" s="14">
        <v>0.55</v>
      </c>
      <c r="F6228" s="15">
        <f>ROUND(38,3)</f>
        <v>38</v>
      </c>
      <c r="G6228" s="12">
        <f t="shared" ref="G6228:G6235" si="952">ROUND(E6228*F6228,2)</f>
        <v>20.9</v>
      </c>
    </row>
    <row r="6229" ht="39.75" customHeight="1">
      <c r="A6229" s="10" t="s">
        <v>1761</v>
      </c>
      <c r="B6229" s="10" t="s">
        <v>42</v>
      </c>
      <c r="C6229" s="10" t="s">
        <v>1245</v>
      </c>
      <c r="D6229" s="10" t="s">
        <v>1762</v>
      </c>
      <c r="E6229" s="14">
        <v>0.3</v>
      </c>
      <c r="F6229" s="15">
        <f>ROUND(8.97,3)</f>
        <v>8.97</v>
      </c>
      <c r="G6229" s="12">
        <f t="shared" si="952"/>
        <v>2.69</v>
      </c>
    </row>
    <row r="6230" ht="30.0" customHeight="1">
      <c r="A6230" s="10" t="s">
        <v>2543</v>
      </c>
      <c r="B6230" s="10" t="s">
        <v>42</v>
      </c>
      <c r="C6230" s="10" t="s">
        <v>43</v>
      </c>
      <c r="D6230" s="10" t="s">
        <v>2544</v>
      </c>
      <c r="E6230" s="14">
        <v>0.2</v>
      </c>
      <c r="F6230" s="15">
        <f>ROUND(3.7,3)</f>
        <v>3.7</v>
      </c>
      <c r="G6230" s="12">
        <f t="shared" si="952"/>
        <v>0.74</v>
      </c>
    </row>
    <row r="6231" ht="21.0" customHeight="1">
      <c r="A6231" s="10" t="s">
        <v>22</v>
      </c>
      <c r="B6231" s="10" t="s">
        <v>18</v>
      </c>
      <c r="C6231" s="10" t="s">
        <v>23</v>
      </c>
      <c r="D6231" s="10" t="s">
        <v>24</v>
      </c>
      <c r="E6231" s="14">
        <v>0.3</v>
      </c>
      <c r="F6231" s="15">
        <f>F6235</f>
        <v>43.8</v>
      </c>
      <c r="G6231" s="12">
        <f t="shared" si="952"/>
        <v>13.14</v>
      </c>
    </row>
    <row r="6232" ht="24.0" customHeight="1">
      <c r="A6232" s="10" t="s">
        <v>25</v>
      </c>
      <c r="B6232" s="10" t="s">
        <v>26</v>
      </c>
      <c r="C6232" s="10" t="s">
        <v>23</v>
      </c>
      <c r="D6232" s="10" t="s">
        <v>27</v>
      </c>
      <c r="E6232" s="14">
        <v>1.0</v>
      </c>
      <c r="F6232" s="15">
        <f>ROUND(21,3)</f>
        <v>21</v>
      </c>
      <c r="G6232" s="12">
        <f t="shared" si="952"/>
        <v>21</v>
      </c>
    </row>
    <row r="6233" ht="24.0" customHeight="1">
      <c r="A6233" s="10" t="s">
        <v>28</v>
      </c>
      <c r="B6233" s="10" t="s">
        <v>26</v>
      </c>
      <c r="C6233" s="10" t="s">
        <v>23</v>
      </c>
      <c r="D6233" s="10" t="s">
        <v>29</v>
      </c>
      <c r="E6233" s="14">
        <v>1.0</v>
      </c>
      <c r="F6233" s="15">
        <f t="shared" ref="F6233:F6234" si="953">ROUND(19,3)</f>
        <v>19</v>
      </c>
      <c r="G6233" s="12">
        <f t="shared" si="952"/>
        <v>19</v>
      </c>
    </row>
    <row r="6234" ht="24.0" customHeight="1">
      <c r="A6234" s="10" t="s">
        <v>30</v>
      </c>
      <c r="B6234" s="10" t="s">
        <v>26</v>
      </c>
      <c r="C6234" s="10" t="s">
        <v>23</v>
      </c>
      <c r="D6234" s="10" t="s">
        <v>31</v>
      </c>
      <c r="E6234" s="14">
        <v>0.2</v>
      </c>
      <c r="F6234" s="15">
        <f t="shared" si="953"/>
        <v>19</v>
      </c>
      <c r="G6234" s="12">
        <f t="shared" si="952"/>
        <v>3.8</v>
      </c>
    </row>
    <row r="6235" ht="15.0" customHeight="1">
      <c r="A6235" s="11"/>
      <c r="B6235" s="11"/>
      <c r="C6235" s="11"/>
      <c r="D6235" s="10" t="s">
        <v>22</v>
      </c>
      <c r="E6235" s="14">
        <v>0.3</v>
      </c>
      <c r="F6235" s="15">
        <f>ROUND((G6232+G6233+G6234),3)</f>
        <v>43.8</v>
      </c>
      <c r="G6235" s="12">
        <f t="shared" si="952"/>
        <v>13.14</v>
      </c>
    </row>
    <row r="6236" ht="15.0" customHeight="1">
      <c r="A6236" s="10" t="s">
        <v>32</v>
      </c>
      <c r="B6236" s="10"/>
      <c r="C6236" s="10" t="s">
        <v>33</v>
      </c>
      <c r="D6236" s="10" t="s">
        <v>34</v>
      </c>
      <c r="E6236" s="14">
        <v>3.0</v>
      </c>
      <c r="F6236" s="15">
        <f>ROUND(13.14,3)</f>
        <v>13.14</v>
      </c>
      <c r="G6236" s="12">
        <f>ROUND((E6236*F6236)/100,2)</f>
        <v>0.39</v>
      </c>
    </row>
    <row r="6237" ht="15.0" customHeight="1">
      <c r="A6237" s="16"/>
      <c r="B6237" s="16"/>
      <c r="C6237" s="16"/>
      <c r="D6237" s="17" t="s">
        <v>2774</v>
      </c>
      <c r="E6237" s="16"/>
      <c r="F6237" s="18">
        <f>ROUND((G6228+G6229+G6230+G6231+G6236)*(1+G2/100),2)</f>
        <v>37.86</v>
      </c>
      <c r="G6237" s="16"/>
    </row>
    <row r="6238" ht="39.75" customHeight="1">
      <c r="A6238" s="19" t="s">
        <v>2779</v>
      </c>
      <c r="B6238" s="20" t="s">
        <v>18</v>
      </c>
      <c r="C6238" s="20" t="s">
        <v>351</v>
      </c>
      <c r="D6238" s="20" t="s">
        <v>2780</v>
      </c>
      <c r="E6238" s="21"/>
      <c r="F6238" s="22">
        <f>F6249</f>
        <v>51.32</v>
      </c>
      <c r="G6238" s="21"/>
    </row>
    <row r="6239" ht="21.0" customHeight="1">
      <c r="A6239" s="11"/>
      <c r="B6239" s="11"/>
      <c r="C6239" s="11"/>
      <c r="D6239" s="10" t="s">
        <v>2780</v>
      </c>
    </row>
    <row r="6240" ht="30.0" customHeight="1">
      <c r="A6240" s="10" t="s">
        <v>2777</v>
      </c>
      <c r="B6240" s="10" t="s">
        <v>42</v>
      </c>
      <c r="C6240" s="10" t="s">
        <v>344</v>
      </c>
      <c r="D6240" s="10" t="s">
        <v>2778</v>
      </c>
      <c r="E6240" s="14">
        <v>0.55</v>
      </c>
      <c r="F6240" s="15">
        <f>ROUND(38,3)</f>
        <v>38</v>
      </c>
      <c r="G6240" s="12">
        <f t="shared" ref="G6240:G6247" si="954">ROUND(E6240*F6240,2)</f>
        <v>20.9</v>
      </c>
    </row>
    <row r="6241" ht="39.75" customHeight="1">
      <c r="A6241" s="10" t="s">
        <v>1761</v>
      </c>
      <c r="B6241" s="10" t="s">
        <v>42</v>
      </c>
      <c r="C6241" s="10" t="s">
        <v>1245</v>
      </c>
      <c r="D6241" s="10" t="s">
        <v>1762</v>
      </c>
      <c r="E6241" s="14">
        <v>0.3</v>
      </c>
      <c r="F6241" s="15">
        <f>ROUND(8.97,3)</f>
        <v>8.97</v>
      </c>
      <c r="G6241" s="12">
        <f t="shared" si="954"/>
        <v>2.69</v>
      </c>
    </row>
    <row r="6242" ht="30.0" customHeight="1">
      <c r="A6242" s="10" t="s">
        <v>2543</v>
      </c>
      <c r="B6242" s="10" t="s">
        <v>42</v>
      </c>
      <c r="C6242" s="10" t="s">
        <v>43</v>
      </c>
      <c r="D6242" s="10" t="s">
        <v>2544</v>
      </c>
      <c r="E6242" s="14">
        <v>0.4</v>
      </c>
      <c r="F6242" s="15">
        <f>ROUND(3.7,3)</f>
        <v>3.7</v>
      </c>
      <c r="G6242" s="12">
        <f t="shared" si="954"/>
        <v>1.48</v>
      </c>
    </row>
    <row r="6243" ht="21.0" customHeight="1">
      <c r="A6243" s="10" t="s">
        <v>22</v>
      </c>
      <c r="B6243" s="10" t="s">
        <v>18</v>
      </c>
      <c r="C6243" s="10" t="s">
        <v>23</v>
      </c>
      <c r="D6243" s="10" t="s">
        <v>24</v>
      </c>
      <c r="E6243" s="14">
        <v>0.56</v>
      </c>
      <c r="F6243" s="15">
        <f>F6247</f>
        <v>43.8</v>
      </c>
      <c r="G6243" s="12">
        <f t="shared" si="954"/>
        <v>24.53</v>
      </c>
    </row>
    <row r="6244" ht="24.0" customHeight="1">
      <c r="A6244" s="10" t="s">
        <v>25</v>
      </c>
      <c r="B6244" s="10" t="s">
        <v>26</v>
      </c>
      <c r="C6244" s="10" t="s">
        <v>23</v>
      </c>
      <c r="D6244" s="10" t="s">
        <v>27</v>
      </c>
      <c r="E6244" s="14">
        <v>1.0</v>
      </c>
      <c r="F6244" s="15">
        <f>ROUND(21,3)</f>
        <v>21</v>
      </c>
      <c r="G6244" s="12">
        <f t="shared" si="954"/>
        <v>21</v>
      </c>
    </row>
    <row r="6245" ht="24.0" customHeight="1">
      <c r="A6245" s="10" t="s">
        <v>28</v>
      </c>
      <c r="B6245" s="10" t="s">
        <v>26</v>
      </c>
      <c r="C6245" s="10" t="s">
        <v>23</v>
      </c>
      <c r="D6245" s="10" t="s">
        <v>29</v>
      </c>
      <c r="E6245" s="14">
        <v>1.0</v>
      </c>
      <c r="F6245" s="15">
        <f t="shared" ref="F6245:F6246" si="955">ROUND(19,3)</f>
        <v>19</v>
      </c>
      <c r="G6245" s="12">
        <f t="shared" si="954"/>
        <v>19</v>
      </c>
    </row>
    <row r="6246" ht="24.0" customHeight="1">
      <c r="A6246" s="10" t="s">
        <v>30</v>
      </c>
      <c r="B6246" s="10" t="s">
        <v>26</v>
      </c>
      <c r="C6246" s="10" t="s">
        <v>23</v>
      </c>
      <c r="D6246" s="10" t="s">
        <v>31</v>
      </c>
      <c r="E6246" s="14">
        <v>0.2</v>
      </c>
      <c r="F6246" s="15">
        <f t="shared" si="955"/>
        <v>19</v>
      </c>
      <c r="G6246" s="12">
        <f t="shared" si="954"/>
        <v>3.8</v>
      </c>
    </row>
    <row r="6247" ht="15.0" customHeight="1">
      <c r="A6247" s="11"/>
      <c r="B6247" s="11"/>
      <c r="C6247" s="11"/>
      <c r="D6247" s="10" t="s">
        <v>22</v>
      </c>
      <c r="E6247" s="14">
        <v>0.56</v>
      </c>
      <c r="F6247" s="15">
        <f>ROUND((G6244+G6245+G6246),3)</f>
        <v>43.8</v>
      </c>
      <c r="G6247" s="12">
        <f t="shared" si="954"/>
        <v>24.53</v>
      </c>
    </row>
    <row r="6248" ht="15.0" customHeight="1">
      <c r="A6248" s="10" t="s">
        <v>32</v>
      </c>
      <c r="B6248" s="10"/>
      <c r="C6248" s="10" t="s">
        <v>33</v>
      </c>
      <c r="D6248" s="10" t="s">
        <v>34</v>
      </c>
      <c r="E6248" s="14">
        <v>7.0</v>
      </c>
      <c r="F6248" s="15">
        <f>ROUND(24.53,3)</f>
        <v>24.53</v>
      </c>
      <c r="G6248" s="12">
        <f>ROUND((E6248*F6248)/100,2)</f>
        <v>1.72</v>
      </c>
    </row>
    <row r="6249" ht="15.0" customHeight="1">
      <c r="A6249" s="16"/>
      <c r="B6249" s="16"/>
      <c r="C6249" s="16"/>
      <c r="D6249" s="17" t="s">
        <v>2779</v>
      </c>
      <c r="E6249" s="16"/>
      <c r="F6249" s="18">
        <f>ROUND((G6240+G6241+G6242+G6243+G6248)*(1+G2/100),2)</f>
        <v>51.32</v>
      </c>
      <c r="G6249" s="16"/>
    </row>
    <row r="6250" ht="39.75" customHeight="1">
      <c r="A6250" s="19" t="s">
        <v>2781</v>
      </c>
      <c r="B6250" s="20" t="s">
        <v>18</v>
      </c>
      <c r="C6250" s="20" t="s">
        <v>351</v>
      </c>
      <c r="D6250" s="20" t="s">
        <v>2782</v>
      </c>
      <c r="E6250" s="21"/>
      <c r="F6250" s="22">
        <f>F6261</f>
        <v>39.56</v>
      </c>
      <c r="G6250" s="21"/>
    </row>
    <row r="6251" ht="21.0" customHeight="1">
      <c r="A6251" s="11"/>
      <c r="B6251" s="11"/>
      <c r="C6251" s="11"/>
      <c r="D6251" s="10" t="s">
        <v>2783</v>
      </c>
    </row>
    <row r="6252" ht="30.0" customHeight="1">
      <c r="A6252" s="10" t="s">
        <v>2784</v>
      </c>
      <c r="B6252" s="10" t="s">
        <v>42</v>
      </c>
      <c r="C6252" s="10" t="s">
        <v>344</v>
      </c>
      <c r="D6252" s="10" t="s">
        <v>2785</v>
      </c>
      <c r="E6252" s="14">
        <v>4.0</v>
      </c>
      <c r="F6252" s="15">
        <f>ROUND(3.04,3)</f>
        <v>3.04</v>
      </c>
      <c r="G6252" s="12">
        <f t="shared" ref="G6252:G6259" si="956">ROUND(E6252*F6252,2)</f>
        <v>12.16</v>
      </c>
    </row>
    <row r="6253" ht="30.0" customHeight="1">
      <c r="A6253" s="10" t="s">
        <v>2694</v>
      </c>
      <c r="B6253" s="10" t="s">
        <v>42</v>
      </c>
      <c r="C6253" s="10" t="s">
        <v>184</v>
      </c>
      <c r="D6253" s="10" t="s">
        <v>2695</v>
      </c>
      <c r="E6253" s="14">
        <v>0.132</v>
      </c>
      <c r="F6253" s="15">
        <f>ROUND(15.43,3)</f>
        <v>15.43</v>
      </c>
      <c r="G6253" s="12">
        <f t="shared" si="956"/>
        <v>2.04</v>
      </c>
    </row>
    <row r="6254" ht="30.0" customHeight="1">
      <c r="A6254" s="10" t="s">
        <v>2053</v>
      </c>
      <c r="B6254" s="10" t="s">
        <v>42</v>
      </c>
      <c r="C6254" s="10" t="s">
        <v>184</v>
      </c>
      <c r="D6254" s="10" t="s">
        <v>2054</v>
      </c>
      <c r="E6254" s="14">
        <v>0.111</v>
      </c>
      <c r="F6254" s="15">
        <f>ROUND(11.74,3)</f>
        <v>11.74</v>
      </c>
      <c r="G6254" s="12">
        <f t="shared" si="956"/>
        <v>1.3</v>
      </c>
    </row>
    <row r="6255" ht="21.0" customHeight="1">
      <c r="A6255" s="10" t="s">
        <v>22</v>
      </c>
      <c r="B6255" s="10" t="s">
        <v>18</v>
      </c>
      <c r="C6255" s="10" t="s">
        <v>23</v>
      </c>
      <c r="D6255" s="10" t="s">
        <v>24</v>
      </c>
      <c r="E6255" s="14">
        <v>0.53333</v>
      </c>
      <c r="F6255" s="15">
        <f>F6259</f>
        <v>43.8</v>
      </c>
      <c r="G6255" s="12">
        <f t="shared" si="956"/>
        <v>23.36</v>
      </c>
    </row>
    <row r="6256" ht="24.0" customHeight="1">
      <c r="A6256" s="10" t="s">
        <v>25</v>
      </c>
      <c r="B6256" s="10" t="s">
        <v>26</v>
      </c>
      <c r="C6256" s="10" t="s">
        <v>23</v>
      </c>
      <c r="D6256" s="10" t="s">
        <v>27</v>
      </c>
      <c r="E6256" s="14">
        <v>1.0</v>
      </c>
      <c r="F6256" s="15">
        <f>ROUND(21,3)</f>
        <v>21</v>
      </c>
      <c r="G6256" s="12">
        <f t="shared" si="956"/>
        <v>21</v>
      </c>
    </row>
    <row r="6257" ht="24.0" customHeight="1">
      <c r="A6257" s="10" t="s">
        <v>28</v>
      </c>
      <c r="B6257" s="10" t="s">
        <v>26</v>
      </c>
      <c r="C6257" s="10" t="s">
        <v>23</v>
      </c>
      <c r="D6257" s="10" t="s">
        <v>29</v>
      </c>
      <c r="E6257" s="14">
        <v>1.0</v>
      </c>
      <c r="F6257" s="15">
        <f t="shared" ref="F6257:F6258" si="957">ROUND(19,3)</f>
        <v>19</v>
      </c>
      <c r="G6257" s="12">
        <f t="shared" si="956"/>
        <v>19</v>
      </c>
    </row>
    <row r="6258" ht="24.0" customHeight="1">
      <c r="A6258" s="10" t="s">
        <v>30</v>
      </c>
      <c r="B6258" s="10" t="s">
        <v>26</v>
      </c>
      <c r="C6258" s="10" t="s">
        <v>23</v>
      </c>
      <c r="D6258" s="10" t="s">
        <v>31</v>
      </c>
      <c r="E6258" s="14">
        <v>0.2</v>
      </c>
      <c r="F6258" s="15">
        <f t="shared" si="957"/>
        <v>19</v>
      </c>
      <c r="G6258" s="12">
        <f t="shared" si="956"/>
        <v>3.8</v>
      </c>
    </row>
    <row r="6259" ht="15.0" customHeight="1">
      <c r="A6259" s="11"/>
      <c r="B6259" s="11"/>
      <c r="C6259" s="11"/>
      <c r="D6259" s="10" t="s">
        <v>22</v>
      </c>
      <c r="E6259" s="14">
        <v>0.53333</v>
      </c>
      <c r="F6259" s="15">
        <f>ROUND((G6256+G6257+G6258),3)</f>
        <v>43.8</v>
      </c>
      <c r="G6259" s="12">
        <f t="shared" si="956"/>
        <v>23.36</v>
      </c>
    </row>
    <row r="6260" ht="15.0" customHeight="1">
      <c r="A6260" s="10" t="s">
        <v>32</v>
      </c>
      <c r="B6260" s="10"/>
      <c r="C6260" s="10" t="s">
        <v>33</v>
      </c>
      <c r="D6260" s="10" t="s">
        <v>34</v>
      </c>
      <c r="E6260" s="14">
        <v>3.0</v>
      </c>
      <c r="F6260" s="15">
        <f>ROUND(23.36,3)</f>
        <v>23.36</v>
      </c>
      <c r="G6260" s="12">
        <f>ROUND((E6260*F6260)/100,2)</f>
        <v>0.7</v>
      </c>
    </row>
    <row r="6261" ht="15.0" customHeight="1">
      <c r="A6261" s="16"/>
      <c r="B6261" s="16"/>
      <c r="C6261" s="16"/>
      <c r="D6261" s="17" t="s">
        <v>2781</v>
      </c>
      <c r="E6261" s="16"/>
      <c r="F6261" s="18">
        <f>ROUND((G6252+G6253+G6254+G6255+G6260)*(1+G2/100),2)</f>
        <v>39.56</v>
      </c>
      <c r="G6261" s="16"/>
    </row>
    <row r="6262" ht="48.75" customHeight="1">
      <c r="A6262" s="19" t="s">
        <v>2786</v>
      </c>
      <c r="B6262" s="20" t="s">
        <v>18</v>
      </c>
      <c r="C6262" s="20" t="s">
        <v>351</v>
      </c>
      <c r="D6262" s="20" t="s">
        <v>2787</v>
      </c>
      <c r="E6262" s="21"/>
      <c r="F6262" s="22">
        <f>F6273</f>
        <v>49.99</v>
      </c>
      <c r="G6262" s="21"/>
    </row>
    <row r="6263" ht="21.0" customHeight="1">
      <c r="A6263" s="11"/>
      <c r="B6263" s="11"/>
      <c r="C6263" s="11"/>
      <c r="D6263" s="10" t="s">
        <v>2787</v>
      </c>
    </row>
    <row r="6264" ht="30.0" customHeight="1">
      <c r="A6264" s="10" t="s">
        <v>2784</v>
      </c>
      <c r="B6264" s="10" t="s">
        <v>42</v>
      </c>
      <c r="C6264" s="10" t="s">
        <v>344</v>
      </c>
      <c r="D6264" s="10" t="s">
        <v>2785</v>
      </c>
      <c r="E6264" s="14">
        <v>4.0</v>
      </c>
      <c r="F6264" s="15">
        <f>ROUND(3.04,3)</f>
        <v>3.04</v>
      </c>
      <c r="G6264" s="12">
        <f t="shared" ref="G6264:G6271" si="958">ROUND(E6264*F6264,2)</f>
        <v>12.16</v>
      </c>
    </row>
    <row r="6265" ht="30.0" customHeight="1">
      <c r="A6265" s="10" t="s">
        <v>2694</v>
      </c>
      <c r="B6265" s="10" t="s">
        <v>42</v>
      </c>
      <c r="C6265" s="10" t="s">
        <v>184</v>
      </c>
      <c r="D6265" s="10" t="s">
        <v>2695</v>
      </c>
      <c r="E6265" s="14">
        <v>0.132</v>
      </c>
      <c r="F6265" s="15">
        <f>ROUND(15.43,3)</f>
        <v>15.43</v>
      </c>
      <c r="G6265" s="12">
        <f t="shared" si="958"/>
        <v>2.04</v>
      </c>
    </row>
    <row r="6266" ht="30.0" customHeight="1">
      <c r="A6266" s="10" t="s">
        <v>2053</v>
      </c>
      <c r="B6266" s="10" t="s">
        <v>42</v>
      </c>
      <c r="C6266" s="10" t="s">
        <v>184</v>
      </c>
      <c r="D6266" s="10" t="s">
        <v>2054</v>
      </c>
      <c r="E6266" s="14">
        <v>0.111</v>
      </c>
      <c r="F6266" s="15">
        <f>ROUND(11.74,3)</f>
        <v>11.74</v>
      </c>
      <c r="G6266" s="12">
        <f t="shared" si="958"/>
        <v>1.3</v>
      </c>
    </row>
    <row r="6267" ht="21.0" customHeight="1">
      <c r="A6267" s="10" t="s">
        <v>22</v>
      </c>
      <c r="B6267" s="10" t="s">
        <v>18</v>
      </c>
      <c r="C6267" s="10" t="s">
        <v>23</v>
      </c>
      <c r="D6267" s="10" t="s">
        <v>24</v>
      </c>
      <c r="E6267" s="14">
        <v>0.75</v>
      </c>
      <c r="F6267" s="15">
        <f>F6271</f>
        <v>43.8</v>
      </c>
      <c r="G6267" s="12">
        <f t="shared" si="958"/>
        <v>32.85</v>
      </c>
    </row>
    <row r="6268" ht="24.0" customHeight="1">
      <c r="A6268" s="10" t="s">
        <v>25</v>
      </c>
      <c r="B6268" s="10" t="s">
        <v>26</v>
      </c>
      <c r="C6268" s="10" t="s">
        <v>23</v>
      </c>
      <c r="D6268" s="10" t="s">
        <v>27</v>
      </c>
      <c r="E6268" s="14">
        <v>1.0</v>
      </c>
      <c r="F6268" s="15">
        <f>ROUND(21,3)</f>
        <v>21</v>
      </c>
      <c r="G6268" s="12">
        <f t="shared" si="958"/>
        <v>21</v>
      </c>
    </row>
    <row r="6269" ht="24.0" customHeight="1">
      <c r="A6269" s="10" t="s">
        <v>28</v>
      </c>
      <c r="B6269" s="10" t="s">
        <v>26</v>
      </c>
      <c r="C6269" s="10" t="s">
        <v>23</v>
      </c>
      <c r="D6269" s="10" t="s">
        <v>29</v>
      </c>
      <c r="E6269" s="14">
        <v>1.0</v>
      </c>
      <c r="F6269" s="15">
        <f t="shared" ref="F6269:F6270" si="959">ROUND(19,3)</f>
        <v>19</v>
      </c>
      <c r="G6269" s="12">
        <f t="shared" si="958"/>
        <v>19</v>
      </c>
    </row>
    <row r="6270" ht="24.0" customHeight="1">
      <c r="A6270" s="10" t="s">
        <v>30</v>
      </c>
      <c r="B6270" s="10" t="s">
        <v>26</v>
      </c>
      <c r="C6270" s="10" t="s">
        <v>23</v>
      </c>
      <c r="D6270" s="10" t="s">
        <v>31</v>
      </c>
      <c r="E6270" s="14">
        <v>0.2</v>
      </c>
      <c r="F6270" s="15">
        <f t="shared" si="959"/>
        <v>19</v>
      </c>
      <c r="G6270" s="12">
        <f t="shared" si="958"/>
        <v>3.8</v>
      </c>
    </row>
    <row r="6271" ht="15.0" customHeight="1">
      <c r="A6271" s="11"/>
      <c r="B6271" s="11"/>
      <c r="C6271" s="11"/>
      <c r="D6271" s="10" t="s">
        <v>22</v>
      </c>
      <c r="E6271" s="14">
        <v>0.75</v>
      </c>
      <c r="F6271" s="15">
        <f>ROUND((G6268+G6269+G6270),3)</f>
        <v>43.8</v>
      </c>
      <c r="G6271" s="12">
        <f t="shared" si="958"/>
        <v>32.85</v>
      </c>
    </row>
    <row r="6272" ht="15.0" customHeight="1">
      <c r="A6272" s="10" t="s">
        <v>32</v>
      </c>
      <c r="B6272" s="10"/>
      <c r="C6272" s="10" t="s">
        <v>33</v>
      </c>
      <c r="D6272" s="10" t="s">
        <v>34</v>
      </c>
      <c r="E6272" s="14">
        <v>5.0</v>
      </c>
      <c r="F6272" s="15">
        <f>ROUND(32.85,3)</f>
        <v>32.85</v>
      </c>
      <c r="G6272" s="12">
        <f>ROUND((E6272*F6272)/100,2)</f>
        <v>1.64</v>
      </c>
    </row>
    <row r="6273" ht="15.0" customHeight="1">
      <c r="A6273" s="16"/>
      <c r="B6273" s="16"/>
      <c r="C6273" s="16"/>
      <c r="D6273" s="17" t="s">
        <v>2786</v>
      </c>
      <c r="E6273" s="16"/>
      <c r="F6273" s="18">
        <f>ROUND((G6264+G6265+G6266+G6267+G6272)*(1+G2/100),2)</f>
        <v>49.99</v>
      </c>
      <c r="G6273" s="16"/>
    </row>
    <row r="6274" ht="39.75" customHeight="1">
      <c r="A6274" s="19" t="s">
        <v>2788</v>
      </c>
      <c r="B6274" s="20" t="s">
        <v>18</v>
      </c>
      <c r="C6274" s="20" t="s">
        <v>351</v>
      </c>
      <c r="D6274" s="20" t="s">
        <v>2789</v>
      </c>
      <c r="E6274" s="21"/>
      <c r="F6274" s="22">
        <f>F6285</f>
        <v>40.77</v>
      </c>
      <c r="G6274" s="21"/>
    </row>
    <row r="6275" ht="21.0" customHeight="1">
      <c r="A6275" s="11"/>
      <c r="B6275" s="11"/>
      <c r="C6275" s="11"/>
      <c r="D6275" s="10" t="s">
        <v>2790</v>
      </c>
    </row>
    <row r="6276" ht="30.0" customHeight="1">
      <c r="A6276" s="10" t="s">
        <v>2791</v>
      </c>
      <c r="B6276" s="10" t="s">
        <v>42</v>
      </c>
      <c r="C6276" s="10" t="s">
        <v>344</v>
      </c>
      <c r="D6276" s="10" t="s">
        <v>2792</v>
      </c>
      <c r="E6276" s="14">
        <v>3.1746</v>
      </c>
      <c r="F6276" s="15">
        <f>ROUND(4.93,3)</f>
        <v>4.93</v>
      </c>
      <c r="G6276" s="12">
        <f t="shared" ref="G6276:G6283" si="960">ROUND(E6276*F6276,2)</f>
        <v>15.65</v>
      </c>
    </row>
    <row r="6277" ht="30.0" customHeight="1">
      <c r="A6277" s="10" t="s">
        <v>2694</v>
      </c>
      <c r="B6277" s="10" t="s">
        <v>42</v>
      </c>
      <c r="C6277" s="10" t="s">
        <v>184</v>
      </c>
      <c r="D6277" s="10" t="s">
        <v>2695</v>
      </c>
      <c r="E6277" s="14">
        <v>0.132</v>
      </c>
      <c r="F6277" s="15">
        <f>ROUND(15.43,3)</f>
        <v>15.43</v>
      </c>
      <c r="G6277" s="12">
        <f t="shared" si="960"/>
        <v>2.04</v>
      </c>
    </row>
    <row r="6278" ht="30.0" customHeight="1">
      <c r="A6278" s="10" t="s">
        <v>2053</v>
      </c>
      <c r="B6278" s="10" t="s">
        <v>42</v>
      </c>
      <c r="C6278" s="10" t="s">
        <v>184</v>
      </c>
      <c r="D6278" s="10" t="s">
        <v>2054</v>
      </c>
      <c r="E6278" s="14">
        <v>0.04405</v>
      </c>
      <c r="F6278" s="15">
        <f>ROUND(11.74,3)</f>
        <v>11.74</v>
      </c>
      <c r="G6278" s="12">
        <f t="shared" si="960"/>
        <v>0.52</v>
      </c>
    </row>
    <row r="6279" ht="21.0" customHeight="1">
      <c r="A6279" s="10" t="s">
        <v>22</v>
      </c>
      <c r="B6279" s="10" t="s">
        <v>18</v>
      </c>
      <c r="C6279" s="10" t="s">
        <v>23</v>
      </c>
      <c r="D6279" s="10" t="s">
        <v>24</v>
      </c>
      <c r="E6279" s="14">
        <v>0.5</v>
      </c>
      <c r="F6279" s="15">
        <f>F6283</f>
        <v>43.8</v>
      </c>
      <c r="G6279" s="12">
        <f t="shared" si="960"/>
        <v>21.9</v>
      </c>
    </row>
    <row r="6280" ht="24.0" customHeight="1">
      <c r="A6280" s="10" t="s">
        <v>25</v>
      </c>
      <c r="B6280" s="10" t="s">
        <v>26</v>
      </c>
      <c r="C6280" s="10" t="s">
        <v>23</v>
      </c>
      <c r="D6280" s="10" t="s">
        <v>27</v>
      </c>
      <c r="E6280" s="14">
        <v>1.0</v>
      </c>
      <c r="F6280" s="15">
        <f>ROUND(21,3)</f>
        <v>21</v>
      </c>
      <c r="G6280" s="12">
        <f t="shared" si="960"/>
        <v>21</v>
      </c>
    </row>
    <row r="6281" ht="24.0" customHeight="1">
      <c r="A6281" s="10" t="s">
        <v>28</v>
      </c>
      <c r="B6281" s="10" t="s">
        <v>26</v>
      </c>
      <c r="C6281" s="10" t="s">
        <v>23</v>
      </c>
      <c r="D6281" s="10" t="s">
        <v>29</v>
      </c>
      <c r="E6281" s="14">
        <v>1.0</v>
      </c>
      <c r="F6281" s="15">
        <f t="shared" ref="F6281:F6282" si="961">ROUND(19,3)</f>
        <v>19</v>
      </c>
      <c r="G6281" s="12">
        <f t="shared" si="960"/>
        <v>19</v>
      </c>
    </row>
    <row r="6282" ht="24.0" customHeight="1">
      <c r="A6282" s="10" t="s">
        <v>30</v>
      </c>
      <c r="B6282" s="10" t="s">
        <v>26</v>
      </c>
      <c r="C6282" s="10" t="s">
        <v>23</v>
      </c>
      <c r="D6282" s="10" t="s">
        <v>31</v>
      </c>
      <c r="E6282" s="14">
        <v>0.2</v>
      </c>
      <c r="F6282" s="15">
        <f t="shared" si="961"/>
        <v>19</v>
      </c>
      <c r="G6282" s="12">
        <f t="shared" si="960"/>
        <v>3.8</v>
      </c>
    </row>
    <row r="6283" ht="15.0" customHeight="1">
      <c r="A6283" s="11"/>
      <c r="B6283" s="11"/>
      <c r="C6283" s="11"/>
      <c r="D6283" s="10" t="s">
        <v>22</v>
      </c>
      <c r="E6283" s="14">
        <v>0.5</v>
      </c>
      <c r="F6283" s="15">
        <f>ROUND((G6280+G6281+G6282),3)</f>
        <v>43.8</v>
      </c>
      <c r="G6283" s="12">
        <f t="shared" si="960"/>
        <v>21.9</v>
      </c>
    </row>
    <row r="6284" ht="15.0" customHeight="1">
      <c r="A6284" s="10" t="s">
        <v>32</v>
      </c>
      <c r="B6284" s="10"/>
      <c r="C6284" s="10" t="s">
        <v>33</v>
      </c>
      <c r="D6284" s="10" t="s">
        <v>34</v>
      </c>
      <c r="E6284" s="14">
        <v>3.0</v>
      </c>
      <c r="F6284" s="15">
        <f>ROUND(21.9,3)</f>
        <v>21.9</v>
      </c>
      <c r="G6284" s="12">
        <f>ROUND((E6284*F6284)/100,2)</f>
        <v>0.66</v>
      </c>
    </row>
    <row r="6285" ht="15.0" customHeight="1">
      <c r="A6285" s="16"/>
      <c r="B6285" s="16"/>
      <c r="C6285" s="16"/>
      <c r="D6285" s="17" t="s">
        <v>2788</v>
      </c>
      <c r="E6285" s="16"/>
      <c r="F6285" s="18">
        <f>ROUND((G6276+G6277+G6278+G6279+G6284)*(1+G2/100),2)</f>
        <v>40.77</v>
      </c>
      <c r="G6285" s="16"/>
    </row>
    <row r="6286" ht="48.75" customHeight="1">
      <c r="A6286" s="19" t="s">
        <v>2793</v>
      </c>
      <c r="B6286" s="20" t="s">
        <v>18</v>
      </c>
      <c r="C6286" s="20" t="s">
        <v>351</v>
      </c>
      <c r="D6286" s="20" t="s">
        <v>2794</v>
      </c>
      <c r="E6286" s="21"/>
      <c r="F6286" s="22">
        <f>F6297</f>
        <v>49.79</v>
      </c>
      <c r="G6286" s="21"/>
    </row>
    <row r="6287" ht="21.0" customHeight="1">
      <c r="A6287" s="11"/>
      <c r="B6287" s="11"/>
      <c r="C6287" s="11"/>
      <c r="D6287" s="10" t="s">
        <v>2794</v>
      </c>
    </row>
    <row r="6288" ht="30.0" customHeight="1">
      <c r="A6288" s="10" t="s">
        <v>2791</v>
      </c>
      <c r="B6288" s="10" t="s">
        <v>42</v>
      </c>
      <c r="C6288" s="10" t="s">
        <v>344</v>
      </c>
      <c r="D6288" s="10" t="s">
        <v>2792</v>
      </c>
      <c r="E6288" s="14">
        <v>3.1746</v>
      </c>
      <c r="F6288" s="15">
        <f>ROUND(4.93,3)</f>
        <v>4.93</v>
      </c>
      <c r="G6288" s="12">
        <f t="shared" ref="G6288:G6295" si="962">ROUND(E6288*F6288,2)</f>
        <v>15.65</v>
      </c>
    </row>
    <row r="6289" ht="30.0" customHeight="1">
      <c r="A6289" s="10" t="s">
        <v>2694</v>
      </c>
      <c r="B6289" s="10" t="s">
        <v>42</v>
      </c>
      <c r="C6289" s="10" t="s">
        <v>184</v>
      </c>
      <c r="D6289" s="10" t="s">
        <v>2695</v>
      </c>
      <c r="E6289" s="14">
        <v>0.132</v>
      </c>
      <c r="F6289" s="15">
        <f>ROUND(15.43,3)</f>
        <v>15.43</v>
      </c>
      <c r="G6289" s="12">
        <f t="shared" si="962"/>
        <v>2.04</v>
      </c>
    </row>
    <row r="6290" ht="30.0" customHeight="1">
      <c r="A6290" s="10" t="s">
        <v>2053</v>
      </c>
      <c r="B6290" s="10" t="s">
        <v>42</v>
      </c>
      <c r="C6290" s="10" t="s">
        <v>184</v>
      </c>
      <c r="D6290" s="10" t="s">
        <v>2054</v>
      </c>
      <c r="E6290" s="14">
        <v>0.04405</v>
      </c>
      <c r="F6290" s="15">
        <f>ROUND(11.74,3)</f>
        <v>11.74</v>
      </c>
      <c r="G6290" s="12">
        <f t="shared" si="962"/>
        <v>0.52</v>
      </c>
    </row>
    <row r="6291" ht="21.0" customHeight="1">
      <c r="A6291" s="10" t="s">
        <v>22</v>
      </c>
      <c r="B6291" s="10" t="s">
        <v>18</v>
      </c>
      <c r="C6291" s="10" t="s">
        <v>23</v>
      </c>
      <c r="D6291" s="10" t="s">
        <v>24</v>
      </c>
      <c r="E6291" s="14">
        <v>0.7</v>
      </c>
      <c r="F6291" s="15">
        <f>F6295</f>
        <v>43.8</v>
      </c>
      <c r="G6291" s="12">
        <f t="shared" si="962"/>
        <v>30.66</v>
      </c>
    </row>
    <row r="6292" ht="24.0" customHeight="1">
      <c r="A6292" s="10" t="s">
        <v>25</v>
      </c>
      <c r="B6292" s="10" t="s">
        <v>26</v>
      </c>
      <c r="C6292" s="10" t="s">
        <v>23</v>
      </c>
      <c r="D6292" s="10" t="s">
        <v>27</v>
      </c>
      <c r="E6292" s="14">
        <v>1.0</v>
      </c>
      <c r="F6292" s="15">
        <f>ROUND(21,3)</f>
        <v>21</v>
      </c>
      <c r="G6292" s="12">
        <f t="shared" si="962"/>
        <v>21</v>
      </c>
    </row>
    <row r="6293" ht="24.0" customHeight="1">
      <c r="A6293" s="10" t="s">
        <v>28</v>
      </c>
      <c r="B6293" s="10" t="s">
        <v>26</v>
      </c>
      <c r="C6293" s="10" t="s">
        <v>23</v>
      </c>
      <c r="D6293" s="10" t="s">
        <v>29</v>
      </c>
      <c r="E6293" s="14">
        <v>1.0</v>
      </c>
      <c r="F6293" s="15">
        <f t="shared" ref="F6293:F6294" si="963">ROUND(19,3)</f>
        <v>19</v>
      </c>
      <c r="G6293" s="12">
        <f t="shared" si="962"/>
        <v>19</v>
      </c>
    </row>
    <row r="6294" ht="24.0" customHeight="1">
      <c r="A6294" s="10" t="s">
        <v>30</v>
      </c>
      <c r="B6294" s="10" t="s">
        <v>26</v>
      </c>
      <c r="C6294" s="10" t="s">
        <v>23</v>
      </c>
      <c r="D6294" s="10" t="s">
        <v>31</v>
      </c>
      <c r="E6294" s="14">
        <v>0.2</v>
      </c>
      <c r="F6294" s="15">
        <f t="shared" si="963"/>
        <v>19</v>
      </c>
      <c r="G6294" s="12">
        <f t="shared" si="962"/>
        <v>3.8</v>
      </c>
    </row>
    <row r="6295" ht="15.0" customHeight="1">
      <c r="A6295" s="11"/>
      <c r="B6295" s="11"/>
      <c r="C6295" s="11"/>
      <c r="D6295" s="10" t="s">
        <v>22</v>
      </c>
      <c r="E6295" s="14">
        <v>0.7</v>
      </c>
      <c r="F6295" s="15">
        <f>ROUND((G6292+G6293+G6294),3)</f>
        <v>43.8</v>
      </c>
      <c r="G6295" s="12">
        <f t="shared" si="962"/>
        <v>30.66</v>
      </c>
    </row>
    <row r="6296" ht="15.0" customHeight="1">
      <c r="A6296" s="10" t="s">
        <v>32</v>
      </c>
      <c r="B6296" s="10"/>
      <c r="C6296" s="10" t="s">
        <v>33</v>
      </c>
      <c r="D6296" s="10" t="s">
        <v>34</v>
      </c>
      <c r="E6296" s="14">
        <v>3.0</v>
      </c>
      <c r="F6296" s="15">
        <f>ROUND(30.66,3)</f>
        <v>30.66</v>
      </c>
      <c r="G6296" s="12">
        <f>ROUND((E6296*F6296)/100,2)</f>
        <v>0.92</v>
      </c>
    </row>
    <row r="6297" ht="15.0" customHeight="1">
      <c r="A6297" s="16"/>
      <c r="B6297" s="16"/>
      <c r="C6297" s="16"/>
      <c r="D6297" s="17" t="s">
        <v>2793</v>
      </c>
      <c r="E6297" s="16"/>
      <c r="F6297" s="18">
        <f>ROUND((G6288+G6289+G6290+G6291+G6296)*(1+G2/100),2)</f>
        <v>49.79</v>
      </c>
      <c r="G6297" s="16"/>
    </row>
    <row r="6298" ht="48.75" customHeight="1">
      <c r="A6298" s="19" t="s">
        <v>2795</v>
      </c>
      <c r="B6298" s="20" t="s">
        <v>18</v>
      </c>
      <c r="C6298" s="20" t="s">
        <v>351</v>
      </c>
      <c r="D6298" s="20" t="s">
        <v>2796</v>
      </c>
      <c r="E6298" s="21"/>
      <c r="F6298" s="22">
        <f>F6311</f>
        <v>68.93</v>
      </c>
      <c r="G6298" s="21"/>
    </row>
    <row r="6299" ht="21.0" customHeight="1">
      <c r="A6299" s="11"/>
      <c r="B6299" s="11"/>
      <c r="C6299" s="11"/>
      <c r="D6299" s="10" t="s">
        <v>2796</v>
      </c>
    </row>
    <row r="6300" ht="48.75" customHeight="1">
      <c r="A6300" s="10" t="s">
        <v>2797</v>
      </c>
      <c r="B6300" s="10" t="s">
        <v>42</v>
      </c>
      <c r="C6300" s="10" t="s">
        <v>344</v>
      </c>
      <c r="D6300" s="10" t="s">
        <v>2798</v>
      </c>
      <c r="E6300" s="14">
        <v>1.1</v>
      </c>
      <c r="F6300" s="15">
        <f>ROUND(38,3)</f>
        <v>38</v>
      </c>
      <c r="G6300" s="12">
        <f t="shared" ref="G6300:G6309" si="964">ROUND(E6300*F6300,2)</f>
        <v>41.8</v>
      </c>
    </row>
    <row r="6301" ht="39.75" customHeight="1">
      <c r="A6301" s="10" t="s">
        <v>2640</v>
      </c>
      <c r="B6301" s="10" t="s">
        <v>42</v>
      </c>
      <c r="C6301" s="10" t="s">
        <v>184</v>
      </c>
      <c r="D6301" s="10" t="s">
        <v>2641</v>
      </c>
      <c r="E6301" s="14">
        <v>0.64</v>
      </c>
      <c r="F6301" s="15">
        <f>ROUND(2.6,3)</f>
        <v>2.6</v>
      </c>
      <c r="G6301" s="12">
        <f t="shared" si="964"/>
        <v>1.66</v>
      </c>
    </row>
    <row r="6302" ht="30.0" customHeight="1">
      <c r="A6302" s="10" t="s">
        <v>2053</v>
      </c>
      <c r="B6302" s="10" t="s">
        <v>42</v>
      </c>
      <c r="C6302" s="10" t="s">
        <v>184</v>
      </c>
      <c r="D6302" s="10" t="s">
        <v>2054</v>
      </c>
      <c r="E6302" s="14">
        <v>0.03</v>
      </c>
      <c r="F6302" s="15">
        <f>ROUND(11.74,3)</f>
        <v>11.74</v>
      </c>
      <c r="G6302" s="12">
        <f t="shared" si="964"/>
        <v>0.35</v>
      </c>
    </row>
    <row r="6303" ht="39.75" customHeight="1">
      <c r="A6303" s="10" t="s">
        <v>953</v>
      </c>
      <c r="B6303" s="10" t="s">
        <v>112</v>
      </c>
      <c r="C6303" s="10" t="s">
        <v>23</v>
      </c>
      <c r="D6303" s="10" t="s">
        <v>954</v>
      </c>
      <c r="E6303" s="14">
        <v>0.25</v>
      </c>
      <c r="F6303" s="15">
        <f>ROUND(1.75,3)</f>
        <v>1.75</v>
      </c>
      <c r="G6303" s="12">
        <f t="shared" si="964"/>
        <v>0.44</v>
      </c>
    </row>
    <row r="6304" ht="30.0" customHeight="1">
      <c r="A6304" s="10" t="s">
        <v>1793</v>
      </c>
      <c r="B6304" s="10" t="s">
        <v>42</v>
      </c>
      <c r="C6304" s="10" t="s">
        <v>956</v>
      </c>
      <c r="D6304" s="10" t="s">
        <v>1794</v>
      </c>
      <c r="E6304" s="14">
        <v>0.01667</v>
      </c>
      <c r="F6304" s="15">
        <f>ROUND(8.81,3)</f>
        <v>8.81</v>
      </c>
      <c r="G6304" s="12">
        <f t="shared" si="964"/>
        <v>0.15</v>
      </c>
    </row>
    <row r="6305" ht="21.0" customHeight="1">
      <c r="A6305" s="10" t="s">
        <v>22</v>
      </c>
      <c r="B6305" s="10" t="s">
        <v>18</v>
      </c>
      <c r="C6305" s="10" t="s">
        <v>23</v>
      </c>
      <c r="D6305" s="10" t="s">
        <v>24</v>
      </c>
      <c r="E6305" s="14">
        <v>0.53333</v>
      </c>
      <c r="F6305" s="15">
        <f>F6309</f>
        <v>43.8</v>
      </c>
      <c r="G6305" s="12">
        <f t="shared" si="964"/>
        <v>23.36</v>
      </c>
    </row>
    <row r="6306" ht="24.0" customHeight="1">
      <c r="A6306" s="10" t="s">
        <v>25</v>
      </c>
      <c r="B6306" s="10" t="s">
        <v>26</v>
      </c>
      <c r="C6306" s="10" t="s">
        <v>23</v>
      </c>
      <c r="D6306" s="10" t="s">
        <v>27</v>
      </c>
      <c r="E6306" s="14">
        <v>1.0</v>
      </c>
      <c r="F6306" s="15">
        <f>ROUND(21,3)</f>
        <v>21</v>
      </c>
      <c r="G6306" s="12">
        <f t="shared" si="964"/>
        <v>21</v>
      </c>
    </row>
    <row r="6307" ht="24.0" customHeight="1">
      <c r="A6307" s="10" t="s">
        <v>28</v>
      </c>
      <c r="B6307" s="10" t="s">
        <v>26</v>
      </c>
      <c r="C6307" s="10" t="s">
        <v>23</v>
      </c>
      <c r="D6307" s="10" t="s">
        <v>29</v>
      </c>
      <c r="E6307" s="14">
        <v>1.0</v>
      </c>
      <c r="F6307" s="15">
        <f t="shared" ref="F6307:F6308" si="965">ROUND(19,3)</f>
        <v>19</v>
      </c>
      <c r="G6307" s="12">
        <f t="shared" si="964"/>
        <v>19</v>
      </c>
    </row>
    <row r="6308" ht="24.0" customHeight="1">
      <c r="A6308" s="10" t="s">
        <v>30</v>
      </c>
      <c r="B6308" s="10" t="s">
        <v>26</v>
      </c>
      <c r="C6308" s="10" t="s">
        <v>23</v>
      </c>
      <c r="D6308" s="10" t="s">
        <v>31</v>
      </c>
      <c r="E6308" s="14">
        <v>0.2</v>
      </c>
      <c r="F6308" s="15">
        <f t="shared" si="965"/>
        <v>19</v>
      </c>
      <c r="G6308" s="12">
        <f t="shared" si="964"/>
        <v>3.8</v>
      </c>
    </row>
    <row r="6309" ht="15.0" customHeight="1">
      <c r="A6309" s="11"/>
      <c r="B6309" s="11"/>
      <c r="C6309" s="11"/>
      <c r="D6309" s="10" t="s">
        <v>22</v>
      </c>
      <c r="E6309" s="14">
        <v>0.53333</v>
      </c>
      <c r="F6309" s="15">
        <f>ROUND((G6306+G6307+G6308),3)</f>
        <v>43.8</v>
      </c>
      <c r="G6309" s="12">
        <f t="shared" si="964"/>
        <v>23.36</v>
      </c>
    </row>
    <row r="6310" ht="15.0" customHeight="1">
      <c r="A6310" s="10" t="s">
        <v>32</v>
      </c>
      <c r="B6310" s="10"/>
      <c r="C6310" s="10" t="s">
        <v>33</v>
      </c>
      <c r="D6310" s="10" t="s">
        <v>34</v>
      </c>
      <c r="E6310" s="14">
        <v>5.0</v>
      </c>
      <c r="F6310" s="15">
        <f>ROUND(23.36,3)</f>
        <v>23.36</v>
      </c>
      <c r="G6310" s="12">
        <f>ROUND((E6310*F6310)/100,2)</f>
        <v>1.17</v>
      </c>
    </row>
    <row r="6311" ht="24.75" customHeight="1">
      <c r="A6311" s="16"/>
      <c r="B6311" s="16"/>
      <c r="C6311" s="16"/>
      <c r="D6311" s="17" t="s">
        <v>2795</v>
      </c>
      <c r="E6311" s="16"/>
      <c r="F6311" s="18">
        <f>ROUND((G6300+G6301+G6302+G6303+G6304+G6305+G6310)*(1+G2/100),2)</f>
        <v>68.93</v>
      </c>
      <c r="G6311" s="16"/>
    </row>
    <row r="6312" ht="48.75" customHeight="1">
      <c r="A6312" s="19" t="s">
        <v>2799</v>
      </c>
      <c r="B6312" s="20" t="s">
        <v>18</v>
      </c>
      <c r="C6312" s="20" t="s">
        <v>351</v>
      </c>
      <c r="D6312" s="20" t="s">
        <v>2800</v>
      </c>
      <c r="E6312" s="21"/>
      <c r="F6312" s="22">
        <f>F6325</f>
        <v>78.89</v>
      </c>
      <c r="G6312" s="21"/>
    </row>
    <row r="6313" ht="21.0" customHeight="1">
      <c r="A6313" s="11"/>
      <c r="B6313" s="11"/>
      <c r="C6313" s="11"/>
      <c r="D6313" s="10" t="s">
        <v>2800</v>
      </c>
    </row>
    <row r="6314" ht="48.75" customHeight="1">
      <c r="A6314" s="10" t="s">
        <v>2797</v>
      </c>
      <c r="B6314" s="10" t="s">
        <v>42</v>
      </c>
      <c r="C6314" s="10" t="s">
        <v>344</v>
      </c>
      <c r="D6314" s="10" t="s">
        <v>2798</v>
      </c>
      <c r="E6314" s="14">
        <v>1.1</v>
      </c>
      <c r="F6314" s="15">
        <f>ROUND(38,3)</f>
        <v>38</v>
      </c>
      <c r="G6314" s="12">
        <f t="shared" ref="G6314:G6323" si="966">ROUND(E6314*F6314,2)</f>
        <v>41.8</v>
      </c>
    </row>
    <row r="6315" ht="39.75" customHeight="1">
      <c r="A6315" s="10" t="s">
        <v>2640</v>
      </c>
      <c r="B6315" s="10" t="s">
        <v>42</v>
      </c>
      <c r="C6315" s="10" t="s">
        <v>184</v>
      </c>
      <c r="D6315" s="10" t="s">
        <v>2641</v>
      </c>
      <c r="E6315" s="14">
        <v>0.64</v>
      </c>
      <c r="F6315" s="15">
        <f>ROUND(2.6,3)</f>
        <v>2.6</v>
      </c>
      <c r="G6315" s="12">
        <f t="shared" si="966"/>
        <v>1.66</v>
      </c>
    </row>
    <row r="6316" ht="30.0" customHeight="1">
      <c r="A6316" s="10" t="s">
        <v>2053</v>
      </c>
      <c r="B6316" s="10" t="s">
        <v>42</v>
      </c>
      <c r="C6316" s="10" t="s">
        <v>184</v>
      </c>
      <c r="D6316" s="10" t="s">
        <v>2054</v>
      </c>
      <c r="E6316" s="14">
        <v>0.03</v>
      </c>
      <c r="F6316" s="15">
        <f>ROUND(11.74,3)</f>
        <v>11.74</v>
      </c>
      <c r="G6316" s="12">
        <f t="shared" si="966"/>
        <v>0.35</v>
      </c>
    </row>
    <row r="6317" ht="39.75" customHeight="1">
      <c r="A6317" s="10" t="s">
        <v>953</v>
      </c>
      <c r="B6317" s="10" t="s">
        <v>112</v>
      </c>
      <c r="C6317" s="10" t="s">
        <v>23</v>
      </c>
      <c r="D6317" s="10" t="s">
        <v>954</v>
      </c>
      <c r="E6317" s="14">
        <v>0.25</v>
      </c>
      <c r="F6317" s="15">
        <f>ROUND(1.75,3)</f>
        <v>1.75</v>
      </c>
      <c r="G6317" s="12">
        <f t="shared" si="966"/>
        <v>0.44</v>
      </c>
    </row>
    <row r="6318" ht="30.0" customHeight="1">
      <c r="A6318" s="10" t="s">
        <v>1793</v>
      </c>
      <c r="B6318" s="10" t="s">
        <v>42</v>
      </c>
      <c r="C6318" s="10" t="s">
        <v>956</v>
      </c>
      <c r="D6318" s="10" t="s">
        <v>1794</v>
      </c>
      <c r="E6318" s="14">
        <v>0.01667</v>
      </c>
      <c r="F6318" s="15">
        <f>ROUND(8.81,3)</f>
        <v>8.81</v>
      </c>
      <c r="G6318" s="12">
        <f t="shared" si="966"/>
        <v>0.15</v>
      </c>
    </row>
    <row r="6319" ht="21.0" customHeight="1">
      <c r="A6319" s="10" t="s">
        <v>22</v>
      </c>
      <c r="B6319" s="10" t="s">
        <v>18</v>
      </c>
      <c r="C6319" s="10" t="s">
        <v>23</v>
      </c>
      <c r="D6319" s="10" t="s">
        <v>24</v>
      </c>
      <c r="E6319" s="14">
        <v>0.75</v>
      </c>
      <c r="F6319" s="15">
        <f>F6323</f>
        <v>43.8</v>
      </c>
      <c r="G6319" s="12">
        <f t="shared" si="966"/>
        <v>32.85</v>
      </c>
    </row>
    <row r="6320" ht="24.0" customHeight="1">
      <c r="A6320" s="10" t="s">
        <v>25</v>
      </c>
      <c r="B6320" s="10" t="s">
        <v>26</v>
      </c>
      <c r="C6320" s="10" t="s">
        <v>23</v>
      </c>
      <c r="D6320" s="10" t="s">
        <v>27</v>
      </c>
      <c r="E6320" s="14">
        <v>1.0</v>
      </c>
      <c r="F6320" s="15">
        <f>ROUND(21,3)</f>
        <v>21</v>
      </c>
      <c r="G6320" s="12">
        <f t="shared" si="966"/>
        <v>21</v>
      </c>
    </row>
    <row r="6321" ht="24.0" customHeight="1">
      <c r="A6321" s="10" t="s">
        <v>28</v>
      </c>
      <c r="B6321" s="10" t="s">
        <v>26</v>
      </c>
      <c r="C6321" s="10" t="s">
        <v>23</v>
      </c>
      <c r="D6321" s="10" t="s">
        <v>29</v>
      </c>
      <c r="E6321" s="14">
        <v>1.0</v>
      </c>
      <c r="F6321" s="15">
        <f t="shared" ref="F6321:F6322" si="967">ROUND(19,3)</f>
        <v>19</v>
      </c>
      <c r="G6321" s="12">
        <f t="shared" si="966"/>
        <v>19</v>
      </c>
    </row>
    <row r="6322" ht="24.0" customHeight="1">
      <c r="A6322" s="10" t="s">
        <v>30</v>
      </c>
      <c r="B6322" s="10" t="s">
        <v>26</v>
      </c>
      <c r="C6322" s="10" t="s">
        <v>23</v>
      </c>
      <c r="D6322" s="10" t="s">
        <v>31</v>
      </c>
      <c r="E6322" s="14">
        <v>0.2</v>
      </c>
      <c r="F6322" s="15">
        <f t="shared" si="967"/>
        <v>19</v>
      </c>
      <c r="G6322" s="12">
        <f t="shared" si="966"/>
        <v>3.8</v>
      </c>
    </row>
    <row r="6323" ht="15.0" customHeight="1">
      <c r="A6323" s="11"/>
      <c r="B6323" s="11"/>
      <c r="C6323" s="11"/>
      <c r="D6323" s="10" t="s">
        <v>22</v>
      </c>
      <c r="E6323" s="14">
        <v>0.75</v>
      </c>
      <c r="F6323" s="15">
        <f>ROUND((G6320+G6321+G6322),3)</f>
        <v>43.8</v>
      </c>
      <c r="G6323" s="12">
        <f t="shared" si="966"/>
        <v>32.85</v>
      </c>
    </row>
    <row r="6324" ht="15.0" customHeight="1">
      <c r="A6324" s="10" t="s">
        <v>32</v>
      </c>
      <c r="B6324" s="10"/>
      <c r="C6324" s="10" t="s">
        <v>33</v>
      </c>
      <c r="D6324" s="10" t="s">
        <v>34</v>
      </c>
      <c r="E6324" s="14">
        <v>5.0</v>
      </c>
      <c r="F6324" s="15">
        <f>ROUND(32.85,3)</f>
        <v>32.85</v>
      </c>
      <c r="G6324" s="12">
        <f>ROUND((E6324*F6324)/100,2)</f>
        <v>1.64</v>
      </c>
    </row>
    <row r="6325" ht="24.75" customHeight="1">
      <c r="A6325" s="16"/>
      <c r="B6325" s="16"/>
      <c r="C6325" s="16"/>
      <c r="D6325" s="17" t="s">
        <v>2799</v>
      </c>
      <c r="E6325" s="16"/>
      <c r="F6325" s="18">
        <f>ROUND((G6314+G6315+G6316+G6317+G6318+G6319+G6324)*(1+G2/100),2)</f>
        <v>78.89</v>
      </c>
      <c r="G6325" s="16"/>
    </row>
    <row r="6326" ht="48.75" customHeight="1">
      <c r="A6326" s="19" t="s">
        <v>2801</v>
      </c>
      <c r="B6326" s="20" t="s">
        <v>18</v>
      </c>
      <c r="C6326" s="20" t="s">
        <v>351</v>
      </c>
      <c r="D6326" s="20" t="s">
        <v>2802</v>
      </c>
      <c r="E6326" s="21"/>
      <c r="F6326" s="22">
        <f>F6339</f>
        <v>84.45</v>
      </c>
      <c r="G6326" s="21"/>
    </row>
    <row r="6327" ht="21.0" customHeight="1">
      <c r="A6327" s="11"/>
      <c r="B6327" s="11"/>
      <c r="C6327" s="11"/>
      <c r="D6327" s="10" t="s">
        <v>2803</v>
      </c>
    </row>
    <row r="6328" ht="48.75" customHeight="1">
      <c r="A6328" s="10" t="s">
        <v>2804</v>
      </c>
      <c r="B6328" s="10" t="s">
        <v>42</v>
      </c>
      <c r="C6328" s="10" t="s">
        <v>344</v>
      </c>
      <c r="D6328" s="10" t="s">
        <v>2805</v>
      </c>
      <c r="E6328" s="14">
        <v>1.1</v>
      </c>
      <c r="F6328" s="15">
        <f>ROUND(51.87,3)</f>
        <v>51.87</v>
      </c>
      <c r="G6328" s="12">
        <f t="shared" ref="G6328:G6337" si="968">ROUND(E6328*F6328,2)</f>
        <v>57.06</v>
      </c>
    </row>
    <row r="6329" ht="39.75" customHeight="1">
      <c r="A6329" s="10" t="s">
        <v>2640</v>
      </c>
      <c r="B6329" s="10" t="s">
        <v>42</v>
      </c>
      <c r="C6329" s="10" t="s">
        <v>184</v>
      </c>
      <c r="D6329" s="10" t="s">
        <v>2641</v>
      </c>
      <c r="E6329" s="14">
        <v>0.7128</v>
      </c>
      <c r="F6329" s="15">
        <f>ROUND(2.6,3)</f>
        <v>2.6</v>
      </c>
      <c r="G6329" s="12">
        <f t="shared" si="968"/>
        <v>1.85</v>
      </c>
    </row>
    <row r="6330" ht="30.0" customHeight="1">
      <c r="A6330" s="10" t="s">
        <v>2053</v>
      </c>
      <c r="B6330" s="10" t="s">
        <v>42</v>
      </c>
      <c r="C6330" s="10" t="s">
        <v>184</v>
      </c>
      <c r="D6330" s="10" t="s">
        <v>2054</v>
      </c>
      <c r="E6330" s="14">
        <v>0.03556</v>
      </c>
      <c r="F6330" s="15">
        <f>ROUND(11.74,3)</f>
        <v>11.74</v>
      </c>
      <c r="G6330" s="12">
        <f t="shared" si="968"/>
        <v>0.42</v>
      </c>
    </row>
    <row r="6331" ht="39.75" customHeight="1">
      <c r="A6331" s="10" t="s">
        <v>953</v>
      </c>
      <c r="B6331" s="10" t="s">
        <v>112</v>
      </c>
      <c r="C6331" s="10" t="s">
        <v>23</v>
      </c>
      <c r="D6331" s="10" t="s">
        <v>954</v>
      </c>
      <c r="E6331" s="14">
        <v>0.25</v>
      </c>
      <c r="F6331" s="15">
        <f>ROUND(1.75,3)</f>
        <v>1.75</v>
      </c>
      <c r="G6331" s="12">
        <f t="shared" si="968"/>
        <v>0.44</v>
      </c>
    </row>
    <row r="6332" ht="30.0" customHeight="1">
      <c r="A6332" s="10" t="s">
        <v>1793</v>
      </c>
      <c r="B6332" s="10" t="s">
        <v>42</v>
      </c>
      <c r="C6332" s="10" t="s">
        <v>956</v>
      </c>
      <c r="D6332" s="10" t="s">
        <v>1794</v>
      </c>
      <c r="E6332" s="14">
        <v>0.01667</v>
      </c>
      <c r="F6332" s="15">
        <f>ROUND(8.81,3)</f>
        <v>8.81</v>
      </c>
      <c r="G6332" s="12">
        <f t="shared" si="968"/>
        <v>0.15</v>
      </c>
    </row>
    <row r="6333" ht="21.0" customHeight="1">
      <c r="A6333" s="10" t="s">
        <v>22</v>
      </c>
      <c r="B6333" s="10" t="s">
        <v>18</v>
      </c>
      <c r="C6333" s="10" t="s">
        <v>23</v>
      </c>
      <c r="D6333" s="10" t="s">
        <v>24</v>
      </c>
      <c r="E6333" s="14">
        <v>0.53333</v>
      </c>
      <c r="F6333" s="15">
        <f>F6337</f>
        <v>43.8</v>
      </c>
      <c r="G6333" s="12">
        <f t="shared" si="968"/>
        <v>23.36</v>
      </c>
    </row>
    <row r="6334" ht="24.0" customHeight="1">
      <c r="A6334" s="10" t="s">
        <v>25</v>
      </c>
      <c r="B6334" s="10" t="s">
        <v>26</v>
      </c>
      <c r="C6334" s="10" t="s">
        <v>23</v>
      </c>
      <c r="D6334" s="10" t="s">
        <v>27</v>
      </c>
      <c r="E6334" s="14">
        <v>1.0</v>
      </c>
      <c r="F6334" s="15">
        <f>ROUND(21,3)</f>
        <v>21</v>
      </c>
      <c r="G6334" s="12">
        <f t="shared" si="968"/>
        <v>21</v>
      </c>
    </row>
    <row r="6335" ht="24.0" customHeight="1">
      <c r="A6335" s="10" t="s">
        <v>28</v>
      </c>
      <c r="B6335" s="10" t="s">
        <v>26</v>
      </c>
      <c r="C6335" s="10" t="s">
        <v>23</v>
      </c>
      <c r="D6335" s="10" t="s">
        <v>29</v>
      </c>
      <c r="E6335" s="14">
        <v>1.0</v>
      </c>
      <c r="F6335" s="15">
        <f t="shared" ref="F6335:F6336" si="969">ROUND(19,3)</f>
        <v>19</v>
      </c>
      <c r="G6335" s="12">
        <f t="shared" si="968"/>
        <v>19</v>
      </c>
    </row>
    <row r="6336" ht="24.0" customHeight="1">
      <c r="A6336" s="10" t="s">
        <v>30</v>
      </c>
      <c r="B6336" s="10" t="s">
        <v>26</v>
      </c>
      <c r="C6336" s="10" t="s">
        <v>23</v>
      </c>
      <c r="D6336" s="10" t="s">
        <v>31</v>
      </c>
      <c r="E6336" s="14">
        <v>0.2</v>
      </c>
      <c r="F6336" s="15">
        <f t="shared" si="969"/>
        <v>19</v>
      </c>
      <c r="G6336" s="12">
        <f t="shared" si="968"/>
        <v>3.8</v>
      </c>
    </row>
    <row r="6337" ht="15.0" customHeight="1">
      <c r="A6337" s="11"/>
      <c r="B6337" s="11"/>
      <c r="C6337" s="11"/>
      <c r="D6337" s="10" t="s">
        <v>22</v>
      </c>
      <c r="E6337" s="14">
        <v>0.53333</v>
      </c>
      <c r="F6337" s="15">
        <f>ROUND((G6334+G6335+G6336),3)</f>
        <v>43.8</v>
      </c>
      <c r="G6337" s="12">
        <f t="shared" si="968"/>
        <v>23.36</v>
      </c>
    </row>
    <row r="6338" ht="15.0" customHeight="1">
      <c r="A6338" s="10" t="s">
        <v>32</v>
      </c>
      <c r="B6338" s="10"/>
      <c r="C6338" s="10" t="s">
        <v>33</v>
      </c>
      <c r="D6338" s="10" t="s">
        <v>34</v>
      </c>
      <c r="E6338" s="14">
        <v>5.0</v>
      </c>
      <c r="F6338" s="15">
        <f>ROUND(23.36,3)</f>
        <v>23.36</v>
      </c>
      <c r="G6338" s="12">
        <f>ROUND((E6338*F6338)/100,2)</f>
        <v>1.17</v>
      </c>
    </row>
    <row r="6339" ht="24.75" customHeight="1">
      <c r="A6339" s="16"/>
      <c r="B6339" s="16"/>
      <c r="C6339" s="16"/>
      <c r="D6339" s="17" t="s">
        <v>2801</v>
      </c>
      <c r="E6339" s="16"/>
      <c r="F6339" s="18">
        <f>ROUND((G6328+G6329+G6330+G6331+G6332+G6333+G6338)*(1+G2/100),2)</f>
        <v>84.45</v>
      </c>
      <c r="G6339" s="16"/>
    </row>
    <row r="6340" ht="48.75" customHeight="1">
      <c r="A6340" s="19" t="s">
        <v>2806</v>
      </c>
      <c r="B6340" s="20" t="s">
        <v>18</v>
      </c>
      <c r="C6340" s="20" t="s">
        <v>351</v>
      </c>
      <c r="D6340" s="20" t="s">
        <v>2807</v>
      </c>
      <c r="E6340" s="21"/>
      <c r="F6340" s="22">
        <f>F6353</f>
        <v>105.88</v>
      </c>
      <c r="G6340" s="21"/>
    </row>
    <row r="6341" ht="21.0" customHeight="1">
      <c r="A6341" s="11"/>
      <c r="B6341" s="11"/>
      <c r="C6341" s="11"/>
      <c r="D6341" s="10" t="s">
        <v>2807</v>
      </c>
    </row>
    <row r="6342" ht="48.75" customHeight="1">
      <c r="A6342" s="10" t="s">
        <v>2804</v>
      </c>
      <c r="B6342" s="10" t="s">
        <v>42</v>
      </c>
      <c r="C6342" s="10" t="s">
        <v>344</v>
      </c>
      <c r="D6342" s="10" t="s">
        <v>2805</v>
      </c>
      <c r="E6342" s="14">
        <v>1.1</v>
      </c>
      <c r="F6342" s="15">
        <f>ROUND(51.87,3)</f>
        <v>51.87</v>
      </c>
      <c r="G6342" s="12">
        <f t="shared" ref="G6342:G6351" si="970">ROUND(E6342*F6342,2)</f>
        <v>57.06</v>
      </c>
    </row>
    <row r="6343" ht="39.75" customHeight="1">
      <c r="A6343" s="10" t="s">
        <v>2640</v>
      </c>
      <c r="B6343" s="10" t="s">
        <v>42</v>
      </c>
      <c r="C6343" s="10" t="s">
        <v>184</v>
      </c>
      <c r="D6343" s="10" t="s">
        <v>2641</v>
      </c>
      <c r="E6343" s="14">
        <v>0.7128</v>
      </c>
      <c r="F6343" s="15">
        <f>ROUND(2.6,3)</f>
        <v>2.6</v>
      </c>
      <c r="G6343" s="12">
        <f t="shared" si="970"/>
        <v>1.85</v>
      </c>
    </row>
    <row r="6344" ht="30.0" customHeight="1">
      <c r="A6344" s="10" t="s">
        <v>2053</v>
      </c>
      <c r="B6344" s="10" t="s">
        <v>42</v>
      </c>
      <c r="C6344" s="10" t="s">
        <v>184</v>
      </c>
      <c r="D6344" s="10" t="s">
        <v>2054</v>
      </c>
      <c r="E6344" s="14">
        <v>0.0333</v>
      </c>
      <c r="F6344" s="15">
        <f>ROUND(11.74,3)</f>
        <v>11.74</v>
      </c>
      <c r="G6344" s="12">
        <f t="shared" si="970"/>
        <v>0.39</v>
      </c>
    </row>
    <row r="6345" ht="39.75" customHeight="1">
      <c r="A6345" s="10" t="s">
        <v>953</v>
      </c>
      <c r="B6345" s="10" t="s">
        <v>112</v>
      </c>
      <c r="C6345" s="10" t="s">
        <v>23</v>
      </c>
      <c r="D6345" s="10" t="s">
        <v>954</v>
      </c>
      <c r="E6345" s="14">
        <v>0.25</v>
      </c>
      <c r="F6345" s="15">
        <f>ROUND(1.75,3)</f>
        <v>1.75</v>
      </c>
      <c r="G6345" s="12">
        <f t="shared" si="970"/>
        <v>0.44</v>
      </c>
    </row>
    <row r="6346" ht="30.0" customHeight="1">
      <c r="A6346" s="10" t="s">
        <v>1793</v>
      </c>
      <c r="B6346" s="10" t="s">
        <v>42</v>
      </c>
      <c r="C6346" s="10" t="s">
        <v>956</v>
      </c>
      <c r="D6346" s="10" t="s">
        <v>1794</v>
      </c>
      <c r="E6346" s="14">
        <v>0.01667</v>
      </c>
      <c r="F6346" s="15">
        <f>ROUND(8.81,3)</f>
        <v>8.81</v>
      </c>
      <c r="G6346" s="12">
        <f t="shared" si="970"/>
        <v>0.15</v>
      </c>
    </row>
    <row r="6347" ht="21.0" customHeight="1">
      <c r="A6347" s="10" t="s">
        <v>22</v>
      </c>
      <c r="B6347" s="10" t="s">
        <v>18</v>
      </c>
      <c r="C6347" s="10" t="s">
        <v>23</v>
      </c>
      <c r="D6347" s="10" t="s">
        <v>24</v>
      </c>
      <c r="E6347" s="14">
        <v>1.0</v>
      </c>
      <c r="F6347" s="15">
        <f>F6351</f>
        <v>43.8</v>
      </c>
      <c r="G6347" s="12">
        <f t="shared" si="970"/>
        <v>43.8</v>
      </c>
    </row>
    <row r="6348" ht="24.0" customHeight="1">
      <c r="A6348" s="10" t="s">
        <v>25</v>
      </c>
      <c r="B6348" s="10" t="s">
        <v>26</v>
      </c>
      <c r="C6348" s="10" t="s">
        <v>23</v>
      </c>
      <c r="D6348" s="10" t="s">
        <v>27</v>
      </c>
      <c r="E6348" s="14">
        <v>1.0</v>
      </c>
      <c r="F6348" s="15">
        <f>ROUND(21,3)</f>
        <v>21</v>
      </c>
      <c r="G6348" s="12">
        <f t="shared" si="970"/>
        <v>21</v>
      </c>
    </row>
    <row r="6349" ht="24.0" customHeight="1">
      <c r="A6349" s="10" t="s">
        <v>28</v>
      </c>
      <c r="B6349" s="10" t="s">
        <v>26</v>
      </c>
      <c r="C6349" s="10" t="s">
        <v>23</v>
      </c>
      <c r="D6349" s="10" t="s">
        <v>29</v>
      </c>
      <c r="E6349" s="14">
        <v>1.0</v>
      </c>
      <c r="F6349" s="15">
        <f t="shared" ref="F6349:F6350" si="971">ROUND(19,3)</f>
        <v>19</v>
      </c>
      <c r="G6349" s="12">
        <f t="shared" si="970"/>
        <v>19</v>
      </c>
    </row>
    <row r="6350" ht="24.0" customHeight="1">
      <c r="A6350" s="10" t="s">
        <v>30</v>
      </c>
      <c r="B6350" s="10" t="s">
        <v>26</v>
      </c>
      <c r="C6350" s="10" t="s">
        <v>23</v>
      </c>
      <c r="D6350" s="10" t="s">
        <v>31</v>
      </c>
      <c r="E6350" s="14">
        <v>0.2</v>
      </c>
      <c r="F6350" s="15">
        <f t="shared" si="971"/>
        <v>19</v>
      </c>
      <c r="G6350" s="12">
        <f t="shared" si="970"/>
        <v>3.8</v>
      </c>
    </row>
    <row r="6351" ht="15.0" customHeight="1">
      <c r="A6351" s="11"/>
      <c r="B6351" s="11"/>
      <c r="C6351" s="11"/>
      <c r="D6351" s="10" t="s">
        <v>22</v>
      </c>
      <c r="E6351" s="14">
        <v>1.0</v>
      </c>
      <c r="F6351" s="15">
        <f>ROUND((G6348+G6349+G6350),3)</f>
        <v>43.8</v>
      </c>
      <c r="G6351" s="12">
        <f t="shared" si="970"/>
        <v>43.8</v>
      </c>
    </row>
    <row r="6352" ht="15.0" customHeight="1">
      <c r="A6352" s="10" t="s">
        <v>32</v>
      </c>
      <c r="B6352" s="10"/>
      <c r="C6352" s="10" t="s">
        <v>33</v>
      </c>
      <c r="D6352" s="10" t="s">
        <v>34</v>
      </c>
      <c r="E6352" s="14">
        <v>5.0</v>
      </c>
      <c r="F6352" s="15">
        <f>ROUND(43.8,3)</f>
        <v>43.8</v>
      </c>
      <c r="G6352" s="12">
        <f>ROUND((E6352*F6352)/100,2)</f>
        <v>2.19</v>
      </c>
    </row>
    <row r="6353" ht="24.75" customHeight="1">
      <c r="A6353" s="16"/>
      <c r="B6353" s="16"/>
      <c r="C6353" s="16"/>
      <c r="D6353" s="17" t="s">
        <v>2806</v>
      </c>
      <c r="E6353" s="16"/>
      <c r="F6353" s="18">
        <f>ROUND((G6342+G6343+G6344+G6345+G6346+G6347+G6352)*(1+G2/100),2)</f>
        <v>105.88</v>
      </c>
      <c r="G6353" s="16"/>
    </row>
    <row r="6354" ht="48.75" customHeight="1">
      <c r="A6354" s="19" t="s">
        <v>2808</v>
      </c>
      <c r="B6354" s="20" t="s">
        <v>18</v>
      </c>
      <c r="C6354" s="20" t="s">
        <v>351</v>
      </c>
      <c r="D6354" s="20" t="s">
        <v>2809</v>
      </c>
      <c r="E6354" s="21"/>
      <c r="F6354" s="22">
        <f>F6365</f>
        <v>51.28</v>
      </c>
      <c r="G6354" s="21"/>
    </row>
    <row r="6355" ht="21.0" customHeight="1">
      <c r="A6355" s="11"/>
      <c r="B6355" s="11"/>
      <c r="C6355" s="11"/>
      <c r="D6355" s="10" t="s">
        <v>2810</v>
      </c>
    </row>
    <row r="6356" ht="39.75" customHeight="1">
      <c r="A6356" s="10" t="s">
        <v>2811</v>
      </c>
      <c r="B6356" s="10" t="s">
        <v>42</v>
      </c>
      <c r="C6356" s="10" t="s">
        <v>344</v>
      </c>
      <c r="D6356" s="10" t="s">
        <v>2812</v>
      </c>
      <c r="E6356" s="14">
        <v>3.0</v>
      </c>
      <c r="F6356" s="15">
        <f>ROUND(8.22,3)</f>
        <v>8.22</v>
      </c>
      <c r="G6356" s="12">
        <f t="shared" ref="G6356:G6363" si="972">ROUND(E6356*F6356,2)</f>
        <v>24.66</v>
      </c>
    </row>
    <row r="6357" ht="30.0" customHeight="1">
      <c r="A6357" s="10" t="s">
        <v>2694</v>
      </c>
      <c r="B6357" s="10" t="s">
        <v>42</v>
      </c>
      <c r="C6357" s="10" t="s">
        <v>184</v>
      </c>
      <c r="D6357" s="10" t="s">
        <v>2695</v>
      </c>
      <c r="E6357" s="14">
        <v>0.1056</v>
      </c>
      <c r="F6357" s="15">
        <f>ROUND(15.43,3)</f>
        <v>15.43</v>
      </c>
      <c r="G6357" s="12">
        <f t="shared" si="972"/>
        <v>1.63</v>
      </c>
    </row>
    <row r="6358" ht="30.0" customHeight="1">
      <c r="A6358" s="10" t="s">
        <v>2053</v>
      </c>
      <c r="B6358" s="10" t="s">
        <v>42</v>
      </c>
      <c r="C6358" s="10" t="s">
        <v>184</v>
      </c>
      <c r="D6358" s="10" t="s">
        <v>2054</v>
      </c>
      <c r="E6358" s="14">
        <v>0.03891</v>
      </c>
      <c r="F6358" s="15">
        <f>ROUND(11.74,3)</f>
        <v>11.74</v>
      </c>
      <c r="G6358" s="12">
        <f t="shared" si="972"/>
        <v>0.46</v>
      </c>
    </row>
    <row r="6359" ht="21.0" customHeight="1">
      <c r="A6359" s="10" t="s">
        <v>22</v>
      </c>
      <c r="B6359" s="10" t="s">
        <v>18</v>
      </c>
      <c r="C6359" s="10" t="s">
        <v>23</v>
      </c>
      <c r="D6359" s="10" t="s">
        <v>24</v>
      </c>
      <c r="E6359" s="14">
        <v>0.53333</v>
      </c>
      <c r="F6359" s="15">
        <f>F6363</f>
        <v>43.8</v>
      </c>
      <c r="G6359" s="12">
        <f t="shared" si="972"/>
        <v>23.36</v>
      </c>
    </row>
    <row r="6360" ht="24.0" customHeight="1">
      <c r="A6360" s="10" t="s">
        <v>25</v>
      </c>
      <c r="B6360" s="10" t="s">
        <v>26</v>
      </c>
      <c r="C6360" s="10" t="s">
        <v>23</v>
      </c>
      <c r="D6360" s="10" t="s">
        <v>27</v>
      </c>
      <c r="E6360" s="14">
        <v>1.0</v>
      </c>
      <c r="F6360" s="15">
        <f>ROUND(21,3)</f>
        <v>21</v>
      </c>
      <c r="G6360" s="12">
        <f t="shared" si="972"/>
        <v>21</v>
      </c>
    </row>
    <row r="6361" ht="24.0" customHeight="1">
      <c r="A6361" s="10" t="s">
        <v>28</v>
      </c>
      <c r="B6361" s="10" t="s">
        <v>26</v>
      </c>
      <c r="C6361" s="10" t="s">
        <v>23</v>
      </c>
      <c r="D6361" s="10" t="s">
        <v>29</v>
      </c>
      <c r="E6361" s="14">
        <v>1.0</v>
      </c>
      <c r="F6361" s="15">
        <f t="shared" ref="F6361:F6362" si="973">ROUND(19,3)</f>
        <v>19</v>
      </c>
      <c r="G6361" s="12">
        <f t="shared" si="972"/>
        <v>19</v>
      </c>
    </row>
    <row r="6362" ht="24.0" customHeight="1">
      <c r="A6362" s="10" t="s">
        <v>30</v>
      </c>
      <c r="B6362" s="10" t="s">
        <v>26</v>
      </c>
      <c r="C6362" s="10" t="s">
        <v>23</v>
      </c>
      <c r="D6362" s="10" t="s">
        <v>31</v>
      </c>
      <c r="E6362" s="14">
        <v>0.2</v>
      </c>
      <c r="F6362" s="15">
        <f t="shared" si="973"/>
        <v>19</v>
      </c>
      <c r="G6362" s="12">
        <f t="shared" si="972"/>
        <v>3.8</v>
      </c>
    </row>
    <row r="6363" ht="15.0" customHeight="1">
      <c r="A6363" s="11"/>
      <c r="B6363" s="11"/>
      <c r="C6363" s="11"/>
      <c r="D6363" s="10" t="s">
        <v>22</v>
      </c>
      <c r="E6363" s="14">
        <v>0.53333</v>
      </c>
      <c r="F6363" s="15">
        <f>ROUND((G6360+G6361+G6362),3)</f>
        <v>43.8</v>
      </c>
      <c r="G6363" s="12">
        <f t="shared" si="972"/>
        <v>23.36</v>
      </c>
    </row>
    <row r="6364" ht="15.0" customHeight="1">
      <c r="A6364" s="10" t="s">
        <v>32</v>
      </c>
      <c r="B6364" s="10"/>
      <c r="C6364" s="10" t="s">
        <v>33</v>
      </c>
      <c r="D6364" s="10" t="s">
        <v>34</v>
      </c>
      <c r="E6364" s="14">
        <v>5.0</v>
      </c>
      <c r="F6364" s="15">
        <f>ROUND(23.36,3)</f>
        <v>23.36</v>
      </c>
      <c r="G6364" s="12">
        <f>ROUND((E6364*F6364)/100,2)</f>
        <v>1.17</v>
      </c>
    </row>
    <row r="6365" ht="15.0" customHeight="1">
      <c r="A6365" s="16"/>
      <c r="B6365" s="16"/>
      <c r="C6365" s="16"/>
      <c r="D6365" s="17" t="s">
        <v>2808</v>
      </c>
      <c r="E6365" s="16"/>
      <c r="F6365" s="18">
        <f>ROUND((G6356+G6357+G6358+G6359+G6364)*(1+G2/100),2)</f>
        <v>51.28</v>
      </c>
      <c r="G6365" s="16"/>
    </row>
    <row r="6366" ht="57.75" customHeight="1">
      <c r="A6366" s="19" t="s">
        <v>2813</v>
      </c>
      <c r="B6366" s="20" t="s">
        <v>18</v>
      </c>
      <c r="C6366" s="20" t="s">
        <v>351</v>
      </c>
      <c r="D6366" s="20" t="s">
        <v>2814</v>
      </c>
      <c r="E6366" s="21"/>
      <c r="F6366" s="22">
        <f>F6377</f>
        <v>61.24</v>
      </c>
      <c r="G6366" s="21"/>
    </row>
    <row r="6367" ht="30.0" customHeight="1">
      <c r="A6367" s="11"/>
      <c r="B6367" s="11"/>
      <c r="C6367" s="11"/>
      <c r="D6367" s="10" t="s">
        <v>2814</v>
      </c>
    </row>
    <row r="6368" ht="39.75" customHeight="1">
      <c r="A6368" s="10" t="s">
        <v>2811</v>
      </c>
      <c r="B6368" s="10" t="s">
        <v>42</v>
      </c>
      <c r="C6368" s="10" t="s">
        <v>344</v>
      </c>
      <c r="D6368" s="10" t="s">
        <v>2812</v>
      </c>
      <c r="E6368" s="14">
        <v>3.0</v>
      </c>
      <c r="F6368" s="15">
        <f>ROUND(8.22,3)</f>
        <v>8.22</v>
      </c>
      <c r="G6368" s="12">
        <f t="shared" ref="G6368:G6375" si="974">ROUND(E6368*F6368,2)</f>
        <v>24.66</v>
      </c>
    </row>
    <row r="6369" ht="30.0" customHeight="1">
      <c r="A6369" s="10" t="s">
        <v>2694</v>
      </c>
      <c r="B6369" s="10" t="s">
        <v>42</v>
      </c>
      <c r="C6369" s="10" t="s">
        <v>184</v>
      </c>
      <c r="D6369" s="10" t="s">
        <v>2695</v>
      </c>
      <c r="E6369" s="14">
        <v>0.1056</v>
      </c>
      <c r="F6369" s="15">
        <f>ROUND(15.43,3)</f>
        <v>15.43</v>
      </c>
      <c r="G6369" s="12">
        <f t="shared" si="974"/>
        <v>1.63</v>
      </c>
    </row>
    <row r="6370" ht="30.0" customHeight="1">
      <c r="A6370" s="10" t="s">
        <v>2053</v>
      </c>
      <c r="B6370" s="10" t="s">
        <v>42</v>
      </c>
      <c r="C6370" s="10" t="s">
        <v>184</v>
      </c>
      <c r="D6370" s="10" t="s">
        <v>2054</v>
      </c>
      <c r="E6370" s="14">
        <v>0.03891</v>
      </c>
      <c r="F6370" s="15">
        <f>ROUND(11.74,3)</f>
        <v>11.74</v>
      </c>
      <c r="G6370" s="12">
        <f t="shared" si="974"/>
        <v>0.46</v>
      </c>
    </row>
    <row r="6371" ht="21.0" customHeight="1">
      <c r="A6371" s="10" t="s">
        <v>22</v>
      </c>
      <c r="B6371" s="10" t="s">
        <v>18</v>
      </c>
      <c r="C6371" s="10" t="s">
        <v>23</v>
      </c>
      <c r="D6371" s="10" t="s">
        <v>24</v>
      </c>
      <c r="E6371" s="14">
        <v>0.75</v>
      </c>
      <c r="F6371" s="15">
        <f>F6375</f>
        <v>43.8</v>
      </c>
      <c r="G6371" s="12">
        <f t="shared" si="974"/>
        <v>32.85</v>
      </c>
    </row>
    <row r="6372" ht="24.0" customHeight="1">
      <c r="A6372" s="10" t="s">
        <v>25</v>
      </c>
      <c r="B6372" s="10" t="s">
        <v>26</v>
      </c>
      <c r="C6372" s="10" t="s">
        <v>23</v>
      </c>
      <c r="D6372" s="10" t="s">
        <v>27</v>
      </c>
      <c r="E6372" s="14">
        <v>1.0</v>
      </c>
      <c r="F6372" s="15">
        <f>ROUND(21,3)</f>
        <v>21</v>
      </c>
      <c r="G6372" s="12">
        <f t="shared" si="974"/>
        <v>21</v>
      </c>
    </row>
    <row r="6373" ht="24.0" customHeight="1">
      <c r="A6373" s="10" t="s">
        <v>28</v>
      </c>
      <c r="B6373" s="10" t="s">
        <v>26</v>
      </c>
      <c r="C6373" s="10" t="s">
        <v>23</v>
      </c>
      <c r="D6373" s="10" t="s">
        <v>29</v>
      </c>
      <c r="E6373" s="14">
        <v>1.0</v>
      </c>
      <c r="F6373" s="15">
        <f t="shared" ref="F6373:F6374" si="975">ROUND(19,3)</f>
        <v>19</v>
      </c>
      <c r="G6373" s="12">
        <f t="shared" si="974"/>
        <v>19</v>
      </c>
    </row>
    <row r="6374" ht="24.0" customHeight="1">
      <c r="A6374" s="10" t="s">
        <v>30</v>
      </c>
      <c r="B6374" s="10" t="s">
        <v>26</v>
      </c>
      <c r="C6374" s="10" t="s">
        <v>23</v>
      </c>
      <c r="D6374" s="10" t="s">
        <v>31</v>
      </c>
      <c r="E6374" s="14">
        <v>0.2</v>
      </c>
      <c r="F6374" s="15">
        <f t="shared" si="975"/>
        <v>19</v>
      </c>
      <c r="G6374" s="12">
        <f t="shared" si="974"/>
        <v>3.8</v>
      </c>
    </row>
    <row r="6375" ht="15.0" customHeight="1">
      <c r="A6375" s="11"/>
      <c r="B6375" s="11"/>
      <c r="C6375" s="11"/>
      <c r="D6375" s="10" t="s">
        <v>22</v>
      </c>
      <c r="E6375" s="14">
        <v>0.75</v>
      </c>
      <c r="F6375" s="15">
        <f>ROUND((G6372+G6373+G6374),3)</f>
        <v>43.8</v>
      </c>
      <c r="G6375" s="12">
        <f t="shared" si="974"/>
        <v>32.85</v>
      </c>
    </row>
    <row r="6376" ht="15.0" customHeight="1">
      <c r="A6376" s="10" t="s">
        <v>32</v>
      </c>
      <c r="B6376" s="10"/>
      <c r="C6376" s="10" t="s">
        <v>33</v>
      </c>
      <c r="D6376" s="10" t="s">
        <v>34</v>
      </c>
      <c r="E6376" s="14">
        <v>5.0</v>
      </c>
      <c r="F6376" s="15">
        <f>ROUND(32.85,3)</f>
        <v>32.85</v>
      </c>
      <c r="G6376" s="12">
        <f>ROUND((E6376*F6376)/100,2)</f>
        <v>1.64</v>
      </c>
    </row>
    <row r="6377" ht="15.0" customHeight="1">
      <c r="A6377" s="16"/>
      <c r="B6377" s="16"/>
      <c r="C6377" s="16"/>
      <c r="D6377" s="17" t="s">
        <v>2813</v>
      </c>
      <c r="E6377" s="16"/>
      <c r="F6377" s="18">
        <f>ROUND((G6368+G6369+G6370+G6371+G6376)*(1+G2/100),2)</f>
        <v>61.24</v>
      </c>
      <c r="G6377" s="16"/>
    </row>
    <row r="6378" ht="48.75" customHeight="1">
      <c r="A6378" s="19" t="s">
        <v>2815</v>
      </c>
      <c r="B6378" s="20" t="s">
        <v>18</v>
      </c>
      <c r="C6378" s="20" t="s">
        <v>351</v>
      </c>
      <c r="D6378" s="20" t="s">
        <v>2816</v>
      </c>
      <c r="E6378" s="21"/>
      <c r="F6378" s="22">
        <f>F6389</f>
        <v>59.32</v>
      </c>
      <c r="G6378" s="21"/>
    </row>
    <row r="6379" ht="21.0" customHeight="1">
      <c r="A6379" s="11"/>
      <c r="B6379" s="11"/>
      <c r="C6379" s="11"/>
      <c r="D6379" s="10" t="s">
        <v>2817</v>
      </c>
    </row>
    <row r="6380" ht="39.75" customHeight="1">
      <c r="A6380" s="10" t="s">
        <v>2818</v>
      </c>
      <c r="B6380" s="10" t="s">
        <v>42</v>
      </c>
      <c r="C6380" s="10" t="s">
        <v>344</v>
      </c>
      <c r="D6380" s="10" t="s">
        <v>2819</v>
      </c>
      <c r="E6380" s="14">
        <v>3.0</v>
      </c>
      <c r="F6380" s="15">
        <f>ROUND(10.7,3)</f>
        <v>10.7</v>
      </c>
      <c r="G6380" s="12">
        <f t="shared" ref="G6380:G6387" si="976">ROUND(E6380*F6380,2)</f>
        <v>32.1</v>
      </c>
    </row>
    <row r="6381" ht="30.0" customHeight="1">
      <c r="A6381" s="10" t="s">
        <v>2694</v>
      </c>
      <c r="B6381" s="10" t="s">
        <v>42</v>
      </c>
      <c r="C6381" s="10" t="s">
        <v>184</v>
      </c>
      <c r="D6381" s="10" t="s">
        <v>2695</v>
      </c>
      <c r="E6381" s="14">
        <v>0.1408</v>
      </c>
      <c r="F6381" s="15">
        <f>ROUND(15.43,3)</f>
        <v>15.43</v>
      </c>
      <c r="G6381" s="12">
        <f t="shared" si="976"/>
        <v>2.17</v>
      </c>
    </row>
    <row r="6382" ht="30.0" customHeight="1">
      <c r="A6382" s="10" t="s">
        <v>2053</v>
      </c>
      <c r="B6382" s="10" t="s">
        <v>42</v>
      </c>
      <c r="C6382" s="10" t="s">
        <v>184</v>
      </c>
      <c r="D6382" s="10" t="s">
        <v>2054</v>
      </c>
      <c r="E6382" s="14">
        <v>0.04437</v>
      </c>
      <c r="F6382" s="15">
        <f>ROUND(11.74,3)</f>
        <v>11.74</v>
      </c>
      <c r="G6382" s="12">
        <f t="shared" si="976"/>
        <v>0.52</v>
      </c>
    </row>
    <row r="6383" ht="21.0" customHeight="1">
      <c r="A6383" s="10" t="s">
        <v>22</v>
      </c>
      <c r="B6383" s="10" t="s">
        <v>18</v>
      </c>
      <c r="C6383" s="10" t="s">
        <v>23</v>
      </c>
      <c r="D6383" s="10" t="s">
        <v>24</v>
      </c>
      <c r="E6383" s="14">
        <v>0.53333</v>
      </c>
      <c r="F6383" s="15">
        <f>F6387</f>
        <v>43.8</v>
      </c>
      <c r="G6383" s="12">
        <f t="shared" si="976"/>
        <v>23.36</v>
      </c>
    </row>
    <row r="6384" ht="24.0" customHeight="1">
      <c r="A6384" s="10" t="s">
        <v>25</v>
      </c>
      <c r="B6384" s="10" t="s">
        <v>26</v>
      </c>
      <c r="C6384" s="10" t="s">
        <v>23</v>
      </c>
      <c r="D6384" s="10" t="s">
        <v>27</v>
      </c>
      <c r="E6384" s="14">
        <v>1.0</v>
      </c>
      <c r="F6384" s="15">
        <f>ROUND(21,3)</f>
        <v>21</v>
      </c>
      <c r="G6384" s="12">
        <f t="shared" si="976"/>
        <v>21</v>
      </c>
    </row>
    <row r="6385" ht="24.0" customHeight="1">
      <c r="A6385" s="10" t="s">
        <v>28</v>
      </c>
      <c r="B6385" s="10" t="s">
        <v>26</v>
      </c>
      <c r="C6385" s="10" t="s">
        <v>23</v>
      </c>
      <c r="D6385" s="10" t="s">
        <v>29</v>
      </c>
      <c r="E6385" s="14">
        <v>1.0</v>
      </c>
      <c r="F6385" s="15">
        <f t="shared" ref="F6385:F6386" si="977">ROUND(19,3)</f>
        <v>19</v>
      </c>
      <c r="G6385" s="12">
        <f t="shared" si="976"/>
        <v>19</v>
      </c>
    </row>
    <row r="6386" ht="24.0" customHeight="1">
      <c r="A6386" s="10" t="s">
        <v>30</v>
      </c>
      <c r="B6386" s="10" t="s">
        <v>26</v>
      </c>
      <c r="C6386" s="10" t="s">
        <v>23</v>
      </c>
      <c r="D6386" s="10" t="s">
        <v>31</v>
      </c>
      <c r="E6386" s="14">
        <v>0.2</v>
      </c>
      <c r="F6386" s="15">
        <f t="shared" si="977"/>
        <v>19</v>
      </c>
      <c r="G6386" s="12">
        <f t="shared" si="976"/>
        <v>3.8</v>
      </c>
    </row>
    <row r="6387" ht="15.0" customHeight="1">
      <c r="A6387" s="11"/>
      <c r="B6387" s="11"/>
      <c r="C6387" s="11"/>
      <c r="D6387" s="10" t="s">
        <v>22</v>
      </c>
      <c r="E6387" s="14">
        <v>0.53333</v>
      </c>
      <c r="F6387" s="15">
        <f>ROUND((G6384+G6385+G6386),3)</f>
        <v>43.8</v>
      </c>
      <c r="G6387" s="12">
        <f t="shared" si="976"/>
        <v>23.36</v>
      </c>
    </row>
    <row r="6388" ht="15.0" customHeight="1">
      <c r="A6388" s="10" t="s">
        <v>32</v>
      </c>
      <c r="B6388" s="10"/>
      <c r="C6388" s="10" t="s">
        <v>33</v>
      </c>
      <c r="D6388" s="10" t="s">
        <v>34</v>
      </c>
      <c r="E6388" s="14">
        <v>5.0</v>
      </c>
      <c r="F6388" s="15">
        <f>ROUND(23.36,3)</f>
        <v>23.36</v>
      </c>
      <c r="G6388" s="12">
        <f>ROUND((E6388*F6388)/100,2)</f>
        <v>1.17</v>
      </c>
    </row>
    <row r="6389" ht="15.0" customHeight="1">
      <c r="A6389" s="16"/>
      <c r="B6389" s="16"/>
      <c r="C6389" s="16"/>
      <c r="D6389" s="17" t="s">
        <v>2815</v>
      </c>
      <c r="E6389" s="16"/>
      <c r="F6389" s="18">
        <f>ROUND((G6380+G6381+G6382+G6383+G6388)*(1+G2/100),2)</f>
        <v>59.32</v>
      </c>
      <c r="G6389" s="16"/>
    </row>
    <row r="6390" ht="57.75" customHeight="1">
      <c r="A6390" s="19" t="s">
        <v>2820</v>
      </c>
      <c r="B6390" s="20" t="s">
        <v>18</v>
      </c>
      <c r="C6390" s="20" t="s">
        <v>351</v>
      </c>
      <c r="D6390" s="20" t="s">
        <v>2821</v>
      </c>
      <c r="E6390" s="21"/>
      <c r="F6390" s="22">
        <f>F6401</f>
        <v>69.28</v>
      </c>
      <c r="G6390" s="21"/>
    </row>
    <row r="6391" ht="30.0" customHeight="1">
      <c r="A6391" s="11"/>
      <c r="B6391" s="11"/>
      <c r="C6391" s="11"/>
      <c r="D6391" s="10" t="s">
        <v>2821</v>
      </c>
    </row>
    <row r="6392" ht="39.75" customHeight="1">
      <c r="A6392" s="10" t="s">
        <v>2818</v>
      </c>
      <c r="B6392" s="10" t="s">
        <v>42</v>
      </c>
      <c r="C6392" s="10" t="s">
        <v>344</v>
      </c>
      <c r="D6392" s="10" t="s">
        <v>2819</v>
      </c>
      <c r="E6392" s="14">
        <v>3.0</v>
      </c>
      <c r="F6392" s="15">
        <f>ROUND(10.7,3)</f>
        <v>10.7</v>
      </c>
      <c r="G6392" s="12">
        <f t="shared" ref="G6392:G6399" si="978">ROUND(E6392*F6392,2)</f>
        <v>32.1</v>
      </c>
    </row>
    <row r="6393" ht="30.0" customHeight="1">
      <c r="A6393" s="10" t="s">
        <v>2694</v>
      </c>
      <c r="B6393" s="10" t="s">
        <v>42</v>
      </c>
      <c r="C6393" s="10" t="s">
        <v>184</v>
      </c>
      <c r="D6393" s="10" t="s">
        <v>2695</v>
      </c>
      <c r="E6393" s="14">
        <v>0.1408</v>
      </c>
      <c r="F6393" s="15">
        <f>ROUND(15.43,3)</f>
        <v>15.43</v>
      </c>
      <c r="G6393" s="12">
        <f t="shared" si="978"/>
        <v>2.17</v>
      </c>
    </row>
    <row r="6394" ht="30.0" customHeight="1">
      <c r="A6394" s="10" t="s">
        <v>2053</v>
      </c>
      <c r="B6394" s="10" t="s">
        <v>42</v>
      </c>
      <c r="C6394" s="10" t="s">
        <v>184</v>
      </c>
      <c r="D6394" s="10" t="s">
        <v>2054</v>
      </c>
      <c r="E6394" s="14">
        <v>0.04437</v>
      </c>
      <c r="F6394" s="15">
        <f>ROUND(11.74,3)</f>
        <v>11.74</v>
      </c>
      <c r="G6394" s="12">
        <f t="shared" si="978"/>
        <v>0.52</v>
      </c>
    </row>
    <row r="6395" ht="21.0" customHeight="1">
      <c r="A6395" s="10" t="s">
        <v>22</v>
      </c>
      <c r="B6395" s="10" t="s">
        <v>18</v>
      </c>
      <c r="C6395" s="10" t="s">
        <v>23</v>
      </c>
      <c r="D6395" s="10" t="s">
        <v>24</v>
      </c>
      <c r="E6395" s="14">
        <v>0.75</v>
      </c>
      <c r="F6395" s="15">
        <f>F6399</f>
        <v>43.8</v>
      </c>
      <c r="G6395" s="12">
        <f t="shared" si="978"/>
        <v>32.85</v>
      </c>
    </row>
    <row r="6396" ht="24.0" customHeight="1">
      <c r="A6396" s="10" t="s">
        <v>25</v>
      </c>
      <c r="B6396" s="10" t="s">
        <v>26</v>
      </c>
      <c r="C6396" s="10" t="s">
        <v>23</v>
      </c>
      <c r="D6396" s="10" t="s">
        <v>27</v>
      </c>
      <c r="E6396" s="14">
        <v>1.0</v>
      </c>
      <c r="F6396" s="15">
        <f>ROUND(21,3)</f>
        <v>21</v>
      </c>
      <c r="G6396" s="12">
        <f t="shared" si="978"/>
        <v>21</v>
      </c>
    </row>
    <row r="6397" ht="24.0" customHeight="1">
      <c r="A6397" s="10" t="s">
        <v>28</v>
      </c>
      <c r="B6397" s="10" t="s">
        <v>26</v>
      </c>
      <c r="C6397" s="10" t="s">
        <v>23</v>
      </c>
      <c r="D6397" s="10" t="s">
        <v>29</v>
      </c>
      <c r="E6397" s="14">
        <v>1.0</v>
      </c>
      <c r="F6397" s="15">
        <f t="shared" ref="F6397:F6398" si="979">ROUND(19,3)</f>
        <v>19</v>
      </c>
      <c r="G6397" s="12">
        <f t="shared" si="978"/>
        <v>19</v>
      </c>
    </row>
    <row r="6398" ht="24.0" customHeight="1">
      <c r="A6398" s="10" t="s">
        <v>30</v>
      </c>
      <c r="B6398" s="10" t="s">
        <v>26</v>
      </c>
      <c r="C6398" s="10" t="s">
        <v>23</v>
      </c>
      <c r="D6398" s="10" t="s">
        <v>31</v>
      </c>
      <c r="E6398" s="14">
        <v>0.2</v>
      </c>
      <c r="F6398" s="15">
        <f t="shared" si="979"/>
        <v>19</v>
      </c>
      <c r="G6398" s="12">
        <f t="shared" si="978"/>
        <v>3.8</v>
      </c>
    </row>
    <row r="6399" ht="15.0" customHeight="1">
      <c r="A6399" s="11"/>
      <c r="B6399" s="11"/>
      <c r="C6399" s="11"/>
      <c r="D6399" s="10" t="s">
        <v>22</v>
      </c>
      <c r="E6399" s="14">
        <v>0.75</v>
      </c>
      <c r="F6399" s="15">
        <f>ROUND((G6396+G6397+G6398),3)</f>
        <v>43.8</v>
      </c>
      <c r="G6399" s="12">
        <f t="shared" si="978"/>
        <v>32.85</v>
      </c>
    </row>
    <row r="6400" ht="15.0" customHeight="1">
      <c r="A6400" s="10" t="s">
        <v>32</v>
      </c>
      <c r="B6400" s="10"/>
      <c r="C6400" s="10" t="s">
        <v>33</v>
      </c>
      <c r="D6400" s="10" t="s">
        <v>34</v>
      </c>
      <c r="E6400" s="14">
        <v>5.0</v>
      </c>
      <c r="F6400" s="15">
        <f>ROUND(32.85,3)</f>
        <v>32.85</v>
      </c>
      <c r="G6400" s="12">
        <f>ROUND((E6400*F6400)/100,2)</f>
        <v>1.64</v>
      </c>
    </row>
    <row r="6401" ht="15.0" customHeight="1">
      <c r="A6401" s="16"/>
      <c r="B6401" s="16"/>
      <c r="C6401" s="16"/>
      <c r="D6401" s="17" t="s">
        <v>2820</v>
      </c>
      <c r="E6401" s="16"/>
      <c r="F6401" s="18">
        <f>ROUND((G6392+G6393+G6394+G6395+G6400)*(1+G2/100),2)</f>
        <v>69.28</v>
      </c>
      <c r="G6401" s="16"/>
    </row>
    <row r="6402" ht="24.75" customHeight="1">
      <c r="A6402" s="19" t="s">
        <v>2822</v>
      </c>
      <c r="B6402" s="20" t="s">
        <v>18</v>
      </c>
      <c r="C6402" s="20" t="s">
        <v>351</v>
      </c>
      <c r="D6402" s="20" t="s">
        <v>2823</v>
      </c>
      <c r="E6402" s="21"/>
      <c r="F6402" s="22">
        <f>F6415</f>
        <v>37.13</v>
      </c>
      <c r="G6402" s="21"/>
    </row>
    <row r="6403" ht="12.0" customHeight="1">
      <c r="A6403" s="11"/>
      <c r="B6403" s="11"/>
      <c r="C6403" s="11"/>
      <c r="D6403" s="10" t="s">
        <v>2823</v>
      </c>
    </row>
    <row r="6404" ht="30.0" customHeight="1">
      <c r="A6404" s="10" t="s">
        <v>2824</v>
      </c>
      <c r="B6404" s="10" t="s">
        <v>42</v>
      </c>
      <c r="C6404" s="10" t="s">
        <v>344</v>
      </c>
      <c r="D6404" s="10" t="s">
        <v>2825</v>
      </c>
      <c r="E6404" s="14">
        <v>1.0</v>
      </c>
      <c r="F6404" s="15">
        <f>ROUND(10,3)</f>
        <v>10</v>
      </c>
      <c r="G6404" s="12">
        <f t="shared" ref="G6404:G6413" si="980">ROUND(E6404*F6404,2)</f>
        <v>10</v>
      </c>
    </row>
    <row r="6405" ht="39.75" customHeight="1">
      <c r="A6405" s="10" t="s">
        <v>2640</v>
      </c>
      <c r="B6405" s="10" t="s">
        <v>42</v>
      </c>
      <c r="C6405" s="10" t="s">
        <v>184</v>
      </c>
      <c r="D6405" s="10" t="s">
        <v>2641</v>
      </c>
      <c r="E6405" s="14">
        <v>0.64</v>
      </c>
      <c r="F6405" s="15">
        <f>ROUND(2.6,3)</f>
        <v>2.6</v>
      </c>
      <c r="G6405" s="12">
        <f t="shared" si="980"/>
        <v>1.66</v>
      </c>
    </row>
    <row r="6406" ht="30.0" customHeight="1">
      <c r="A6406" s="10" t="s">
        <v>2053</v>
      </c>
      <c r="B6406" s="10" t="s">
        <v>42</v>
      </c>
      <c r="C6406" s="10" t="s">
        <v>184</v>
      </c>
      <c r="D6406" s="10" t="s">
        <v>2054</v>
      </c>
      <c r="E6406" s="14">
        <v>0.03</v>
      </c>
      <c r="F6406" s="15">
        <f>ROUND(11.74,3)</f>
        <v>11.74</v>
      </c>
      <c r="G6406" s="12">
        <f t="shared" si="980"/>
        <v>0.35</v>
      </c>
    </row>
    <row r="6407" ht="39.75" customHeight="1">
      <c r="A6407" s="10" t="s">
        <v>953</v>
      </c>
      <c r="B6407" s="10" t="s">
        <v>112</v>
      </c>
      <c r="C6407" s="10" t="s">
        <v>23</v>
      </c>
      <c r="D6407" s="10" t="s">
        <v>954</v>
      </c>
      <c r="E6407" s="14">
        <v>0.25</v>
      </c>
      <c r="F6407" s="15">
        <f>ROUND(1.75,3)</f>
        <v>1.75</v>
      </c>
      <c r="G6407" s="12">
        <f t="shared" si="980"/>
        <v>0.44</v>
      </c>
    </row>
    <row r="6408" ht="30.0" customHeight="1">
      <c r="A6408" s="10" t="s">
        <v>1793</v>
      </c>
      <c r="B6408" s="10" t="s">
        <v>42</v>
      </c>
      <c r="C6408" s="10" t="s">
        <v>956</v>
      </c>
      <c r="D6408" s="10" t="s">
        <v>1794</v>
      </c>
      <c r="E6408" s="14">
        <v>0.01667</v>
      </c>
      <c r="F6408" s="15">
        <f>ROUND(8.81,3)</f>
        <v>8.81</v>
      </c>
      <c r="G6408" s="12">
        <f t="shared" si="980"/>
        <v>0.15</v>
      </c>
    </row>
    <row r="6409" ht="21.0" customHeight="1">
      <c r="A6409" s="10" t="s">
        <v>22</v>
      </c>
      <c r="B6409" s="10" t="s">
        <v>18</v>
      </c>
      <c r="C6409" s="10" t="s">
        <v>23</v>
      </c>
      <c r="D6409" s="10" t="s">
        <v>24</v>
      </c>
      <c r="E6409" s="14">
        <v>0.53333</v>
      </c>
      <c r="F6409" s="15">
        <f>F6413</f>
        <v>43.8</v>
      </c>
      <c r="G6409" s="12">
        <f t="shared" si="980"/>
        <v>23.36</v>
      </c>
    </row>
    <row r="6410" ht="24.0" customHeight="1">
      <c r="A6410" s="10" t="s">
        <v>25</v>
      </c>
      <c r="B6410" s="10" t="s">
        <v>26</v>
      </c>
      <c r="C6410" s="10" t="s">
        <v>23</v>
      </c>
      <c r="D6410" s="10" t="s">
        <v>27</v>
      </c>
      <c r="E6410" s="14">
        <v>1.0</v>
      </c>
      <c r="F6410" s="15">
        <f>ROUND(21,3)</f>
        <v>21</v>
      </c>
      <c r="G6410" s="12">
        <f t="shared" si="980"/>
        <v>21</v>
      </c>
    </row>
    <row r="6411" ht="24.0" customHeight="1">
      <c r="A6411" s="10" t="s">
        <v>28</v>
      </c>
      <c r="B6411" s="10" t="s">
        <v>26</v>
      </c>
      <c r="C6411" s="10" t="s">
        <v>23</v>
      </c>
      <c r="D6411" s="10" t="s">
        <v>29</v>
      </c>
      <c r="E6411" s="14">
        <v>1.0</v>
      </c>
      <c r="F6411" s="15">
        <f t="shared" ref="F6411:F6412" si="981">ROUND(19,3)</f>
        <v>19</v>
      </c>
      <c r="G6411" s="12">
        <f t="shared" si="980"/>
        <v>19</v>
      </c>
    </row>
    <row r="6412" ht="24.0" customHeight="1">
      <c r="A6412" s="10" t="s">
        <v>30</v>
      </c>
      <c r="B6412" s="10" t="s">
        <v>26</v>
      </c>
      <c r="C6412" s="10" t="s">
        <v>23</v>
      </c>
      <c r="D6412" s="10" t="s">
        <v>31</v>
      </c>
      <c r="E6412" s="14">
        <v>0.2</v>
      </c>
      <c r="F6412" s="15">
        <f t="shared" si="981"/>
        <v>19</v>
      </c>
      <c r="G6412" s="12">
        <f t="shared" si="980"/>
        <v>3.8</v>
      </c>
    </row>
    <row r="6413" ht="15.0" customHeight="1">
      <c r="A6413" s="11"/>
      <c r="B6413" s="11"/>
      <c r="C6413" s="11"/>
      <c r="D6413" s="10" t="s">
        <v>22</v>
      </c>
      <c r="E6413" s="14">
        <v>0.53333</v>
      </c>
      <c r="F6413" s="15">
        <f>ROUND((G6410+G6411+G6412),3)</f>
        <v>43.8</v>
      </c>
      <c r="G6413" s="12">
        <f t="shared" si="980"/>
        <v>23.36</v>
      </c>
    </row>
    <row r="6414" ht="15.0" customHeight="1">
      <c r="A6414" s="10" t="s">
        <v>32</v>
      </c>
      <c r="B6414" s="10"/>
      <c r="C6414" s="10" t="s">
        <v>33</v>
      </c>
      <c r="D6414" s="10" t="s">
        <v>34</v>
      </c>
      <c r="E6414" s="14">
        <v>5.0</v>
      </c>
      <c r="F6414" s="15">
        <f>ROUND(23.36,3)</f>
        <v>23.36</v>
      </c>
      <c r="G6414" s="12">
        <f>ROUND((E6414*F6414)/100,2)</f>
        <v>1.17</v>
      </c>
    </row>
    <row r="6415" ht="24.75" customHeight="1">
      <c r="A6415" s="16"/>
      <c r="B6415" s="16"/>
      <c r="C6415" s="16"/>
      <c r="D6415" s="17" t="s">
        <v>2822</v>
      </c>
      <c r="E6415" s="16"/>
      <c r="F6415" s="18">
        <f>ROUND((G6404+G6405+G6406+G6407+G6408+G6409+G6414)*(1+G2/100),2)</f>
        <v>37.13</v>
      </c>
      <c r="G6415" s="16"/>
    </row>
    <row r="6416" ht="39.75" customHeight="1">
      <c r="A6416" s="19" t="s">
        <v>2826</v>
      </c>
      <c r="B6416" s="20" t="s">
        <v>18</v>
      </c>
      <c r="C6416" s="20" t="s">
        <v>351</v>
      </c>
      <c r="D6416" s="20" t="s">
        <v>2827</v>
      </c>
      <c r="E6416" s="21"/>
      <c r="F6416" s="22">
        <f>F6427</f>
        <v>35.4</v>
      </c>
      <c r="G6416" s="21"/>
    </row>
    <row r="6417" ht="39.75" customHeight="1">
      <c r="A6417" s="11"/>
      <c r="B6417" s="11"/>
      <c r="C6417" s="11"/>
      <c r="D6417" s="10" t="s">
        <v>2828</v>
      </c>
    </row>
    <row r="6418" ht="30.0" customHeight="1">
      <c r="A6418" s="10" t="s">
        <v>2829</v>
      </c>
      <c r="B6418" s="10" t="s">
        <v>42</v>
      </c>
      <c r="C6418" s="10" t="s">
        <v>344</v>
      </c>
      <c r="D6418" s="10" t="s">
        <v>2830</v>
      </c>
      <c r="E6418" s="14">
        <v>5.0</v>
      </c>
      <c r="F6418" s="15">
        <f>ROUND(1.63,3)</f>
        <v>1.63</v>
      </c>
      <c r="G6418" s="12">
        <f t="shared" ref="G6418:G6425" si="982">ROUND(E6418*F6418,2)</f>
        <v>8.15</v>
      </c>
    </row>
    <row r="6419" ht="30.0" customHeight="1">
      <c r="A6419" s="10" t="s">
        <v>2694</v>
      </c>
      <c r="B6419" s="10" t="s">
        <v>42</v>
      </c>
      <c r="C6419" s="10" t="s">
        <v>184</v>
      </c>
      <c r="D6419" s="10" t="s">
        <v>2695</v>
      </c>
      <c r="E6419" s="14">
        <v>0.06776</v>
      </c>
      <c r="F6419" s="15">
        <f>ROUND(15.43,3)</f>
        <v>15.43</v>
      </c>
      <c r="G6419" s="12">
        <f t="shared" si="982"/>
        <v>1.05</v>
      </c>
    </row>
    <row r="6420" ht="30.0" customHeight="1">
      <c r="A6420" s="10" t="s">
        <v>2053</v>
      </c>
      <c r="B6420" s="10" t="s">
        <v>42</v>
      </c>
      <c r="C6420" s="10" t="s">
        <v>184</v>
      </c>
      <c r="D6420" s="10" t="s">
        <v>2054</v>
      </c>
      <c r="E6420" s="14">
        <v>0.02112</v>
      </c>
      <c r="F6420" s="15">
        <f>ROUND(11.74,3)</f>
        <v>11.74</v>
      </c>
      <c r="G6420" s="12">
        <f t="shared" si="982"/>
        <v>0.25</v>
      </c>
    </row>
    <row r="6421" ht="21.0" customHeight="1">
      <c r="A6421" s="10" t="s">
        <v>22</v>
      </c>
      <c r="B6421" s="10" t="s">
        <v>18</v>
      </c>
      <c r="C6421" s="10" t="s">
        <v>23</v>
      </c>
      <c r="D6421" s="10" t="s">
        <v>24</v>
      </c>
      <c r="E6421" s="14">
        <v>0.575</v>
      </c>
      <c r="F6421" s="15">
        <f>F6425</f>
        <v>43.8</v>
      </c>
      <c r="G6421" s="12">
        <f t="shared" si="982"/>
        <v>25.19</v>
      </c>
    </row>
    <row r="6422" ht="24.0" customHeight="1">
      <c r="A6422" s="10" t="s">
        <v>25</v>
      </c>
      <c r="B6422" s="10" t="s">
        <v>26</v>
      </c>
      <c r="C6422" s="10" t="s">
        <v>23</v>
      </c>
      <c r="D6422" s="10" t="s">
        <v>27</v>
      </c>
      <c r="E6422" s="14">
        <v>1.0</v>
      </c>
      <c r="F6422" s="15">
        <f>ROUND(21,3)</f>
        <v>21</v>
      </c>
      <c r="G6422" s="12">
        <f t="shared" si="982"/>
        <v>21</v>
      </c>
    </row>
    <row r="6423" ht="24.0" customHeight="1">
      <c r="A6423" s="10" t="s">
        <v>28</v>
      </c>
      <c r="B6423" s="10" t="s">
        <v>26</v>
      </c>
      <c r="C6423" s="10" t="s">
        <v>23</v>
      </c>
      <c r="D6423" s="10" t="s">
        <v>29</v>
      </c>
      <c r="E6423" s="14">
        <v>1.0</v>
      </c>
      <c r="F6423" s="15">
        <f t="shared" ref="F6423:F6424" si="983">ROUND(19,3)</f>
        <v>19</v>
      </c>
      <c r="G6423" s="12">
        <f t="shared" si="982"/>
        <v>19</v>
      </c>
    </row>
    <row r="6424" ht="24.0" customHeight="1">
      <c r="A6424" s="10" t="s">
        <v>30</v>
      </c>
      <c r="B6424" s="10" t="s">
        <v>26</v>
      </c>
      <c r="C6424" s="10" t="s">
        <v>23</v>
      </c>
      <c r="D6424" s="10" t="s">
        <v>31</v>
      </c>
      <c r="E6424" s="14">
        <v>0.2</v>
      </c>
      <c r="F6424" s="15">
        <f t="shared" si="983"/>
        <v>19</v>
      </c>
      <c r="G6424" s="12">
        <f t="shared" si="982"/>
        <v>3.8</v>
      </c>
    </row>
    <row r="6425" ht="15.0" customHeight="1">
      <c r="A6425" s="11"/>
      <c r="B6425" s="11"/>
      <c r="C6425" s="11"/>
      <c r="D6425" s="10" t="s">
        <v>22</v>
      </c>
      <c r="E6425" s="14">
        <v>0.575</v>
      </c>
      <c r="F6425" s="15">
        <f>ROUND((G6422+G6423+G6424),3)</f>
        <v>43.8</v>
      </c>
      <c r="G6425" s="12">
        <f t="shared" si="982"/>
        <v>25.19</v>
      </c>
    </row>
    <row r="6426" ht="15.0" customHeight="1">
      <c r="A6426" s="10" t="s">
        <v>32</v>
      </c>
      <c r="B6426" s="10"/>
      <c r="C6426" s="10" t="s">
        <v>33</v>
      </c>
      <c r="D6426" s="10" t="s">
        <v>34</v>
      </c>
      <c r="E6426" s="14">
        <v>3.0</v>
      </c>
      <c r="F6426" s="15">
        <f>ROUND(25.19,3)</f>
        <v>25.19</v>
      </c>
      <c r="G6426" s="12">
        <f>ROUND((E6426*F6426)/100,2)</f>
        <v>0.76</v>
      </c>
    </row>
    <row r="6427" ht="15.0" customHeight="1">
      <c r="A6427" s="16"/>
      <c r="B6427" s="16"/>
      <c r="C6427" s="16"/>
      <c r="D6427" s="17" t="s">
        <v>2826</v>
      </c>
      <c r="E6427" s="16"/>
      <c r="F6427" s="18">
        <f>ROUND((G6418+G6419+G6420+G6421+G6426)*(1+G2/100),2)</f>
        <v>35.4</v>
      </c>
      <c r="G6427" s="16"/>
    </row>
    <row r="6428" ht="39.75" customHeight="1">
      <c r="A6428" s="19" t="s">
        <v>2831</v>
      </c>
      <c r="B6428" s="20" t="s">
        <v>18</v>
      </c>
      <c r="C6428" s="20" t="s">
        <v>351</v>
      </c>
      <c r="D6428" s="20" t="s">
        <v>2832</v>
      </c>
      <c r="E6428" s="21"/>
      <c r="F6428" s="22">
        <f>F6439</f>
        <v>45.14</v>
      </c>
      <c r="G6428" s="21"/>
    </row>
    <row r="6429" ht="39.75" customHeight="1">
      <c r="A6429" s="11"/>
      <c r="B6429" s="11"/>
      <c r="C6429" s="11"/>
      <c r="D6429" s="10" t="s">
        <v>2833</v>
      </c>
    </row>
    <row r="6430" ht="30.0" customHeight="1">
      <c r="A6430" s="10" t="s">
        <v>2829</v>
      </c>
      <c r="B6430" s="10" t="s">
        <v>42</v>
      </c>
      <c r="C6430" s="10" t="s">
        <v>344</v>
      </c>
      <c r="D6430" s="10" t="s">
        <v>2830</v>
      </c>
      <c r="E6430" s="14">
        <v>5.0</v>
      </c>
      <c r="F6430" s="15">
        <f>ROUND(1.63,3)</f>
        <v>1.63</v>
      </c>
      <c r="G6430" s="12">
        <f t="shared" ref="G6430:G6437" si="984">ROUND(E6430*F6430,2)</f>
        <v>8.15</v>
      </c>
    </row>
    <row r="6431" ht="30.0" customHeight="1">
      <c r="A6431" s="10" t="s">
        <v>2694</v>
      </c>
      <c r="B6431" s="10" t="s">
        <v>42</v>
      </c>
      <c r="C6431" s="10" t="s">
        <v>184</v>
      </c>
      <c r="D6431" s="10" t="s">
        <v>2695</v>
      </c>
      <c r="E6431" s="14">
        <v>0.06776</v>
      </c>
      <c r="F6431" s="15">
        <f>ROUND(15.43,3)</f>
        <v>15.43</v>
      </c>
      <c r="G6431" s="12">
        <f t="shared" si="984"/>
        <v>1.05</v>
      </c>
    </row>
    <row r="6432" ht="30.0" customHeight="1">
      <c r="A6432" s="10" t="s">
        <v>2053</v>
      </c>
      <c r="B6432" s="10" t="s">
        <v>42</v>
      </c>
      <c r="C6432" s="10" t="s">
        <v>184</v>
      </c>
      <c r="D6432" s="10" t="s">
        <v>2054</v>
      </c>
      <c r="E6432" s="14">
        <v>0.02112</v>
      </c>
      <c r="F6432" s="15">
        <f>ROUND(11.74,3)</f>
        <v>11.74</v>
      </c>
      <c r="G6432" s="12">
        <f t="shared" si="984"/>
        <v>0.25</v>
      </c>
    </row>
    <row r="6433" ht="24.0" customHeight="1">
      <c r="A6433" s="10" t="s">
        <v>286</v>
      </c>
      <c r="B6433" s="10" t="s">
        <v>18</v>
      </c>
      <c r="C6433" s="10" t="s">
        <v>23</v>
      </c>
      <c r="D6433" s="10" t="s">
        <v>287</v>
      </c>
      <c r="E6433" s="14">
        <v>0.7</v>
      </c>
      <c r="F6433" s="15">
        <f>F6437</f>
        <v>49.5</v>
      </c>
      <c r="G6433" s="12">
        <f t="shared" si="984"/>
        <v>34.65</v>
      </c>
    </row>
    <row r="6434" ht="24.0" customHeight="1">
      <c r="A6434" s="10" t="s">
        <v>288</v>
      </c>
      <c r="B6434" s="10" t="s">
        <v>26</v>
      </c>
      <c r="C6434" s="10" t="s">
        <v>23</v>
      </c>
      <c r="D6434" s="10" t="s">
        <v>289</v>
      </c>
      <c r="E6434" s="14">
        <v>1.0</v>
      </c>
      <c r="F6434" s="15">
        <f>ROUND(21,3)</f>
        <v>21</v>
      </c>
      <c r="G6434" s="12">
        <f t="shared" si="984"/>
        <v>21</v>
      </c>
    </row>
    <row r="6435" ht="24.0" customHeight="1">
      <c r="A6435" s="10" t="s">
        <v>290</v>
      </c>
      <c r="B6435" s="10" t="s">
        <v>26</v>
      </c>
      <c r="C6435" s="10" t="s">
        <v>23</v>
      </c>
      <c r="D6435" s="10" t="s">
        <v>291</v>
      </c>
      <c r="E6435" s="14">
        <v>1.0</v>
      </c>
      <c r="F6435" s="15">
        <f t="shared" ref="F6435:F6436" si="985">ROUND(19,3)</f>
        <v>19</v>
      </c>
      <c r="G6435" s="12">
        <f t="shared" si="984"/>
        <v>19</v>
      </c>
    </row>
    <row r="6436" ht="24.0" customHeight="1">
      <c r="A6436" s="10" t="s">
        <v>292</v>
      </c>
      <c r="B6436" s="10" t="s">
        <v>26</v>
      </c>
      <c r="C6436" s="10" t="s">
        <v>23</v>
      </c>
      <c r="D6436" s="10" t="s">
        <v>293</v>
      </c>
      <c r="E6436" s="14">
        <v>0.5</v>
      </c>
      <c r="F6436" s="15">
        <f t="shared" si="985"/>
        <v>19</v>
      </c>
      <c r="G6436" s="12">
        <f t="shared" si="984"/>
        <v>9.5</v>
      </c>
    </row>
    <row r="6437" ht="15.0" customHeight="1">
      <c r="A6437" s="11"/>
      <c r="B6437" s="11"/>
      <c r="C6437" s="11"/>
      <c r="D6437" s="10" t="s">
        <v>286</v>
      </c>
      <c r="E6437" s="14">
        <v>0.7</v>
      </c>
      <c r="F6437" s="15">
        <f>ROUND((G6434+G6435+G6436),3)</f>
        <v>49.5</v>
      </c>
      <c r="G6437" s="12">
        <f t="shared" si="984"/>
        <v>34.65</v>
      </c>
    </row>
    <row r="6438" ht="15.0" customHeight="1">
      <c r="A6438" s="10" t="s">
        <v>32</v>
      </c>
      <c r="B6438" s="10"/>
      <c r="C6438" s="10" t="s">
        <v>33</v>
      </c>
      <c r="D6438" s="10" t="s">
        <v>34</v>
      </c>
      <c r="E6438" s="14">
        <v>3.0</v>
      </c>
      <c r="F6438" s="15">
        <f>ROUND(34.65,3)</f>
        <v>34.65</v>
      </c>
      <c r="G6438" s="12">
        <f>ROUND((E6438*F6438)/100,2)</f>
        <v>1.04</v>
      </c>
    </row>
    <row r="6439" ht="15.0" customHeight="1">
      <c r="A6439" s="16"/>
      <c r="B6439" s="16"/>
      <c r="C6439" s="16"/>
      <c r="D6439" s="17" t="s">
        <v>2831</v>
      </c>
      <c r="E6439" s="16"/>
      <c r="F6439" s="18">
        <f>ROUND((G6430+G6431+G6432+G6433+G6438)*(1+G2/100),2)</f>
        <v>45.14</v>
      </c>
      <c r="G6439" s="16"/>
    </row>
    <row r="6440" ht="48.75" customHeight="1">
      <c r="A6440" s="19" t="s">
        <v>2834</v>
      </c>
      <c r="B6440" s="20" t="s">
        <v>18</v>
      </c>
      <c r="C6440" s="20" t="s">
        <v>351</v>
      </c>
      <c r="D6440" s="20" t="s">
        <v>2835</v>
      </c>
      <c r="E6440" s="21"/>
      <c r="F6440" s="22">
        <f>F6451</f>
        <v>37.01</v>
      </c>
      <c r="G6440" s="21"/>
    </row>
    <row r="6441" ht="39.75" customHeight="1">
      <c r="A6441" s="11"/>
      <c r="B6441" s="11"/>
      <c r="C6441" s="11"/>
      <c r="D6441" s="10" t="s">
        <v>2836</v>
      </c>
    </row>
    <row r="6442" ht="39.75" customHeight="1">
      <c r="A6442" s="10" t="s">
        <v>2837</v>
      </c>
      <c r="B6442" s="10" t="s">
        <v>42</v>
      </c>
      <c r="C6442" s="10" t="s">
        <v>344</v>
      </c>
      <c r="D6442" s="10" t="s">
        <v>2838</v>
      </c>
      <c r="E6442" s="14">
        <v>8.0</v>
      </c>
      <c r="F6442" s="15">
        <f>ROUND(0.93,3)</f>
        <v>0.93</v>
      </c>
      <c r="G6442" s="12">
        <f t="shared" ref="G6442:G6449" si="986">ROUND(E6442*F6442,2)</f>
        <v>7.44</v>
      </c>
    </row>
    <row r="6443" ht="30.0" customHeight="1">
      <c r="A6443" s="10" t="s">
        <v>2694</v>
      </c>
      <c r="B6443" s="10" t="s">
        <v>42</v>
      </c>
      <c r="C6443" s="10" t="s">
        <v>184</v>
      </c>
      <c r="D6443" s="10" t="s">
        <v>2695</v>
      </c>
      <c r="E6443" s="14">
        <v>0.1232</v>
      </c>
      <c r="F6443" s="15">
        <f>ROUND(15.43,3)</f>
        <v>15.43</v>
      </c>
      <c r="G6443" s="12">
        <f t="shared" si="986"/>
        <v>1.9</v>
      </c>
    </row>
    <row r="6444" ht="30.0" customHeight="1">
      <c r="A6444" s="10" t="s">
        <v>2053</v>
      </c>
      <c r="B6444" s="10" t="s">
        <v>42</v>
      </c>
      <c r="C6444" s="10" t="s">
        <v>184</v>
      </c>
      <c r="D6444" s="10" t="s">
        <v>2054</v>
      </c>
      <c r="E6444" s="14">
        <v>0.05069</v>
      </c>
      <c r="F6444" s="15">
        <f>ROUND(11.74,3)</f>
        <v>11.74</v>
      </c>
      <c r="G6444" s="12">
        <f t="shared" si="986"/>
        <v>0.6</v>
      </c>
    </row>
    <row r="6445" ht="21.0" customHeight="1">
      <c r="A6445" s="10" t="s">
        <v>22</v>
      </c>
      <c r="B6445" s="10" t="s">
        <v>18</v>
      </c>
      <c r="C6445" s="10" t="s">
        <v>23</v>
      </c>
      <c r="D6445" s="10" t="s">
        <v>24</v>
      </c>
      <c r="E6445" s="14">
        <v>0.6</v>
      </c>
      <c r="F6445" s="15">
        <f>F6449</f>
        <v>43.8</v>
      </c>
      <c r="G6445" s="12">
        <f t="shared" si="986"/>
        <v>26.28</v>
      </c>
    </row>
    <row r="6446" ht="24.0" customHeight="1">
      <c r="A6446" s="10" t="s">
        <v>25</v>
      </c>
      <c r="B6446" s="10" t="s">
        <v>26</v>
      </c>
      <c r="C6446" s="10" t="s">
        <v>23</v>
      </c>
      <c r="D6446" s="10" t="s">
        <v>27</v>
      </c>
      <c r="E6446" s="14">
        <v>1.0</v>
      </c>
      <c r="F6446" s="15">
        <f>ROUND(21,3)</f>
        <v>21</v>
      </c>
      <c r="G6446" s="12">
        <f t="shared" si="986"/>
        <v>21</v>
      </c>
    </row>
    <row r="6447" ht="24.0" customHeight="1">
      <c r="A6447" s="10" t="s">
        <v>28</v>
      </c>
      <c r="B6447" s="10" t="s">
        <v>26</v>
      </c>
      <c r="C6447" s="10" t="s">
        <v>23</v>
      </c>
      <c r="D6447" s="10" t="s">
        <v>29</v>
      </c>
      <c r="E6447" s="14">
        <v>1.0</v>
      </c>
      <c r="F6447" s="15">
        <f t="shared" ref="F6447:F6448" si="987">ROUND(19,3)</f>
        <v>19</v>
      </c>
      <c r="G6447" s="12">
        <f t="shared" si="986"/>
        <v>19</v>
      </c>
    </row>
    <row r="6448" ht="24.0" customHeight="1">
      <c r="A6448" s="10" t="s">
        <v>30</v>
      </c>
      <c r="B6448" s="10" t="s">
        <v>26</v>
      </c>
      <c r="C6448" s="10" t="s">
        <v>23</v>
      </c>
      <c r="D6448" s="10" t="s">
        <v>31</v>
      </c>
      <c r="E6448" s="14">
        <v>0.2</v>
      </c>
      <c r="F6448" s="15">
        <f t="shared" si="987"/>
        <v>19</v>
      </c>
      <c r="G6448" s="12">
        <f t="shared" si="986"/>
        <v>3.8</v>
      </c>
    </row>
    <row r="6449" ht="15.0" customHeight="1">
      <c r="A6449" s="11"/>
      <c r="B6449" s="11"/>
      <c r="C6449" s="11"/>
      <c r="D6449" s="10" t="s">
        <v>22</v>
      </c>
      <c r="E6449" s="14">
        <v>0.6</v>
      </c>
      <c r="F6449" s="15">
        <f>ROUND((G6446+G6447+G6448),3)</f>
        <v>43.8</v>
      </c>
      <c r="G6449" s="12">
        <f t="shared" si="986"/>
        <v>26.28</v>
      </c>
    </row>
    <row r="6450" ht="15.0" customHeight="1">
      <c r="A6450" s="10" t="s">
        <v>32</v>
      </c>
      <c r="B6450" s="10"/>
      <c r="C6450" s="10" t="s">
        <v>33</v>
      </c>
      <c r="D6450" s="10" t="s">
        <v>34</v>
      </c>
      <c r="E6450" s="14">
        <v>3.0</v>
      </c>
      <c r="F6450" s="15">
        <f>ROUND(26.28,3)</f>
        <v>26.28</v>
      </c>
      <c r="G6450" s="12">
        <f>ROUND((E6450*F6450)/100,2)</f>
        <v>0.79</v>
      </c>
    </row>
    <row r="6451" ht="24.75" customHeight="1">
      <c r="A6451" s="16"/>
      <c r="B6451" s="16"/>
      <c r="C6451" s="16"/>
      <c r="D6451" s="17" t="s">
        <v>2834</v>
      </c>
      <c r="E6451" s="16"/>
      <c r="F6451" s="18">
        <f>ROUND((G6442+G6443+G6444+G6445+G6450)*(1+G2/100),2)</f>
        <v>37.01</v>
      </c>
      <c r="G6451" s="16"/>
    </row>
    <row r="6452" ht="48.75" customHeight="1">
      <c r="A6452" s="19" t="s">
        <v>2839</v>
      </c>
      <c r="B6452" s="20" t="s">
        <v>18</v>
      </c>
      <c r="C6452" s="20" t="s">
        <v>351</v>
      </c>
      <c r="D6452" s="20" t="s">
        <v>2840</v>
      </c>
      <c r="E6452" s="21"/>
      <c r="F6452" s="22">
        <f>F6463</f>
        <v>47.83</v>
      </c>
      <c r="G6452" s="21"/>
    </row>
    <row r="6453" ht="39.75" customHeight="1">
      <c r="A6453" s="11"/>
      <c r="B6453" s="11"/>
      <c r="C6453" s="11"/>
      <c r="D6453" s="10" t="s">
        <v>2841</v>
      </c>
    </row>
    <row r="6454" ht="39.75" customHeight="1">
      <c r="A6454" s="10" t="s">
        <v>2837</v>
      </c>
      <c r="B6454" s="10" t="s">
        <v>42</v>
      </c>
      <c r="C6454" s="10" t="s">
        <v>344</v>
      </c>
      <c r="D6454" s="10" t="s">
        <v>2838</v>
      </c>
      <c r="E6454" s="14">
        <v>8.0</v>
      </c>
      <c r="F6454" s="15">
        <f>ROUND(0.93,3)</f>
        <v>0.93</v>
      </c>
      <c r="G6454" s="12">
        <f t="shared" ref="G6454:G6461" si="988">ROUND(E6454*F6454,2)</f>
        <v>7.44</v>
      </c>
    </row>
    <row r="6455" ht="30.0" customHeight="1">
      <c r="A6455" s="10" t="s">
        <v>2694</v>
      </c>
      <c r="B6455" s="10" t="s">
        <v>42</v>
      </c>
      <c r="C6455" s="10" t="s">
        <v>184</v>
      </c>
      <c r="D6455" s="10" t="s">
        <v>2695</v>
      </c>
      <c r="E6455" s="14">
        <v>0.1232</v>
      </c>
      <c r="F6455" s="15">
        <f>ROUND(15.43,3)</f>
        <v>15.43</v>
      </c>
      <c r="G6455" s="12">
        <f t="shared" si="988"/>
        <v>1.9</v>
      </c>
    </row>
    <row r="6456" ht="30.0" customHeight="1">
      <c r="A6456" s="10" t="s">
        <v>2053</v>
      </c>
      <c r="B6456" s="10" t="s">
        <v>42</v>
      </c>
      <c r="C6456" s="10" t="s">
        <v>184</v>
      </c>
      <c r="D6456" s="10" t="s">
        <v>2054</v>
      </c>
      <c r="E6456" s="14">
        <v>0.05069</v>
      </c>
      <c r="F6456" s="15">
        <f>ROUND(11.74,3)</f>
        <v>11.74</v>
      </c>
      <c r="G6456" s="12">
        <f t="shared" si="988"/>
        <v>0.6</v>
      </c>
    </row>
    <row r="6457" ht="21.0" customHeight="1">
      <c r="A6457" s="10" t="s">
        <v>22</v>
      </c>
      <c r="B6457" s="10" t="s">
        <v>18</v>
      </c>
      <c r="C6457" s="10" t="s">
        <v>23</v>
      </c>
      <c r="D6457" s="10" t="s">
        <v>24</v>
      </c>
      <c r="E6457" s="14">
        <v>0.84</v>
      </c>
      <c r="F6457" s="15">
        <f>F6461</f>
        <v>43.8</v>
      </c>
      <c r="G6457" s="12">
        <f t="shared" si="988"/>
        <v>36.79</v>
      </c>
    </row>
    <row r="6458" ht="24.0" customHeight="1">
      <c r="A6458" s="10" t="s">
        <v>25</v>
      </c>
      <c r="B6458" s="10" t="s">
        <v>26</v>
      </c>
      <c r="C6458" s="10" t="s">
        <v>23</v>
      </c>
      <c r="D6458" s="10" t="s">
        <v>27</v>
      </c>
      <c r="E6458" s="14">
        <v>1.0</v>
      </c>
      <c r="F6458" s="15">
        <f>ROUND(21,3)</f>
        <v>21</v>
      </c>
      <c r="G6458" s="12">
        <f t="shared" si="988"/>
        <v>21</v>
      </c>
    </row>
    <row r="6459" ht="24.0" customHeight="1">
      <c r="A6459" s="10" t="s">
        <v>28</v>
      </c>
      <c r="B6459" s="10" t="s">
        <v>26</v>
      </c>
      <c r="C6459" s="10" t="s">
        <v>23</v>
      </c>
      <c r="D6459" s="10" t="s">
        <v>29</v>
      </c>
      <c r="E6459" s="14">
        <v>1.0</v>
      </c>
      <c r="F6459" s="15">
        <f t="shared" ref="F6459:F6460" si="989">ROUND(19,3)</f>
        <v>19</v>
      </c>
      <c r="G6459" s="12">
        <f t="shared" si="988"/>
        <v>19</v>
      </c>
    </row>
    <row r="6460" ht="24.0" customHeight="1">
      <c r="A6460" s="10" t="s">
        <v>30</v>
      </c>
      <c r="B6460" s="10" t="s">
        <v>26</v>
      </c>
      <c r="C6460" s="10" t="s">
        <v>23</v>
      </c>
      <c r="D6460" s="10" t="s">
        <v>31</v>
      </c>
      <c r="E6460" s="14">
        <v>0.2</v>
      </c>
      <c r="F6460" s="15">
        <f t="shared" si="989"/>
        <v>19</v>
      </c>
      <c r="G6460" s="12">
        <f t="shared" si="988"/>
        <v>3.8</v>
      </c>
    </row>
    <row r="6461" ht="15.0" customHeight="1">
      <c r="A6461" s="11"/>
      <c r="B6461" s="11"/>
      <c r="C6461" s="11"/>
      <c r="D6461" s="10" t="s">
        <v>22</v>
      </c>
      <c r="E6461" s="14">
        <v>0.84</v>
      </c>
      <c r="F6461" s="15">
        <f>ROUND((G6458+G6459+G6460),3)</f>
        <v>43.8</v>
      </c>
      <c r="G6461" s="12">
        <f t="shared" si="988"/>
        <v>36.79</v>
      </c>
    </row>
    <row r="6462" ht="15.0" customHeight="1">
      <c r="A6462" s="10" t="s">
        <v>32</v>
      </c>
      <c r="B6462" s="10"/>
      <c r="C6462" s="10" t="s">
        <v>33</v>
      </c>
      <c r="D6462" s="10" t="s">
        <v>34</v>
      </c>
      <c r="E6462" s="14">
        <v>3.0</v>
      </c>
      <c r="F6462" s="15">
        <f>ROUND(36.79,3)</f>
        <v>36.79</v>
      </c>
      <c r="G6462" s="12">
        <f>ROUND((E6462*F6462)/100,2)</f>
        <v>1.1</v>
      </c>
    </row>
    <row r="6463" ht="24.75" customHeight="1">
      <c r="A6463" s="16"/>
      <c r="B6463" s="16"/>
      <c r="C6463" s="16"/>
      <c r="D6463" s="17" t="s">
        <v>2839</v>
      </c>
      <c r="E6463" s="16"/>
      <c r="F6463" s="18">
        <f>ROUND((G6454+G6455+G6456+G6457+G6462)*(1+G2/100),2)</f>
        <v>47.83</v>
      </c>
      <c r="G6463" s="16"/>
    </row>
    <row r="6464" ht="48.75" customHeight="1">
      <c r="A6464" s="19" t="s">
        <v>2842</v>
      </c>
      <c r="B6464" s="20" t="s">
        <v>18</v>
      </c>
      <c r="C6464" s="20" t="s">
        <v>351</v>
      </c>
      <c r="D6464" s="20" t="s">
        <v>2843</v>
      </c>
      <c r="E6464" s="21"/>
      <c r="F6464" s="22">
        <f>F6476</f>
        <v>52.42</v>
      </c>
      <c r="G6464" s="21"/>
    </row>
    <row r="6465" ht="48.75" customHeight="1">
      <c r="A6465" s="11"/>
      <c r="B6465" s="11"/>
      <c r="C6465" s="11"/>
      <c r="D6465" s="10" t="s">
        <v>2844</v>
      </c>
    </row>
    <row r="6466" ht="39.75" customHeight="1">
      <c r="A6466" s="10" t="s">
        <v>2837</v>
      </c>
      <c r="B6466" s="10" t="s">
        <v>42</v>
      </c>
      <c r="C6466" s="10" t="s">
        <v>344</v>
      </c>
      <c r="D6466" s="10" t="s">
        <v>2838</v>
      </c>
      <c r="E6466" s="14">
        <v>8.0</v>
      </c>
      <c r="F6466" s="15">
        <f>ROUND(0.93,3)</f>
        <v>0.93</v>
      </c>
      <c r="G6466" s="12">
        <f t="shared" ref="G6466:G6474" si="990">ROUND(E6466*F6466,2)</f>
        <v>7.44</v>
      </c>
    </row>
    <row r="6467" ht="30.0" customHeight="1">
      <c r="A6467" s="10" t="s">
        <v>2755</v>
      </c>
      <c r="B6467" s="10" t="s">
        <v>42</v>
      </c>
      <c r="C6467" s="10" t="s">
        <v>344</v>
      </c>
      <c r="D6467" s="10" t="s">
        <v>2756</v>
      </c>
      <c r="E6467" s="14">
        <v>8.0</v>
      </c>
      <c r="F6467" s="15">
        <f>ROUND(0.4,3)</f>
        <v>0.4</v>
      </c>
      <c r="G6467" s="12">
        <f t="shared" si="990"/>
        <v>3.2</v>
      </c>
    </row>
    <row r="6468" ht="30.0" customHeight="1">
      <c r="A6468" s="10" t="s">
        <v>2694</v>
      </c>
      <c r="B6468" s="10" t="s">
        <v>42</v>
      </c>
      <c r="C6468" s="10" t="s">
        <v>184</v>
      </c>
      <c r="D6468" s="10" t="s">
        <v>2695</v>
      </c>
      <c r="E6468" s="14">
        <v>0.2464</v>
      </c>
      <c r="F6468" s="15">
        <f>ROUND(15.43,3)</f>
        <v>15.43</v>
      </c>
      <c r="G6468" s="12">
        <f t="shared" si="990"/>
        <v>3.8</v>
      </c>
    </row>
    <row r="6469" ht="30.0" customHeight="1">
      <c r="A6469" s="10" t="s">
        <v>2053</v>
      </c>
      <c r="B6469" s="10" t="s">
        <v>42</v>
      </c>
      <c r="C6469" s="10" t="s">
        <v>184</v>
      </c>
      <c r="D6469" s="10" t="s">
        <v>2054</v>
      </c>
      <c r="E6469" s="14">
        <v>0.10138</v>
      </c>
      <c r="F6469" s="15">
        <f>ROUND(11.74,3)</f>
        <v>11.74</v>
      </c>
      <c r="G6469" s="12">
        <f t="shared" si="990"/>
        <v>1.19</v>
      </c>
    </row>
    <row r="6470" ht="21.0" customHeight="1">
      <c r="A6470" s="10" t="s">
        <v>22</v>
      </c>
      <c r="B6470" s="10" t="s">
        <v>18</v>
      </c>
      <c r="C6470" s="10" t="s">
        <v>23</v>
      </c>
      <c r="D6470" s="10" t="s">
        <v>24</v>
      </c>
      <c r="E6470" s="14">
        <v>0.8</v>
      </c>
      <c r="F6470" s="15">
        <f>F6474</f>
        <v>43.8</v>
      </c>
      <c r="G6470" s="12">
        <f t="shared" si="990"/>
        <v>35.04</v>
      </c>
    </row>
    <row r="6471" ht="24.0" customHeight="1">
      <c r="A6471" s="10" t="s">
        <v>25</v>
      </c>
      <c r="B6471" s="10" t="s">
        <v>26</v>
      </c>
      <c r="C6471" s="10" t="s">
        <v>23</v>
      </c>
      <c r="D6471" s="10" t="s">
        <v>27</v>
      </c>
      <c r="E6471" s="14">
        <v>1.0</v>
      </c>
      <c r="F6471" s="15">
        <f>ROUND(21,3)</f>
        <v>21</v>
      </c>
      <c r="G6471" s="12">
        <f t="shared" si="990"/>
        <v>21</v>
      </c>
    </row>
    <row r="6472" ht="24.0" customHeight="1">
      <c r="A6472" s="10" t="s">
        <v>28</v>
      </c>
      <c r="B6472" s="10" t="s">
        <v>26</v>
      </c>
      <c r="C6472" s="10" t="s">
        <v>23</v>
      </c>
      <c r="D6472" s="10" t="s">
        <v>29</v>
      </c>
      <c r="E6472" s="14">
        <v>1.0</v>
      </c>
      <c r="F6472" s="15">
        <f t="shared" ref="F6472:F6473" si="991">ROUND(19,3)</f>
        <v>19</v>
      </c>
      <c r="G6472" s="12">
        <f t="shared" si="990"/>
        <v>19</v>
      </c>
    </row>
    <row r="6473" ht="24.0" customHeight="1">
      <c r="A6473" s="10" t="s">
        <v>30</v>
      </c>
      <c r="B6473" s="10" t="s">
        <v>26</v>
      </c>
      <c r="C6473" s="10" t="s">
        <v>23</v>
      </c>
      <c r="D6473" s="10" t="s">
        <v>31</v>
      </c>
      <c r="E6473" s="14">
        <v>0.2</v>
      </c>
      <c r="F6473" s="15">
        <f t="shared" si="991"/>
        <v>19</v>
      </c>
      <c r="G6473" s="12">
        <f t="shared" si="990"/>
        <v>3.8</v>
      </c>
    </row>
    <row r="6474" ht="15.0" customHeight="1">
      <c r="A6474" s="11"/>
      <c r="B6474" s="11"/>
      <c r="C6474" s="11"/>
      <c r="D6474" s="10" t="s">
        <v>22</v>
      </c>
      <c r="E6474" s="14">
        <v>0.8</v>
      </c>
      <c r="F6474" s="15">
        <f>ROUND((G6471+G6472+G6473),3)</f>
        <v>43.8</v>
      </c>
      <c r="G6474" s="12">
        <f t="shared" si="990"/>
        <v>35.04</v>
      </c>
    </row>
    <row r="6475" ht="15.0" customHeight="1">
      <c r="A6475" s="10" t="s">
        <v>32</v>
      </c>
      <c r="B6475" s="10"/>
      <c r="C6475" s="10" t="s">
        <v>33</v>
      </c>
      <c r="D6475" s="10" t="s">
        <v>34</v>
      </c>
      <c r="E6475" s="14">
        <v>5.0</v>
      </c>
      <c r="F6475" s="15">
        <f>ROUND(35.04,3)</f>
        <v>35.04</v>
      </c>
      <c r="G6475" s="12">
        <f>ROUND((E6475*F6475)/100,2)</f>
        <v>1.75</v>
      </c>
    </row>
    <row r="6476" ht="24.75" customHeight="1">
      <c r="A6476" s="16"/>
      <c r="B6476" s="16"/>
      <c r="C6476" s="16"/>
      <c r="D6476" s="17" t="s">
        <v>2842</v>
      </c>
      <c r="E6476" s="16"/>
      <c r="F6476" s="18">
        <f>ROUND((G6466+G6467+G6468+G6469+G6470+G6475)*(1+G2/100),2)</f>
        <v>52.42</v>
      </c>
      <c r="G6476" s="16"/>
    </row>
    <row r="6477" ht="57.75" customHeight="1">
      <c r="A6477" s="19" t="s">
        <v>2845</v>
      </c>
      <c r="B6477" s="20" t="s">
        <v>18</v>
      </c>
      <c r="C6477" s="20" t="s">
        <v>351</v>
      </c>
      <c r="D6477" s="20" t="s">
        <v>2846</v>
      </c>
      <c r="E6477" s="21"/>
      <c r="F6477" s="22">
        <f>F6489</f>
        <v>61.62</v>
      </c>
      <c r="G6477" s="21"/>
    </row>
    <row r="6478" ht="48.75" customHeight="1">
      <c r="A6478" s="11"/>
      <c r="B6478" s="11"/>
      <c r="C6478" s="11"/>
      <c r="D6478" s="10" t="s">
        <v>2847</v>
      </c>
    </row>
    <row r="6479" ht="39.75" customHeight="1">
      <c r="A6479" s="10" t="s">
        <v>2837</v>
      </c>
      <c r="B6479" s="10" t="s">
        <v>42</v>
      </c>
      <c r="C6479" s="10" t="s">
        <v>344</v>
      </c>
      <c r="D6479" s="10" t="s">
        <v>2838</v>
      </c>
      <c r="E6479" s="14">
        <v>8.0</v>
      </c>
      <c r="F6479" s="15">
        <f>ROUND(0.93,3)</f>
        <v>0.93</v>
      </c>
      <c r="G6479" s="12">
        <f t="shared" ref="G6479:G6487" si="992">ROUND(E6479*F6479,2)</f>
        <v>7.44</v>
      </c>
    </row>
    <row r="6480" ht="30.0" customHeight="1">
      <c r="A6480" s="10" t="s">
        <v>2755</v>
      </c>
      <c r="B6480" s="10" t="s">
        <v>42</v>
      </c>
      <c r="C6480" s="10" t="s">
        <v>344</v>
      </c>
      <c r="D6480" s="10" t="s">
        <v>2756</v>
      </c>
      <c r="E6480" s="14">
        <v>8.0</v>
      </c>
      <c r="F6480" s="15">
        <f>ROUND(0.4,3)</f>
        <v>0.4</v>
      </c>
      <c r="G6480" s="12">
        <f t="shared" si="992"/>
        <v>3.2</v>
      </c>
    </row>
    <row r="6481" ht="30.0" customHeight="1">
      <c r="A6481" s="10" t="s">
        <v>2694</v>
      </c>
      <c r="B6481" s="10" t="s">
        <v>42</v>
      </c>
      <c r="C6481" s="10" t="s">
        <v>184</v>
      </c>
      <c r="D6481" s="10" t="s">
        <v>2695</v>
      </c>
      <c r="E6481" s="14">
        <v>0.2464</v>
      </c>
      <c r="F6481" s="15">
        <f>ROUND(15.43,3)</f>
        <v>15.43</v>
      </c>
      <c r="G6481" s="12">
        <f t="shared" si="992"/>
        <v>3.8</v>
      </c>
    </row>
    <row r="6482" ht="30.0" customHeight="1">
      <c r="A6482" s="10" t="s">
        <v>2053</v>
      </c>
      <c r="B6482" s="10" t="s">
        <v>42</v>
      </c>
      <c r="C6482" s="10" t="s">
        <v>184</v>
      </c>
      <c r="D6482" s="10" t="s">
        <v>2054</v>
      </c>
      <c r="E6482" s="14">
        <v>0.10138</v>
      </c>
      <c r="F6482" s="15">
        <f>ROUND(11.74,3)</f>
        <v>11.74</v>
      </c>
      <c r="G6482" s="12">
        <f t="shared" si="992"/>
        <v>1.19</v>
      </c>
    </row>
    <row r="6483" ht="21.0" customHeight="1">
      <c r="A6483" s="10" t="s">
        <v>22</v>
      </c>
      <c r="B6483" s="10" t="s">
        <v>18</v>
      </c>
      <c r="C6483" s="10" t="s">
        <v>23</v>
      </c>
      <c r="D6483" s="10" t="s">
        <v>24</v>
      </c>
      <c r="E6483" s="14">
        <v>1.0</v>
      </c>
      <c r="F6483" s="15">
        <f>F6487</f>
        <v>43.8</v>
      </c>
      <c r="G6483" s="12">
        <f t="shared" si="992"/>
        <v>43.8</v>
      </c>
    </row>
    <row r="6484" ht="24.0" customHeight="1">
      <c r="A6484" s="10" t="s">
        <v>25</v>
      </c>
      <c r="B6484" s="10" t="s">
        <v>26</v>
      </c>
      <c r="C6484" s="10" t="s">
        <v>23</v>
      </c>
      <c r="D6484" s="10" t="s">
        <v>27</v>
      </c>
      <c r="E6484" s="14">
        <v>1.0</v>
      </c>
      <c r="F6484" s="15">
        <f>ROUND(21,3)</f>
        <v>21</v>
      </c>
      <c r="G6484" s="12">
        <f t="shared" si="992"/>
        <v>21</v>
      </c>
    </row>
    <row r="6485" ht="24.0" customHeight="1">
      <c r="A6485" s="10" t="s">
        <v>28</v>
      </c>
      <c r="B6485" s="10" t="s">
        <v>26</v>
      </c>
      <c r="C6485" s="10" t="s">
        <v>23</v>
      </c>
      <c r="D6485" s="10" t="s">
        <v>29</v>
      </c>
      <c r="E6485" s="14">
        <v>1.0</v>
      </c>
      <c r="F6485" s="15">
        <f t="shared" ref="F6485:F6486" si="993">ROUND(19,3)</f>
        <v>19</v>
      </c>
      <c r="G6485" s="12">
        <f t="shared" si="992"/>
        <v>19</v>
      </c>
    </row>
    <row r="6486" ht="24.0" customHeight="1">
      <c r="A6486" s="10" t="s">
        <v>30</v>
      </c>
      <c r="B6486" s="10" t="s">
        <v>26</v>
      </c>
      <c r="C6486" s="10" t="s">
        <v>23</v>
      </c>
      <c r="D6486" s="10" t="s">
        <v>31</v>
      </c>
      <c r="E6486" s="14">
        <v>0.2</v>
      </c>
      <c r="F6486" s="15">
        <f t="shared" si="993"/>
        <v>19</v>
      </c>
      <c r="G6486" s="12">
        <f t="shared" si="992"/>
        <v>3.8</v>
      </c>
    </row>
    <row r="6487" ht="15.0" customHeight="1">
      <c r="A6487" s="11"/>
      <c r="B6487" s="11"/>
      <c r="C6487" s="11"/>
      <c r="D6487" s="10" t="s">
        <v>22</v>
      </c>
      <c r="E6487" s="14">
        <v>1.0</v>
      </c>
      <c r="F6487" s="15">
        <f>ROUND((G6484+G6485+G6486),3)</f>
        <v>43.8</v>
      </c>
      <c r="G6487" s="12">
        <f t="shared" si="992"/>
        <v>43.8</v>
      </c>
    </row>
    <row r="6488" ht="15.0" customHeight="1">
      <c r="A6488" s="10" t="s">
        <v>32</v>
      </c>
      <c r="B6488" s="10"/>
      <c r="C6488" s="10" t="s">
        <v>33</v>
      </c>
      <c r="D6488" s="10" t="s">
        <v>34</v>
      </c>
      <c r="E6488" s="14">
        <v>5.0</v>
      </c>
      <c r="F6488" s="15">
        <f>ROUND(43.8,3)</f>
        <v>43.8</v>
      </c>
      <c r="G6488" s="12">
        <f>ROUND((E6488*F6488)/100,2)</f>
        <v>2.19</v>
      </c>
    </row>
    <row r="6489" ht="24.75" customHeight="1">
      <c r="A6489" s="16"/>
      <c r="B6489" s="16"/>
      <c r="C6489" s="16"/>
      <c r="D6489" s="17" t="s">
        <v>2845</v>
      </c>
      <c r="E6489" s="16"/>
      <c r="F6489" s="18">
        <f>ROUND((G6479+G6480+G6481+G6482+G6483+G6488)*(1+G2/100),2)</f>
        <v>61.62</v>
      </c>
      <c r="G6489" s="16"/>
    </row>
    <row r="6490" ht="48.75" customHeight="1">
      <c r="A6490" s="19" t="s">
        <v>2848</v>
      </c>
      <c r="B6490" s="20" t="s">
        <v>18</v>
      </c>
      <c r="C6490" s="20" t="s">
        <v>351</v>
      </c>
      <c r="D6490" s="20" t="s">
        <v>2849</v>
      </c>
      <c r="E6490" s="21"/>
      <c r="F6490" s="22">
        <f>F6501</f>
        <v>46.73</v>
      </c>
      <c r="G6490" s="21"/>
    </row>
    <row r="6491" ht="12.0" customHeight="1">
      <c r="A6491" s="11"/>
      <c r="B6491" s="11"/>
      <c r="C6491" s="11"/>
      <c r="D6491" s="10" t="s">
        <v>2850</v>
      </c>
    </row>
    <row r="6492" ht="39.75" customHeight="1">
      <c r="A6492" s="10" t="s">
        <v>2837</v>
      </c>
      <c r="B6492" s="10" t="s">
        <v>42</v>
      </c>
      <c r="C6492" s="10" t="s">
        <v>344</v>
      </c>
      <c r="D6492" s="10" t="s">
        <v>2838</v>
      </c>
      <c r="E6492" s="14">
        <v>8.0</v>
      </c>
      <c r="F6492" s="15">
        <f>ROUND(0.93,3)</f>
        <v>0.93</v>
      </c>
      <c r="G6492" s="12">
        <f t="shared" ref="G6492:G6499" si="994">ROUND(E6492*F6492,2)</f>
        <v>7.44</v>
      </c>
    </row>
    <row r="6493" ht="30.0" customHeight="1">
      <c r="A6493" s="10" t="s">
        <v>2694</v>
      </c>
      <c r="B6493" s="10" t="s">
        <v>42</v>
      </c>
      <c r="C6493" s="10" t="s">
        <v>184</v>
      </c>
      <c r="D6493" s="10" t="s">
        <v>2695</v>
      </c>
      <c r="E6493" s="14">
        <v>0.1232</v>
      </c>
      <c r="F6493" s="15">
        <f>ROUND(15.43,3)</f>
        <v>15.43</v>
      </c>
      <c r="G6493" s="12">
        <f t="shared" si="994"/>
        <v>1.9</v>
      </c>
    </row>
    <row r="6494" ht="30.0" customHeight="1">
      <c r="A6494" s="10" t="s">
        <v>2053</v>
      </c>
      <c r="B6494" s="10" t="s">
        <v>42</v>
      </c>
      <c r="C6494" s="10" t="s">
        <v>184</v>
      </c>
      <c r="D6494" s="10" t="s">
        <v>2054</v>
      </c>
      <c r="E6494" s="14">
        <v>0.05069</v>
      </c>
      <c r="F6494" s="15">
        <f>ROUND(11.74,3)</f>
        <v>11.74</v>
      </c>
      <c r="G6494" s="12">
        <f t="shared" si="994"/>
        <v>0.6</v>
      </c>
    </row>
    <row r="6495" ht="21.0" customHeight="1">
      <c r="A6495" s="10" t="s">
        <v>22</v>
      </c>
      <c r="B6495" s="10" t="s">
        <v>18</v>
      </c>
      <c r="C6495" s="10" t="s">
        <v>23</v>
      </c>
      <c r="D6495" s="10" t="s">
        <v>24</v>
      </c>
      <c r="E6495" s="14">
        <v>0.8</v>
      </c>
      <c r="F6495" s="15">
        <f>F6499</f>
        <v>43.8</v>
      </c>
      <c r="G6495" s="12">
        <f t="shared" si="994"/>
        <v>35.04</v>
      </c>
    </row>
    <row r="6496" ht="24.0" customHeight="1">
      <c r="A6496" s="10" t="s">
        <v>25</v>
      </c>
      <c r="B6496" s="10" t="s">
        <v>26</v>
      </c>
      <c r="C6496" s="10" t="s">
        <v>23</v>
      </c>
      <c r="D6496" s="10" t="s">
        <v>27</v>
      </c>
      <c r="E6496" s="14">
        <v>1.0</v>
      </c>
      <c r="F6496" s="15">
        <f>ROUND(21,3)</f>
        <v>21</v>
      </c>
      <c r="G6496" s="12">
        <f t="shared" si="994"/>
        <v>21</v>
      </c>
    </row>
    <row r="6497" ht="24.0" customHeight="1">
      <c r="A6497" s="10" t="s">
        <v>28</v>
      </c>
      <c r="B6497" s="10" t="s">
        <v>26</v>
      </c>
      <c r="C6497" s="10" t="s">
        <v>23</v>
      </c>
      <c r="D6497" s="10" t="s">
        <v>29</v>
      </c>
      <c r="E6497" s="14">
        <v>1.0</v>
      </c>
      <c r="F6497" s="15">
        <f t="shared" ref="F6497:F6498" si="995">ROUND(19,3)</f>
        <v>19</v>
      </c>
      <c r="G6497" s="12">
        <f t="shared" si="994"/>
        <v>19</v>
      </c>
    </row>
    <row r="6498" ht="24.0" customHeight="1">
      <c r="A6498" s="10" t="s">
        <v>30</v>
      </c>
      <c r="B6498" s="10" t="s">
        <v>26</v>
      </c>
      <c r="C6498" s="10" t="s">
        <v>23</v>
      </c>
      <c r="D6498" s="10" t="s">
        <v>31</v>
      </c>
      <c r="E6498" s="14">
        <v>0.2</v>
      </c>
      <c r="F6498" s="15">
        <f t="shared" si="995"/>
        <v>19</v>
      </c>
      <c r="G6498" s="12">
        <f t="shared" si="994"/>
        <v>3.8</v>
      </c>
    </row>
    <row r="6499" ht="15.0" customHeight="1">
      <c r="A6499" s="11"/>
      <c r="B6499" s="11"/>
      <c r="C6499" s="11"/>
      <c r="D6499" s="10" t="s">
        <v>22</v>
      </c>
      <c r="E6499" s="14">
        <v>0.8</v>
      </c>
      <c r="F6499" s="15">
        <f>ROUND((G6496+G6497+G6498),3)</f>
        <v>43.8</v>
      </c>
      <c r="G6499" s="12">
        <f t="shared" si="994"/>
        <v>35.04</v>
      </c>
    </row>
    <row r="6500" ht="15.0" customHeight="1">
      <c r="A6500" s="10" t="s">
        <v>32</v>
      </c>
      <c r="B6500" s="10"/>
      <c r="C6500" s="10" t="s">
        <v>33</v>
      </c>
      <c r="D6500" s="10" t="s">
        <v>34</v>
      </c>
      <c r="E6500" s="14">
        <v>5.0</v>
      </c>
      <c r="F6500" s="15">
        <f>ROUND(35.04,3)</f>
        <v>35.04</v>
      </c>
      <c r="G6500" s="12">
        <f>ROUND((E6500*F6500)/100,2)</f>
        <v>1.75</v>
      </c>
    </row>
    <row r="6501" ht="24.75" customHeight="1">
      <c r="A6501" s="16"/>
      <c r="B6501" s="16"/>
      <c r="C6501" s="16"/>
      <c r="D6501" s="17" t="s">
        <v>2848</v>
      </c>
      <c r="E6501" s="16"/>
      <c r="F6501" s="18">
        <f>ROUND((G6492+G6493+G6494+G6495+G6500)*(1+G2/100),2)</f>
        <v>46.73</v>
      </c>
      <c r="G6501" s="16"/>
    </row>
    <row r="6502" ht="57.75" customHeight="1">
      <c r="A6502" s="19" t="s">
        <v>2851</v>
      </c>
      <c r="B6502" s="20" t="s">
        <v>18</v>
      </c>
      <c r="C6502" s="20" t="s">
        <v>351</v>
      </c>
      <c r="D6502" s="20" t="s">
        <v>2852</v>
      </c>
      <c r="E6502" s="21"/>
      <c r="F6502" s="22">
        <f>F6513</f>
        <v>60.53</v>
      </c>
      <c r="G6502" s="21"/>
    </row>
    <row r="6503" ht="21.0" customHeight="1">
      <c r="A6503" s="11"/>
      <c r="B6503" s="11"/>
      <c r="C6503" s="11"/>
      <c r="D6503" s="10" t="s">
        <v>2853</v>
      </c>
    </row>
    <row r="6504" ht="39.75" customHeight="1">
      <c r="A6504" s="10" t="s">
        <v>2837</v>
      </c>
      <c r="B6504" s="10" t="s">
        <v>42</v>
      </c>
      <c r="C6504" s="10" t="s">
        <v>344</v>
      </c>
      <c r="D6504" s="10" t="s">
        <v>2838</v>
      </c>
      <c r="E6504" s="14">
        <v>8.0</v>
      </c>
      <c r="F6504" s="15">
        <f>ROUND(0.93,3)</f>
        <v>0.93</v>
      </c>
      <c r="G6504" s="12">
        <f t="shared" ref="G6504:G6511" si="996">ROUND(E6504*F6504,2)</f>
        <v>7.44</v>
      </c>
    </row>
    <row r="6505" ht="30.0" customHeight="1">
      <c r="A6505" s="10" t="s">
        <v>2694</v>
      </c>
      <c r="B6505" s="10" t="s">
        <v>42</v>
      </c>
      <c r="C6505" s="10" t="s">
        <v>184</v>
      </c>
      <c r="D6505" s="10" t="s">
        <v>2695</v>
      </c>
      <c r="E6505" s="14">
        <v>0.1232</v>
      </c>
      <c r="F6505" s="15">
        <f>ROUND(15.43,3)</f>
        <v>15.43</v>
      </c>
      <c r="G6505" s="12">
        <f t="shared" si="996"/>
        <v>1.9</v>
      </c>
    </row>
    <row r="6506" ht="30.0" customHeight="1">
      <c r="A6506" s="10" t="s">
        <v>2053</v>
      </c>
      <c r="B6506" s="10" t="s">
        <v>42</v>
      </c>
      <c r="C6506" s="10" t="s">
        <v>184</v>
      </c>
      <c r="D6506" s="10" t="s">
        <v>2054</v>
      </c>
      <c r="E6506" s="14">
        <v>0.05069</v>
      </c>
      <c r="F6506" s="15">
        <f>ROUND(11.74,3)</f>
        <v>11.74</v>
      </c>
      <c r="G6506" s="12">
        <f t="shared" si="996"/>
        <v>0.6</v>
      </c>
    </row>
    <row r="6507" ht="21.0" customHeight="1">
      <c r="A6507" s="10" t="s">
        <v>22</v>
      </c>
      <c r="B6507" s="10" t="s">
        <v>18</v>
      </c>
      <c r="C6507" s="10" t="s">
        <v>23</v>
      </c>
      <c r="D6507" s="10" t="s">
        <v>24</v>
      </c>
      <c r="E6507" s="14">
        <v>1.1</v>
      </c>
      <c r="F6507" s="15">
        <f>F6511</f>
        <v>43.8</v>
      </c>
      <c r="G6507" s="12">
        <f t="shared" si="996"/>
        <v>48.18</v>
      </c>
    </row>
    <row r="6508" ht="24.0" customHeight="1">
      <c r="A6508" s="10" t="s">
        <v>25</v>
      </c>
      <c r="B6508" s="10" t="s">
        <v>26</v>
      </c>
      <c r="C6508" s="10" t="s">
        <v>23</v>
      </c>
      <c r="D6508" s="10" t="s">
        <v>27</v>
      </c>
      <c r="E6508" s="14">
        <v>1.0</v>
      </c>
      <c r="F6508" s="15">
        <f>ROUND(21,3)</f>
        <v>21</v>
      </c>
      <c r="G6508" s="12">
        <f t="shared" si="996"/>
        <v>21</v>
      </c>
    </row>
    <row r="6509" ht="24.0" customHeight="1">
      <c r="A6509" s="10" t="s">
        <v>28</v>
      </c>
      <c r="B6509" s="10" t="s">
        <v>26</v>
      </c>
      <c r="C6509" s="10" t="s">
        <v>23</v>
      </c>
      <c r="D6509" s="10" t="s">
        <v>29</v>
      </c>
      <c r="E6509" s="14">
        <v>1.0</v>
      </c>
      <c r="F6509" s="15">
        <f t="shared" ref="F6509:F6510" si="997">ROUND(19,3)</f>
        <v>19</v>
      </c>
      <c r="G6509" s="12">
        <f t="shared" si="996"/>
        <v>19</v>
      </c>
    </row>
    <row r="6510" ht="24.0" customHeight="1">
      <c r="A6510" s="10" t="s">
        <v>30</v>
      </c>
      <c r="B6510" s="10" t="s">
        <v>26</v>
      </c>
      <c r="C6510" s="10" t="s">
        <v>23</v>
      </c>
      <c r="D6510" s="10" t="s">
        <v>31</v>
      </c>
      <c r="E6510" s="14">
        <v>0.2</v>
      </c>
      <c r="F6510" s="15">
        <f t="shared" si="997"/>
        <v>19</v>
      </c>
      <c r="G6510" s="12">
        <f t="shared" si="996"/>
        <v>3.8</v>
      </c>
    </row>
    <row r="6511" ht="15.0" customHeight="1">
      <c r="A6511" s="11"/>
      <c r="B6511" s="11"/>
      <c r="C6511" s="11"/>
      <c r="D6511" s="10" t="s">
        <v>22</v>
      </c>
      <c r="E6511" s="14">
        <v>1.1</v>
      </c>
      <c r="F6511" s="15">
        <f>ROUND((G6508+G6509+G6510),3)</f>
        <v>43.8</v>
      </c>
      <c r="G6511" s="12">
        <f t="shared" si="996"/>
        <v>48.18</v>
      </c>
    </row>
    <row r="6512" ht="15.0" customHeight="1">
      <c r="A6512" s="10" t="s">
        <v>32</v>
      </c>
      <c r="B6512" s="10"/>
      <c r="C6512" s="10" t="s">
        <v>33</v>
      </c>
      <c r="D6512" s="10" t="s">
        <v>34</v>
      </c>
      <c r="E6512" s="14">
        <v>5.0</v>
      </c>
      <c r="F6512" s="15">
        <f>ROUND(48.18,3)</f>
        <v>48.18</v>
      </c>
      <c r="G6512" s="12">
        <f>ROUND((E6512*F6512)/100,2)</f>
        <v>2.41</v>
      </c>
    </row>
    <row r="6513" ht="24.75" customHeight="1">
      <c r="A6513" s="16"/>
      <c r="B6513" s="16"/>
      <c r="C6513" s="16"/>
      <c r="D6513" s="17" t="s">
        <v>2851</v>
      </c>
      <c r="E6513" s="16"/>
      <c r="F6513" s="18">
        <f>ROUND((G6504+G6505+G6506+G6507+G6512)*(1+G2/100),2)</f>
        <v>60.53</v>
      </c>
      <c r="G6513" s="16"/>
    </row>
    <row r="6514" ht="48.75" customHeight="1">
      <c r="A6514" s="19" t="s">
        <v>2854</v>
      </c>
      <c r="B6514" s="20" t="s">
        <v>18</v>
      </c>
      <c r="C6514" s="20" t="s">
        <v>351</v>
      </c>
      <c r="D6514" s="20" t="s">
        <v>2855</v>
      </c>
      <c r="E6514" s="21"/>
      <c r="F6514" s="22">
        <f>F6526</f>
        <v>48.49</v>
      </c>
      <c r="G6514" s="21"/>
    </row>
    <row r="6515" ht="39.75" customHeight="1">
      <c r="A6515" s="11"/>
      <c r="B6515" s="11"/>
      <c r="C6515" s="11"/>
      <c r="D6515" s="10" t="s">
        <v>2856</v>
      </c>
    </row>
    <row r="6516" ht="30.0" customHeight="1">
      <c r="A6516" s="10" t="s">
        <v>2857</v>
      </c>
      <c r="B6516" s="10" t="s">
        <v>42</v>
      </c>
      <c r="C6516" s="10" t="s">
        <v>344</v>
      </c>
      <c r="D6516" s="10" t="s">
        <v>2858</v>
      </c>
      <c r="E6516" s="14">
        <v>4.0</v>
      </c>
      <c r="F6516" s="15">
        <f>ROUND(1.19,3)</f>
        <v>1.19</v>
      </c>
      <c r="G6516" s="12">
        <f t="shared" ref="G6516:G6524" si="998">ROUND(E6516*F6516,2)</f>
        <v>4.76</v>
      </c>
    </row>
    <row r="6517" ht="30.0" customHeight="1">
      <c r="A6517" s="10" t="s">
        <v>2755</v>
      </c>
      <c r="B6517" s="10" t="s">
        <v>42</v>
      </c>
      <c r="C6517" s="10" t="s">
        <v>344</v>
      </c>
      <c r="D6517" s="10" t="s">
        <v>2756</v>
      </c>
      <c r="E6517" s="14">
        <v>8.0</v>
      </c>
      <c r="F6517" s="15">
        <f>ROUND(0.4,3)</f>
        <v>0.4</v>
      </c>
      <c r="G6517" s="12">
        <f t="shared" si="998"/>
        <v>3.2</v>
      </c>
    </row>
    <row r="6518" ht="30.0" customHeight="1">
      <c r="A6518" s="10" t="s">
        <v>2694</v>
      </c>
      <c r="B6518" s="10" t="s">
        <v>42</v>
      </c>
      <c r="C6518" s="10" t="s">
        <v>184</v>
      </c>
      <c r="D6518" s="10" t="s">
        <v>2695</v>
      </c>
      <c r="E6518" s="14">
        <v>0.1848</v>
      </c>
      <c r="F6518" s="15">
        <f>ROUND(15.43,3)</f>
        <v>15.43</v>
      </c>
      <c r="G6518" s="12">
        <f t="shared" si="998"/>
        <v>2.85</v>
      </c>
    </row>
    <row r="6519" ht="30.0" customHeight="1">
      <c r="A6519" s="10" t="s">
        <v>2053</v>
      </c>
      <c r="B6519" s="10" t="s">
        <v>42</v>
      </c>
      <c r="C6519" s="10" t="s">
        <v>184</v>
      </c>
      <c r="D6519" s="10" t="s">
        <v>2054</v>
      </c>
      <c r="E6519" s="14">
        <v>0.07603</v>
      </c>
      <c r="F6519" s="15">
        <f>ROUND(11.74,3)</f>
        <v>11.74</v>
      </c>
      <c r="G6519" s="12">
        <f t="shared" si="998"/>
        <v>0.89</v>
      </c>
    </row>
    <row r="6520" ht="21.0" customHeight="1">
      <c r="A6520" s="10" t="s">
        <v>22</v>
      </c>
      <c r="B6520" s="10" t="s">
        <v>18</v>
      </c>
      <c r="C6520" s="10" t="s">
        <v>23</v>
      </c>
      <c r="D6520" s="10" t="s">
        <v>24</v>
      </c>
      <c r="E6520" s="14">
        <v>0.8</v>
      </c>
      <c r="F6520" s="15">
        <f>F6524</f>
        <v>43.8</v>
      </c>
      <c r="G6520" s="12">
        <f t="shared" si="998"/>
        <v>35.04</v>
      </c>
    </row>
    <row r="6521" ht="24.0" customHeight="1">
      <c r="A6521" s="10" t="s">
        <v>25</v>
      </c>
      <c r="B6521" s="10" t="s">
        <v>26</v>
      </c>
      <c r="C6521" s="10" t="s">
        <v>23</v>
      </c>
      <c r="D6521" s="10" t="s">
        <v>27</v>
      </c>
      <c r="E6521" s="14">
        <v>1.0</v>
      </c>
      <c r="F6521" s="15">
        <f>ROUND(21,3)</f>
        <v>21</v>
      </c>
      <c r="G6521" s="12">
        <f t="shared" si="998"/>
        <v>21</v>
      </c>
    </row>
    <row r="6522" ht="24.0" customHeight="1">
      <c r="A6522" s="10" t="s">
        <v>28</v>
      </c>
      <c r="B6522" s="10" t="s">
        <v>26</v>
      </c>
      <c r="C6522" s="10" t="s">
        <v>23</v>
      </c>
      <c r="D6522" s="10" t="s">
        <v>29</v>
      </c>
      <c r="E6522" s="14">
        <v>1.0</v>
      </c>
      <c r="F6522" s="15">
        <f t="shared" ref="F6522:F6523" si="999">ROUND(19,3)</f>
        <v>19</v>
      </c>
      <c r="G6522" s="12">
        <f t="shared" si="998"/>
        <v>19</v>
      </c>
    </row>
    <row r="6523" ht="24.0" customHeight="1">
      <c r="A6523" s="10" t="s">
        <v>30</v>
      </c>
      <c r="B6523" s="10" t="s">
        <v>26</v>
      </c>
      <c r="C6523" s="10" t="s">
        <v>23</v>
      </c>
      <c r="D6523" s="10" t="s">
        <v>31</v>
      </c>
      <c r="E6523" s="14">
        <v>0.2</v>
      </c>
      <c r="F6523" s="15">
        <f t="shared" si="999"/>
        <v>19</v>
      </c>
      <c r="G6523" s="12">
        <f t="shared" si="998"/>
        <v>3.8</v>
      </c>
    </row>
    <row r="6524" ht="15.0" customHeight="1">
      <c r="A6524" s="11"/>
      <c r="B6524" s="11"/>
      <c r="C6524" s="11"/>
      <c r="D6524" s="10" t="s">
        <v>22</v>
      </c>
      <c r="E6524" s="14">
        <v>0.8</v>
      </c>
      <c r="F6524" s="15">
        <f>ROUND((G6521+G6522+G6523),3)</f>
        <v>43.8</v>
      </c>
      <c r="G6524" s="12">
        <f t="shared" si="998"/>
        <v>35.04</v>
      </c>
    </row>
    <row r="6525" ht="15.0" customHeight="1">
      <c r="A6525" s="10" t="s">
        <v>32</v>
      </c>
      <c r="B6525" s="10"/>
      <c r="C6525" s="10" t="s">
        <v>33</v>
      </c>
      <c r="D6525" s="10" t="s">
        <v>34</v>
      </c>
      <c r="E6525" s="14">
        <v>5.0</v>
      </c>
      <c r="F6525" s="15">
        <f>ROUND(35.04,3)</f>
        <v>35.04</v>
      </c>
      <c r="G6525" s="12">
        <f>ROUND((E6525*F6525)/100,2)</f>
        <v>1.75</v>
      </c>
    </row>
    <row r="6526" ht="24.75" customHeight="1">
      <c r="A6526" s="16"/>
      <c r="B6526" s="16"/>
      <c r="C6526" s="16"/>
      <c r="D6526" s="17" t="s">
        <v>2854</v>
      </c>
      <c r="E6526" s="16"/>
      <c r="F6526" s="18">
        <f>ROUND((G6516+G6517+G6518+G6519+G6520+G6525)*(1+G2/100),2)</f>
        <v>48.49</v>
      </c>
      <c r="G6526" s="16"/>
    </row>
    <row r="6527" ht="48.75" customHeight="1">
      <c r="A6527" s="19" t="s">
        <v>2859</v>
      </c>
      <c r="B6527" s="20" t="s">
        <v>18</v>
      </c>
      <c r="C6527" s="20" t="s">
        <v>351</v>
      </c>
      <c r="D6527" s="20" t="s">
        <v>2860</v>
      </c>
      <c r="E6527" s="21"/>
      <c r="F6527" s="22">
        <f>F6539</f>
        <v>62.29</v>
      </c>
      <c r="G6527" s="21"/>
    </row>
    <row r="6528" ht="48.75" customHeight="1">
      <c r="A6528" s="11"/>
      <c r="B6528" s="11"/>
      <c r="C6528" s="11"/>
      <c r="D6528" s="10" t="s">
        <v>2861</v>
      </c>
    </row>
    <row r="6529" ht="30.0" customHeight="1">
      <c r="A6529" s="10" t="s">
        <v>2857</v>
      </c>
      <c r="B6529" s="10" t="s">
        <v>42</v>
      </c>
      <c r="C6529" s="10" t="s">
        <v>344</v>
      </c>
      <c r="D6529" s="10" t="s">
        <v>2858</v>
      </c>
      <c r="E6529" s="14">
        <v>4.0</v>
      </c>
      <c r="F6529" s="15">
        <f>ROUND(1.19,3)</f>
        <v>1.19</v>
      </c>
      <c r="G6529" s="12">
        <f t="shared" ref="G6529:G6537" si="1000">ROUND(E6529*F6529,2)</f>
        <v>4.76</v>
      </c>
    </row>
    <row r="6530" ht="30.0" customHeight="1">
      <c r="A6530" s="10" t="s">
        <v>2755</v>
      </c>
      <c r="B6530" s="10" t="s">
        <v>42</v>
      </c>
      <c r="C6530" s="10" t="s">
        <v>344</v>
      </c>
      <c r="D6530" s="10" t="s">
        <v>2756</v>
      </c>
      <c r="E6530" s="14">
        <v>8.0</v>
      </c>
      <c r="F6530" s="15">
        <f>ROUND(0.4,3)</f>
        <v>0.4</v>
      </c>
      <c r="G6530" s="12">
        <f t="shared" si="1000"/>
        <v>3.2</v>
      </c>
    </row>
    <row r="6531" ht="30.0" customHeight="1">
      <c r="A6531" s="10" t="s">
        <v>2694</v>
      </c>
      <c r="B6531" s="10" t="s">
        <v>42</v>
      </c>
      <c r="C6531" s="10" t="s">
        <v>184</v>
      </c>
      <c r="D6531" s="10" t="s">
        <v>2695</v>
      </c>
      <c r="E6531" s="14">
        <v>0.1848</v>
      </c>
      <c r="F6531" s="15">
        <f>ROUND(15.43,3)</f>
        <v>15.43</v>
      </c>
      <c r="G6531" s="12">
        <f t="shared" si="1000"/>
        <v>2.85</v>
      </c>
    </row>
    <row r="6532" ht="30.0" customHeight="1">
      <c r="A6532" s="10" t="s">
        <v>2053</v>
      </c>
      <c r="B6532" s="10" t="s">
        <v>42</v>
      </c>
      <c r="C6532" s="10" t="s">
        <v>184</v>
      </c>
      <c r="D6532" s="10" t="s">
        <v>2054</v>
      </c>
      <c r="E6532" s="14">
        <v>0.07603</v>
      </c>
      <c r="F6532" s="15">
        <f>ROUND(11.74,3)</f>
        <v>11.74</v>
      </c>
      <c r="G6532" s="12">
        <f t="shared" si="1000"/>
        <v>0.89</v>
      </c>
    </row>
    <row r="6533" ht="21.0" customHeight="1">
      <c r="A6533" s="10" t="s">
        <v>22</v>
      </c>
      <c r="B6533" s="10" t="s">
        <v>18</v>
      </c>
      <c r="C6533" s="10" t="s">
        <v>23</v>
      </c>
      <c r="D6533" s="10" t="s">
        <v>24</v>
      </c>
      <c r="E6533" s="14">
        <v>1.1</v>
      </c>
      <c r="F6533" s="15">
        <f>F6537</f>
        <v>43.8</v>
      </c>
      <c r="G6533" s="12">
        <f t="shared" si="1000"/>
        <v>48.18</v>
      </c>
    </row>
    <row r="6534" ht="24.0" customHeight="1">
      <c r="A6534" s="10" t="s">
        <v>25</v>
      </c>
      <c r="B6534" s="10" t="s">
        <v>26</v>
      </c>
      <c r="C6534" s="10" t="s">
        <v>23</v>
      </c>
      <c r="D6534" s="10" t="s">
        <v>27</v>
      </c>
      <c r="E6534" s="14">
        <v>1.0</v>
      </c>
      <c r="F6534" s="15">
        <f>ROUND(21,3)</f>
        <v>21</v>
      </c>
      <c r="G6534" s="12">
        <f t="shared" si="1000"/>
        <v>21</v>
      </c>
    </row>
    <row r="6535" ht="24.0" customHeight="1">
      <c r="A6535" s="10" t="s">
        <v>28</v>
      </c>
      <c r="B6535" s="10" t="s">
        <v>26</v>
      </c>
      <c r="C6535" s="10" t="s">
        <v>23</v>
      </c>
      <c r="D6535" s="10" t="s">
        <v>29</v>
      </c>
      <c r="E6535" s="14">
        <v>1.0</v>
      </c>
      <c r="F6535" s="15">
        <f t="shared" ref="F6535:F6536" si="1001">ROUND(19,3)</f>
        <v>19</v>
      </c>
      <c r="G6535" s="12">
        <f t="shared" si="1000"/>
        <v>19</v>
      </c>
    </row>
    <row r="6536" ht="24.0" customHeight="1">
      <c r="A6536" s="10" t="s">
        <v>30</v>
      </c>
      <c r="B6536" s="10" t="s">
        <v>26</v>
      </c>
      <c r="C6536" s="10" t="s">
        <v>23</v>
      </c>
      <c r="D6536" s="10" t="s">
        <v>31</v>
      </c>
      <c r="E6536" s="14">
        <v>0.2</v>
      </c>
      <c r="F6536" s="15">
        <f t="shared" si="1001"/>
        <v>19</v>
      </c>
      <c r="G6536" s="12">
        <f t="shared" si="1000"/>
        <v>3.8</v>
      </c>
    </row>
    <row r="6537" ht="15.0" customHeight="1">
      <c r="A6537" s="11"/>
      <c r="B6537" s="11"/>
      <c r="C6537" s="11"/>
      <c r="D6537" s="10" t="s">
        <v>22</v>
      </c>
      <c r="E6537" s="14">
        <v>1.1</v>
      </c>
      <c r="F6537" s="15">
        <f>ROUND((G6534+G6535+G6536),3)</f>
        <v>43.8</v>
      </c>
      <c r="G6537" s="12">
        <f t="shared" si="1000"/>
        <v>48.18</v>
      </c>
    </row>
    <row r="6538" ht="15.0" customHeight="1">
      <c r="A6538" s="10" t="s">
        <v>32</v>
      </c>
      <c r="B6538" s="10"/>
      <c r="C6538" s="10" t="s">
        <v>33</v>
      </c>
      <c r="D6538" s="10" t="s">
        <v>34</v>
      </c>
      <c r="E6538" s="14">
        <v>5.0</v>
      </c>
      <c r="F6538" s="15">
        <f>ROUND(48.18,3)</f>
        <v>48.18</v>
      </c>
      <c r="G6538" s="12">
        <f>ROUND((E6538*F6538)/100,2)</f>
        <v>2.41</v>
      </c>
    </row>
    <row r="6539" ht="24.75" customHeight="1">
      <c r="A6539" s="16"/>
      <c r="B6539" s="16"/>
      <c r="C6539" s="16"/>
      <c r="D6539" s="17" t="s">
        <v>2859</v>
      </c>
      <c r="E6539" s="16"/>
      <c r="F6539" s="18">
        <f>ROUND((G6529+G6530+G6531+G6532+G6533+G6538)*(1+G2/100),2)</f>
        <v>62.29</v>
      </c>
      <c r="G6539" s="16"/>
    </row>
    <row r="6540" ht="48.75" customHeight="1">
      <c r="A6540" s="19" t="s">
        <v>2862</v>
      </c>
      <c r="B6540" s="20" t="s">
        <v>18</v>
      </c>
      <c r="C6540" s="20" t="s">
        <v>351</v>
      </c>
      <c r="D6540" s="20" t="s">
        <v>2863</v>
      </c>
      <c r="E6540" s="21"/>
      <c r="F6540" s="22">
        <f>F6552</f>
        <v>51.34</v>
      </c>
      <c r="G6540" s="21"/>
    </row>
    <row r="6541" ht="48.75" customHeight="1">
      <c r="A6541" s="11"/>
      <c r="B6541" s="11"/>
      <c r="C6541" s="11"/>
      <c r="D6541" s="10" t="s">
        <v>2864</v>
      </c>
    </row>
    <row r="6542" ht="30.0" customHeight="1">
      <c r="A6542" s="10" t="s">
        <v>2857</v>
      </c>
      <c r="B6542" s="10" t="s">
        <v>42</v>
      </c>
      <c r="C6542" s="10" t="s">
        <v>344</v>
      </c>
      <c r="D6542" s="10" t="s">
        <v>2858</v>
      </c>
      <c r="E6542" s="14">
        <v>4.0</v>
      </c>
      <c r="F6542" s="15">
        <f>ROUND(1.19,3)</f>
        <v>1.19</v>
      </c>
      <c r="G6542" s="12">
        <f t="shared" ref="G6542:G6550" si="1002">ROUND(E6542*F6542,2)</f>
        <v>4.76</v>
      </c>
    </row>
    <row r="6543" ht="30.0" customHeight="1">
      <c r="A6543" s="10" t="s">
        <v>2755</v>
      </c>
      <c r="B6543" s="10" t="s">
        <v>42</v>
      </c>
      <c r="C6543" s="10" t="s">
        <v>344</v>
      </c>
      <c r="D6543" s="10" t="s">
        <v>2756</v>
      </c>
      <c r="E6543" s="14">
        <v>12.0</v>
      </c>
      <c r="F6543" s="15">
        <f>ROUND(0.4,3)</f>
        <v>0.4</v>
      </c>
      <c r="G6543" s="12">
        <f t="shared" si="1002"/>
        <v>4.8</v>
      </c>
    </row>
    <row r="6544" ht="30.0" customHeight="1">
      <c r="A6544" s="10" t="s">
        <v>2694</v>
      </c>
      <c r="B6544" s="10" t="s">
        <v>42</v>
      </c>
      <c r="C6544" s="10" t="s">
        <v>184</v>
      </c>
      <c r="D6544" s="10" t="s">
        <v>2695</v>
      </c>
      <c r="E6544" s="14">
        <v>0.2464</v>
      </c>
      <c r="F6544" s="15">
        <f>ROUND(15.43,3)</f>
        <v>15.43</v>
      </c>
      <c r="G6544" s="12">
        <f t="shared" si="1002"/>
        <v>3.8</v>
      </c>
    </row>
    <row r="6545" ht="30.0" customHeight="1">
      <c r="A6545" s="10" t="s">
        <v>2053</v>
      </c>
      <c r="B6545" s="10" t="s">
        <v>42</v>
      </c>
      <c r="C6545" s="10" t="s">
        <v>184</v>
      </c>
      <c r="D6545" s="10" t="s">
        <v>2054</v>
      </c>
      <c r="E6545" s="14">
        <v>0.10138</v>
      </c>
      <c r="F6545" s="15">
        <f>ROUND(11.74,3)</f>
        <v>11.74</v>
      </c>
      <c r="G6545" s="12">
        <f t="shared" si="1002"/>
        <v>1.19</v>
      </c>
    </row>
    <row r="6546" ht="21.0" customHeight="1">
      <c r="A6546" s="10" t="s">
        <v>22</v>
      </c>
      <c r="B6546" s="10" t="s">
        <v>18</v>
      </c>
      <c r="C6546" s="10" t="s">
        <v>23</v>
      </c>
      <c r="D6546" s="10" t="s">
        <v>24</v>
      </c>
      <c r="E6546" s="14">
        <v>0.8</v>
      </c>
      <c r="F6546" s="15">
        <f>F6550</f>
        <v>43.8</v>
      </c>
      <c r="G6546" s="12">
        <f t="shared" si="1002"/>
        <v>35.04</v>
      </c>
    </row>
    <row r="6547" ht="24.0" customHeight="1">
      <c r="A6547" s="10" t="s">
        <v>25</v>
      </c>
      <c r="B6547" s="10" t="s">
        <v>26</v>
      </c>
      <c r="C6547" s="10" t="s">
        <v>23</v>
      </c>
      <c r="D6547" s="10" t="s">
        <v>27</v>
      </c>
      <c r="E6547" s="14">
        <v>1.0</v>
      </c>
      <c r="F6547" s="15">
        <f>ROUND(21,3)</f>
        <v>21</v>
      </c>
      <c r="G6547" s="12">
        <f t="shared" si="1002"/>
        <v>21</v>
      </c>
    </row>
    <row r="6548" ht="24.0" customHeight="1">
      <c r="A6548" s="10" t="s">
        <v>28</v>
      </c>
      <c r="B6548" s="10" t="s">
        <v>26</v>
      </c>
      <c r="C6548" s="10" t="s">
        <v>23</v>
      </c>
      <c r="D6548" s="10" t="s">
        <v>29</v>
      </c>
      <c r="E6548" s="14">
        <v>1.0</v>
      </c>
      <c r="F6548" s="15">
        <f t="shared" ref="F6548:F6549" si="1003">ROUND(19,3)</f>
        <v>19</v>
      </c>
      <c r="G6548" s="12">
        <f t="shared" si="1002"/>
        <v>19</v>
      </c>
    </row>
    <row r="6549" ht="24.0" customHeight="1">
      <c r="A6549" s="10" t="s">
        <v>30</v>
      </c>
      <c r="B6549" s="10" t="s">
        <v>26</v>
      </c>
      <c r="C6549" s="10" t="s">
        <v>23</v>
      </c>
      <c r="D6549" s="10" t="s">
        <v>31</v>
      </c>
      <c r="E6549" s="14">
        <v>0.2</v>
      </c>
      <c r="F6549" s="15">
        <f t="shared" si="1003"/>
        <v>19</v>
      </c>
      <c r="G6549" s="12">
        <f t="shared" si="1002"/>
        <v>3.8</v>
      </c>
    </row>
    <row r="6550" ht="15.0" customHeight="1">
      <c r="A6550" s="11"/>
      <c r="B6550" s="11"/>
      <c r="C6550" s="11"/>
      <c r="D6550" s="10" t="s">
        <v>22</v>
      </c>
      <c r="E6550" s="14">
        <v>0.8</v>
      </c>
      <c r="F6550" s="15">
        <f>ROUND((G6547+G6548+G6549),3)</f>
        <v>43.8</v>
      </c>
      <c r="G6550" s="12">
        <f t="shared" si="1002"/>
        <v>35.04</v>
      </c>
    </row>
    <row r="6551" ht="15.0" customHeight="1">
      <c r="A6551" s="10" t="s">
        <v>32</v>
      </c>
      <c r="B6551" s="10"/>
      <c r="C6551" s="10" t="s">
        <v>33</v>
      </c>
      <c r="D6551" s="10" t="s">
        <v>34</v>
      </c>
      <c r="E6551" s="14">
        <v>5.0</v>
      </c>
      <c r="F6551" s="15">
        <f>ROUND(35.04,3)</f>
        <v>35.04</v>
      </c>
      <c r="G6551" s="12">
        <f>ROUND((E6551*F6551)/100,2)</f>
        <v>1.75</v>
      </c>
    </row>
    <row r="6552" ht="24.75" customHeight="1">
      <c r="A6552" s="16"/>
      <c r="B6552" s="16"/>
      <c r="C6552" s="16"/>
      <c r="D6552" s="17" t="s">
        <v>2862</v>
      </c>
      <c r="E6552" s="16"/>
      <c r="F6552" s="18">
        <f>ROUND((G6542+G6543+G6544+G6545+G6546+G6551)*(1+G2/100),2)</f>
        <v>51.34</v>
      </c>
      <c r="G6552" s="16"/>
    </row>
    <row r="6553" ht="57.75" customHeight="1">
      <c r="A6553" s="19" t="s">
        <v>2865</v>
      </c>
      <c r="B6553" s="20" t="s">
        <v>18</v>
      </c>
      <c r="C6553" s="20" t="s">
        <v>351</v>
      </c>
      <c r="D6553" s="20" t="s">
        <v>2866</v>
      </c>
      <c r="E6553" s="21"/>
      <c r="F6553" s="22">
        <f>F6565</f>
        <v>65.14</v>
      </c>
      <c r="G6553" s="21"/>
    </row>
    <row r="6554" ht="48.75" customHeight="1">
      <c r="A6554" s="11"/>
      <c r="B6554" s="11"/>
      <c r="C6554" s="11"/>
      <c r="D6554" s="10" t="s">
        <v>2867</v>
      </c>
    </row>
    <row r="6555" ht="30.0" customHeight="1">
      <c r="A6555" s="10" t="s">
        <v>2857</v>
      </c>
      <c r="B6555" s="10" t="s">
        <v>42</v>
      </c>
      <c r="C6555" s="10" t="s">
        <v>344</v>
      </c>
      <c r="D6555" s="10" t="s">
        <v>2858</v>
      </c>
      <c r="E6555" s="14">
        <v>4.0</v>
      </c>
      <c r="F6555" s="15">
        <f>ROUND(1.19,3)</f>
        <v>1.19</v>
      </c>
      <c r="G6555" s="12">
        <f t="shared" ref="G6555:G6563" si="1004">ROUND(E6555*F6555,2)</f>
        <v>4.76</v>
      </c>
    </row>
    <row r="6556" ht="30.0" customHeight="1">
      <c r="A6556" s="10" t="s">
        <v>2755</v>
      </c>
      <c r="B6556" s="10" t="s">
        <v>42</v>
      </c>
      <c r="C6556" s="10" t="s">
        <v>344</v>
      </c>
      <c r="D6556" s="10" t="s">
        <v>2756</v>
      </c>
      <c r="E6556" s="14">
        <v>12.0</v>
      </c>
      <c r="F6556" s="15">
        <f>ROUND(0.4,3)</f>
        <v>0.4</v>
      </c>
      <c r="G6556" s="12">
        <f t="shared" si="1004"/>
        <v>4.8</v>
      </c>
    </row>
    <row r="6557" ht="30.0" customHeight="1">
      <c r="A6557" s="10" t="s">
        <v>2694</v>
      </c>
      <c r="B6557" s="10" t="s">
        <v>42</v>
      </c>
      <c r="C6557" s="10" t="s">
        <v>184</v>
      </c>
      <c r="D6557" s="10" t="s">
        <v>2695</v>
      </c>
      <c r="E6557" s="14">
        <v>0.2464</v>
      </c>
      <c r="F6557" s="15">
        <f>ROUND(15.43,3)</f>
        <v>15.43</v>
      </c>
      <c r="G6557" s="12">
        <f t="shared" si="1004"/>
        <v>3.8</v>
      </c>
    </row>
    <row r="6558" ht="30.0" customHeight="1">
      <c r="A6558" s="10" t="s">
        <v>2053</v>
      </c>
      <c r="B6558" s="10" t="s">
        <v>42</v>
      </c>
      <c r="C6558" s="10" t="s">
        <v>184</v>
      </c>
      <c r="D6558" s="10" t="s">
        <v>2054</v>
      </c>
      <c r="E6558" s="14">
        <v>0.10138</v>
      </c>
      <c r="F6558" s="15">
        <f>ROUND(11.74,3)</f>
        <v>11.74</v>
      </c>
      <c r="G6558" s="12">
        <f t="shared" si="1004"/>
        <v>1.19</v>
      </c>
    </row>
    <row r="6559" ht="21.0" customHeight="1">
      <c r="A6559" s="10" t="s">
        <v>22</v>
      </c>
      <c r="B6559" s="10" t="s">
        <v>18</v>
      </c>
      <c r="C6559" s="10" t="s">
        <v>23</v>
      </c>
      <c r="D6559" s="10" t="s">
        <v>24</v>
      </c>
      <c r="E6559" s="14">
        <v>1.1</v>
      </c>
      <c r="F6559" s="15">
        <f>F6563</f>
        <v>43.8</v>
      </c>
      <c r="G6559" s="12">
        <f t="shared" si="1004"/>
        <v>48.18</v>
      </c>
    </row>
    <row r="6560" ht="24.0" customHeight="1">
      <c r="A6560" s="10" t="s">
        <v>25</v>
      </c>
      <c r="B6560" s="10" t="s">
        <v>26</v>
      </c>
      <c r="C6560" s="10" t="s">
        <v>23</v>
      </c>
      <c r="D6560" s="10" t="s">
        <v>27</v>
      </c>
      <c r="E6560" s="14">
        <v>1.0</v>
      </c>
      <c r="F6560" s="15">
        <f>ROUND(21,3)</f>
        <v>21</v>
      </c>
      <c r="G6560" s="12">
        <f t="shared" si="1004"/>
        <v>21</v>
      </c>
    </row>
    <row r="6561" ht="24.0" customHeight="1">
      <c r="A6561" s="10" t="s">
        <v>28</v>
      </c>
      <c r="B6561" s="10" t="s">
        <v>26</v>
      </c>
      <c r="C6561" s="10" t="s">
        <v>23</v>
      </c>
      <c r="D6561" s="10" t="s">
        <v>29</v>
      </c>
      <c r="E6561" s="14">
        <v>1.0</v>
      </c>
      <c r="F6561" s="15">
        <f t="shared" ref="F6561:F6562" si="1005">ROUND(19,3)</f>
        <v>19</v>
      </c>
      <c r="G6561" s="12">
        <f t="shared" si="1004"/>
        <v>19</v>
      </c>
    </row>
    <row r="6562" ht="24.0" customHeight="1">
      <c r="A6562" s="10" t="s">
        <v>30</v>
      </c>
      <c r="B6562" s="10" t="s">
        <v>26</v>
      </c>
      <c r="C6562" s="10" t="s">
        <v>23</v>
      </c>
      <c r="D6562" s="10" t="s">
        <v>31</v>
      </c>
      <c r="E6562" s="14">
        <v>0.2</v>
      </c>
      <c r="F6562" s="15">
        <f t="shared" si="1005"/>
        <v>19</v>
      </c>
      <c r="G6562" s="12">
        <f t="shared" si="1004"/>
        <v>3.8</v>
      </c>
    </row>
    <row r="6563" ht="15.0" customHeight="1">
      <c r="A6563" s="11"/>
      <c r="B6563" s="11"/>
      <c r="C6563" s="11"/>
      <c r="D6563" s="10" t="s">
        <v>22</v>
      </c>
      <c r="E6563" s="14">
        <v>1.1</v>
      </c>
      <c r="F6563" s="15">
        <f>ROUND((G6560+G6561+G6562),3)</f>
        <v>43.8</v>
      </c>
      <c r="G6563" s="12">
        <f t="shared" si="1004"/>
        <v>48.18</v>
      </c>
    </row>
    <row r="6564" ht="15.0" customHeight="1">
      <c r="A6564" s="10" t="s">
        <v>32</v>
      </c>
      <c r="B6564" s="10"/>
      <c r="C6564" s="10" t="s">
        <v>33</v>
      </c>
      <c r="D6564" s="10" t="s">
        <v>34</v>
      </c>
      <c r="E6564" s="14">
        <v>5.0</v>
      </c>
      <c r="F6564" s="15">
        <f>ROUND(48.18,3)</f>
        <v>48.18</v>
      </c>
      <c r="G6564" s="12">
        <f>ROUND((E6564*F6564)/100,2)</f>
        <v>2.41</v>
      </c>
    </row>
    <row r="6565" ht="24.75" customHeight="1">
      <c r="A6565" s="16"/>
      <c r="B6565" s="16"/>
      <c r="C6565" s="16"/>
      <c r="D6565" s="17" t="s">
        <v>2865</v>
      </c>
      <c r="E6565" s="16"/>
      <c r="F6565" s="18">
        <f>ROUND((G6555+G6556+G6557+G6558+G6559+G6564)*(1+G2/100),2)</f>
        <v>65.14</v>
      </c>
      <c r="G6565" s="16"/>
    </row>
    <row r="6566" ht="15.0" customHeight="1">
      <c r="A6566" s="23"/>
      <c r="B6566" s="23"/>
      <c r="C6566" s="23"/>
      <c r="D6566" s="32" t="s">
        <v>2773</v>
      </c>
      <c r="E6566" s="33"/>
      <c r="F6566" s="33"/>
      <c r="G6566" s="33"/>
    </row>
    <row r="6567" ht="21.0" customHeight="1">
      <c r="A6567" s="19" t="s">
        <v>2868</v>
      </c>
      <c r="B6567" s="20" t="s">
        <v>18</v>
      </c>
      <c r="C6567" s="20" t="s">
        <v>321</v>
      </c>
      <c r="D6567" s="20" t="s">
        <v>2869</v>
      </c>
      <c r="E6567" s="21"/>
      <c r="F6567" s="22">
        <f>F6578</f>
        <v>10.02</v>
      </c>
      <c r="G6567" s="21"/>
    </row>
    <row r="6568" ht="21.0" customHeight="1">
      <c r="A6568" s="11"/>
      <c r="B6568" s="11"/>
      <c r="C6568" s="11"/>
      <c r="D6568" s="10" t="s">
        <v>2870</v>
      </c>
    </row>
    <row r="6569" ht="30.0" customHeight="1">
      <c r="A6569" s="10" t="s">
        <v>2755</v>
      </c>
      <c r="B6569" s="10" t="s">
        <v>42</v>
      </c>
      <c r="C6569" s="10" t="s">
        <v>344</v>
      </c>
      <c r="D6569" s="10" t="s">
        <v>2756</v>
      </c>
      <c r="E6569" s="14">
        <v>5.0</v>
      </c>
      <c r="F6569" s="15">
        <f>ROUND(0.4,3)</f>
        <v>0.4</v>
      </c>
      <c r="G6569" s="12">
        <f t="shared" ref="G6569:G6576" si="1006">ROUND(E6569*F6569,2)</f>
        <v>2</v>
      </c>
    </row>
    <row r="6570" ht="48.75" customHeight="1">
      <c r="A6570" s="10" t="s">
        <v>2069</v>
      </c>
      <c r="B6570" s="10" t="s">
        <v>42</v>
      </c>
      <c r="C6570" s="10" t="s">
        <v>184</v>
      </c>
      <c r="D6570" s="10" t="s">
        <v>2070</v>
      </c>
      <c r="E6570" s="14">
        <v>0.02</v>
      </c>
      <c r="F6570" s="15">
        <f>ROUND(10.25,3)</f>
        <v>10.25</v>
      </c>
      <c r="G6570" s="12">
        <f t="shared" si="1006"/>
        <v>0.21</v>
      </c>
    </row>
    <row r="6571" ht="30.0" customHeight="1">
      <c r="A6571" s="10" t="s">
        <v>2053</v>
      </c>
      <c r="B6571" s="10" t="s">
        <v>42</v>
      </c>
      <c r="C6571" s="10" t="s">
        <v>184</v>
      </c>
      <c r="D6571" s="10" t="s">
        <v>2054</v>
      </c>
      <c r="E6571" s="14">
        <v>0.05</v>
      </c>
      <c r="F6571" s="15">
        <f>ROUND(11.74,3)</f>
        <v>11.74</v>
      </c>
      <c r="G6571" s="12">
        <f t="shared" si="1006"/>
        <v>0.59</v>
      </c>
    </row>
    <row r="6572" ht="21.0" customHeight="1">
      <c r="A6572" s="10" t="s">
        <v>22</v>
      </c>
      <c r="B6572" s="10" t="s">
        <v>18</v>
      </c>
      <c r="C6572" s="10" t="s">
        <v>23</v>
      </c>
      <c r="D6572" s="10" t="s">
        <v>24</v>
      </c>
      <c r="E6572" s="14">
        <v>0.16</v>
      </c>
      <c r="F6572" s="15">
        <f>F6576</f>
        <v>43.8</v>
      </c>
      <c r="G6572" s="12">
        <f t="shared" si="1006"/>
        <v>7.01</v>
      </c>
    </row>
    <row r="6573" ht="24.0" customHeight="1">
      <c r="A6573" s="10" t="s">
        <v>25</v>
      </c>
      <c r="B6573" s="10" t="s">
        <v>26</v>
      </c>
      <c r="C6573" s="10" t="s">
        <v>23</v>
      </c>
      <c r="D6573" s="10" t="s">
        <v>27</v>
      </c>
      <c r="E6573" s="14">
        <v>1.0</v>
      </c>
      <c r="F6573" s="15">
        <f>ROUND(21,3)</f>
        <v>21</v>
      </c>
      <c r="G6573" s="12">
        <f t="shared" si="1006"/>
        <v>21</v>
      </c>
    </row>
    <row r="6574" ht="24.0" customHeight="1">
      <c r="A6574" s="10" t="s">
        <v>28</v>
      </c>
      <c r="B6574" s="10" t="s">
        <v>26</v>
      </c>
      <c r="C6574" s="10" t="s">
        <v>23</v>
      </c>
      <c r="D6574" s="10" t="s">
        <v>29</v>
      </c>
      <c r="E6574" s="14">
        <v>1.0</v>
      </c>
      <c r="F6574" s="15">
        <f t="shared" ref="F6574:F6575" si="1007">ROUND(19,3)</f>
        <v>19</v>
      </c>
      <c r="G6574" s="12">
        <f t="shared" si="1006"/>
        <v>19</v>
      </c>
    </row>
    <row r="6575" ht="24.0" customHeight="1">
      <c r="A6575" s="10" t="s">
        <v>30</v>
      </c>
      <c r="B6575" s="10" t="s">
        <v>26</v>
      </c>
      <c r="C6575" s="10" t="s">
        <v>23</v>
      </c>
      <c r="D6575" s="10" t="s">
        <v>31</v>
      </c>
      <c r="E6575" s="14">
        <v>0.2</v>
      </c>
      <c r="F6575" s="15">
        <f t="shared" si="1007"/>
        <v>19</v>
      </c>
      <c r="G6575" s="12">
        <f t="shared" si="1006"/>
        <v>3.8</v>
      </c>
    </row>
    <row r="6576" ht="15.0" customHeight="1">
      <c r="A6576" s="11"/>
      <c r="B6576" s="11"/>
      <c r="C6576" s="11"/>
      <c r="D6576" s="10" t="s">
        <v>22</v>
      </c>
      <c r="E6576" s="14">
        <v>0.16</v>
      </c>
      <c r="F6576" s="15">
        <f>ROUND((G6573+G6574+G6575),3)</f>
        <v>43.8</v>
      </c>
      <c r="G6576" s="12">
        <f t="shared" si="1006"/>
        <v>7.01</v>
      </c>
    </row>
    <row r="6577" ht="15.0" customHeight="1">
      <c r="A6577" s="10" t="s">
        <v>32</v>
      </c>
      <c r="B6577" s="10"/>
      <c r="C6577" s="10" t="s">
        <v>33</v>
      </c>
      <c r="D6577" s="10" t="s">
        <v>34</v>
      </c>
      <c r="E6577" s="14">
        <v>3.0</v>
      </c>
      <c r="F6577" s="15">
        <f>ROUND(7.01,3)</f>
        <v>7.01</v>
      </c>
      <c r="G6577" s="12">
        <f>ROUND((E6577*F6577)/100,2)</f>
        <v>0.21</v>
      </c>
    </row>
    <row r="6578" ht="15.0" customHeight="1">
      <c r="A6578" s="16"/>
      <c r="B6578" s="16"/>
      <c r="C6578" s="16"/>
      <c r="D6578" s="17" t="s">
        <v>2868</v>
      </c>
      <c r="E6578" s="16"/>
      <c r="F6578" s="18">
        <f>ROUND((G6569+G6570+G6571+G6572+G6577)*(1+G2/100),2)</f>
        <v>10.02</v>
      </c>
      <c r="G6578" s="16"/>
    </row>
    <row r="6579" ht="21.0" customHeight="1">
      <c r="A6579" s="19" t="s">
        <v>2871</v>
      </c>
      <c r="B6579" s="20" t="s">
        <v>18</v>
      </c>
      <c r="C6579" s="20" t="s">
        <v>321</v>
      </c>
      <c r="D6579" s="20" t="s">
        <v>2872</v>
      </c>
      <c r="E6579" s="21"/>
      <c r="F6579" s="22">
        <f>F6590</f>
        <v>11.49</v>
      </c>
      <c r="G6579" s="21"/>
    </row>
    <row r="6580" ht="30.0" customHeight="1">
      <c r="A6580" s="11"/>
      <c r="B6580" s="11"/>
      <c r="C6580" s="11"/>
      <c r="D6580" s="10" t="s">
        <v>2873</v>
      </c>
    </row>
    <row r="6581" ht="39.75" customHeight="1">
      <c r="A6581" s="10" t="s">
        <v>2750</v>
      </c>
      <c r="B6581" s="10" t="s">
        <v>42</v>
      </c>
      <c r="C6581" s="10" t="s">
        <v>19</v>
      </c>
      <c r="D6581" s="10" t="s">
        <v>2751</v>
      </c>
      <c r="E6581" s="14">
        <v>0.2</v>
      </c>
      <c r="F6581" s="15">
        <f>ROUND(10.12,3)</f>
        <v>10.12</v>
      </c>
      <c r="G6581" s="12">
        <f t="shared" ref="G6581:G6588" si="1008">ROUND(E6581*F6581,2)</f>
        <v>2.02</v>
      </c>
    </row>
    <row r="6582" ht="30.0" customHeight="1">
      <c r="A6582" s="10" t="s">
        <v>2694</v>
      </c>
      <c r="B6582" s="10" t="s">
        <v>42</v>
      </c>
      <c r="C6582" s="10" t="s">
        <v>184</v>
      </c>
      <c r="D6582" s="10" t="s">
        <v>2695</v>
      </c>
      <c r="E6582" s="14">
        <v>0.02</v>
      </c>
      <c r="F6582" s="15">
        <f>ROUND(15.43,3)</f>
        <v>15.43</v>
      </c>
      <c r="G6582" s="12">
        <f t="shared" si="1008"/>
        <v>0.31</v>
      </c>
    </row>
    <row r="6583" ht="30.0" customHeight="1">
      <c r="A6583" s="10" t="s">
        <v>2053</v>
      </c>
      <c r="B6583" s="10" t="s">
        <v>42</v>
      </c>
      <c r="C6583" s="10" t="s">
        <v>184</v>
      </c>
      <c r="D6583" s="10" t="s">
        <v>2054</v>
      </c>
      <c r="E6583" s="14">
        <v>0.05</v>
      </c>
      <c r="F6583" s="15">
        <f>ROUND(11.74,3)</f>
        <v>11.74</v>
      </c>
      <c r="G6583" s="12">
        <f t="shared" si="1008"/>
        <v>0.59</v>
      </c>
    </row>
    <row r="6584" ht="21.0" customHeight="1">
      <c r="A6584" s="10" t="s">
        <v>22</v>
      </c>
      <c r="B6584" s="10" t="s">
        <v>18</v>
      </c>
      <c r="C6584" s="10" t="s">
        <v>23</v>
      </c>
      <c r="D6584" s="10" t="s">
        <v>24</v>
      </c>
      <c r="E6584" s="14">
        <v>0.19</v>
      </c>
      <c r="F6584" s="15">
        <f>F6588</f>
        <v>43.8</v>
      </c>
      <c r="G6584" s="12">
        <f t="shared" si="1008"/>
        <v>8.32</v>
      </c>
    </row>
    <row r="6585" ht="24.0" customHeight="1">
      <c r="A6585" s="10" t="s">
        <v>25</v>
      </c>
      <c r="B6585" s="10" t="s">
        <v>26</v>
      </c>
      <c r="C6585" s="10" t="s">
        <v>23</v>
      </c>
      <c r="D6585" s="10" t="s">
        <v>27</v>
      </c>
      <c r="E6585" s="14">
        <v>1.0</v>
      </c>
      <c r="F6585" s="15">
        <f>ROUND(21,3)</f>
        <v>21</v>
      </c>
      <c r="G6585" s="12">
        <f t="shared" si="1008"/>
        <v>21</v>
      </c>
    </row>
    <row r="6586" ht="24.0" customHeight="1">
      <c r="A6586" s="10" t="s">
        <v>28</v>
      </c>
      <c r="B6586" s="10" t="s">
        <v>26</v>
      </c>
      <c r="C6586" s="10" t="s">
        <v>23</v>
      </c>
      <c r="D6586" s="10" t="s">
        <v>29</v>
      </c>
      <c r="E6586" s="14">
        <v>1.0</v>
      </c>
      <c r="F6586" s="15">
        <f t="shared" ref="F6586:F6587" si="1009">ROUND(19,3)</f>
        <v>19</v>
      </c>
      <c r="G6586" s="12">
        <f t="shared" si="1008"/>
        <v>19</v>
      </c>
    </row>
    <row r="6587" ht="24.0" customHeight="1">
      <c r="A6587" s="10" t="s">
        <v>30</v>
      </c>
      <c r="B6587" s="10" t="s">
        <v>26</v>
      </c>
      <c r="C6587" s="10" t="s">
        <v>23</v>
      </c>
      <c r="D6587" s="10" t="s">
        <v>31</v>
      </c>
      <c r="E6587" s="14">
        <v>0.2</v>
      </c>
      <c r="F6587" s="15">
        <f t="shared" si="1009"/>
        <v>19</v>
      </c>
      <c r="G6587" s="12">
        <f t="shared" si="1008"/>
        <v>3.8</v>
      </c>
    </row>
    <row r="6588" ht="15.0" customHeight="1">
      <c r="A6588" s="11"/>
      <c r="B6588" s="11"/>
      <c r="C6588" s="11"/>
      <c r="D6588" s="10" t="s">
        <v>22</v>
      </c>
      <c r="E6588" s="14">
        <v>0.19</v>
      </c>
      <c r="F6588" s="15">
        <f>ROUND((G6585+G6586+G6587),3)</f>
        <v>43.8</v>
      </c>
      <c r="G6588" s="12">
        <f t="shared" si="1008"/>
        <v>8.32</v>
      </c>
    </row>
    <row r="6589" ht="15.0" customHeight="1">
      <c r="A6589" s="10" t="s">
        <v>32</v>
      </c>
      <c r="B6589" s="10"/>
      <c r="C6589" s="10" t="s">
        <v>33</v>
      </c>
      <c r="D6589" s="10" t="s">
        <v>34</v>
      </c>
      <c r="E6589" s="14">
        <v>3.0</v>
      </c>
      <c r="F6589" s="15">
        <f>ROUND(8.32,3)</f>
        <v>8.32</v>
      </c>
      <c r="G6589" s="12">
        <f>ROUND((E6589*F6589)/100,2)</f>
        <v>0.25</v>
      </c>
    </row>
    <row r="6590" ht="15.0" customHeight="1">
      <c r="A6590" s="16"/>
      <c r="B6590" s="16"/>
      <c r="C6590" s="16"/>
      <c r="D6590" s="17" t="s">
        <v>2871</v>
      </c>
      <c r="E6590" s="16"/>
      <c r="F6590" s="18">
        <f>ROUND((G6581+G6582+G6583+G6584+G6589)*(1+G2/100),2)</f>
        <v>11.49</v>
      </c>
      <c r="G6590" s="16"/>
    </row>
    <row r="6591" ht="30.0" customHeight="1">
      <c r="A6591" s="19" t="s">
        <v>2874</v>
      </c>
      <c r="B6591" s="20" t="s">
        <v>18</v>
      </c>
      <c r="C6591" s="20" t="s">
        <v>321</v>
      </c>
      <c r="D6591" s="20" t="s">
        <v>2875</v>
      </c>
      <c r="E6591" s="21"/>
      <c r="F6591" s="22">
        <f>F6604</f>
        <v>13.3</v>
      </c>
      <c r="G6591" s="21"/>
    </row>
    <row r="6592" ht="21.0" customHeight="1">
      <c r="A6592" s="11"/>
      <c r="B6592" s="11"/>
      <c r="C6592" s="11"/>
      <c r="D6592" s="10" t="s">
        <v>2876</v>
      </c>
    </row>
    <row r="6593" ht="39.75" customHeight="1">
      <c r="A6593" s="10" t="s">
        <v>2769</v>
      </c>
      <c r="B6593" s="10" t="s">
        <v>42</v>
      </c>
      <c r="C6593" s="10" t="s">
        <v>19</v>
      </c>
      <c r="D6593" s="10" t="s">
        <v>2770</v>
      </c>
      <c r="E6593" s="14">
        <v>0.11367</v>
      </c>
      <c r="F6593" s="15">
        <f>ROUND(29,3)</f>
        <v>29</v>
      </c>
      <c r="G6593" s="12">
        <f t="shared" ref="G6593:G6602" si="1010">ROUND(E6593*F6593,2)</f>
        <v>3.3</v>
      </c>
    </row>
    <row r="6594" ht="30.0" customHeight="1">
      <c r="A6594" s="10" t="s">
        <v>2694</v>
      </c>
      <c r="B6594" s="10" t="s">
        <v>42</v>
      </c>
      <c r="C6594" s="10" t="s">
        <v>184</v>
      </c>
      <c r="D6594" s="10" t="s">
        <v>2695</v>
      </c>
      <c r="E6594" s="14">
        <v>0.02</v>
      </c>
      <c r="F6594" s="15">
        <f>ROUND(15.43,3)</f>
        <v>15.43</v>
      </c>
      <c r="G6594" s="12">
        <f t="shared" si="1010"/>
        <v>0.31</v>
      </c>
    </row>
    <row r="6595" ht="30.0" customHeight="1">
      <c r="A6595" s="10" t="s">
        <v>2053</v>
      </c>
      <c r="B6595" s="10" t="s">
        <v>42</v>
      </c>
      <c r="C6595" s="10" t="s">
        <v>184</v>
      </c>
      <c r="D6595" s="10" t="s">
        <v>2054</v>
      </c>
      <c r="E6595" s="14">
        <v>0.05</v>
      </c>
      <c r="F6595" s="15">
        <f>ROUND(11.74,3)</f>
        <v>11.74</v>
      </c>
      <c r="G6595" s="12">
        <f t="shared" si="1010"/>
        <v>0.59</v>
      </c>
    </row>
    <row r="6596" ht="30.0" customHeight="1">
      <c r="A6596" s="10" t="s">
        <v>2771</v>
      </c>
      <c r="B6596" s="10" t="s">
        <v>42</v>
      </c>
      <c r="C6596" s="10" t="s">
        <v>956</v>
      </c>
      <c r="D6596" s="10" t="s">
        <v>2772</v>
      </c>
      <c r="E6596" s="14">
        <v>0.01</v>
      </c>
      <c r="F6596" s="15">
        <f>ROUND(24.98,3)</f>
        <v>24.98</v>
      </c>
      <c r="G6596" s="12">
        <f t="shared" si="1010"/>
        <v>0.25</v>
      </c>
    </row>
    <row r="6597" ht="39.75" customHeight="1">
      <c r="A6597" s="10" t="s">
        <v>953</v>
      </c>
      <c r="B6597" s="10" t="s">
        <v>112</v>
      </c>
      <c r="C6597" s="10" t="s">
        <v>23</v>
      </c>
      <c r="D6597" s="10" t="s">
        <v>954</v>
      </c>
      <c r="E6597" s="14">
        <v>0.16</v>
      </c>
      <c r="F6597" s="15">
        <f>ROUND(1.75,3)</f>
        <v>1.75</v>
      </c>
      <c r="G6597" s="12">
        <f t="shared" si="1010"/>
        <v>0.28</v>
      </c>
    </row>
    <row r="6598" ht="21.0" customHeight="1">
      <c r="A6598" s="10" t="s">
        <v>22</v>
      </c>
      <c r="B6598" s="10" t="s">
        <v>18</v>
      </c>
      <c r="C6598" s="10" t="s">
        <v>23</v>
      </c>
      <c r="D6598" s="10" t="s">
        <v>24</v>
      </c>
      <c r="E6598" s="14">
        <v>0.19</v>
      </c>
      <c r="F6598" s="15">
        <f>F6602</f>
        <v>43.8</v>
      </c>
      <c r="G6598" s="12">
        <f t="shared" si="1010"/>
        <v>8.32</v>
      </c>
    </row>
    <row r="6599" ht="24.0" customHeight="1">
      <c r="A6599" s="10" t="s">
        <v>25</v>
      </c>
      <c r="B6599" s="10" t="s">
        <v>26</v>
      </c>
      <c r="C6599" s="10" t="s">
        <v>23</v>
      </c>
      <c r="D6599" s="10" t="s">
        <v>27</v>
      </c>
      <c r="E6599" s="14">
        <v>1.0</v>
      </c>
      <c r="F6599" s="15">
        <f>ROUND(21,3)</f>
        <v>21</v>
      </c>
      <c r="G6599" s="12">
        <f t="shared" si="1010"/>
        <v>21</v>
      </c>
    </row>
    <row r="6600" ht="24.0" customHeight="1">
      <c r="A6600" s="10" t="s">
        <v>28</v>
      </c>
      <c r="B6600" s="10" t="s">
        <v>26</v>
      </c>
      <c r="C6600" s="10" t="s">
        <v>23</v>
      </c>
      <c r="D6600" s="10" t="s">
        <v>29</v>
      </c>
      <c r="E6600" s="14">
        <v>1.0</v>
      </c>
      <c r="F6600" s="15">
        <f t="shared" ref="F6600:F6601" si="1011">ROUND(19,3)</f>
        <v>19</v>
      </c>
      <c r="G6600" s="12">
        <f t="shared" si="1010"/>
        <v>19</v>
      </c>
    </row>
    <row r="6601" ht="24.0" customHeight="1">
      <c r="A6601" s="10" t="s">
        <v>30</v>
      </c>
      <c r="B6601" s="10" t="s">
        <v>26</v>
      </c>
      <c r="C6601" s="10" t="s">
        <v>23</v>
      </c>
      <c r="D6601" s="10" t="s">
        <v>31</v>
      </c>
      <c r="E6601" s="14">
        <v>0.2</v>
      </c>
      <c r="F6601" s="15">
        <f t="shared" si="1011"/>
        <v>19</v>
      </c>
      <c r="G6601" s="12">
        <f t="shared" si="1010"/>
        <v>3.8</v>
      </c>
    </row>
    <row r="6602" ht="15.0" customHeight="1">
      <c r="A6602" s="11"/>
      <c r="B6602" s="11"/>
      <c r="C6602" s="11"/>
      <c r="D6602" s="10" t="s">
        <v>22</v>
      </c>
      <c r="E6602" s="14">
        <v>0.19</v>
      </c>
      <c r="F6602" s="15">
        <f>ROUND((G6599+G6600+G6601),3)</f>
        <v>43.8</v>
      </c>
      <c r="G6602" s="12">
        <f t="shared" si="1010"/>
        <v>8.32</v>
      </c>
    </row>
    <row r="6603" ht="15.0" customHeight="1">
      <c r="A6603" s="10" t="s">
        <v>32</v>
      </c>
      <c r="B6603" s="10"/>
      <c r="C6603" s="10" t="s">
        <v>33</v>
      </c>
      <c r="D6603" s="10" t="s">
        <v>34</v>
      </c>
      <c r="E6603" s="14">
        <v>3.0</v>
      </c>
      <c r="F6603" s="15">
        <f>ROUND(8.32,3)</f>
        <v>8.32</v>
      </c>
      <c r="G6603" s="12">
        <f>ROUND((E6603*F6603)/100,2)</f>
        <v>0.25</v>
      </c>
    </row>
    <row r="6604" ht="15.0" customHeight="1">
      <c r="A6604" s="16"/>
      <c r="B6604" s="16"/>
      <c r="C6604" s="16"/>
      <c r="D6604" s="17" t="s">
        <v>2874</v>
      </c>
      <c r="E6604" s="16"/>
      <c r="F6604" s="18">
        <f>ROUND((G6593+G6594+G6595+G6596+G6597+G6598+G6603)*(1+G2/100),2)</f>
        <v>13.3</v>
      </c>
      <c r="G6604" s="16"/>
    </row>
    <row r="6605" ht="21.0" customHeight="1">
      <c r="A6605" s="19" t="s">
        <v>2877</v>
      </c>
      <c r="B6605" s="20" t="s">
        <v>18</v>
      </c>
      <c r="C6605" s="20" t="s">
        <v>321</v>
      </c>
      <c r="D6605" s="20" t="s">
        <v>2878</v>
      </c>
      <c r="E6605" s="21"/>
      <c r="F6605" s="22">
        <f>F6616</f>
        <v>13.87</v>
      </c>
      <c r="G6605" s="21"/>
    </row>
    <row r="6606" ht="30.0" customHeight="1">
      <c r="A6606" s="11"/>
      <c r="B6606" s="11"/>
      <c r="C6606" s="11"/>
      <c r="D6606" s="10" t="s">
        <v>2879</v>
      </c>
    </row>
    <row r="6607" ht="30.0" customHeight="1">
      <c r="A6607" s="10" t="s">
        <v>2880</v>
      </c>
      <c r="B6607" s="10" t="s">
        <v>42</v>
      </c>
      <c r="C6607" s="10" t="s">
        <v>344</v>
      </c>
      <c r="D6607" s="10" t="s">
        <v>2881</v>
      </c>
      <c r="E6607" s="14">
        <v>3.0</v>
      </c>
      <c r="F6607" s="15">
        <f>ROUND(1.95,3)</f>
        <v>1.95</v>
      </c>
      <c r="G6607" s="12">
        <f t="shared" ref="G6607:G6614" si="1012">ROUND(E6607*F6607,2)</f>
        <v>5.85</v>
      </c>
    </row>
    <row r="6608" ht="48.75" customHeight="1">
      <c r="A6608" s="10" t="s">
        <v>2069</v>
      </c>
      <c r="B6608" s="10" t="s">
        <v>42</v>
      </c>
      <c r="C6608" s="10" t="s">
        <v>184</v>
      </c>
      <c r="D6608" s="10" t="s">
        <v>2070</v>
      </c>
      <c r="E6608" s="14">
        <v>0.02</v>
      </c>
      <c r="F6608" s="15">
        <f>ROUND(10.25,3)</f>
        <v>10.25</v>
      </c>
      <c r="G6608" s="12">
        <f t="shared" si="1012"/>
        <v>0.21</v>
      </c>
    </row>
    <row r="6609" ht="30.0" customHeight="1">
      <c r="A6609" s="10" t="s">
        <v>2053</v>
      </c>
      <c r="B6609" s="10" t="s">
        <v>42</v>
      </c>
      <c r="C6609" s="10" t="s">
        <v>184</v>
      </c>
      <c r="D6609" s="10" t="s">
        <v>2054</v>
      </c>
      <c r="E6609" s="14">
        <v>0.05</v>
      </c>
      <c r="F6609" s="15">
        <f>ROUND(11.74,3)</f>
        <v>11.74</v>
      </c>
      <c r="G6609" s="12">
        <f t="shared" si="1012"/>
        <v>0.59</v>
      </c>
    </row>
    <row r="6610" ht="21.0" customHeight="1">
      <c r="A6610" s="10" t="s">
        <v>22</v>
      </c>
      <c r="B6610" s="10" t="s">
        <v>18</v>
      </c>
      <c r="C6610" s="10" t="s">
        <v>23</v>
      </c>
      <c r="D6610" s="10" t="s">
        <v>24</v>
      </c>
      <c r="E6610" s="14">
        <v>0.16</v>
      </c>
      <c r="F6610" s="15">
        <f>F6614</f>
        <v>43.8</v>
      </c>
      <c r="G6610" s="12">
        <f t="shared" si="1012"/>
        <v>7.01</v>
      </c>
    </row>
    <row r="6611" ht="24.0" customHeight="1">
      <c r="A6611" s="10" t="s">
        <v>25</v>
      </c>
      <c r="B6611" s="10" t="s">
        <v>26</v>
      </c>
      <c r="C6611" s="10" t="s">
        <v>23</v>
      </c>
      <c r="D6611" s="10" t="s">
        <v>27</v>
      </c>
      <c r="E6611" s="14">
        <v>1.0</v>
      </c>
      <c r="F6611" s="15">
        <f>ROUND(21,3)</f>
        <v>21</v>
      </c>
      <c r="G6611" s="12">
        <f t="shared" si="1012"/>
        <v>21</v>
      </c>
    </row>
    <row r="6612" ht="24.0" customHeight="1">
      <c r="A6612" s="10" t="s">
        <v>28</v>
      </c>
      <c r="B6612" s="10" t="s">
        <v>26</v>
      </c>
      <c r="C6612" s="10" t="s">
        <v>23</v>
      </c>
      <c r="D6612" s="10" t="s">
        <v>29</v>
      </c>
      <c r="E6612" s="14">
        <v>1.0</v>
      </c>
      <c r="F6612" s="15">
        <f t="shared" ref="F6612:F6613" si="1013">ROUND(19,3)</f>
        <v>19</v>
      </c>
      <c r="G6612" s="12">
        <f t="shared" si="1012"/>
        <v>19</v>
      </c>
    </row>
    <row r="6613" ht="24.0" customHeight="1">
      <c r="A6613" s="10" t="s">
        <v>30</v>
      </c>
      <c r="B6613" s="10" t="s">
        <v>26</v>
      </c>
      <c r="C6613" s="10" t="s">
        <v>23</v>
      </c>
      <c r="D6613" s="10" t="s">
        <v>31</v>
      </c>
      <c r="E6613" s="14">
        <v>0.2</v>
      </c>
      <c r="F6613" s="15">
        <f t="shared" si="1013"/>
        <v>19</v>
      </c>
      <c r="G6613" s="12">
        <f t="shared" si="1012"/>
        <v>3.8</v>
      </c>
    </row>
    <row r="6614" ht="15.0" customHeight="1">
      <c r="A6614" s="11"/>
      <c r="B6614" s="11"/>
      <c r="C6614" s="11"/>
      <c r="D6614" s="10" t="s">
        <v>22</v>
      </c>
      <c r="E6614" s="14">
        <v>0.16</v>
      </c>
      <c r="F6614" s="15">
        <f>ROUND((G6611+G6612+G6613),3)</f>
        <v>43.8</v>
      </c>
      <c r="G6614" s="12">
        <f t="shared" si="1012"/>
        <v>7.01</v>
      </c>
    </row>
    <row r="6615" ht="15.0" customHeight="1">
      <c r="A6615" s="10" t="s">
        <v>32</v>
      </c>
      <c r="B6615" s="10"/>
      <c r="C6615" s="10" t="s">
        <v>33</v>
      </c>
      <c r="D6615" s="10" t="s">
        <v>34</v>
      </c>
      <c r="E6615" s="14">
        <v>3.0</v>
      </c>
      <c r="F6615" s="15">
        <f>ROUND(7.01,3)</f>
        <v>7.01</v>
      </c>
      <c r="G6615" s="12">
        <f>ROUND((E6615*F6615)/100,2)</f>
        <v>0.21</v>
      </c>
    </row>
    <row r="6616" ht="15.0" customHeight="1">
      <c r="A6616" s="16"/>
      <c r="B6616" s="16"/>
      <c r="C6616" s="16"/>
      <c r="D6616" s="17" t="s">
        <v>2877</v>
      </c>
      <c r="E6616" s="16"/>
      <c r="F6616" s="18">
        <f>ROUND((G6607+G6608+G6609+G6610+G6615)*(1+G2/100),2)</f>
        <v>13.87</v>
      </c>
      <c r="G6616" s="16"/>
    </row>
    <row r="6617" ht="21.0" customHeight="1">
      <c r="A6617" s="19" t="s">
        <v>2882</v>
      </c>
      <c r="B6617" s="20" t="s">
        <v>18</v>
      </c>
      <c r="C6617" s="20" t="s">
        <v>321</v>
      </c>
      <c r="D6617" s="20" t="s">
        <v>2883</v>
      </c>
      <c r="E6617" s="21"/>
      <c r="F6617" s="22">
        <f>F6628</f>
        <v>30.82</v>
      </c>
      <c r="G6617" s="21"/>
    </row>
    <row r="6618" ht="39.75" customHeight="1">
      <c r="A6618" s="11"/>
      <c r="B6618" s="11"/>
      <c r="C6618" s="11"/>
      <c r="D6618" s="10" t="s">
        <v>2884</v>
      </c>
    </row>
    <row r="6619" ht="30.0" customHeight="1">
      <c r="A6619" s="10" t="s">
        <v>2857</v>
      </c>
      <c r="B6619" s="10" t="s">
        <v>42</v>
      </c>
      <c r="C6619" s="10" t="s">
        <v>344</v>
      </c>
      <c r="D6619" s="10" t="s">
        <v>2858</v>
      </c>
      <c r="E6619" s="14">
        <v>4.0</v>
      </c>
      <c r="F6619" s="15">
        <f>ROUND(1.19,3)</f>
        <v>1.19</v>
      </c>
      <c r="G6619" s="12">
        <f t="shared" ref="G6619:G6626" si="1014">ROUND(E6619*F6619,2)</f>
        <v>4.76</v>
      </c>
    </row>
    <row r="6620" ht="30.0" customHeight="1">
      <c r="A6620" s="10" t="s">
        <v>2694</v>
      </c>
      <c r="B6620" s="10" t="s">
        <v>42</v>
      </c>
      <c r="C6620" s="10" t="s">
        <v>184</v>
      </c>
      <c r="D6620" s="10" t="s">
        <v>2695</v>
      </c>
      <c r="E6620" s="14">
        <v>0.0616</v>
      </c>
      <c r="F6620" s="15">
        <f>ROUND(15.43,3)</f>
        <v>15.43</v>
      </c>
      <c r="G6620" s="12">
        <f t="shared" si="1014"/>
        <v>0.95</v>
      </c>
    </row>
    <row r="6621" ht="30.0" customHeight="1">
      <c r="A6621" s="10" t="s">
        <v>2053</v>
      </c>
      <c r="B6621" s="10" t="s">
        <v>42</v>
      </c>
      <c r="C6621" s="10" t="s">
        <v>184</v>
      </c>
      <c r="D6621" s="10" t="s">
        <v>2054</v>
      </c>
      <c r="E6621" s="14">
        <v>0.02534</v>
      </c>
      <c r="F6621" s="15">
        <f>ROUND(11.74,3)</f>
        <v>11.74</v>
      </c>
      <c r="G6621" s="12">
        <f t="shared" si="1014"/>
        <v>0.3</v>
      </c>
    </row>
    <row r="6622" ht="21.0" customHeight="1">
      <c r="A6622" s="10" t="s">
        <v>22</v>
      </c>
      <c r="B6622" s="10" t="s">
        <v>18</v>
      </c>
      <c r="C6622" s="10" t="s">
        <v>23</v>
      </c>
      <c r="D6622" s="10" t="s">
        <v>24</v>
      </c>
      <c r="E6622" s="14">
        <v>0.55</v>
      </c>
      <c r="F6622" s="15">
        <f>F6626</f>
        <v>43.8</v>
      </c>
      <c r="G6622" s="12">
        <f t="shared" si="1014"/>
        <v>24.09</v>
      </c>
    </row>
    <row r="6623" ht="24.0" customHeight="1">
      <c r="A6623" s="10" t="s">
        <v>25</v>
      </c>
      <c r="B6623" s="10" t="s">
        <v>26</v>
      </c>
      <c r="C6623" s="10" t="s">
        <v>23</v>
      </c>
      <c r="D6623" s="10" t="s">
        <v>27</v>
      </c>
      <c r="E6623" s="14">
        <v>1.0</v>
      </c>
      <c r="F6623" s="15">
        <f>ROUND(21,3)</f>
        <v>21</v>
      </c>
      <c r="G6623" s="12">
        <f t="shared" si="1014"/>
        <v>21</v>
      </c>
    </row>
    <row r="6624" ht="24.0" customHeight="1">
      <c r="A6624" s="10" t="s">
        <v>28</v>
      </c>
      <c r="B6624" s="10" t="s">
        <v>26</v>
      </c>
      <c r="C6624" s="10" t="s">
        <v>23</v>
      </c>
      <c r="D6624" s="10" t="s">
        <v>29</v>
      </c>
      <c r="E6624" s="14">
        <v>1.0</v>
      </c>
      <c r="F6624" s="15">
        <f t="shared" ref="F6624:F6625" si="1015">ROUND(19,3)</f>
        <v>19</v>
      </c>
      <c r="G6624" s="12">
        <f t="shared" si="1014"/>
        <v>19</v>
      </c>
    </row>
    <row r="6625" ht="24.0" customHeight="1">
      <c r="A6625" s="10" t="s">
        <v>30</v>
      </c>
      <c r="B6625" s="10" t="s">
        <v>26</v>
      </c>
      <c r="C6625" s="10" t="s">
        <v>23</v>
      </c>
      <c r="D6625" s="10" t="s">
        <v>31</v>
      </c>
      <c r="E6625" s="14">
        <v>0.2</v>
      </c>
      <c r="F6625" s="15">
        <f t="shared" si="1015"/>
        <v>19</v>
      </c>
      <c r="G6625" s="12">
        <f t="shared" si="1014"/>
        <v>3.8</v>
      </c>
    </row>
    <row r="6626" ht="15.0" customHeight="1">
      <c r="A6626" s="11"/>
      <c r="B6626" s="11"/>
      <c r="C6626" s="11"/>
      <c r="D6626" s="10" t="s">
        <v>22</v>
      </c>
      <c r="E6626" s="14">
        <v>0.55</v>
      </c>
      <c r="F6626" s="15">
        <f>ROUND((G6623+G6624+G6625),3)</f>
        <v>43.8</v>
      </c>
      <c r="G6626" s="12">
        <f t="shared" si="1014"/>
        <v>24.09</v>
      </c>
    </row>
    <row r="6627" ht="15.0" customHeight="1">
      <c r="A6627" s="10" t="s">
        <v>32</v>
      </c>
      <c r="B6627" s="10"/>
      <c r="C6627" s="10" t="s">
        <v>33</v>
      </c>
      <c r="D6627" s="10" t="s">
        <v>34</v>
      </c>
      <c r="E6627" s="14">
        <v>3.0</v>
      </c>
      <c r="F6627" s="15">
        <f>ROUND(24.09,3)</f>
        <v>24.09</v>
      </c>
      <c r="G6627" s="12">
        <f>ROUND((E6627*F6627)/100,2)</f>
        <v>0.72</v>
      </c>
    </row>
    <row r="6628" ht="15.0" customHeight="1">
      <c r="A6628" s="16"/>
      <c r="B6628" s="16"/>
      <c r="C6628" s="16"/>
      <c r="D6628" s="17" t="s">
        <v>2882</v>
      </c>
      <c r="E6628" s="16"/>
      <c r="F6628" s="18">
        <f>ROUND((G6619+G6620+G6621+G6622+G6627)*(1+G2/100),2)</f>
        <v>30.82</v>
      </c>
      <c r="G6628" s="16"/>
    </row>
    <row r="6629" ht="30.0" customHeight="1">
      <c r="A6629" s="19" t="s">
        <v>2885</v>
      </c>
      <c r="B6629" s="20" t="s">
        <v>18</v>
      </c>
      <c r="C6629" s="20" t="s">
        <v>321</v>
      </c>
      <c r="D6629" s="20" t="s">
        <v>2886</v>
      </c>
      <c r="E6629" s="21"/>
      <c r="F6629" s="22">
        <f>F6640</f>
        <v>48.08</v>
      </c>
      <c r="G6629" s="21"/>
    </row>
    <row r="6630" ht="39.75" customHeight="1">
      <c r="A6630" s="11"/>
      <c r="B6630" s="11"/>
      <c r="C6630" s="11"/>
      <c r="D6630" s="10" t="s">
        <v>2887</v>
      </c>
    </row>
    <row r="6631" ht="30.0" customHeight="1">
      <c r="A6631" s="10" t="s">
        <v>2857</v>
      </c>
      <c r="B6631" s="10" t="s">
        <v>42</v>
      </c>
      <c r="C6631" s="10" t="s">
        <v>344</v>
      </c>
      <c r="D6631" s="10" t="s">
        <v>2858</v>
      </c>
      <c r="E6631" s="14">
        <v>4.0</v>
      </c>
      <c r="F6631" s="15">
        <f>ROUND(1.19,3)</f>
        <v>1.19</v>
      </c>
      <c r="G6631" s="12">
        <f t="shared" ref="G6631:G6638" si="1016">ROUND(E6631*F6631,2)</f>
        <v>4.76</v>
      </c>
    </row>
    <row r="6632" ht="30.0" customHeight="1">
      <c r="A6632" s="10" t="s">
        <v>2694</v>
      </c>
      <c r="B6632" s="10" t="s">
        <v>42</v>
      </c>
      <c r="C6632" s="10" t="s">
        <v>184</v>
      </c>
      <c r="D6632" s="10" t="s">
        <v>2695</v>
      </c>
      <c r="E6632" s="14">
        <v>0.0616</v>
      </c>
      <c r="F6632" s="15">
        <f>ROUND(15.43,3)</f>
        <v>15.43</v>
      </c>
      <c r="G6632" s="12">
        <f t="shared" si="1016"/>
        <v>0.95</v>
      </c>
    </row>
    <row r="6633" ht="30.0" customHeight="1">
      <c r="A6633" s="10" t="s">
        <v>2053</v>
      </c>
      <c r="B6633" s="10" t="s">
        <v>42</v>
      </c>
      <c r="C6633" s="10" t="s">
        <v>184</v>
      </c>
      <c r="D6633" s="10" t="s">
        <v>2054</v>
      </c>
      <c r="E6633" s="14">
        <v>0.02534</v>
      </c>
      <c r="F6633" s="15">
        <f>ROUND(11.74,3)</f>
        <v>11.74</v>
      </c>
      <c r="G6633" s="12">
        <f t="shared" si="1016"/>
        <v>0.3</v>
      </c>
    </row>
    <row r="6634" ht="24.0" customHeight="1">
      <c r="A6634" s="10" t="s">
        <v>286</v>
      </c>
      <c r="B6634" s="10" t="s">
        <v>18</v>
      </c>
      <c r="C6634" s="10" t="s">
        <v>23</v>
      </c>
      <c r="D6634" s="10" t="s">
        <v>287</v>
      </c>
      <c r="E6634" s="14">
        <v>0.825</v>
      </c>
      <c r="F6634" s="15">
        <f>F6638</f>
        <v>49.5</v>
      </c>
      <c r="G6634" s="12">
        <f t="shared" si="1016"/>
        <v>40.84</v>
      </c>
    </row>
    <row r="6635" ht="24.0" customHeight="1">
      <c r="A6635" s="10" t="s">
        <v>288</v>
      </c>
      <c r="B6635" s="10" t="s">
        <v>26</v>
      </c>
      <c r="C6635" s="10" t="s">
        <v>23</v>
      </c>
      <c r="D6635" s="10" t="s">
        <v>289</v>
      </c>
      <c r="E6635" s="14">
        <v>1.0</v>
      </c>
      <c r="F6635" s="15">
        <f>ROUND(21,3)</f>
        <v>21</v>
      </c>
      <c r="G6635" s="12">
        <f t="shared" si="1016"/>
        <v>21</v>
      </c>
    </row>
    <row r="6636" ht="24.0" customHeight="1">
      <c r="A6636" s="10" t="s">
        <v>290</v>
      </c>
      <c r="B6636" s="10" t="s">
        <v>26</v>
      </c>
      <c r="C6636" s="10" t="s">
        <v>23</v>
      </c>
      <c r="D6636" s="10" t="s">
        <v>291</v>
      </c>
      <c r="E6636" s="14">
        <v>1.0</v>
      </c>
      <c r="F6636" s="15">
        <f t="shared" ref="F6636:F6637" si="1017">ROUND(19,3)</f>
        <v>19</v>
      </c>
      <c r="G6636" s="12">
        <f t="shared" si="1016"/>
        <v>19</v>
      </c>
    </row>
    <row r="6637" ht="24.0" customHeight="1">
      <c r="A6637" s="10" t="s">
        <v>292</v>
      </c>
      <c r="B6637" s="10" t="s">
        <v>26</v>
      </c>
      <c r="C6637" s="10" t="s">
        <v>23</v>
      </c>
      <c r="D6637" s="10" t="s">
        <v>293</v>
      </c>
      <c r="E6637" s="14">
        <v>0.5</v>
      </c>
      <c r="F6637" s="15">
        <f t="shared" si="1017"/>
        <v>19</v>
      </c>
      <c r="G6637" s="12">
        <f t="shared" si="1016"/>
        <v>9.5</v>
      </c>
    </row>
    <row r="6638" ht="15.0" customHeight="1">
      <c r="A6638" s="11"/>
      <c r="B6638" s="11"/>
      <c r="C6638" s="11"/>
      <c r="D6638" s="10" t="s">
        <v>286</v>
      </c>
      <c r="E6638" s="14">
        <v>0.825</v>
      </c>
      <c r="F6638" s="15">
        <f>ROUND((G6635+G6636+G6637),3)</f>
        <v>49.5</v>
      </c>
      <c r="G6638" s="12">
        <f t="shared" si="1016"/>
        <v>40.84</v>
      </c>
    </row>
    <row r="6639" ht="15.0" customHeight="1">
      <c r="A6639" s="10" t="s">
        <v>32</v>
      </c>
      <c r="B6639" s="10"/>
      <c r="C6639" s="10" t="s">
        <v>33</v>
      </c>
      <c r="D6639" s="10" t="s">
        <v>34</v>
      </c>
      <c r="E6639" s="14">
        <v>3.0</v>
      </c>
      <c r="F6639" s="15">
        <f>ROUND(40.84,3)</f>
        <v>40.84</v>
      </c>
      <c r="G6639" s="12">
        <f>ROUND((E6639*F6639)/100,2)</f>
        <v>1.23</v>
      </c>
    </row>
    <row r="6640" ht="15.0" customHeight="1">
      <c r="A6640" s="16"/>
      <c r="B6640" s="16"/>
      <c r="C6640" s="16"/>
      <c r="D6640" s="17" t="s">
        <v>2885</v>
      </c>
      <c r="E6640" s="16"/>
      <c r="F6640" s="18">
        <f>ROUND((G6631+G6632+G6633+G6634+G6639)*(1+G2/100),2)</f>
        <v>48.08</v>
      </c>
      <c r="G6640" s="16"/>
    </row>
    <row r="6641" ht="30.0" customHeight="1">
      <c r="A6641" s="19" t="s">
        <v>2888</v>
      </c>
      <c r="B6641" s="20" t="s">
        <v>18</v>
      </c>
      <c r="C6641" s="20" t="s">
        <v>321</v>
      </c>
      <c r="D6641" s="20" t="s">
        <v>2889</v>
      </c>
      <c r="E6641" s="21"/>
      <c r="F6641" s="22">
        <f>F6652</f>
        <v>41.33</v>
      </c>
      <c r="G6641" s="21"/>
    </row>
    <row r="6642" ht="39.75" customHeight="1">
      <c r="A6642" s="11"/>
      <c r="B6642" s="11"/>
      <c r="C6642" s="11"/>
      <c r="D6642" s="10" t="s">
        <v>2890</v>
      </c>
    </row>
    <row r="6643" ht="30.0" customHeight="1">
      <c r="A6643" s="10" t="s">
        <v>2857</v>
      </c>
      <c r="B6643" s="10" t="s">
        <v>42</v>
      </c>
      <c r="C6643" s="10" t="s">
        <v>344</v>
      </c>
      <c r="D6643" s="10" t="s">
        <v>2858</v>
      </c>
      <c r="E6643" s="14">
        <v>8.0</v>
      </c>
      <c r="F6643" s="15">
        <f>ROUND(1.19,3)</f>
        <v>1.19</v>
      </c>
      <c r="G6643" s="12">
        <f t="shared" ref="G6643:G6650" si="1018">ROUND(E6643*F6643,2)</f>
        <v>9.52</v>
      </c>
    </row>
    <row r="6644" ht="30.0" customHeight="1">
      <c r="A6644" s="10" t="s">
        <v>2694</v>
      </c>
      <c r="B6644" s="10" t="s">
        <v>42</v>
      </c>
      <c r="C6644" s="10" t="s">
        <v>184</v>
      </c>
      <c r="D6644" s="10" t="s">
        <v>2695</v>
      </c>
      <c r="E6644" s="14">
        <v>0.1232</v>
      </c>
      <c r="F6644" s="15">
        <f>ROUND(15.43,3)</f>
        <v>15.43</v>
      </c>
      <c r="G6644" s="12">
        <f t="shared" si="1018"/>
        <v>1.9</v>
      </c>
    </row>
    <row r="6645" ht="30.0" customHeight="1">
      <c r="A6645" s="10" t="s">
        <v>2053</v>
      </c>
      <c r="B6645" s="10" t="s">
        <v>42</v>
      </c>
      <c r="C6645" s="10" t="s">
        <v>184</v>
      </c>
      <c r="D6645" s="10" t="s">
        <v>2054</v>
      </c>
      <c r="E6645" s="14">
        <v>0.05068</v>
      </c>
      <c r="F6645" s="15">
        <f>ROUND(11.74,3)</f>
        <v>11.74</v>
      </c>
      <c r="G6645" s="12">
        <f t="shared" si="1018"/>
        <v>0.59</v>
      </c>
    </row>
    <row r="6646" ht="21.0" customHeight="1">
      <c r="A6646" s="10" t="s">
        <v>22</v>
      </c>
      <c r="B6646" s="10" t="s">
        <v>18</v>
      </c>
      <c r="C6646" s="10" t="s">
        <v>23</v>
      </c>
      <c r="D6646" s="10" t="s">
        <v>24</v>
      </c>
      <c r="E6646" s="14">
        <v>0.65</v>
      </c>
      <c r="F6646" s="15">
        <f>F6650</f>
        <v>43.8</v>
      </c>
      <c r="G6646" s="12">
        <f t="shared" si="1018"/>
        <v>28.47</v>
      </c>
    </row>
    <row r="6647" ht="24.0" customHeight="1">
      <c r="A6647" s="10" t="s">
        <v>25</v>
      </c>
      <c r="B6647" s="10" t="s">
        <v>26</v>
      </c>
      <c r="C6647" s="10" t="s">
        <v>23</v>
      </c>
      <c r="D6647" s="10" t="s">
        <v>27</v>
      </c>
      <c r="E6647" s="14">
        <v>1.0</v>
      </c>
      <c r="F6647" s="15">
        <f>ROUND(21,3)</f>
        <v>21</v>
      </c>
      <c r="G6647" s="12">
        <f t="shared" si="1018"/>
        <v>21</v>
      </c>
    </row>
    <row r="6648" ht="24.0" customHeight="1">
      <c r="A6648" s="10" t="s">
        <v>28</v>
      </c>
      <c r="B6648" s="10" t="s">
        <v>26</v>
      </c>
      <c r="C6648" s="10" t="s">
        <v>23</v>
      </c>
      <c r="D6648" s="10" t="s">
        <v>29</v>
      </c>
      <c r="E6648" s="14">
        <v>1.0</v>
      </c>
      <c r="F6648" s="15">
        <f t="shared" ref="F6648:F6649" si="1019">ROUND(19,3)</f>
        <v>19</v>
      </c>
      <c r="G6648" s="12">
        <f t="shared" si="1018"/>
        <v>19</v>
      </c>
    </row>
    <row r="6649" ht="24.0" customHeight="1">
      <c r="A6649" s="10" t="s">
        <v>30</v>
      </c>
      <c r="B6649" s="10" t="s">
        <v>26</v>
      </c>
      <c r="C6649" s="10" t="s">
        <v>23</v>
      </c>
      <c r="D6649" s="10" t="s">
        <v>31</v>
      </c>
      <c r="E6649" s="14">
        <v>0.2</v>
      </c>
      <c r="F6649" s="15">
        <f t="shared" si="1019"/>
        <v>19</v>
      </c>
      <c r="G6649" s="12">
        <f t="shared" si="1018"/>
        <v>3.8</v>
      </c>
    </row>
    <row r="6650" ht="15.0" customHeight="1">
      <c r="A6650" s="11"/>
      <c r="B6650" s="11"/>
      <c r="C6650" s="11"/>
      <c r="D6650" s="10" t="s">
        <v>22</v>
      </c>
      <c r="E6650" s="14">
        <v>0.65</v>
      </c>
      <c r="F6650" s="15">
        <f>ROUND((G6647+G6648+G6649),3)</f>
        <v>43.8</v>
      </c>
      <c r="G6650" s="12">
        <f t="shared" si="1018"/>
        <v>28.47</v>
      </c>
    </row>
    <row r="6651" ht="15.0" customHeight="1">
      <c r="A6651" s="10" t="s">
        <v>32</v>
      </c>
      <c r="B6651" s="10"/>
      <c r="C6651" s="10" t="s">
        <v>33</v>
      </c>
      <c r="D6651" s="10" t="s">
        <v>34</v>
      </c>
      <c r="E6651" s="14">
        <v>3.0</v>
      </c>
      <c r="F6651" s="15">
        <f>ROUND(28.47,3)</f>
        <v>28.47</v>
      </c>
      <c r="G6651" s="12">
        <f>ROUND((E6651*F6651)/100,2)</f>
        <v>0.85</v>
      </c>
    </row>
    <row r="6652" ht="15.0" customHeight="1">
      <c r="A6652" s="16"/>
      <c r="B6652" s="16"/>
      <c r="C6652" s="16"/>
      <c r="D6652" s="17" t="s">
        <v>2888</v>
      </c>
      <c r="E6652" s="16"/>
      <c r="F6652" s="18">
        <f>ROUND((G6643+G6644+G6645+G6646+G6651)*(1+G2/100),2)</f>
        <v>41.33</v>
      </c>
      <c r="G6652" s="16"/>
    </row>
    <row r="6653" ht="39.75" customHeight="1">
      <c r="A6653" s="19" t="s">
        <v>2891</v>
      </c>
      <c r="B6653" s="20" t="s">
        <v>18</v>
      </c>
      <c r="C6653" s="20" t="s">
        <v>321</v>
      </c>
      <c r="D6653" s="20" t="s">
        <v>2892</v>
      </c>
      <c r="E6653" s="21"/>
      <c r="F6653" s="22">
        <f>F6664</f>
        <v>60.45</v>
      </c>
      <c r="G6653" s="21"/>
    </row>
    <row r="6654" ht="48.75" customHeight="1">
      <c r="A6654" s="11"/>
      <c r="B6654" s="11"/>
      <c r="C6654" s="11"/>
      <c r="D6654" s="10" t="s">
        <v>2893</v>
      </c>
    </row>
    <row r="6655" ht="30.0" customHeight="1">
      <c r="A6655" s="10" t="s">
        <v>2857</v>
      </c>
      <c r="B6655" s="10" t="s">
        <v>42</v>
      </c>
      <c r="C6655" s="10" t="s">
        <v>344</v>
      </c>
      <c r="D6655" s="10" t="s">
        <v>2858</v>
      </c>
      <c r="E6655" s="14">
        <v>8.0</v>
      </c>
      <c r="F6655" s="15">
        <f>ROUND(1.19,3)</f>
        <v>1.19</v>
      </c>
      <c r="G6655" s="12">
        <f t="shared" ref="G6655:G6662" si="1020">ROUND(E6655*F6655,2)</f>
        <v>9.52</v>
      </c>
    </row>
    <row r="6656" ht="30.0" customHeight="1">
      <c r="A6656" s="10" t="s">
        <v>2694</v>
      </c>
      <c r="B6656" s="10" t="s">
        <v>42</v>
      </c>
      <c r="C6656" s="10" t="s">
        <v>184</v>
      </c>
      <c r="D6656" s="10" t="s">
        <v>2695</v>
      </c>
      <c r="E6656" s="14">
        <v>0.1232</v>
      </c>
      <c r="F6656" s="15">
        <f>ROUND(15.43,3)</f>
        <v>15.43</v>
      </c>
      <c r="G6656" s="12">
        <f t="shared" si="1020"/>
        <v>1.9</v>
      </c>
    </row>
    <row r="6657" ht="30.0" customHeight="1">
      <c r="A6657" s="10" t="s">
        <v>2053</v>
      </c>
      <c r="B6657" s="10" t="s">
        <v>42</v>
      </c>
      <c r="C6657" s="10" t="s">
        <v>184</v>
      </c>
      <c r="D6657" s="10" t="s">
        <v>2054</v>
      </c>
      <c r="E6657" s="14">
        <v>0.05068</v>
      </c>
      <c r="F6657" s="15">
        <f>ROUND(11.74,3)</f>
        <v>11.74</v>
      </c>
      <c r="G6657" s="12">
        <f t="shared" si="1020"/>
        <v>0.59</v>
      </c>
    </row>
    <row r="6658" ht="24.0" customHeight="1">
      <c r="A6658" s="10" t="s">
        <v>286</v>
      </c>
      <c r="B6658" s="10" t="s">
        <v>18</v>
      </c>
      <c r="C6658" s="10" t="s">
        <v>23</v>
      </c>
      <c r="D6658" s="10" t="s">
        <v>287</v>
      </c>
      <c r="E6658" s="14">
        <v>0.95</v>
      </c>
      <c r="F6658" s="15">
        <f>F6662</f>
        <v>49.5</v>
      </c>
      <c r="G6658" s="12">
        <f t="shared" si="1020"/>
        <v>47.03</v>
      </c>
    </row>
    <row r="6659" ht="24.0" customHeight="1">
      <c r="A6659" s="10" t="s">
        <v>288</v>
      </c>
      <c r="B6659" s="10" t="s">
        <v>26</v>
      </c>
      <c r="C6659" s="10" t="s">
        <v>23</v>
      </c>
      <c r="D6659" s="10" t="s">
        <v>289</v>
      </c>
      <c r="E6659" s="14">
        <v>1.0</v>
      </c>
      <c r="F6659" s="15">
        <f>ROUND(21,3)</f>
        <v>21</v>
      </c>
      <c r="G6659" s="12">
        <f t="shared" si="1020"/>
        <v>21</v>
      </c>
    </row>
    <row r="6660" ht="24.0" customHeight="1">
      <c r="A6660" s="10" t="s">
        <v>290</v>
      </c>
      <c r="B6660" s="10" t="s">
        <v>26</v>
      </c>
      <c r="C6660" s="10" t="s">
        <v>23</v>
      </c>
      <c r="D6660" s="10" t="s">
        <v>291</v>
      </c>
      <c r="E6660" s="14">
        <v>1.0</v>
      </c>
      <c r="F6660" s="15">
        <f t="shared" ref="F6660:F6661" si="1021">ROUND(19,3)</f>
        <v>19</v>
      </c>
      <c r="G6660" s="12">
        <f t="shared" si="1020"/>
        <v>19</v>
      </c>
    </row>
    <row r="6661" ht="24.0" customHeight="1">
      <c r="A6661" s="10" t="s">
        <v>292</v>
      </c>
      <c r="B6661" s="10" t="s">
        <v>26</v>
      </c>
      <c r="C6661" s="10" t="s">
        <v>23</v>
      </c>
      <c r="D6661" s="10" t="s">
        <v>293</v>
      </c>
      <c r="E6661" s="14">
        <v>0.5</v>
      </c>
      <c r="F6661" s="15">
        <f t="shared" si="1021"/>
        <v>19</v>
      </c>
      <c r="G6661" s="12">
        <f t="shared" si="1020"/>
        <v>9.5</v>
      </c>
    </row>
    <row r="6662" ht="15.0" customHeight="1">
      <c r="A6662" s="11"/>
      <c r="B6662" s="11"/>
      <c r="C6662" s="11"/>
      <c r="D6662" s="10" t="s">
        <v>286</v>
      </c>
      <c r="E6662" s="14">
        <v>0.95</v>
      </c>
      <c r="F6662" s="15">
        <f>ROUND((G6659+G6660+G6661),3)</f>
        <v>49.5</v>
      </c>
      <c r="G6662" s="12">
        <f t="shared" si="1020"/>
        <v>47.03</v>
      </c>
    </row>
    <row r="6663" ht="15.0" customHeight="1">
      <c r="A6663" s="10" t="s">
        <v>32</v>
      </c>
      <c r="B6663" s="10"/>
      <c r="C6663" s="10" t="s">
        <v>33</v>
      </c>
      <c r="D6663" s="10" t="s">
        <v>34</v>
      </c>
      <c r="E6663" s="14">
        <v>3.0</v>
      </c>
      <c r="F6663" s="15">
        <f>ROUND(47.03,3)</f>
        <v>47.03</v>
      </c>
      <c r="G6663" s="12">
        <f>ROUND((E6663*F6663)/100,2)</f>
        <v>1.41</v>
      </c>
    </row>
    <row r="6664" ht="15.0" customHeight="1">
      <c r="A6664" s="16"/>
      <c r="B6664" s="16"/>
      <c r="C6664" s="16"/>
      <c r="D6664" s="17" t="s">
        <v>2891</v>
      </c>
      <c r="E6664" s="16"/>
      <c r="F6664" s="18">
        <f>ROUND((G6655+G6656+G6657+G6658+G6663)*(1+G2/100),2)</f>
        <v>60.45</v>
      </c>
      <c r="G6664" s="16"/>
    </row>
    <row r="6665" ht="21.0" customHeight="1">
      <c r="A6665" s="19" t="s">
        <v>2894</v>
      </c>
      <c r="B6665" s="20" t="s">
        <v>18</v>
      </c>
      <c r="C6665" s="20" t="s">
        <v>321</v>
      </c>
      <c r="D6665" s="20" t="s">
        <v>2895</v>
      </c>
      <c r="E6665" s="21"/>
      <c r="F6665" s="22">
        <f>F6676</f>
        <v>34.33</v>
      </c>
      <c r="G6665" s="21"/>
    </row>
    <row r="6666" ht="39.75" customHeight="1">
      <c r="A6666" s="11"/>
      <c r="B6666" s="11"/>
      <c r="C6666" s="11"/>
      <c r="D6666" s="10" t="s">
        <v>2836</v>
      </c>
    </row>
    <row r="6667" ht="30.0" customHeight="1">
      <c r="A6667" s="10" t="s">
        <v>2857</v>
      </c>
      <c r="B6667" s="10" t="s">
        <v>42</v>
      </c>
      <c r="C6667" s="10" t="s">
        <v>344</v>
      </c>
      <c r="D6667" s="10" t="s">
        <v>2858</v>
      </c>
      <c r="E6667" s="14">
        <v>4.0</v>
      </c>
      <c r="F6667" s="15">
        <f>ROUND(1.19,3)</f>
        <v>1.19</v>
      </c>
      <c r="G6667" s="12">
        <f t="shared" ref="G6667:G6674" si="1022">ROUND(E6667*F6667,2)</f>
        <v>4.76</v>
      </c>
    </row>
    <row r="6668" ht="30.0" customHeight="1">
      <c r="A6668" s="10" t="s">
        <v>2694</v>
      </c>
      <c r="B6668" s="10" t="s">
        <v>42</v>
      </c>
      <c r="C6668" s="10" t="s">
        <v>184</v>
      </c>
      <c r="D6668" s="10" t="s">
        <v>2695</v>
      </c>
      <c r="E6668" s="14">
        <v>0.1232</v>
      </c>
      <c r="F6668" s="15">
        <f>ROUND(15.43,3)</f>
        <v>15.43</v>
      </c>
      <c r="G6668" s="12">
        <f t="shared" si="1022"/>
        <v>1.9</v>
      </c>
    </row>
    <row r="6669" ht="30.0" customHeight="1">
      <c r="A6669" s="10" t="s">
        <v>2053</v>
      </c>
      <c r="B6669" s="10" t="s">
        <v>42</v>
      </c>
      <c r="C6669" s="10" t="s">
        <v>184</v>
      </c>
      <c r="D6669" s="10" t="s">
        <v>2054</v>
      </c>
      <c r="E6669" s="14">
        <v>0.05069</v>
      </c>
      <c r="F6669" s="15">
        <f>ROUND(11.74,3)</f>
        <v>11.74</v>
      </c>
      <c r="G6669" s="12">
        <f t="shared" si="1022"/>
        <v>0.6</v>
      </c>
    </row>
    <row r="6670" ht="21.0" customHeight="1">
      <c r="A6670" s="10" t="s">
        <v>22</v>
      </c>
      <c r="B6670" s="10" t="s">
        <v>18</v>
      </c>
      <c r="C6670" s="10" t="s">
        <v>23</v>
      </c>
      <c r="D6670" s="10" t="s">
        <v>24</v>
      </c>
      <c r="E6670" s="14">
        <v>0.6</v>
      </c>
      <c r="F6670" s="15">
        <f>F6674</f>
        <v>43.8</v>
      </c>
      <c r="G6670" s="12">
        <f t="shared" si="1022"/>
        <v>26.28</v>
      </c>
    </row>
    <row r="6671" ht="24.0" customHeight="1">
      <c r="A6671" s="10" t="s">
        <v>25</v>
      </c>
      <c r="B6671" s="10" t="s">
        <v>26</v>
      </c>
      <c r="C6671" s="10" t="s">
        <v>23</v>
      </c>
      <c r="D6671" s="10" t="s">
        <v>27</v>
      </c>
      <c r="E6671" s="14">
        <v>1.0</v>
      </c>
      <c r="F6671" s="15">
        <f>ROUND(21,3)</f>
        <v>21</v>
      </c>
      <c r="G6671" s="12">
        <f t="shared" si="1022"/>
        <v>21</v>
      </c>
    </row>
    <row r="6672" ht="24.0" customHeight="1">
      <c r="A6672" s="10" t="s">
        <v>28</v>
      </c>
      <c r="B6672" s="10" t="s">
        <v>26</v>
      </c>
      <c r="C6672" s="10" t="s">
        <v>23</v>
      </c>
      <c r="D6672" s="10" t="s">
        <v>29</v>
      </c>
      <c r="E6672" s="14">
        <v>1.0</v>
      </c>
      <c r="F6672" s="15">
        <f t="shared" ref="F6672:F6673" si="1023">ROUND(19,3)</f>
        <v>19</v>
      </c>
      <c r="G6672" s="12">
        <f t="shared" si="1022"/>
        <v>19</v>
      </c>
    </row>
    <row r="6673" ht="24.0" customHeight="1">
      <c r="A6673" s="10" t="s">
        <v>30</v>
      </c>
      <c r="B6673" s="10" t="s">
        <v>26</v>
      </c>
      <c r="C6673" s="10" t="s">
        <v>23</v>
      </c>
      <c r="D6673" s="10" t="s">
        <v>31</v>
      </c>
      <c r="E6673" s="14">
        <v>0.2</v>
      </c>
      <c r="F6673" s="15">
        <f t="shared" si="1023"/>
        <v>19</v>
      </c>
      <c r="G6673" s="12">
        <f t="shared" si="1022"/>
        <v>3.8</v>
      </c>
    </row>
    <row r="6674" ht="15.0" customHeight="1">
      <c r="A6674" s="11"/>
      <c r="B6674" s="11"/>
      <c r="C6674" s="11"/>
      <c r="D6674" s="10" t="s">
        <v>22</v>
      </c>
      <c r="E6674" s="14">
        <v>0.6</v>
      </c>
      <c r="F6674" s="15">
        <f>ROUND((G6671+G6672+G6673),3)</f>
        <v>43.8</v>
      </c>
      <c r="G6674" s="12">
        <f t="shared" si="1022"/>
        <v>26.28</v>
      </c>
    </row>
    <row r="6675" ht="15.0" customHeight="1">
      <c r="A6675" s="10" t="s">
        <v>32</v>
      </c>
      <c r="B6675" s="10"/>
      <c r="C6675" s="10" t="s">
        <v>33</v>
      </c>
      <c r="D6675" s="10" t="s">
        <v>34</v>
      </c>
      <c r="E6675" s="14">
        <v>3.0</v>
      </c>
      <c r="F6675" s="15">
        <f>ROUND(26.28,3)</f>
        <v>26.28</v>
      </c>
      <c r="G6675" s="12">
        <f>ROUND((E6675*F6675)/100,2)</f>
        <v>0.79</v>
      </c>
    </row>
    <row r="6676" ht="15.0" customHeight="1">
      <c r="A6676" s="16"/>
      <c r="B6676" s="16"/>
      <c r="C6676" s="16"/>
      <c r="D6676" s="17" t="s">
        <v>2894</v>
      </c>
      <c r="E6676" s="16"/>
      <c r="F6676" s="18">
        <f>ROUND((G6667+G6668+G6669+G6670+G6675)*(1+G2/100),2)</f>
        <v>34.33</v>
      </c>
      <c r="G6676" s="16"/>
    </row>
    <row r="6677" ht="30.0" customHeight="1">
      <c r="A6677" s="19" t="s">
        <v>2896</v>
      </c>
      <c r="B6677" s="20" t="s">
        <v>18</v>
      </c>
      <c r="C6677" s="20" t="s">
        <v>321</v>
      </c>
      <c r="D6677" s="20" t="s">
        <v>2897</v>
      </c>
      <c r="E6677" s="21"/>
      <c r="F6677" s="22">
        <f>F6688</f>
        <v>47.86</v>
      </c>
      <c r="G6677" s="21"/>
    </row>
    <row r="6678" ht="39.75" customHeight="1">
      <c r="A6678" s="11"/>
      <c r="B6678" s="11"/>
      <c r="C6678" s="11"/>
      <c r="D6678" s="10" t="s">
        <v>2898</v>
      </c>
    </row>
    <row r="6679" ht="30.0" customHeight="1">
      <c r="A6679" s="10" t="s">
        <v>2857</v>
      </c>
      <c r="B6679" s="10" t="s">
        <v>42</v>
      </c>
      <c r="C6679" s="10" t="s">
        <v>344</v>
      </c>
      <c r="D6679" s="10" t="s">
        <v>2858</v>
      </c>
      <c r="E6679" s="14">
        <v>4.0</v>
      </c>
      <c r="F6679" s="15">
        <f>ROUND(1.19,3)</f>
        <v>1.19</v>
      </c>
      <c r="G6679" s="12">
        <f t="shared" ref="G6679:G6686" si="1024">ROUND(E6679*F6679,2)</f>
        <v>4.76</v>
      </c>
    </row>
    <row r="6680" ht="30.0" customHeight="1">
      <c r="A6680" s="10" t="s">
        <v>2694</v>
      </c>
      <c r="B6680" s="10" t="s">
        <v>42</v>
      </c>
      <c r="C6680" s="10" t="s">
        <v>184</v>
      </c>
      <c r="D6680" s="10" t="s">
        <v>2695</v>
      </c>
      <c r="E6680" s="14">
        <v>0.1232</v>
      </c>
      <c r="F6680" s="15">
        <f>ROUND(15.43,3)</f>
        <v>15.43</v>
      </c>
      <c r="G6680" s="12">
        <f t="shared" si="1024"/>
        <v>1.9</v>
      </c>
    </row>
    <row r="6681" ht="30.0" customHeight="1">
      <c r="A6681" s="10" t="s">
        <v>2053</v>
      </c>
      <c r="B6681" s="10" t="s">
        <v>42</v>
      </c>
      <c r="C6681" s="10" t="s">
        <v>184</v>
      </c>
      <c r="D6681" s="10" t="s">
        <v>2054</v>
      </c>
      <c r="E6681" s="14">
        <v>0.05069</v>
      </c>
      <c r="F6681" s="15">
        <f>ROUND(11.74,3)</f>
        <v>11.74</v>
      </c>
      <c r="G6681" s="12">
        <f t="shared" si="1024"/>
        <v>0.6</v>
      </c>
    </row>
    <row r="6682" ht="21.0" customHeight="1">
      <c r="A6682" s="10" t="s">
        <v>22</v>
      </c>
      <c r="B6682" s="10" t="s">
        <v>18</v>
      </c>
      <c r="C6682" s="10" t="s">
        <v>23</v>
      </c>
      <c r="D6682" s="10" t="s">
        <v>24</v>
      </c>
      <c r="E6682" s="14">
        <v>0.9</v>
      </c>
      <c r="F6682" s="15">
        <f>F6686</f>
        <v>43.8</v>
      </c>
      <c r="G6682" s="12">
        <f t="shared" si="1024"/>
        <v>39.42</v>
      </c>
    </row>
    <row r="6683" ht="24.0" customHeight="1">
      <c r="A6683" s="10" t="s">
        <v>25</v>
      </c>
      <c r="B6683" s="10" t="s">
        <v>26</v>
      </c>
      <c r="C6683" s="10" t="s">
        <v>23</v>
      </c>
      <c r="D6683" s="10" t="s">
        <v>27</v>
      </c>
      <c r="E6683" s="14">
        <v>1.0</v>
      </c>
      <c r="F6683" s="15">
        <f>ROUND(21,3)</f>
        <v>21</v>
      </c>
      <c r="G6683" s="12">
        <f t="shared" si="1024"/>
        <v>21</v>
      </c>
    </row>
    <row r="6684" ht="24.0" customHeight="1">
      <c r="A6684" s="10" t="s">
        <v>28</v>
      </c>
      <c r="B6684" s="10" t="s">
        <v>26</v>
      </c>
      <c r="C6684" s="10" t="s">
        <v>23</v>
      </c>
      <c r="D6684" s="10" t="s">
        <v>29</v>
      </c>
      <c r="E6684" s="14">
        <v>1.0</v>
      </c>
      <c r="F6684" s="15">
        <f t="shared" ref="F6684:F6685" si="1025">ROUND(19,3)</f>
        <v>19</v>
      </c>
      <c r="G6684" s="12">
        <f t="shared" si="1024"/>
        <v>19</v>
      </c>
    </row>
    <row r="6685" ht="24.0" customHeight="1">
      <c r="A6685" s="10" t="s">
        <v>30</v>
      </c>
      <c r="B6685" s="10" t="s">
        <v>26</v>
      </c>
      <c r="C6685" s="10" t="s">
        <v>23</v>
      </c>
      <c r="D6685" s="10" t="s">
        <v>31</v>
      </c>
      <c r="E6685" s="14">
        <v>0.2</v>
      </c>
      <c r="F6685" s="15">
        <f t="shared" si="1025"/>
        <v>19</v>
      </c>
      <c r="G6685" s="12">
        <f t="shared" si="1024"/>
        <v>3.8</v>
      </c>
    </row>
    <row r="6686" ht="15.0" customHeight="1">
      <c r="A6686" s="11"/>
      <c r="B6686" s="11"/>
      <c r="C6686" s="11"/>
      <c r="D6686" s="10" t="s">
        <v>22</v>
      </c>
      <c r="E6686" s="14">
        <v>0.9</v>
      </c>
      <c r="F6686" s="15">
        <f>ROUND((G6683+G6684+G6685),3)</f>
        <v>43.8</v>
      </c>
      <c r="G6686" s="12">
        <f t="shared" si="1024"/>
        <v>39.42</v>
      </c>
    </row>
    <row r="6687" ht="15.0" customHeight="1">
      <c r="A6687" s="10" t="s">
        <v>32</v>
      </c>
      <c r="B6687" s="10"/>
      <c r="C6687" s="10" t="s">
        <v>33</v>
      </c>
      <c r="D6687" s="10" t="s">
        <v>34</v>
      </c>
      <c r="E6687" s="14">
        <v>3.0</v>
      </c>
      <c r="F6687" s="15">
        <f>ROUND(39.42,3)</f>
        <v>39.42</v>
      </c>
      <c r="G6687" s="12">
        <f>ROUND((E6687*F6687)/100,2)</f>
        <v>1.18</v>
      </c>
    </row>
    <row r="6688" ht="15.0" customHeight="1">
      <c r="A6688" s="16"/>
      <c r="B6688" s="16"/>
      <c r="C6688" s="16"/>
      <c r="D6688" s="17" t="s">
        <v>2896</v>
      </c>
      <c r="E6688" s="16"/>
      <c r="F6688" s="18">
        <f>ROUND((G6679+G6680+G6681+G6682+G6687)*(1+G2/100),2)</f>
        <v>47.86</v>
      </c>
      <c r="G6688" s="16"/>
    </row>
    <row r="6689" ht="30.0" customHeight="1">
      <c r="A6689" s="19" t="s">
        <v>2899</v>
      </c>
      <c r="B6689" s="20" t="s">
        <v>18</v>
      </c>
      <c r="C6689" s="20" t="s">
        <v>321</v>
      </c>
      <c r="D6689" s="20" t="s">
        <v>2900</v>
      </c>
      <c r="E6689" s="21"/>
      <c r="F6689" s="22">
        <f>F6700</f>
        <v>48.77</v>
      </c>
      <c r="G6689" s="21"/>
    </row>
    <row r="6690" ht="21.0" customHeight="1">
      <c r="A6690" s="11"/>
      <c r="B6690" s="11"/>
      <c r="C6690" s="11"/>
      <c r="D6690" s="10" t="s">
        <v>2901</v>
      </c>
    </row>
    <row r="6691" ht="30.0" customHeight="1">
      <c r="A6691" s="10" t="s">
        <v>2902</v>
      </c>
      <c r="B6691" s="10" t="s">
        <v>42</v>
      </c>
      <c r="C6691" s="10" t="s">
        <v>344</v>
      </c>
      <c r="D6691" s="10" t="s">
        <v>2903</v>
      </c>
      <c r="E6691" s="14">
        <v>3.0</v>
      </c>
      <c r="F6691" s="15">
        <f>ROUND(7.55,3)</f>
        <v>7.55</v>
      </c>
      <c r="G6691" s="12">
        <f t="shared" ref="G6691:G6698" si="1026">ROUND(E6691*F6691,2)</f>
        <v>22.65</v>
      </c>
    </row>
    <row r="6692" ht="30.0" customHeight="1">
      <c r="A6692" s="10" t="s">
        <v>2694</v>
      </c>
      <c r="B6692" s="10" t="s">
        <v>42</v>
      </c>
      <c r="C6692" s="10" t="s">
        <v>184</v>
      </c>
      <c r="D6692" s="10" t="s">
        <v>2695</v>
      </c>
      <c r="E6692" s="14">
        <v>0.066</v>
      </c>
      <c r="F6692" s="15">
        <f>ROUND(15.43,3)</f>
        <v>15.43</v>
      </c>
      <c r="G6692" s="12">
        <f t="shared" si="1026"/>
        <v>1.02</v>
      </c>
    </row>
    <row r="6693" ht="30.0" customHeight="1">
      <c r="A6693" s="10" t="s">
        <v>2053</v>
      </c>
      <c r="B6693" s="10" t="s">
        <v>42</v>
      </c>
      <c r="C6693" s="10" t="s">
        <v>184</v>
      </c>
      <c r="D6693" s="10" t="s">
        <v>2054</v>
      </c>
      <c r="E6693" s="14">
        <v>0.02451</v>
      </c>
      <c r="F6693" s="15">
        <f>ROUND(11.74,3)</f>
        <v>11.74</v>
      </c>
      <c r="G6693" s="12">
        <f t="shared" si="1026"/>
        <v>0.29</v>
      </c>
    </row>
    <row r="6694" ht="21.0" customHeight="1">
      <c r="A6694" s="10" t="s">
        <v>22</v>
      </c>
      <c r="B6694" s="10" t="s">
        <v>18</v>
      </c>
      <c r="C6694" s="10" t="s">
        <v>23</v>
      </c>
      <c r="D6694" s="10" t="s">
        <v>24</v>
      </c>
      <c r="E6694" s="14">
        <v>0.55</v>
      </c>
      <c r="F6694" s="15">
        <f>F6698</f>
        <v>43.8</v>
      </c>
      <c r="G6694" s="12">
        <f t="shared" si="1026"/>
        <v>24.09</v>
      </c>
    </row>
    <row r="6695" ht="24.0" customHeight="1">
      <c r="A6695" s="10" t="s">
        <v>25</v>
      </c>
      <c r="B6695" s="10" t="s">
        <v>26</v>
      </c>
      <c r="C6695" s="10" t="s">
        <v>23</v>
      </c>
      <c r="D6695" s="10" t="s">
        <v>27</v>
      </c>
      <c r="E6695" s="14">
        <v>1.0</v>
      </c>
      <c r="F6695" s="15">
        <f>ROUND(21,3)</f>
        <v>21</v>
      </c>
      <c r="G6695" s="12">
        <f t="shared" si="1026"/>
        <v>21</v>
      </c>
    </row>
    <row r="6696" ht="24.0" customHeight="1">
      <c r="A6696" s="10" t="s">
        <v>28</v>
      </c>
      <c r="B6696" s="10" t="s">
        <v>26</v>
      </c>
      <c r="C6696" s="10" t="s">
        <v>23</v>
      </c>
      <c r="D6696" s="10" t="s">
        <v>29</v>
      </c>
      <c r="E6696" s="14">
        <v>1.0</v>
      </c>
      <c r="F6696" s="15">
        <f t="shared" ref="F6696:F6697" si="1027">ROUND(19,3)</f>
        <v>19</v>
      </c>
      <c r="G6696" s="12">
        <f t="shared" si="1026"/>
        <v>19</v>
      </c>
    </row>
    <row r="6697" ht="24.0" customHeight="1">
      <c r="A6697" s="10" t="s">
        <v>30</v>
      </c>
      <c r="B6697" s="10" t="s">
        <v>26</v>
      </c>
      <c r="C6697" s="10" t="s">
        <v>23</v>
      </c>
      <c r="D6697" s="10" t="s">
        <v>31</v>
      </c>
      <c r="E6697" s="14">
        <v>0.2</v>
      </c>
      <c r="F6697" s="15">
        <f t="shared" si="1027"/>
        <v>19</v>
      </c>
      <c r="G6697" s="12">
        <f t="shared" si="1026"/>
        <v>3.8</v>
      </c>
    </row>
    <row r="6698" ht="15.0" customHeight="1">
      <c r="A6698" s="11"/>
      <c r="B6698" s="11"/>
      <c r="C6698" s="11"/>
      <c r="D6698" s="10" t="s">
        <v>22</v>
      </c>
      <c r="E6698" s="14">
        <v>0.55</v>
      </c>
      <c r="F6698" s="15">
        <f>ROUND((G6695+G6696+G6697),3)</f>
        <v>43.8</v>
      </c>
      <c r="G6698" s="12">
        <f t="shared" si="1026"/>
        <v>24.09</v>
      </c>
    </row>
    <row r="6699" ht="15.0" customHeight="1">
      <c r="A6699" s="10" t="s">
        <v>32</v>
      </c>
      <c r="B6699" s="10"/>
      <c r="C6699" s="10" t="s">
        <v>33</v>
      </c>
      <c r="D6699" s="10" t="s">
        <v>34</v>
      </c>
      <c r="E6699" s="14">
        <v>3.0</v>
      </c>
      <c r="F6699" s="15">
        <f>ROUND(24.09,3)</f>
        <v>24.09</v>
      </c>
      <c r="G6699" s="12">
        <f>ROUND((E6699*F6699)/100,2)</f>
        <v>0.72</v>
      </c>
    </row>
    <row r="6700" ht="15.0" customHeight="1">
      <c r="A6700" s="16"/>
      <c r="B6700" s="16"/>
      <c r="C6700" s="16"/>
      <c r="D6700" s="17" t="s">
        <v>2899</v>
      </c>
      <c r="E6700" s="16"/>
      <c r="F6700" s="18">
        <f>ROUND((G6691+G6692+G6693+G6694+G6699)*(1+G2/100),2)</f>
        <v>48.77</v>
      </c>
      <c r="G6700" s="16"/>
    </row>
    <row r="6701" ht="39.75" customHeight="1">
      <c r="A6701" s="19" t="s">
        <v>2904</v>
      </c>
      <c r="B6701" s="20" t="s">
        <v>18</v>
      </c>
      <c r="C6701" s="20" t="s">
        <v>321</v>
      </c>
      <c r="D6701" s="20" t="s">
        <v>2905</v>
      </c>
      <c r="E6701" s="21"/>
      <c r="F6701" s="22">
        <f>F6712</f>
        <v>66.03</v>
      </c>
      <c r="G6701" s="21"/>
    </row>
    <row r="6702" ht="21.0" customHeight="1">
      <c r="A6702" s="11"/>
      <c r="B6702" s="11"/>
      <c r="C6702" s="11"/>
      <c r="D6702" s="10" t="s">
        <v>2906</v>
      </c>
    </row>
    <row r="6703" ht="30.0" customHeight="1">
      <c r="A6703" s="10" t="s">
        <v>2902</v>
      </c>
      <c r="B6703" s="10" t="s">
        <v>42</v>
      </c>
      <c r="C6703" s="10" t="s">
        <v>344</v>
      </c>
      <c r="D6703" s="10" t="s">
        <v>2903</v>
      </c>
      <c r="E6703" s="14">
        <v>3.0</v>
      </c>
      <c r="F6703" s="15">
        <f>ROUND(7.55,3)</f>
        <v>7.55</v>
      </c>
      <c r="G6703" s="12">
        <f t="shared" ref="G6703:G6710" si="1028">ROUND(E6703*F6703,2)</f>
        <v>22.65</v>
      </c>
    </row>
    <row r="6704" ht="30.0" customHeight="1">
      <c r="A6704" s="10" t="s">
        <v>2694</v>
      </c>
      <c r="B6704" s="10" t="s">
        <v>42</v>
      </c>
      <c r="C6704" s="10" t="s">
        <v>184</v>
      </c>
      <c r="D6704" s="10" t="s">
        <v>2695</v>
      </c>
      <c r="E6704" s="14">
        <v>0.066</v>
      </c>
      <c r="F6704" s="15">
        <f>ROUND(15.43,3)</f>
        <v>15.43</v>
      </c>
      <c r="G6704" s="12">
        <f t="shared" si="1028"/>
        <v>1.02</v>
      </c>
    </row>
    <row r="6705" ht="30.0" customHeight="1">
      <c r="A6705" s="10" t="s">
        <v>2053</v>
      </c>
      <c r="B6705" s="10" t="s">
        <v>42</v>
      </c>
      <c r="C6705" s="10" t="s">
        <v>184</v>
      </c>
      <c r="D6705" s="10" t="s">
        <v>2054</v>
      </c>
      <c r="E6705" s="14">
        <v>0.02451</v>
      </c>
      <c r="F6705" s="15">
        <f>ROUND(11.74,3)</f>
        <v>11.74</v>
      </c>
      <c r="G6705" s="12">
        <f t="shared" si="1028"/>
        <v>0.29</v>
      </c>
    </row>
    <row r="6706" ht="24.0" customHeight="1">
      <c r="A6706" s="10" t="s">
        <v>286</v>
      </c>
      <c r="B6706" s="10" t="s">
        <v>18</v>
      </c>
      <c r="C6706" s="10" t="s">
        <v>23</v>
      </c>
      <c r="D6706" s="10" t="s">
        <v>287</v>
      </c>
      <c r="E6706" s="14">
        <v>0.825</v>
      </c>
      <c r="F6706" s="15">
        <f>F6710</f>
        <v>49.5</v>
      </c>
      <c r="G6706" s="12">
        <f t="shared" si="1028"/>
        <v>40.84</v>
      </c>
    </row>
    <row r="6707" ht="24.0" customHeight="1">
      <c r="A6707" s="10" t="s">
        <v>288</v>
      </c>
      <c r="B6707" s="10" t="s">
        <v>26</v>
      </c>
      <c r="C6707" s="10" t="s">
        <v>23</v>
      </c>
      <c r="D6707" s="10" t="s">
        <v>289</v>
      </c>
      <c r="E6707" s="14">
        <v>1.0</v>
      </c>
      <c r="F6707" s="15">
        <f>ROUND(21,3)</f>
        <v>21</v>
      </c>
      <c r="G6707" s="12">
        <f t="shared" si="1028"/>
        <v>21</v>
      </c>
    </row>
    <row r="6708" ht="24.0" customHeight="1">
      <c r="A6708" s="10" t="s">
        <v>290</v>
      </c>
      <c r="B6708" s="10" t="s">
        <v>26</v>
      </c>
      <c r="C6708" s="10" t="s">
        <v>23</v>
      </c>
      <c r="D6708" s="10" t="s">
        <v>291</v>
      </c>
      <c r="E6708" s="14">
        <v>1.0</v>
      </c>
      <c r="F6708" s="15">
        <f t="shared" ref="F6708:F6709" si="1029">ROUND(19,3)</f>
        <v>19</v>
      </c>
      <c r="G6708" s="12">
        <f t="shared" si="1028"/>
        <v>19</v>
      </c>
    </row>
    <row r="6709" ht="24.0" customHeight="1">
      <c r="A6709" s="10" t="s">
        <v>292</v>
      </c>
      <c r="B6709" s="10" t="s">
        <v>26</v>
      </c>
      <c r="C6709" s="10" t="s">
        <v>23</v>
      </c>
      <c r="D6709" s="10" t="s">
        <v>293</v>
      </c>
      <c r="E6709" s="14">
        <v>0.5</v>
      </c>
      <c r="F6709" s="15">
        <f t="shared" si="1029"/>
        <v>19</v>
      </c>
      <c r="G6709" s="12">
        <f t="shared" si="1028"/>
        <v>9.5</v>
      </c>
    </row>
    <row r="6710" ht="15.0" customHeight="1">
      <c r="A6710" s="11"/>
      <c r="B6710" s="11"/>
      <c r="C6710" s="11"/>
      <c r="D6710" s="10" t="s">
        <v>286</v>
      </c>
      <c r="E6710" s="14">
        <v>0.825</v>
      </c>
      <c r="F6710" s="15">
        <f>ROUND((G6707+G6708+G6709),3)</f>
        <v>49.5</v>
      </c>
      <c r="G6710" s="12">
        <f t="shared" si="1028"/>
        <v>40.84</v>
      </c>
    </row>
    <row r="6711" ht="15.0" customHeight="1">
      <c r="A6711" s="10" t="s">
        <v>32</v>
      </c>
      <c r="B6711" s="10"/>
      <c r="C6711" s="10" t="s">
        <v>33</v>
      </c>
      <c r="D6711" s="10" t="s">
        <v>34</v>
      </c>
      <c r="E6711" s="14">
        <v>3.0</v>
      </c>
      <c r="F6711" s="15">
        <f>ROUND(40.84,3)</f>
        <v>40.84</v>
      </c>
      <c r="G6711" s="12">
        <f>ROUND((E6711*F6711)/100,2)</f>
        <v>1.23</v>
      </c>
    </row>
    <row r="6712" ht="15.0" customHeight="1">
      <c r="A6712" s="16"/>
      <c r="B6712" s="16"/>
      <c r="C6712" s="16"/>
      <c r="D6712" s="17" t="s">
        <v>2904</v>
      </c>
      <c r="E6712" s="16"/>
      <c r="F6712" s="18">
        <f>ROUND((G6703+G6704+G6705+G6706+G6711)*(1+G2/100),2)</f>
        <v>66.03</v>
      </c>
      <c r="G6712" s="16"/>
    </row>
    <row r="6713" ht="39.75" customHeight="1">
      <c r="A6713" s="19" t="s">
        <v>2907</v>
      </c>
      <c r="B6713" s="20" t="s">
        <v>18</v>
      </c>
      <c r="C6713" s="20" t="s">
        <v>321</v>
      </c>
      <c r="D6713" s="20" t="s">
        <v>2908</v>
      </c>
      <c r="E6713" s="21"/>
      <c r="F6713" s="22">
        <f>F6724</f>
        <v>68.91</v>
      </c>
      <c r="G6713" s="21"/>
    </row>
    <row r="6714" ht="21.0" customHeight="1">
      <c r="A6714" s="11"/>
      <c r="B6714" s="11"/>
      <c r="C6714" s="11"/>
      <c r="D6714" s="10" t="s">
        <v>2909</v>
      </c>
    </row>
    <row r="6715" ht="24.0" customHeight="1">
      <c r="A6715" s="10" t="s">
        <v>2910</v>
      </c>
      <c r="B6715" s="10" t="s">
        <v>42</v>
      </c>
      <c r="C6715" s="10" t="s">
        <v>344</v>
      </c>
      <c r="D6715" s="10" t="s">
        <v>2911</v>
      </c>
      <c r="E6715" s="14">
        <v>8.0</v>
      </c>
      <c r="F6715" s="15">
        <f>ROUND(5.2,3)</f>
        <v>5.2</v>
      </c>
      <c r="G6715" s="12">
        <f t="shared" ref="G6715:G6722" si="1030">ROUND(E6715*F6715,2)</f>
        <v>41.6</v>
      </c>
    </row>
    <row r="6716" ht="30.0" customHeight="1">
      <c r="A6716" s="10" t="s">
        <v>2694</v>
      </c>
      <c r="B6716" s="10" t="s">
        <v>42</v>
      </c>
      <c r="C6716" s="10" t="s">
        <v>184</v>
      </c>
      <c r="D6716" s="10" t="s">
        <v>2695</v>
      </c>
      <c r="E6716" s="14">
        <v>0.1232</v>
      </c>
      <c r="F6716" s="15">
        <f>ROUND(15.43,3)</f>
        <v>15.43</v>
      </c>
      <c r="G6716" s="12">
        <f t="shared" si="1030"/>
        <v>1.9</v>
      </c>
    </row>
    <row r="6717" ht="30.0" customHeight="1">
      <c r="A6717" s="10" t="s">
        <v>2053</v>
      </c>
      <c r="B6717" s="10" t="s">
        <v>42</v>
      </c>
      <c r="C6717" s="10" t="s">
        <v>184</v>
      </c>
      <c r="D6717" s="10" t="s">
        <v>2054</v>
      </c>
      <c r="E6717" s="14">
        <v>0.05069</v>
      </c>
      <c r="F6717" s="15">
        <f>ROUND(11.74,3)</f>
        <v>11.74</v>
      </c>
      <c r="G6717" s="12">
        <f t="shared" si="1030"/>
        <v>0.6</v>
      </c>
    </row>
    <row r="6718" ht="21.0" customHeight="1">
      <c r="A6718" s="10" t="s">
        <v>22</v>
      </c>
      <c r="B6718" s="10" t="s">
        <v>18</v>
      </c>
      <c r="C6718" s="10" t="s">
        <v>23</v>
      </c>
      <c r="D6718" s="10" t="s">
        <v>24</v>
      </c>
      <c r="E6718" s="14">
        <v>0.55</v>
      </c>
      <c r="F6718" s="15">
        <f>F6722</f>
        <v>43.8</v>
      </c>
      <c r="G6718" s="12">
        <f t="shared" si="1030"/>
        <v>24.09</v>
      </c>
    </row>
    <row r="6719" ht="24.0" customHeight="1">
      <c r="A6719" s="10" t="s">
        <v>25</v>
      </c>
      <c r="B6719" s="10" t="s">
        <v>26</v>
      </c>
      <c r="C6719" s="10" t="s">
        <v>23</v>
      </c>
      <c r="D6719" s="10" t="s">
        <v>27</v>
      </c>
      <c r="E6719" s="14">
        <v>1.0</v>
      </c>
      <c r="F6719" s="15">
        <f>ROUND(21,3)</f>
        <v>21</v>
      </c>
      <c r="G6719" s="12">
        <f t="shared" si="1030"/>
        <v>21</v>
      </c>
    </row>
    <row r="6720" ht="24.0" customHeight="1">
      <c r="A6720" s="10" t="s">
        <v>28</v>
      </c>
      <c r="B6720" s="10" t="s">
        <v>26</v>
      </c>
      <c r="C6720" s="10" t="s">
        <v>23</v>
      </c>
      <c r="D6720" s="10" t="s">
        <v>29</v>
      </c>
      <c r="E6720" s="14">
        <v>1.0</v>
      </c>
      <c r="F6720" s="15">
        <f t="shared" ref="F6720:F6721" si="1031">ROUND(19,3)</f>
        <v>19</v>
      </c>
      <c r="G6720" s="12">
        <f t="shared" si="1030"/>
        <v>19</v>
      </c>
    </row>
    <row r="6721" ht="24.0" customHeight="1">
      <c r="A6721" s="10" t="s">
        <v>30</v>
      </c>
      <c r="B6721" s="10" t="s">
        <v>26</v>
      </c>
      <c r="C6721" s="10" t="s">
        <v>23</v>
      </c>
      <c r="D6721" s="10" t="s">
        <v>31</v>
      </c>
      <c r="E6721" s="14">
        <v>0.2</v>
      </c>
      <c r="F6721" s="15">
        <f t="shared" si="1031"/>
        <v>19</v>
      </c>
      <c r="G6721" s="12">
        <f t="shared" si="1030"/>
        <v>3.8</v>
      </c>
    </row>
    <row r="6722" ht="15.0" customHeight="1">
      <c r="A6722" s="11"/>
      <c r="B6722" s="11"/>
      <c r="C6722" s="11"/>
      <c r="D6722" s="10" t="s">
        <v>22</v>
      </c>
      <c r="E6722" s="14">
        <v>0.55</v>
      </c>
      <c r="F6722" s="15">
        <f>ROUND((G6719+G6720+G6721),3)</f>
        <v>43.8</v>
      </c>
      <c r="G6722" s="12">
        <f t="shared" si="1030"/>
        <v>24.09</v>
      </c>
    </row>
    <row r="6723" ht="15.0" customHeight="1">
      <c r="A6723" s="10" t="s">
        <v>32</v>
      </c>
      <c r="B6723" s="10"/>
      <c r="C6723" s="10" t="s">
        <v>33</v>
      </c>
      <c r="D6723" s="10" t="s">
        <v>34</v>
      </c>
      <c r="E6723" s="14">
        <v>3.0</v>
      </c>
      <c r="F6723" s="15">
        <f>ROUND(24.09,3)</f>
        <v>24.09</v>
      </c>
      <c r="G6723" s="12">
        <f>ROUND((E6723*F6723)/100,2)</f>
        <v>0.72</v>
      </c>
    </row>
    <row r="6724" ht="15.0" customHeight="1">
      <c r="A6724" s="16"/>
      <c r="B6724" s="16"/>
      <c r="C6724" s="16"/>
      <c r="D6724" s="17" t="s">
        <v>2907</v>
      </c>
      <c r="E6724" s="16"/>
      <c r="F6724" s="18">
        <f>ROUND((G6715+G6716+G6717+G6718+G6723)*(1+G2/100),2)</f>
        <v>68.91</v>
      </c>
      <c r="G6724" s="16"/>
    </row>
    <row r="6725" ht="57.75" customHeight="1">
      <c r="A6725" s="19" t="s">
        <v>2912</v>
      </c>
      <c r="B6725" s="20" t="s">
        <v>18</v>
      </c>
      <c r="C6725" s="20" t="s">
        <v>321</v>
      </c>
      <c r="D6725" s="20" t="s">
        <v>2913</v>
      </c>
      <c r="E6725" s="21"/>
      <c r="F6725" s="22">
        <f>F6736</f>
        <v>81.32</v>
      </c>
      <c r="G6725" s="21"/>
    </row>
    <row r="6726" ht="30.0" customHeight="1">
      <c r="A6726" s="11"/>
      <c r="B6726" s="11"/>
      <c r="C6726" s="11"/>
      <c r="D6726" s="10" t="s">
        <v>2914</v>
      </c>
    </row>
    <row r="6727" ht="24.0" customHeight="1">
      <c r="A6727" s="10" t="s">
        <v>2910</v>
      </c>
      <c r="B6727" s="10" t="s">
        <v>42</v>
      </c>
      <c r="C6727" s="10" t="s">
        <v>344</v>
      </c>
      <c r="D6727" s="10" t="s">
        <v>2911</v>
      </c>
      <c r="E6727" s="14">
        <v>8.0</v>
      </c>
      <c r="F6727" s="15">
        <f>ROUND(5.2,3)</f>
        <v>5.2</v>
      </c>
      <c r="G6727" s="12">
        <f t="shared" ref="G6727:G6734" si="1032">ROUND(E6727*F6727,2)</f>
        <v>41.6</v>
      </c>
    </row>
    <row r="6728" ht="30.0" customHeight="1">
      <c r="A6728" s="10" t="s">
        <v>2694</v>
      </c>
      <c r="B6728" s="10" t="s">
        <v>42</v>
      </c>
      <c r="C6728" s="10" t="s">
        <v>184</v>
      </c>
      <c r="D6728" s="10" t="s">
        <v>2695</v>
      </c>
      <c r="E6728" s="14">
        <v>0.1232</v>
      </c>
      <c r="F6728" s="15">
        <f>ROUND(15.43,3)</f>
        <v>15.43</v>
      </c>
      <c r="G6728" s="12">
        <f t="shared" si="1032"/>
        <v>1.9</v>
      </c>
    </row>
    <row r="6729" ht="30.0" customHeight="1">
      <c r="A6729" s="10" t="s">
        <v>2053</v>
      </c>
      <c r="B6729" s="10" t="s">
        <v>42</v>
      </c>
      <c r="C6729" s="10" t="s">
        <v>184</v>
      </c>
      <c r="D6729" s="10" t="s">
        <v>2054</v>
      </c>
      <c r="E6729" s="14">
        <v>0.05069</v>
      </c>
      <c r="F6729" s="15">
        <f>ROUND(11.74,3)</f>
        <v>11.74</v>
      </c>
      <c r="G6729" s="12">
        <f t="shared" si="1032"/>
        <v>0.6</v>
      </c>
    </row>
    <row r="6730" ht="21.0" customHeight="1">
      <c r="A6730" s="10" t="s">
        <v>22</v>
      </c>
      <c r="B6730" s="10" t="s">
        <v>18</v>
      </c>
      <c r="C6730" s="10" t="s">
        <v>23</v>
      </c>
      <c r="D6730" s="10" t="s">
        <v>24</v>
      </c>
      <c r="E6730" s="14">
        <v>0.825</v>
      </c>
      <c r="F6730" s="15">
        <f>F6734</f>
        <v>43.8</v>
      </c>
      <c r="G6730" s="12">
        <f t="shared" si="1032"/>
        <v>36.14</v>
      </c>
    </row>
    <row r="6731" ht="24.0" customHeight="1">
      <c r="A6731" s="10" t="s">
        <v>25</v>
      </c>
      <c r="B6731" s="10" t="s">
        <v>26</v>
      </c>
      <c r="C6731" s="10" t="s">
        <v>23</v>
      </c>
      <c r="D6731" s="10" t="s">
        <v>27</v>
      </c>
      <c r="E6731" s="14">
        <v>1.0</v>
      </c>
      <c r="F6731" s="15">
        <f>ROUND(21,3)</f>
        <v>21</v>
      </c>
      <c r="G6731" s="12">
        <f t="shared" si="1032"/>
        <v>21</v>
      </c>
    </row>
    <row r="6732" ht="24.0" customHeight="1">
      <c r="A6732" s="10" t="s">
        <v>28</v>
      </c>
      <c r="B6732" s="10" t="s">
        <v>26</v>
      </c>
      <c r="C6732" s="10" t="s">
        <v>23</v>
      </c>
      <c r="D6732" s="10" t="s">
        <v>29</v>
      </c>
      <c r="E6732" s="14">
        <v>1.0</v>
      </c>
      <c r="F6732" s="15">
        <f t="shared" ref="F6732:F6733" si="1033">ROUND(19,3)</f>
        <v>19</v>
      </c>
      <c r="G6732" s="12">
        <f t="shared" si="1032"/>
        <v>19</v>
      </c>
    </row>
    <row r="6733" ht="24.0" customHeight="1">
      <c r="A6733" s="10" t="s">
        <v>30</v>
      </c>
      <c r="B6733" s="10" t="s">
        <v>26</v>
      </c>
      <c r="C6733" s="10" t="s">
        <v>23</v>
      </c>
      <c r="D6733" s="10" t="s">
        <v>31</v>
      </c>
      <c r="E6733" s="14">
        <v>0.2</v>
      </c>
      <c r="F6733" s="15">
        <f t="shared" si="1033"/>
        <v>19</v>
      </c>
      <c r="G6733" s="12">
        <f t="shared" si="1032"/>
        <v>3.8</v>
      </c>
    </row>
    <row r="6734" ht="15.0" customHeight="1">
      <c r="A6734" s="11"/>
      <c r="B6734" s="11"/>
      <c r="C6734" s="11"/>
      <c r="D6734" s="10" t="s">
        <v>22</v>
      </c>
      <c r="E6734" s="14">
        <v>0.825</v>
      </c>
      <c r="F6734" s="15">
        <f>ROUND((G6731+G6732+G6733),3)</f>
        <v>43.8</v>
      </c>
      <c r="G6734" s="12">
        <f t="shared" si="1032"/>
        <v>36.14</v>
      </c>
    </row>
    <row r="6735" ht="15.0" customHeight="1">
      <c r="A6735" s="10" t="s">
        <v>32</v>
      </c>
      <c r="B6735" s="10"/>
      <c r="C6735" s="10" t="s">
        <v>33</v>
      </c>
      <c r="D6735" s="10" t="s">
        <v>34</v>
      </c>
      <c r="E6735" s="14">
        <v>3.0</v>
      </c>
      <c r="F6735" s="15">
        <f>ROUND(36.14,3)</f>
        <v>36.14</v>
      </c>
      <c r="G6735" s="12">
        <f>ROUND((E6735*F6735)/100,2)</f>
        <v>1.08</v>
      </c>
    </row>
    <row r="6736" ht="15.0" customHeight="1">
      <c r="A6736" s="16"/>
      <c r="B6736" s="16"/>
      <c r="C6736" s="16"/>
      <c r="D6736" s="17" t="s">
        <v>2912</v>
      </c>
      <c r="E6736" s="16"/>
      <c r="F6736" s="18">
        <f>ROUND((G6727+G6728+G6729+G6730+G6735)*(1+G2/100),2)</f>
        <v>81.32</v>
      </c>
      <c r="G6736" s="16"/>
    </row>
    <row r="6737" ht="39.75" customHeight="1">
      <c r="A6737" s="19" t="s">
        <v>2915</v>
      </c>
      <c r="B6737" s="20" t="s">
        <v>18</v>
      </c>
      <c r="C6737" s="20" t="s">
        <v>321</v>
      </c>
      <c r="D6737" s="20" t="s">
        <v>2916</v>
      </c>
      <c r="E6737" s="21"/>
      <c r="F6737" s="22">
        <f>F6748</f>
        <v>62.07</v>
      </c>
      <c r="G6737" s="21"/>
    </row>
    <row r="6738" ht="21.0" customHeight="1">
      <c r="A6738" s="11"/>
      <c r="B6738" s="11"/>
      <c r="C6738" s="11"/>
      <c r="D6738" s="10" t="s">
        <v>2917</v>
      </c>
    </row>
    <row r="6739" ht="30.0" customHeight="1">
      <c r="A6739" s="10" t="s">
        <v>2918</v>
      </c>
      <c r="B6739" s="10" t="s">
        <v>42</v>
      </c>
      <c r="C6739" s="10" t="s">
        <v>344</v>
      </c>
      <c r="D6739" s="10" t="s">
        <v>2919</v>
      </c>
      <c r="E6739" s="14">
        <v>5.25</v>
      </c>
      <c r="F6739" s="15">
        <f>ROUND(6.85,3)</f>
        <v>6.85</v>
      </c>
      <c r="G6739" s="12">
        <f t="shared" ref="G6739:G6746" si="1034">ROUND(E6739*F6739,2)</f>
        <v>35.96</v>
      </c>
    </row>
    <row r="6740" ht="30.0" customHeight="1">
      <c r="A6740" s="10" t="s">
        <v>2694</v>
      </c>
      <c r="B6740" s="10" t="s">
        <v>42</v>
      </c>
      <c r="C6740" s="10" t="s">
        <v>184</v>
      </c>
      <c r="D6740" s="10" t="s">
        <v>2695</v>
      </c>
      <c r="E6740" s="14">
        <v>0.06776</v>
      </c>
      <c r="F6740" s="15">
        <f>ROUND(15.43,3)</f>
        <v>15.43</v>
      </c>
      <c r="G6740" s="12">
        <f t="shared" si="1034"/>
        <v>1.05</v>
      </c>
    </row>
    <row r="6741" ht="30.0" customHeight="1">
      <c r="A6741" s="10" t="s">
        <v>2053</v>
      </c>
      <c r="B6741" s="10" t="s">
        <v>42</v>
      </c>
      <c r="C6741" s="10" t="s">
        <v>184</v>
      </c>
      <c r="D6741" s="10" t="s">
        <v>2054</v>
      </c>
      <c r="E6741" s="14">
        <v>0.02112</v>
      </c>
      <c r="F6741" s="15">
        <f>ROUND(11.74,3)</f>
        <v>11.74</v>
      </c>
      <c r="G6741" s="12">
        <f t="shared" si="1034"/>
        <v>0.25</v>
      </c>
    </row>
    <row r="6742" ht="21.0" customHeight="1">
      <c r="A6742" s="10" t="s">
        <v>22</v>
      </c>
      <c r="B6742" s="10" t="s">
        <v>18</v>
      </c>
      <c r="C6742" s="10" t="s">
        <v>23</v>
      </c>
      <c r="D6742" s="10" t="s">
        <v>24</v>
      </c>
      <c r="E6742" s="14">
        <v>0.55</v>
      </c>
      <c r="F6742" s="15">
        <f>F6746</f>
        <v>43.8</v>
      </c>
      <c r="G6742" s="12">
        <f t="shared" si="1034"/>
        <v>24.09</v>
      </c>
    </row>
    <row r="6743" ht="24.0" customHeight="1">
      <c r="A6743" s="10" t="s">
        <v>25</v>
      </c>
      <c r="B6743" s="10" t="s">
        <v>26</v>
      </c>
      <c r="C6743" s="10" t="s">
        <v>23</v>
      </c>
      <c r="D6743" s="10" t="s">
        <v>27</v>
      </c>
      <c r="E6743" s="14">
        <v>1.0</v>
      </c>
      <c r="F6743" s="15">
        <f>ROUND(21,3)</f>
        <v>21</v>
      </c>
      <c r="G6743" s="12">
        <f t="shared" si="1034"/>
        <v>21</v>
      </c>
    </row>
    <row r="6744" ht="24.0" customHeight="1">
      <c r="A6744" s="10" t="s">
        <v>28</v>
      </c>
      <c r="B6744" s="10" t="s">
        <v>26</v>
      </c>
      <c r="C6744" s="10" t="s">
        <v>23</v>
      </c>
      <c r="D6744" s="10" t="s">
        <v>29</v>
      </c>
      <c r="E6744" s="14">
        <v>1.0</v>
      </c>
      <c r="F6744" s="15">
        <f t="shared" ref="F6744:F6745" si="1035">ROUND(19,3)</f>
        <v>19</v>
      </c>
      <c r="G6744" s="12">
        <f t="shared" si="1034"/>
        <v>19</v>
      </c>
    </row>
    <row r="6745" ht="24.0" customHeight="1">
      <c r="A6745" s="10" t="s">
        <v>30</v>
      </c>
      <c r="B6745" s="10" t="s">
        <v>26</v>
      </c>
      <c r="C6745" s="10" t="s">
        <v>23</v>
      </c>
      <c r="D6745" s="10" t="s">
        <v>31</v>
      </c>
      <c r="E6745" s="14">
        <v>0.2</v>
      </c>
      <c r="F6745" s="15">
        <f t="shared" si="1035"/>
        <v>19</v>
      </c>
      <c r="G6745" s="12">
        <f t="shared" si="1034"/>
        <v>3.8</v>
      </c>
    </row>
    <row r="6746" ht="15.0" customHeight="1">
      <c r="A6746" s="11"/>
      <c r="B6746" s="11"/>
      <c r="C6746" s="11"/>
      <c r="D6746" s="10" t="s">
        <v>22</v>
      </c>
      <c r="E6746" s="14">
        <v>0.55</v>
      </c>
      <c r="F6746" s="15">
        <f>ROUND((G6743+G6744+G6745),3)</f>
        <v>43.8</v>
      </c>
      <c r="G6746" s="12">
        <f t="shared" si="1034"/>
        <v>24.09</v>
      </c>
    </row>
    <row r="6747" ht="15.0" customHeight="1">
      <c r="A6747" s="10" t="s">
        <v>32</v>
      </c>
      <c r="B6747" s="10"/>
      <c r="C6747" s="10" t="s">
        <v>33</v>
      </c>
      <c r="D6747" s="10" t="s">
        <v>34</v>
      </c>
      <c r="E6747" s="14">
        <v>3.0</v>
      </c>
      <c r="F6747" s="15">
        <f>ROUND(24.09,3)</f>
        <v>24.09</v>
      </c>
      <c r="G6747" s="12">
        <f>ROUND((E6747*F6747)/100,2)</f>
        <v>0.72</v>
      </c>
    </row>
    <row r="6748" ht="15.0" customHeight="1">
      <c r="A6748" s="16"/>
      <c r="B6748" s="16"/>
      <c r="C6748" s="16"/>
      <c r="D6748" s="17" t="s">
        <v>2915</v>
      </c>
      <c r="E6748" s="16"/>
      <c r="F6748" s="18">
        <f>ROUND((G6739+G6740+G6741+G6742+G6747)*(1+G2/100),2)</f>
        <v>62.07</v>
      </c>
      <c r="G6748" s="16"/>
    </row>
    <row r="6749" ht="39.75" customHeight="1">
      <c r="A6749" s="19" t="s">
        <v>2920</v>
      </c>
      <c r="B6749" s="20" t="s">
        <v>18</v>
      </c>
      <c r="C6749" s="20" t="s">
        <v>321</v>
      </c>
      <c r="D6749" s="20" t="s">
        <v>2921</v>
      </c>
      <c r="E6749" s="21"/>
      <c r="F6749" s="22">
        <f>F6760</f>
        <v>74.48</v>
      </c>
      <c r="G6749" s="21"/>
    </row>
    <row r="6750" ht="21.0" customHeight="1">
      <c r="A6750" s="11"/>
      <c r="B6750" s="11"/>
      <c r="C6750" s="11"/>
      <c r="D6750" s="10" t="s">
        <v>2922</v>
      </c>
    </row>
    <row r="6751" ht="30.0" customHeight="1">
      <c r="A6751" s="10" t="s">
        <v>2918</v>
      </c>
      <c r="B6751" s="10" t="s">
        <v>42</v>
      </c>
      <c r="C6751" s="10" t="s">
        <v>344</v>
      </c>
      <c r="D6751" s="10" t="s">
        <v>2919</v>
      </c>
      <c r="E6751" s="14">
        <v>5.25</v>
      </c>
      <c r="F6751" s="15">
        <f>ROUND(6.85,3)</f>
        <v>6.85</v>
      </c>
      <c r="G6751" s="12">
        <f t="shared" ref="G6751:G6758" si="1036">ROUND(E6751*F6751,2)</f>
        <v>35.96</v>
      </c>
    </row>
    <row r="6752" ht="30.0" customHeight="1">
      <c r="A6752" s="10" t="s">
        <v>2694</v>
      </c>
      <c r="B6752" s="10" t="s">
        <v>42</v>
      </c>
      <c r="C6752" s="10" t="s">
        <v>184</v>
      </c>
      <c r="D6752" s="10" t="s">
        <v>2695</v>
      </c>
      <c r="E6752" s="14">
        <v>0.06776</v>
      </c>
      <c r="F6752" s="15">
        <f>ROUND(15.43,3)</f>
        <v>15.43</v>
      </c>
      <c r="G6752" s="12">
        <f t="shared" si="1036"/>
        <v>1.05</v>
      </c>
    </row>
    <row r="6753" ht="30.0" customHeight="1">
      <c r="A6753" s="10" t="s">
        <v>2053</v>
      </c>
      <c r="B6753" s="10" t="s">
        <v>42</v>
      </c>
      <c r="C6753" s="10" t="s">
        <v>184</v>
      </c>
      <c r="D6753" s="10" t="s">
        <v>2054</v>
      </c>
      <c r="E6753" s="14">
        <v>0.02112</v>
      </c>
      <c r="F6753" s="15">
        <f>ROUND(11.74,3)</f>
        <v>11.74</v>
      </c>
      <c r="G6753" s="12">
        <f t="shared" si="1036"/>
        <v>0.25</v>
      </c>
    </row>
    <row r="6754" ht="21.0" customHeight="1">
      <c r="A6754" s="10" t="s">
        <v>22</v>
      </c>
      <c r="B6754" s="10" t="s">
        <v>18</v>
      </c>
      <c r="C6754" s="10" t="s">
        <v>23</v>
      </c>
      <c r="D6754" s="10" t="s">
        <v>24</v>
      </c>
      <c r="E6754" s="14">
        <v>0.825</v>
      </c>
      <c r="F6754" s="15">
        <f>F6758</f>
        <v>43.8</v>
      </c>
      <c r="G6754" s="12">
        <f t="shared" si="1036"/>
        <v>36.14</v>
      </c>
    </row>
    <row r="6755" ht="24.0" customHeight="1">
      <c r="A6755" s="10" t="s">
        <v>25</v>
      </c>
      <c r="B6755" s="10" t="s">
        <v>26</v>
      </c>
      <c r="C6755" s="10" t="s">
        <v>23</v>
      </c>
      <c r="D6755" s="10" t="s">
        <v>27</v>
      </c>
      <c r="E6755" s="14">
        <v>1.0</v>
      </c>
      <c r="F6755" s="15">
        <f>ROUND(21,3)</f>
        <v>21</v>
      </c>
      <c r="G6755" s="12">
        <f t="shared" si="1036"/>
        <v>21</v>
      </c>
    </row>
    <row r="6756" ht="24.0" customHeight="1">
      <c r="A6756" s="10" t="s">
        <v>28</v>
      </c>
      <c r="B6756" s="10" t="s">
        <v>26</v>
      </c>
      <c r="C6756" s="10" t="s">
        <v>23</v>
      </c>
      <c r="D6756" s="10" t="s">
        <v>29</v>
      </c>
      <c r="E6756" s="14">
        <v>1.0</v>
      </c>
      <c r="F6756" s="15">
        <f t="shared" ref="F6756:F6757" si="1037">ROUND(19,3)</f>
        <v>19</v>
      </c>
      <c r="G6756" s="12">
        <f t="shared" si="1036"/>
        <v>19</v>
      </c>
    </row>
    <row r="6757" ht="24.0" customHeight="1">
      <c r="A6757" s="10" t="s">
        <v>30</v>
      </c>
      <c r="B6757" s="10" t="s">
        <v>26</v>
      </c>
      <c r="C6757" s="10" t="s">
        <v>23</v>
      </c>
      <c r="D6757" s="10" t="s">
        <v>31</v>
      </c>
      <c r="E6757" s="14">
        <v>0.2</v>
      </c>
      <c r="F6757" s="15">
        <f t="shared" si="1037"/>
        <v>19</v>
      </c>
      <c r="G6757" s="12">
        <f t="shared" si="1036"/>
        <v>3.8</v>
      </c>
    </row>
    <row r="6758" ht="15.0" customHeight="1">
      <c r="A6758" s="11"/>
      <c r="B6758" s="11"/>
      <c r="C6758" s="11"/>
      <c r="D6758" s="10" t="s">
        <v>22</v>
      </c>
      <c r="E6758" s="14">
        <v>0.825</v>
      </c>
      <c r="F6758" s="15">
        <f>ROUND((G6755+G6756+G6757),3)</f>
        <v>43.8</v>
      </c>
      <c r="G6758" s="12">
        <f t="shared" si="1036"/>
        <v>36.14</v>
      </c>
    </row>
    <row r="6759" ht="15.0" customHeight="1">
      <c r="A6759" s="10" t="s">
        <v>32</v>
      </c>
      <c r="B6759" s="10"/>
      <c r="C6759" s="10" t="s">
        <v>33</v>
      </c>
      <c r="D6759" s="10" t="s">
        <v>34</v>
      </c>
      <c r="E6759" s="14">
        <v>3.0</v>
      </c>
      <c r="F6759" s="15">
        <f>ROUND(36.14,3)</f>
        <v>36.14</v>
      </c>
      <c r="G6759" s="12">
        <f>ROUND((E6759*F6759)/100,2)</f>
        <v>1.08</v>
      </c>
    </row>
    <row r="6760" ht="15.0" customHeight="1">
      <c r="A6760" s="16"/>
      <c r="B6760" s="16"/>
      <c r="C6760" s="16"/>
      <c r="D6760" s="17" t="s">
        <v>2920</v>
      </c>
      <c r="E6760" s="16"/>
      <c r="F6760" s="18">
        <f>ROUND((G6751+G6752+G6753+G6754+G6759)*(1+G2/100),2)</f>
        <v>74.48</v>
      </c>
      <c r="G6760" s="16"/>
    </row>
    <row r="6761" ht="21.0" customHeight="1">
      <c r="A6761" s="19" t="s">
        <v>2923</v>
      </c>
      <c r="B6761" s="20" t="s">
        <v>18</v>
      </c>
      <c r="C6761" s="20" t="s">
        <v>321</v>
      </c>
      <c r="D6761" s="20" t="s">
        <v>2924</v>
      </c>
      <c r="E6761" s="21"/>
      <c r="F6761" s="22">
        <f>F6772</f>
        <v>36.44</v>
      </c>
      <c r="G6761" s="21"/>
    </row>
    <row r="6762" ht="39.75" customHeight="1">
      <c r="A6762" s="11"/>
      <c r="B6762" s="11"/>
      <c r="C6762" s="11"/>
      <c r="D6762" s="10" t="s">
        <v>2925</v>
      </c>
    </row>
    <row r="6763" ht="30.0" customHeight="1">
      <c r="A6763" s="10" t="s">
        <v>2692</v>
      </c>
      <c r="B6763" s="10" t="s">
        <v>42</v>
      </c>
      <c r="C6763" s="10" t="s">
        <v>344</v>
      </c>
      <c r="D6763" s="10" t="s">
        <v>2693</v>
      </c>
      <c r="E6763" s="14">
        <v>5.5</v>
      </c>
      <c r="F6763" s="15">
        <f>ROUND(2.13,3)</f>
        <v>2.13</v>
      </c>
      <c r="G6763" s="12">
        <f t="shared" ref="G6763:G6770" si="1038">ROUND(E6763*F6763,2)</f>
        <v>11.72</v>
      </c>
    </row>
    <row r="6764" ht="30.0" customHeight="1">
      <c r="A6764" s="10" t="s">
        <v>2694</v>
      </c>
      <c r="B6764" s="10" t="s">
        <v>42</v>
      </c>
      <c r="C6764" s="10" t="s">
        <v>184</v>
      </c>
      <c r="D6764" s="10" t="s">
        <v>2695</v>
      </c>
      <c r="E6764" s="14">
        <v>0.097</v>
      </c>
      <c r="F6764" s="15">
        <f>ROUND(15.43,3)</f>
        <v>15.43</v>
      </c>
      <c r="G6764" s="12">
        <f t="shared" si="1038"/>
        <v>1.5</v>
      </c>
    </row>
    <row r="6765" ht="30.0" customHeight="1">
      <c r="A6765" s="10" t="s">
        <v>2053</v>
      </c>
      <c r="B6765" s="10" t="s">
        <v>42</v>
      </c>
      <c r="C6765" s="10" t="s">
        <v>184</v>
      </c>
      <c r="D6765" s="10" t="s">
        <v>2054</v>
      </c>
      <c r="E6765" s="14">
        <v>0.05632</v>
      </c>
      <c r="F6765" s="15">
        <f>ROUND(11.74,3)</f>
        <v>11.74</v>
      </c>
      <c r="G6765" s="12">
        <f t="shared" si="1038"/>
        <v>0.66</v>
      </c>
    </row>
    <row r="6766" ht="21.0" customHeight="1">
      <c r="A6766" s="10" t="s">
        <v>22</v>
      </c>
      <c r="B6766" s="10" t="s">
        <v>18</v>
      </c>
      <c r="C6766" s="10" t="s">
        <v>23</v>
      </c>
      <c r="D6766" s="10" t="s">
        <v>24</v>
      </c>
      <c r="E6766" s="14">
        <v>0.5</v>
      </c>
      <c r="F6766" s="15">
        <f>F6770</f>
        <v>43.8</v>
      </c>
      <c r="G6766" s="12">
        <f t="shared" si="1038"/>
        <v>21.9</v>
      </c>
    </row>
    <row r="6767" ht="24.0" customHeight="1">
      <c r="A6767" s="10" t="s">
        <v>25</v>
      </c>
      <c r="B6767" s="10" t="s">
        <v>26</v>
      </c>
      <c r="C6767" s="10" t="s">
        <v>23</v>
      </c>
      <c r="D6767" s="10" t="s">
        <v>27</v>
      </c>
      <c r="E6767" s="14">
        <v>1.0</v>
      </c>
      <c r="F6767" s="15">
        <f>ROUND(21,3)</f>
        <v>21</v>
      </c>
      <c r="G6767" s="12">
        <f t="shared" si="1038"/>
        <v>21</v>
      </c>
    </row>
    <row r="6768" ht="24.0" customHeight="1">
      <c r="A6768" s="10" t="s">
        <v>28</v>
      </c>
      <c r="B6768" s="10" t="s">
        <v>26</v>
      </c>
      <c r="C6768" s="10" t="s">
        <v>23</v>
      </c>
      <c r="D6768" s="10" t="s">
        <v>29</v>
      </c>
      <c r="E6768" s="14">
        <v>1.0</v>
      </c>
      <c r="F6768" s="15">
        <f t="shared" ref="F6768:F6769" si="1039">ROUND(19,3)</f>
        <v>19</v>
      </c>
      <c r="G6768" s="12">
        <f t="shared" si="1038"/>
        <v>19</v>
      </c>
    </row>
    <row r="6769" ht="24.0" customHeight="1">
      <c r="A6769" s="10" t="s">
        <v>30</v>
      </c>
      <c r="B6769" s="10" t="s">
        <v>26</v>
      </c>
      <c r="C6769" s="10" t="s">
        <v>23</v>
      </c>
      <c r="D6769" s="10" t="s">
        <v>31</v>
      </c>
      <c r="E6769" s="14">
        <v>0.2</v>
      </c>
      <c r="F6769" s="15">
        <f t="shared" si="1039"/>
        <v>19</v>
      </c>
      <c r="G6769" s="12">
        <f t="shared" si="1038"/>
        <v>3.8</v>
      </c>
    </row>
    <row r="6770" ht="15.0" customHeight="1">
      <c r="A6770" s="11"/>
      <c r="B6770" s="11"/>
      <c r="C6770" s="11"/>
      <c r="D6770" s="10" t="s">
        <v>22</v>
      </c>
      <c r="E6770" s="14">
        <v>0.5</v>
      </c>
      <c r="F6770" s="15">
        <f>ROUND((G6767+G6768+G6769),3)</f>
        <v>43.8</v>
      </c>
      <c r="G6770" s="12">
        <f t="shared" si="1038"/>
        <v>21.9</v>
      </c>
    </row>
    <row r="6771" ht="15.0" customHeight="1">
      <c r="A6771" s="10" t="s">
        <v>32</v>
      </c>
      <c r="B6771" s="10"/>
      <c r="C6771" s="10" t="s">
        <v>33</v>
      </c>
      <c r="D6771" s="10" t="s">
        <v>34</v>
      </c>
      <c r="E6771" s="14">
        <v>3.0</v>
      </c>
      <c r="F6771" s="15">
        <f>ROUND(21.9,3)</f>
        <v>21.9</v>
      </c>
      <c r="G6771" s="12">
        <f>ROUND((E6771*F6771)/100,2)</f>
        <v>0.66</v>
      </c>
    </row>
    <row r="6772" ht="15.0" customHeight="1">
      <c r="A6772" s="16"/>
      <c r="B6772" s="16"/>
      <c r="C6772" s="16"/>
      <c r="D6772" s="17" t="s">
        <v>2923</v>
      </c>
      <c r="E6772" s="16"/>
      <c r="F6772" s="18">
        <f>ROUND((G6763+G6764+G6765+G6766+G6771)*(1+G2/100),2)</f>
        <v>36.44</v>
      </c>
      <c r="G6772" s="16"/>
    </row>
    <row r="6773" ht="21.0" customHeight="1">
      <c r="A6773" s="19" t="s">
        <v>1799</v>
      </c>
      <c r="B6773" s="20" t="s">
        <v>18</v>
      </c>
      <c r="C6773" s="20" t="s">
        <v>295</v>
      </c>
      <c r="D6773" s="20" t="s">
        <v>1800</v>
      </c>
      <c r="E6773" s="21"/>
      <c r="F6773" s="22">
        <f>F6785</f>
        <v>24.05</v>
      </c>
      <c r="G6773" s="21"/>
    </row>
    <row r="6774" ht="39.75" customHeight="1">
      <c r="A6774" s="11"/>
      <c r="B6774" s="11"/>
      <c r="C6774" s="11"/>
      <c r="D6774" s="10" t="s">
        <v>1801</v>
      </c>
    </row>
    <row r="6775" ht="30.0" customHeight="1">
      <c r="A6775" s="10" t="s">
        <v>1802</v>
      </c>
      <c r="B6775" s="10" t="s">
        <v>42</v>
      </c>
      <c r="C6775" s="10" t="s">
        <v>1207</v>
      </c>
      <c r="D6775" s="10" t="s">
        <v>1803</v>
      </c>
      <c r="E6775" s="14">
        <v>0.3</v>
      </c>
      <c r="F6775" s="15">
        <f>ROUND(0.5,3)</f>
        <v>0.5</v>
      </c>
      <c r="G6775" s="12">
        <f t="shared" ref="G6775:G6783" si="1040">ROUND(E6775*F6775,2)</f>
        <v>0.15</v>
      </c>
    </row>
    <row r="6776" ht="39.75" customHeight="1">
      <c r="A6776" s="10" t="s">
        <v>1804</v>
      </c>
      <c r="B6776" s="10" t="s">
        <v>42</v>
      </c>
      <c r="C6776" s="10" t="s">
        <v>5</v>
      </c>
      <c r="D6776" s="10" t="s">
        <v>1805</v>
      </c>
      <c r="E6776" s="14">
        <v>1.0</v>
      </c>
      <c r="F6776" s="15">
        <f>ROUND(14.55,3)</f>
        <v>14.55</v>
      </c>
      <c r="G6776" s="12">
        <f t="shared" si="1040"/>
        <v>14.55</v>
      </c>
    </row>
    <row r="6777" ht="21.0" customHeight="1">
      <c r="A6777" s="10" t="s">
        <v>1806</v>
      </c>
      <c r="B6777" s="10" t="s">
        <v>42</v>
      </c>
      <c r="C6777" s="10" t="s">
        <v>5</v>
      </c>
      <c r="D6777" s="10" t="s">
        <v>1807</v>
      </c>
      <c r="E6777" s="14">
        <v>0.016</v>
      </c>
      <c r="F6777" s="15">
        <f>ROUND(5.4,3)</f>
        <v>5.4</v>
      </c>
      <c r="G6777" s="12">
        <f t="shared" si="1040"/>
        <v>0.09</v>
      </c>
    </row>
    <row r="6778" ht="21.0" customHeight="1">
      <c r="A6778" s="10" t="s">
        <v>1808</v>
      </c>
      <c r="B6778" s="10" t="s">
        <v>42</v>
      </c>
      <c r="C6778" s="10" t="s">
        <v>5</v>
      </c>
      <c r="D6778" s="10" t="s">
        <v>1809</v>
      </c>
      <c r="E6778" s="14">
        <v>0.032</v>
      </c>
      <c r="F6778" s="15">
        <f>ROUND(7.39,3)</f>
        <v>7.39</v>
      </c>
      <c r="G6778" s="12">
        <f t="shared" si="1040"/>
        <v>0.24</v>
      </c>
    </row>
    <row r="6779" ht="21.0" customHeight="1">
      <c r="A6779" s="10" t="s">
        <v>22</v>
      </c>
      <c r="B6779" s="10" t="s">
        <v>18</v>
      </c>
      <c r="C6779" s="10" t="s">
        <v>23</v>
      </c>
      <c r="D6779" s="10" t="s">
        <v>24</v>
      </c>
      <c r="E6779" s="14">
        <v>0.2</v>
      </c>
      <c r="F6779" s="15">
        <f>F6783</f>
        <v>43.8</v>
      </c>
      <c r="G6779" s="12">
        <f t="shared" si="1040"/>
        <v>8.76</v>
      </c>
    </row>
    <row r="6780" ht="24.0" customHeight="1">
      <c r="A6780" s="10" t="s">
        <v>25</v>
      </c>
      <c r="B6780" s="10" t="s">
        <v>26</v>
      </c>
      <c r="C6780" s="10" t="s">
        <v>23</v>
      </c>
      <c r="D6780" s="10" t="s">
        <v>27</v>
      </c>
      <c r="E6780" s="14">
        <v>1.0</v>
      </c>
      <c r="F6780" s="15">
        <f>ROUND(21,3)</f>
        <v>21</v>
      </c>
      <c r="G6780" s="12">
        <f t="shared" si="1040"/>
        <v>21</v>
      </c>
    </row>
    <row r="6781" ht="24.0" customHeight="1">
      <c r="A6781" s="10" t="s">
        <v>28</v>
      </c>
      <c r="B6781" s="10" t="s">
        <v>26</v>
      </c>
      <c r="C6781" s="10" t="s">
        <v>23</v>
      </c>
      <c r="D6781" s="10" t="s">
        <v>29</v>
      </c>
      <c r="E6781" s="14">
        <v>1.0</v>
      </c>
      <c r="F6781" s="15">
        <f t="shared" ref="F6781:F6782" si="1041">ROUND(19,3)</f>
        <v>19</v>
      </c>
      <c r="G6781" s="12">
        <f t="shared" si="1040"/>
        <v>19</v>
      </c>
    </row>
    <row r="6782" ht="24.0" customHeight="1">
      <c r="A6782" s="10" t="s">
        <v>30</v>
      </c>
      <c r="B6782" s="10" t="s">
        <v>26</v>
      </c>
      <c r="C6782" s="10" t="s">
        <v>23</v>
      </c>
      <c r="D6782" s="10" t="s">
        <v>31</v>
      </c>
      <c r="E6782" s="14">
        <v>0.2</v>
      </c>
      <c r="F6782" s="15">
        <f t="shared" si="1041"/>
        <v>19</v>
      </c>
      <c r="G6782" s="12">
        <f t="shared" si="1040"/>
        <v>3.8</v>
      </c>
    </row>
    <row r="6783" ht="15.0" customHeight="1">
      <c r="A6783" s="11"/>
      <c r="B6783" s="11"/>
      <c r="C6783" s="11"/>
      <c r="D6783" s="10" t="s">
        <v>22</v>
      </c>
      <c r="E6783" s="14">
        <v>0.2</v>
      </c>
      <c r="F6783" s="15">
        <f>ROUND((G6780+G6781+G6782),3)</f>
        <v>43.8</v>
      </c>
      <c r="G6783" s="12">
        <f t="shared" si="1040"/>
        <v>8.76</v>
      </c>
    </row>
    <row r="6784" ht="15.0" customHeight="1">
      <c r="A6784" s="10" t="s">
        <v>32</v>
      </c>
      <c r="B6784" s="10"/>
      <c r="C6784" s="10" t="s">
        <v>33</v>
      </c>
      <c r="D6784" s="10" t="s">
        <v>34</v>
      </c>
      <c r="E6784" s="14">
        <v>3.0</v>
      </c>
      <c r="F6784" s="15">
        <f>ROUND(8.76,3)</f>
        <v>8.76</v>
      </c>
      <c r="G6784" s="12">
        <f>ROUND((E6784*F6784)/100,2)</f>
        <v>0.26</v>
      </c>
    </row>
    <row r="6785" ht="15.0" customHeight="1">
      <c r="A6785" s="16"/>
      <c r="B6785" s="16"/>
      <c r="C6785" s="16"/>
      <c r="D6785" s="17" t="s">
        <v>1799</v>
      </c>
      <c r="E6785" s="16"/>
      <c r="F6785" s="18">
        <f>ROUND((G6775+G6776+G6777+G6778+G6779+G6784)*(1+G2/100),2)</f>
        <v>24.05</v>
      </c>
      <c r="G6785" s="16"/>
    </row>
    <row r="6786" ht="15.0" customHeight="1">
      <c r="A6786" s="19" t="s">
        <v>2926</v>
      </c>
      <c r="B6786" s="20" t="s">
        <v>18</v>
      </c>
      <c r="C6786" s="20" t="s">
        <v>295</v>
      </c>
      <c r="D6786" s="20" t="s">
        <v>2927</v>
      </c>
      <c r="E6786" s="21"/>
      <c r="F6786" s="22">
        <f>F6798</f>
        <v>24.42</v>
      </c>
      <c r="G6786" s="21"/>
    </row>
    <row r="6787" ht="30.0" customHeight="1">
      <c r="A6787" s="11"/>
      <c r="B6787" s="11"/>
      <c r="C6787" s="11"/>
      <c r="D6787" s="10" t="s">
        <v>2928</v>
      </c>
    </row>
    <row r="6788" ht="30.0" customHeight="1">
      <c r="A6788" s="10" t="s">
        <v>1802</v>
      </c>
      <c r="B6788" s="10" t="s">
        <v>42</v>
      </c>
      <c r="C6788" s="10" t="s">
        <v>1207</v>
      </c>
      <c r="D6788" s="10" t="s">
        <v>1803</v>
      </c>
      <c r="E6788" s="14">
        <v>0.3</v>
      </c>
      <c r="F6788" s="15">
        <f>ROUND(0.5,3)</f>
        <v>0.5</v>
      </c>
      <c r="G6788" s="12">
        <f t="shared" ref="G6788:G6796" si="1042">ROUND(E6788*F6788,2)</f>
        <v>0.15</v>
      </c>
    </row>
    <row r="6789" ht="24.0" customHeight="1">
      <c r="A6789" s="10" t="s">
        <v>2929</v>
      </c>
      <c r="B6789" s="10" t="s">
        <v>42</v>
      </c>
      <c r="C6789" s="10" t="s">
        <v>304</v>
      </c>
      <c r="D6789" s="10" t="s">
        <v>2930</v>
      </c>
      <c r="E6789" s="14">
        <v>1.0</v>
      </c>
      <c r="F6789" s="15">
        <f>ROUND(14.92,3)</f>
        <v>14.92</v>
      </c>
      <c r="G6789" s="12">
        <f t="shared" si="1042"/>
        <v>14.92</v>
      </c>
    </row>
    <row r="6790" ht="21.0" customHeight="1">
      <c r="A6790" s="10" t="s">
        <v>1806</v>
      </c>
      <c r="B6790" s="10" t="s">
        <v>42</v>
      </c>
      <c r="C6790" s="10" t="s">
        <v>5</v>
      </c>
      <c r="D6790" s="10" t="s">
        <v>1807</v>
      </c>
      <c r="E6790" s="14">
        <v>0.016</v>
      </c>
      <c r="F6790" s="15">
        <f>ROUND(5.4,3)</f>
        <v>5.4</v>
      </c>
      <c r="G6790" s="12">
        <f t="shared" si="1042"/>
        <v>0.09</v>
      </c>
    </row>
    <row r="6791" ht="21.0" customHeight="1">
      <c r="A6791" s="10" t="s">
        <v>1808</v>
      </c>
      <c r="B6791" s="10" t="s">
        <v>42</v>
      </c>
      <c r="C6791" s="10" t="s">
        <v>5</v>
      </c>
      <c r="D6791" s="10" t="s">
        <v>1809</v>
      </c>
      <c r="E6791" s="14">
        <v>0.032</v>
      </c>
      <c r="F6791" s="15">
        <f>ROUND(7.39,3)</f>
        <v>7.39</v>
      </c>
      <c r="G6791" s="12">
        <f t="shared" si="1042"/>
        <v>0.24</v>
      </c>
    </row>
    <row r="6792" ht="21.0" customHeight="1">
      <c r="A6792" s="10" t="s">
        <v>22</v>
      </c>
      <c r="B6792" s="10" t="s">
        <v>18</v>
      </c>
      <c r="C6792" s="10" t="s">
        <v>23</v>
      </c>
      <c r="D6792" s="10" t="s">
        <v>24</v>
      </c>
      <c r="E6792" s="14">
        <v>0.2</v>
      </c>
      <c r="F6792" s="15">
        <f>F6796</f>
        <v>43.8</v>
      </c>
      <c r="G6792" s="12">
        <f t="shared" si="1042"/>
        <v>8.76</v>
      </c>
    </row>
    <row r="6793" ht="24.0" customHeight="1">
      <c r="A6793" s="10" t="s">
        <v>25</v>
      </c>
      <c r="B6793" s="10" t="s">
        <v>26</v>
      </c>
      <c r="C6793" s="10" t="s">
        <v>23</v>
      </c>
      <c r="D6793" s="10" t="s">
        <v>27</v>
      </c>
      <c r="E6793" s="14">
        <v>1.0</v>
      </c>
      <c r="F6793" s="15">
        <f>ROUND(21,3)</f>
        <v>21</v>
      </c>
      <c r="G6793" s="12">
        <f t="shared" si="1042"/>
        <v>21</v>
      </c>
    </row>
    <row r="6794" ht="24.0" customHeight="1">
      <c r="A6794" s="10" t="s">
        <v>28</v>
      </c>
      <c r="B6794" s="10" t="s">
        <v>26</v>
      </c>
      <c r="C6794" s="10" t="s">
        <v>23</v>
      </c>
      <c r="D6794" s="10" t="s">
        <v>29</v>
      </c>
      <c r="E6794" s="14">
        <v>1.0</v>
      </c>
      <c r="F6794" s="15">
        <f t="shared" ref="F6794:F6795" si="1043">ROUND(19,3)</f>
        <v>19</v>
      </c>
      <c r="G6794" s="12">
        <f t="shared" si="1042"/>
        <v>19</v>
      </c>
    </row>
    <row r="6795" ht="24.0" customHeight="1">
      <c r="A6795" s="10" t="s">
        <v>30</v>
      </c>
      <c r="B6795" s="10" t="s">
        <v>26</v>
      </c>
      <c r="C6795" s="10" t="s">
        <v>23</v>
      </c>
      <c r="D6795" s="10" t="s">
        <v>31</v>
      </c>
      <c r="E6795" s="14">
        <v>0.2</v>
      </c>
      <c r="F6795" s="15">
        <f t="shared" si="1043"/>
        <v>19</v>
      </c>
      <c r="G6795" s="12">
        <f t="shared" si="1042"/>
        <v>3.8</v>
      </c>
    </row>
    <row r="6796" ht="15.0" customHeight="1">
      <c r="A6796" s="11"/>
      <c r="B6796" s="11"/>
      <c r="C6796" s="11"/>
      <c r="D6796" s="10" t="s">
        <v>22</v>
      </c>
      <c r="E6796" s="14">
        <v>0.2</v>
      </c>
      <c r="F6796" s="15">
        <f>ROUND((G6793+G6794+G6795),3)</f>
        <v>43.8</v>
      </c>
      <c r="G6796" s="12">
        <f t="shared" si="1042"/>
        <v>8.76</v>
      </c>
    </row>
    <row r="6797" ht="15.0" customHeight="1">
      <c r="A6797" s="10" t="s">
        <v>32</v>
      </c>
      <c r="B6797" s="10"/>
      <c r="C6797" s="10" t="s">
        <v>33</v>
      </c>
      <c r="D6797" s="10" t="s">
        <v>34</v>
      </c>
      <c r="E6797" s="14">
        <v>3.0</v>
      </c>
      <c r="F6797" s="15">
        <f>ROUND(8.76,3)</f>
        <v>8.76</v>
      </c>
      <c r="G6797" s="12">
        <f>ROUND((E6797*F6797)/100,2)</f>
        <v>0.26</v>
      </c>
    </row>
    <row r="6798" ht="15.0" customHeight="1">
      <c r="A6798" s="16"/>
      <c r="B6798" s="16"/>
      <c r="C6798" s="16"/>
      <c r="D6798" s="17" t="s">
        <v>2926</v>
      </c>
      <c r="E6798" s="16"/>
      <c r="F6798" s="18">
        <f>ROUND((G6788+G6789+G6790+G6791+G6792+G6797)*(1+G2/100),2)</f>
        <v>24.42</v>
      </c>
      <c r="G6798" s="16"/>
    </row>
    <row r="6799" ht="21.0" customHeight="1">
      <c r="A6799" s="19" t="s">
        <v>2931</v>
      </c>
      <c r="B6799" s="20" t="s">
        <v>18</v>
      </c>
      <c r="C6799" s="20" t="s">
        <v>295</v>
      </c>
      <c r="D6799" s="20" t="s">
        <v>2932</v>
      </c>
      <c r="E6799" s="21"/>
      <c r="F6799" s="22">
        <f>F6810</f>
        <v>132.29</v>
      </c>
      <c r="G6799" s="21"/>
    </row>
    <row r="6800" ht="39.75" customHeight="1">
      <c r="A6800" s="11"/>
      <c r="B6800" s="11"/>
      <c r="C6800" s="11"/>
      <c r="D6800" s="10" t="s">
        <v>2933</v>
      </c>
    </row>
    <row r="6801" ht="39.75" customHeight="1">
      <c r="A6801" s="10" t="s">
        <v>2934</v>
      </c>
      <c r="B6801" s="10" t="s">
        <v>42</v>
      </c>
      <c r="C6801" s="10" t="s">
        <v>344</v>
      </c>
      <c r="D6801" s="10" t="s">
        <v>2935</v>
      </c>
      <c r="E6801" s="14">
        <v>1.0</v>
      </c>
      <c r="F6801" s="15">
        <f>ROUND(119.53,3)</f>
        <v>119.53</v>
      </c>
      <c r="G6801" s="12">
        <f t="shared" ref="G6801:G6808" si="1044">ROUND(E6801*F6801,2)</f>
        <v>119.53</v>
      </c>
    </row>
    <row r="6802" ht="39.75" customHeight="1">
      <c r="A6802" s="10" t="s">
        <v>2936</v>
      </c>
      <c r="B6802" s="10" t="s">
        <v>42</v>
      </c>
      <c r="C6802" s="10" t="s">
        <v>43</v>
      </c>
      <c r="D6802" s="10" t="s">
        <v>2937</v>
      </c>
      <c r="E6802" s="14">
        <v>0.05</v>
      </c>
      <c r="F6802" s="15">
        <f>ROUND(31.41,3)</f>
        <v>31.41</v>
      </c>
      <c r="G6802" s="12">
        <f t="shared" si="1044"/>
        <v>1.57</v>
      </c>
    </row>
    <row r="6803" ht="30.0" customHeight="1">
      <c r="A6803" s="10" t="s">
        <v>1763</v>
      </c>
      <c r="B6803" s="10" t="s">
        <v>42</v>
      </c>
      <c r="C6803" s="10" t="s">
        <v>1245</v>
      </c>
      <c r="D6803" s="10" t="s">
        <v>1764</v>
      </c>
      <c r="E6803" s="14">
        <v>0.2</v>
      </c>
      <c r="F6803" s="15">
        <f>ROUND(6.32,3)</f>
        <v>6.32</v>
      </c>
      <c r="G6803" s="12">
        <f t="shared" si="1044"/>
        <v>1.26</v>
      </c>
    </row>
    <row r="6804" ht="21.0" customHeight="1">
      <c r="A6804" s="10" t="s">
        <v>22</v>
      </c>
      <c r="B6804" s="10" t="s">
        <v>18</v>
      </c>
      <c r="C6804" s="10" t="s">
        <v>23</v>
      </c>
      <c r="D6804" s="10" t="s">
        <v>24</v>
      </c>
      <c r="E6804" s="14">
        <v>0.22</v>
      </c>
      <c r="F6804" s="15">
        <f>F6808</f>
        <v>43.8</v>
      </c>
      <c r="G6804" s="12">
        <f t="shared" si="1044"/>
        <v>9.64</v>
      </c>
    </row>
    <row r="6805" ht="24.0" customHeight="1">
      <c r="A6805" s="10" t="s">
        <v>25</v>
      </c>
      <c r="B6805" s="10" t="s">
        <v>26</v>
      </c>
      <c r="C6805" s="10" t="s">
        <v>23</v>
      </c>
      <c r="D6805" s="10" t="s">
        <v>27</v>
      </c>
      <c r="E6805" s="14">
        <v>1.0</v>
      </c>
      <c r="F6805" s="15">
        <f>ROUND(21,3)</f>
        <v>21</v>
      </c>
      <c r="G6805" s="12">
        <f t="shared" si="1044"/>
        <v>21</v>
      </c>
    </row>
    <row r="6806" ht="24.0" customHeight="1">
      <c r="A6806" s="10" t="s">
        <v>28</v>
      </c>
      <c r="B6806" s="10" t="s">
        <v>26</v>
      </c>
      <c r="C6806" s="10" t="s">
        <v>23</v>
      </c>
      <c r="D6806" s="10" t="s">
        <v>29</v>
      </c>
      <c r="E6806" s="14">
        <v>1.0</v>
      </c>
      <c r="F6806" s="15">
        <f t="shared" ref="F6806:F6807" si="1045">ROUND(19,3)</f>
        <v>19</v>
      </c>
      <c r="G6806" s="12">
        <f t="shared" si="1044"/>
        <v>19</v>
      </c>
    </row>
    <row r="6807" ht="24.0" customHeight="1">
      <c r="A6807" s="10" t="s">
        <v>30</v>
      </c>
      <c r="B6807" s="10" t="s">
        <v>26</v>
      </c>
      <c r="C6807" s="10" t="s">
        <v>23</v>
      </c>
      <c r="D6807" s="10" t="s">
        <v>31</v>
      </c>
      <c r="E6807" s="14">
        <v>0.2</v>
      </c>
      <c r="F6807" s="15">
        <f t="shared" si="1045"/>
        <v>19</v>
      </c>
      <c r="G6807" s="12">
        <f t="shared" si="1044"/>
        <v>3.8</v>
      </c>
    </row>
    <row r="6808" ht="15.0" customHeight="1">
      <c r="A6808" s="11"/>
      <c r="B6808" s="11"/>
      <c r="C6808" s="11"/>
      <c r="D6808" s="10" t="s">
        <v>22</v>
      </c>
      <c r="E6808" s="14">
        <v>0.22</v>
      </c>
      <c r="F6808" s="15">
        <f>ROUND((G6805+G6806+G6807),3)</f>
        <v>43.8</v>
      </c>
      <c r="G6808" s="12">
        <f t="shared" si="1044"/>
        <v>9.64</v>
      </c>
    </row>
    <row r="6809" ht="15.0" customHeight="1">
      <c r="A6809" s="10" t="s">
        <v>32</v>
      </c>
      <c r="B6809" s="10"/>
      <c r="C6809" s="10" t="s">
        <v>33</v>
      </c>
      <c r="D6809" s="10" t="s">
        <v>34</v>
      </c>
      <c r="E6809" s="14">
        <v>3.0</v>
      </c>
      <c r="F6809" s="15">
        <f>ROUND(9.64,3)</f>
        <v>9.64</v>
      </c>
      <c r="G6809" s="12">
        <f>ROUND((E6809*F6809)/100,2)</f>
        <v>0.29</v>
      </c>
    </row>
    <row r="6810" ht="15.0" customHeight="1">
      <c r="A6810" s="16"/>
      <c r="B6810" s="16"/>
      <c r="C6810" s="16"/>
      <c r="D6810" s="17" t="s">
        <v>2931</v>
      </c>
      <c r="E6810" s="16"/>
      <c r="F6810" s="18">
        <f>ROUND((G6801+G6802+G6803+G6804+G6809)*(1+G2/100),2)</f>
        <v>132.29</v>
      </c>
      <c r="G6810" s="16"/>
    </row>
    <row r="6811" ht="21.0" customHeight="1">
      <c r="A6811" s="19" t="s">
        <v>2938</v>
      </c>
      <c r="B6811" s="20" t="s">
        <v>18</v>
      </c>
      <c r="C6811" s="20" t="s">
        <v>537</v>
      </c>
      <c r="D6811" s="20" t="s">
        <v>2939</v>
      </c>
      <c r="E6811" s="21"/>
      <c r="F6811" s="22">
        <f>F6824</f>
        <v>46.7</v>
      </c>
      <c r="G6811" s="21"/>
    </row>
    <row r="6812" ht="57.75" customHeight="1">
      <c r="A6812" s="11"/>
      <c r="B6812" s="11"/>
      <c r="C6812" s="11"/>
      <c r="D6812" s="10" t="s">
        <v>2940</v>
      </c>
    </row>
    <row r="6813" ht="30.0" customHeight="1">
      <c r="A6813" s="10" t="s">
        <v>2941</v>
      </c>
      <c r="B6813" s="10" t="s">
        <v>42</v>
      </c>
      <c r="C6813" s="10" t="s">
        <v>344</v>
      </c>
      <c r="D6813" s="10" t="s">
        <v>2942</v>
      </c>
      <c r="E6813" s="14">
        <v>1.0</v>
      </c>
      <c r="F6813" s="15">
        <f>ROUND(22.42,3)</f>
        <v>22.42</v>
      </c>
      <c r="G6813" s="12">
        <f t="shared" ref="G6813:G6822" si="1046">ROUND(E6813*F6813,2)</f>
        <v>22.42</v>
      </c>
    </row>
    <row r="6814" ht="30.0" customHeight="1">
      <c r="A6814" s="10" t="s">
        <v>1382</v>
      </c>
      <c r="B6814" s="10" t="s">
        <v>42</v>
      </c>
      <c r="C6814" s="10" t="s">
        <v>184</v>
      </c>
      <c r="D6814" s="10" t="s">
        <v>1383</v>
      </c>
      <c r="E6814" s="14">
        <v>0.33333</v>
      </c>
      <c r="F6814" s="15">
        <f>ROUND(1.47,3)</f>
        <v>1.47</v>
      </c>
      <c r="G6814" s="12">
        <f t="shared" si="1046"/>
        <v>0.49</v>
      </c>
    </row>
    <row r="6815" ht="30.0" customHeight="1">
      <c r="A6815" s="10" t="s">
        <v>2694</v>
      </c>
      <c r="B6815" s="10" t="s">
        <v>42</v>
      </c>
      <c r="C6815" s="10" t="s">
        <v>184</v>
      </c>
      <c r="D6815" s="10" t="s">
        <v>2695</v>
      </c>
      <c r="E6815" s="14">
        <v>0.06</v>
      </c>
      <c r="F6815" s="15">
        <f>ROUND(15.43,3)</f>
        <v>15.43</v>
      </c>
      <c r="G6815" s="12">
        <f t="shared" si="1046"/>
        <v>0.93</v>
      </c>
    </row>
    <row r="6816" ht="30.0" customHeight="1">
      <c r="A6816" s="10" t="s">
        <v>2943</v>
      </c>
      <c r="B6816" s="10" t="s">
        <v>42</v>
      </c>
      <c r="C6816" s="10" t="s">
        <v>344</v>
      </c>
      <c r="D6816" s="10" t="s">
        <v>2944</v>
      </c>
      <c r="E6816" s="14">
        <v>0.075</v>
      </c>
      <c r="F6816" s="15">
        <f>ROUND(0.44,3)</f>
        <v>0.44</v>
      </c>
      <c r="G6816" s="12">
        <f t="shared" si="1046"/>
        <v>0.03</v>
      </c>
    </row>
    <row r="6817" ht="30.0" customHeight="1">
      <c r="A6817" s="10" t="s">
        <v>1763</v>
      </c>
      <c r="B6817" s="10" t="s">
        <v>42</v>
      </c>
      <c r="C6817" s="10" t="s">
        <v>1245</v>
      </c>
      <c r="D6817" s="10" t="s">
        <v>1764</v>
      </c>
      <c r="E6817" s="14">
        <v>0.043</v>
      </c>
      <c r="F6817" s="15">
        <f>ROUND(6.32,3)</f>
        <v>6.32</v>
      </c>
      <c r="G6817" s="12">
        <f t="shared" si="1046"/>
        <v>0.27</v>
      </c>
    </row>
    <row r="6818" ht="21.0" customHeight="1">
      <c r="A6818" s="10" t="s">
        <v>22</v>
      </c>
      <c r="B6818" s="10" t="s">
        <v>18</v>
      </c>
      <c r="C6818" s="10" t="s">
        <v>23</v>
      </c>
      <c r="D6818" s="10" t="s">
        <v>24</v>
      </c>
      <c r="E6818" s="14">
        <v>0.5</v>
      </c>
      <c r="F6818" s="15">
        <f>F6822</f>
        <v>43.8</v>
      </c>
      <c r="G6818" s="12">
        <f t="shared" si="1046"/>
        <v>21.9</v>
      </c>
    </row>
    <row r="6819" ht="24.0" customHeight="1">
      <c r="A6819" s="10" t="s">
        <v>25</v>
      </c>
      <c r="B6819" s="10" t="s">
        <v>26</v>
      </c>
      <c r="C6819" s="10" t="s">
        <v>23</v>
      </c>
      <c r="D6819" s="10" t="s">
        <v>27</v>
      </c>
      <c r="E6819" s="14">
        <v>1.0</v>
      </c>
      <c r="F6819" s="15">
        <f>ROUND(21,3)</f>
        <v>21</v>
      </c>
      <c r="G6819" s="12">
        <f t="shared" si="1046"/>
        <v>21</v>
      </c>
    </row>
    <row r="6820" ht="24.0" customHeight="1">
      <c r="A6820" s="10" t="s">
        <v>28</v>
      </c>
      <c r="B6820" s="10" t="s">
        <v>26</v>
      </c>
      <c r="C6820" s="10" t="s">
        <v>23</v>
      </c>
      <c r="D6820" s="10" t="s">
        <v>29</v>
      </c>
      <c r="E6820" s="14">
        <v>1.0</v>
      </c>
      <c r="F6820" s="15">
        <f t="shared" ref="F6820:F6821" si="1047">ROUND(19,3)</f>
        <v>19</v>
      </c>
      <c r="G6820" s="12">
        <f t="shared" si="1046"/>
        <v>19</v>
      </c>
    </row>
    <row r="6821" ht="24.0" customHeight="1">
      <c r="A6821" s="10" t="s">
        <v>30</v>
      </c>
      <c r="B6821" s="10" t="s">
        <v>26</v>
      </c>
      <c r="C6821" s="10" t="s">
        <v>23</v>
      </c>
      <c r="D6821" s="10" t="s">
        <v>31</v>
      </c>
      <c r="E6821" s="14">
        <v>0.2</v>
      </c>
      <c r="F6821" s="15">
        <f t="shared" si="1047"/>
        <v>19</v>
      </c>
      <c r="G6821" s="12">
        <f t="shared" si="1046"/>
        <v>3.8</v>
      </c>
    </row>
    <row r="6822" ht="15.0" customHeight="1">
      <c r="A6822" s="11"/>
      <c r="B6822" s="11"/>
      <c r="C6822" s="11"/>
      <c r="D6822" s="10" t="s">
        <v>22</v>
      </c>
      <c r="E6822" s="14">
        <v>0.5</v>
      </c>
      <c r="F6822" s="15">
        <f>ROUND((G6819+G6820+G6821),3)</f>
        <v>43.8</v>
      </c>
      <c r="G6822" s="12">
        <f t="shared" si="1046"/>
        <v>21.9</v>
      </c>
    </row>
    <row r="6823" ht="15.0" customHeight="1">
      <c r="A6823" s="10" t="s">
        <v>32</v>
      </c>
      <c r="B6823" s="10"/>
      <c r="C6823" s="10" t="s">
        <v>33</v>
      </c>
      <c r="D6823" s="10" t="s">
        <v>34</v>
      </c>
      <c r="E6823" s="14">
        <v>3.0</v>
      </c>
      <c r="F6823" s="15">
        <f>ROUND(21.9,3)</f>
        <v>21.9</v>
      </c>
      <c r="G6823" s="12">
        <f>ROUND((E6823*F6823)/100,2)</f>
        <v>0.66</v>
      </c>
    </row>
    <row r="6824" ht="15.0" customHeight="1">
      <c r="A6824" s="16"/>
      <c r="B6824" s="16"/>
      <c r="C6824" s="16"/>
      <c r="D6824" s="17" t="s">
        <v>2938</v>
      </c>
      <c r="E6824" s="16"/>
      <c r="F6824" s="18">
        <f>ROUND((G6813+G6814+G6815+G6816+G6817+G6818+G6823)*(1+G2/100),2)</f>
        <v>46.7</v>
      </c>
      <c r="G6824" s="16"/>
    </row>
    <row r="6825" ht="21.0" customHeight="1">
      <c r="A6825" s="19" t="s">
        <v>2945</v>
      </c>
      <c r="B6825" s="20" t="s">
        <v>18</v>
      </c>
      <c r="C6825" s="20" t="s">
        <v>537</v>
      </c>
      <c r="D6825" s="20" t="s">
        <v>2946</v>
      </c>
      <c r="E6825" s="21"/>
      <c r="F6825" s="22">
        <f>F6836</f>
        <v>41.58</v>
      </c>
      <c r="G6825" s="21"/>
    </row>
    <row r="6826" ht="12.0" customHeight="1">
      <c r="A6826" s="11"/>
      <c r="B6826" s="11"/>
      <c r="C6826" s="11"/>
      <c r="D6826" s="10" t="s">
        <v>2947</v>
      </c>
    </row>
    <row r="6827" ht="39.75" customHeight="1">
      <c r="A6827" s="10" t="s">
        <v>2948</v>
      </c>
      <c r="B6827" s="10" t="s">
        <v>42</v>
      </c>
      <c r="C6827" s="10" t="s">
        <v>344</v>
      </c>
      <c r="D6827" s="10" t="s">
        <v>2949</v>
      </c>
      <c r="E6827" s="14">
        <v>2.0</v>
      </c>
      <c r="F6827" s="15">
        <f>ROUND(10.09,3)</f>
        <v>10.09</v>
      </c>
      <c r="G6827" s="12">
        <f t="shared" ref="G6827:G6835" si="1048">ROUND(E6827*F6827,2)</f>
        <v>20.18</v>
      </c>
    </row>
    <row r="6828" ht="48.75" customHeight="1">
      <c r="A6828" s="10" t="s">
        <v>2069</v>
      </c>
      <c r="B6828" s="10" t="s">
        <v>42</v>
      </c>
      <c r="C6828" s="10" t="s">
        <v>184</v>
      </c>
      <c r="D6828" s="10" t="s">
        <v>2070</v>
      </c>
      <c r="E6828" s="14">
        <v>0.32</v>
      </c>
      <c r="F6828" s="15">
        <f>ROUND(10.25,3)</f>
        <v>10.25</v>
      </c>
      <c r="G6828" s="12">
        <f t="shared" si="1048"/>
        <v>3.28</v>
      </c>
    </row>
    <row r="6829" ht="30.0" customHeight="1">
      <c r="A6829" s="10" t="s">
        <v>2053</v>
      </c>
      <c r="B6829" s="10" t="s">
        <v>42</v>
      </c>
      <c r="C6829" s="10" t="s">
        <v>184</v>
      </c>
      <c r="D6829" s="10" t="s">
        <v>2054</v>
      </c>
      <c r="E6829" s="14">
        <v>0.024</v>
      </c>
      <c r="F6829" s="15">
        <f>ROUND(11.74,3)</f>
        <v>11.74</v>
      </c>
      <c r="G6829" s="12">
        <f t="shared" si="1048"/>
        <v>0.28</v>
      </c>
    </row>
    <row r="6830" ht="30.0" customHeight="1">
      <c r="A6830" s="10" t="s">
        <v>1763</v>
      </c>
      <c r="B6830" s="10" t="s">
        <v>42</v>
      </c>
      <c r="C6830" s="10" t="s">
        <v>1245</v>
      </c>
      <c r="D6830" s="10" t="s">
        <v>1764</v>
      </c>
      <c r="E6830" s="14">
        <v>0.05</v>
      </c>
      <c r="F6830" s="15">
        <f>ROUND(6.32,3)</f>
        <v>6.32</v>
      </c>
      <c r="G6830" s="12">
        <f t="shared" si="1048"/>
        <v>0.32</v>
      </c>
    </row>
    <row r="6831" ht="21.0" customHeight="1">
      <c r="A6831" s="10" t="s">
        <v>22</v>
      </c>
      <c r="B6831" s="10" t="s">
        <v>18</v>
      </c>
      <c r="C6831" s="10" t="s">
        <v>23</v>
      </c>
      <c r="D6831" s="10" t="s">
        <v>24</v>
      </c>
      <c r="E6831" s="14">
        <v>0.4</v>
      </c>
      <c r="F6831" s="15">
        <f>F6835</f>
        <v>43.8</v>
      </c>
      <c r="G6831" s="12">
        <f t="shared" si="1048"/>
        <v>17.52</v>
      </c>
    </row>
    <row r="6832" ht="24.0" customHeight="1">
      <c r="A6832" s="10" t="s">
        <v>25</v>
      </c>
      <c r="B6832" s="10" t="s">
        <v>26</v>
      </c>
      <c r="C6832" s="10" t="s">
        <v>23</v>
      </c>
      <c r="D6832" s="10" t="s">
        <v>27</v>
      </c>
      <c r="E6832" s="14">
        <v>1.0</v>
      </c>
      <c r="F6832" s="15">
        <f>ROUND(21,3)</f>
        <v>21</v>
      </c>
      <c r="G6832" s="12">
        <f t="shared" si="1048"/>
        <v>21</v>
      </c>
    </row>
    <row r="6833" ht="24.0" customHeight="1">
      <c r="A6833" s="10" t="s">
        <v>28</v>
      </c>
      <c r="B6833" s="10" t="s">
        <v>26</v>
      </c>
      <c r="C6833" s="10" t="s">
        <v>23</v>
      </c>
      <c r="D6833" s="10" t="s">
        <v>29</v>
      </c>
      <c r="E6833" s="14">
        <v>1.0</v>
      </c>
      <c r="F6833" s="15">
        <f t="shared" ref="F6833:F6834" si="1049">ROUND(19,3)</f>
        <v>19</v>
      </c>
      <c r="G6833" s="12">
        <f t="shared" si="1048"/>
        <v>19</v>
      </c>
    </row>
    <row r="6834" ht="24.0" customHeight="1">
      <c r="A6834" s="10" t="s">
        <v>30</v>
      </c>
      <c r="B6834" s="10" t="s">
        <v>26</v>
      </c>
      <c r="C6834" s="10" t="s">
        <v>23</v>
      </c>
      <c r="D6834" s="10" t="s">
        <v>31</v>
      </c>
      <c r="E6834" s="14">
        <v>0.2</v>
      </c>
      <c r="F6834" s="15">
        <f t="shared" si="1049"/>
        <v>19</v>
      </c>
      <c r="G6834" s="12">
        <f t="shared" si="1048"/>
        <v>3.8</v>
      </c>
    </row>
    <row r="6835" ht="15.0" customHeight="1">
      <c r="A6835" s="11"/>
      <c r="B6835" s="11"/>
      <c r="C6835" s="11"/>
      <c r="D6835" s="10" t="s">
        <v>22</v>
      </c>
      <c r="E6835" s="14">
        <v>0.4</v>
      </c>
      <c r="F6835" s="15">
        <f>ROUND((G6832+G6833+G6834),3)</f>
        <v>43.8</v>
      </c>
      <c r="G6835" s="12">
        <f t="shared" si="1048"/>
        <v>17.52</v>
      </c>
    </row>
    <row r="6836" ht="15.0" customHeight="1">
      <c r="A6836" s="16"/>
      <c r="B6836" s="16"/>
      <c r="C6836" s="16"/>
      <c r="D6836" s="17" t="s">
        <v>2945</v>
      </c>
      <c r="E6836" s="16"/>
      <c r="F6836" s="18">
        <f>ROUND((G6827+G6828+G6829+G6830+G6831)*(1+G2/100),2)</f>
        <v>41.58</v>
      </c>
      <c r="G6836" s="16"/>
    </row>
    <row r="6837" ht="15.0" customHeight="1">
      <c r="A6837" s="19" t="s">
        <v>2950</v>
      </c>
      <c r="B6837" s="20" t="s">
        <v>18</v>
      </c>
      <c r="C6837" s="20" t="s">
        <v>537</v>
      </c>
      <c r="D6837" s="20" t="s">
        <v>2951</v>
      </c>
      <c r="E6837" s="21"/>
      <c r="F6837" s="22">
        <f>F6847</f>
        <v>32.57</v>
      </c>
      <c r="G6837" s="21"/>
    </row>
    <row r="6838" ht="48.75" customHeight="1">
      <c r="A6838" s="11"/>
      <c r="B6838" s="11"/>
      <c r="C6838" s="11"/>
      <c r="D6838" s="10" t="s">
        <v>2952</v>
      </c>
    </row>
    <row r="6839" ht="30.0" customHeight="1">
      <c r="A6839" s="10" t="s">
        <v>2777</v>
      </c>
      <c r="B6839" s="10" t="s">
        <v>42</v>
      </c>
      <c r="C6839" s="10" t="s">
        <v>344</v>
      </c>
      <c r="D6839" s="10" t="s">
        <v>2778</v>
      </c>
      <c r="E6839" s="14">
        <v>0.55</v>
      </c>
      <c r="F6839" s="15">
        <f>ROUND(38,3)</f>
        <v>38</v>
      </c>
      <c r="G6839" s="12">
        <f t="shared" ref="G6839:G6846" si="1050">ROUND(E6839*F6839,2)</f>
        <v>20.9</v>
      </c>
    </row>
    <row r="6840" ht="39.75" customHeight="1">
      <c r="A6840" s="10" t="s">
        <v>2936</v>
      </c>
      <c r="B6840" s="10" t="s">
        <v>42</v>
      </c>
      <c r="C6840" s="10" t="s">
        <v>43</v>
      </c>
      <c r="D6840" s="10" t="s">
        <v>2937</v>
      </c>
      <c r="E6840" s="14">
        <v>0.02</v>
      </c>
      <c r="F6840" s="15">
        <f>ROUND(31.41,3)</f>
        <v>31.41</v>
      </c>
      <c r="G6840" s="12">
        <f t="shared" si="1050"/>
        <v>0.63</v>
      </c>
    </row>
    <row r="6841" ht="30.0" customHeight="1">
      <c r="A6841" s="10" t="s">
        <v>1763</v>
      </c>
      <c r="B6841" s="10" t="s">
        <v>42</v>
      </c>
      <c r="C6841" s="10" t="s">
        <v>1245</v>
      </c>
      <c r="D6841" s="10" t="s">
        <v>1764</v>
      </c>
      <c r="E6841" s="14">
        <v>0.2222</v>
      </c>
      <c r="F6841" s="15">
        <f>ROUND(6.32,3)</f>
        <v>6.32</v>
      </c>
      <c r="G6841" s="12">
        <f t="shared" si="1050"/>
        <v>1.4</v>
      </c>
    </row>
    <row r="6842" ht="21.0" customHeight="1">
      <c r="A6842" s="10" t="s">
        <v>22</v>
      </c>
      <c r="B6842" s="10" t="s">
        <v>18</v>
      </c>
      <c r="C6842" s="10" t="s">
        <v>23</v>
      </c>
      <c r="D6842" s="10" t="s">
        <v>24</v>
      </c>
      <c r="E6842" s="14">
        <v>0.22</v>
      </c>
      <c r="F6842" s="15">
        <f>F6846</f>
        <v>43.8</v>
      </c>
      <c r="G6842" s="12">
        <f t="shared" si="1050"/>
        <v>9.64</v>
      </c>
    </row>
    <row r="6843" ht="24.0" customHeight="1">
      <c r="A6843" s="10" t="s">
        <v>25</v>
      </c>
      <c r="B6843" s="10" t="s">
        <v>26</v>
      </c>
      <c r="C6843" s="10" t="s">
        <v>23</v>
      </c>
      <c r="D6843" s="10" t="s">
        <v>27</v>
      </c>
      <c r="E6843" s="14">
        <v>1.0</v>
      </c>
      <c r="F6843" s="15">
        <f>ROUND(21,3)</f>
        <v>21</v>
      </c>
      <c r="G6843" s="12">
        <f t="shared" si="1050"/>
        <v>21</v>
      </c>
    </row>
    <row r="6844" ht="24.0" customHeight="1">
      <c r="A6844" s="10" t="s">
        <v>28</v>
      </c>
      <c r="B6844" s="10" t="s">
        <v>26</v>
      </c>
      <c r="C6844" s="10" t="s">
        <v>23</v>
      </c>
      <c r="D6844" s="10" t="s">
        <v>29</v>
      </c>
      <c r="E6844" s="14">
        <v>1.0</v>
      </c>
      <c r="F6844" s="15">
        <f t="shared" ref="F6844:F6845" si="1051">ROUND(19,3)</f>
        <v>19</v>
      </c>
      <c r="G6844" s="12">
        <f t="shared" si="1050"/>
        <v>19</v>
      </c>
    </row>
    <row r="6845" ht="24.0" customHeight="1">
      <c r="A6845" s="10" t="s">
        <v>30</v>
      </c>
      <c r="B6845" s="10" t="s">
        <v>26</v>
      </c>
      <c r="C6845" s="10" t="s">
        <v>23</v>
      </c>
      <c r="D6845" s="10" t="s">
        <v>31</v>
      </c>
      <c r="E6845" s="14">
        <v>0.2</v>
      </c>
      <c r="F6845" s="15">
        <f t="shared" si="1051"/>
        <v>19</v>
      </c>
      <c r="G6845" s="12">
        <f t="shared" si="1050"/>
        <v>3.8</v>
      </c>
    </row>
    <row r="6846" ht="15.0" customHeight="1">
      <c r="A6846" s="11"/>
      <c r="B6846" s="11"/>
      <c r="C6846" s="11"/>
      <c r="D6846" s="10" t="s">
        <v>22</v>
      </c>
      <c r="E6846" s="14">
        <v>0.22</v>
      </c>
      <c r="F6846" s="15">
        <f>ROUND((G6843+G6844+G6845),3)</f>
        <v>43.8</v>
      </c>
      <c r="G6846" s="12">
        <f t="shared" si="1050"/>
        <v>9.64</v>
      </c>
    </row>
    <row r="6847" ht="15.0" customHeight="1">
      <c r="A6847" s="16"/>
      <c r="B6847" s="16"/>
      <c r="C6847" s="16"/>
      <c r="D6847" s="17" t="s">
        <v>2950</v>
      </c>
      <c r="E6847" s="16"/>
      <c r="F6847" s="18">
        <f>ROUND((G6839+G6840+G6841+G6842)*(1+G2/100),2)</f>
        <v>32.57</v>
      </c>
      <c r="G6847" s="16"/>
    </row>
    <row r="6848" ht="30.0" customHeight="1">
      <c r="A6848" s="19" t="s">
        <v>2953</v>
      </c>
      <c r="B6848" s="20" t="s">
        <v>18</v>
      </c>
      <c r="C6848" s="20" t="s">
        <v>537</v>
      </c>
      <c r="D6848" s="20" t="s">
        <v>2954</v>
      </c>
      <c r="E6848" s="21"/>
      <c r="F6848" s="22">
        <f>F6859</f>
        <v>93.23</v>
      </c>
      <c r="G6848" s="21"/>
    </row>
    <row r="6849" ht="48.75" customHeight="1">
      <c r="A6849" s="11"/>
      <c r="B6849" s="11"/>
      <c r="C6849" s="11"/>
      <c r="D6849" s="10" t="s">
        <v>2955</v>
      </c>
    </row>
    <row r="6850" ht="21.0" customHeight="1">
      <c r="A6850" s="10" t="s">
        <v>2075</v>
      </c>
      <c r="B6850" s="10" t="s">
        <v>42</v>
      </c>
      <c r="C6850" s="10" t="s">
        <v>19</v>
      </c>
      <c r="D6850" s="10" t="s">
        <v>2076</v>
      </c>
      <c r="E6850" s="14">
        <v>0.0</v>
      </c>
      <c r="F6850" s="15">
        <f>ROUND(64.5,3)</f>
        <v>64.5</v>
      </c>
      <c r="G6850" s="12">
        <f t="shared" ref="G6850:G6858" si="1052">ROUND(E6850*F6850,2)</f>
        <v>0</v>
      </c>
    </row>
    <row r="6851" ht="21.0" customHeight="1">
      <c r="A6851" s="10" t="s">
        <v>2956</v>
      </c>
      <c r="B6851" s="10" t="s">
        <v>42</v>
      </c>
      <c r="C6851" s="10" t="s">
        <v>351</v>
      </c>
      <c r="D6851" s="10" t="s">
        <v>2957</v>
      </c>
      <c r="E6851" s="14">
        <v>1.0</v>
      </c>
      <c r="F6851" s="15">
        <f>ROUND(67,3)</f>
        <v>67</v>
      </c>
      <c r="G6851" s="12">
        <f t="shared" si="1052"/>
        <v>67</v>
      </c>
    </row>
    <row r="6852" ht="48.75" customHeight="1">
      <c r="A6852" s="10" t="s">
        <v>2069</v>
      </c>
      <c r="B6852" s="10" t="s">
        <v>42</v>
      </c>
      <c r="C6852" s="10" t="s">
        <v>184</v>
      </c>
      <c r="D6852" s="10" t="s">
        <v>2070</v>
      </c>
      <c r="E6852" s="14">
        <v>0.4</v>
      </c>
      <c r="F6852" s="15">
        <f>ROUND(10.25,3)</f>
        <v>10.25</v>
      </c>
      <c r="G6852" s="12">
        <f t="shared" si="1052"/>
        <v>4.1</v>
      </c>
    </row>
    <row r="6853" ht="30.0" customHeight="1">
      <c r="A6853" s="10" t="s">
        <v>2053</v>
      </c>
      <c r="B6853" s="10" t="s">
        <v>42</v>
      </c>
      <c r="C6853" s="10" t="s">
        <v>184</v>
      </c>
      <c r="D6853" s="10" t="s">
        <v>2054</v>
      </c>
      <c r="E6853" s="14">
        <v>0.02</v>
      </c>
      <c r="F6853" s="15">
        <f>ROUND(11.74,3)</f>
        <v>11.74</v>
      </c>
      <c r="G6853" s="12">
        <f t="shared" si="1052"/>
        <v>0.23</v>
      </c>
    </row>
    <row r="6854" ht="21.0" customHeight="1">
      <c r="A6854" s="10" t="s">
        <v>22</v>
      </c>
      <c r="B6854" s="10" t="s">
        <v>18</v>
      </c>
      <c r="C6854" s="10" t="s">
        <v>23</v>
      </c>
      <c r="D6854" s="10" t="s">
        <v>24</v>
      </c>
      <c r="E6854" s="14">
        <v>0.5</v>
      </c>
      <c r="F6854" s="15">
        <f>F6858</f>
        <v>43.8</v>
      </c>
      <c r="G6854" s="12">
        <f t="shared" si="1052"/>
        <v>21.9</v>
      </c>
    </row>
    <row r="6855" ht="24.0" customHeight="1">
      <c r="A6855" s="10" t="s">
        <v>25</v>
      </c>
      <c r="B6855" s="10" t="s">
        <v>26</v>
      </c>
      <c r="C6855" s="10" t="s">
        <v>23</v>
      </c>
      <c r="D6855" s="10" t="s">
        <v>27</v>
      </c>
      <c r="E6855" s="14">
        <v>1.0</v>
      </c>
      <c r="F6855" s="15">
        <f>ROUND(21,3)</f>
        <v>21</v>
      </c>
      <c r="G6855" s="12">
        <f t="shared" si="1052"/>
        <v>21</v>
      </c>
    </row>
    <row r="6856" ht="24.0" customHeight="1">
      <c r="A6856" s="10" t="s">
        <v>28</v>
      </c>
      <c r="B6856" s="10" t="s">
        <v>26</v>
      </c>
      <c r="C6856" s="10" t="s">
        <v>23</v>
      </c>
      <c r="D6856" s="10" t="s">
        <v>29</v>
      </c>
      <c r="E6856" s="14">
        <v>1.0</v>
      </c>
      <c r="F6856" s="15">
        <f t="shared" ref="F6856:F6857" si="1053">ROUND(19,3)</f>
        <v>19</v>
      </c>
      <c r="G6856" s="12">
        <f t="shared" si="1052"/>
        <v>19</v>
      </c>
    </row>
    <row r="6857" ht="24.0" customHeight="1">
      <c r="A6857" s="10" t="s">
        <v>30</v>
      </c>
      <c r="B6857" s="10" t="s">
        <v>26</v>
      </c>
      <c r="C6857" s="10" t="s">
        <v>23</v>
      </c>
      <c r="D6857" s="10" t="s">
        <v>31</v>
      </c>
      <c r="E6857" s="14">
        <v>0.2</v>
      </c>
      <c r="F6857" s="15">
        <f t="shared" si="1053"/>
        <v>19</v>
      </c>
      <c r="G6857" s="12">
        <f t="shared" si="1052"/>
        <v>3.8</v>
      </c>
    </row>
    <row r="6858" ht="15.0" customHeight="1">
      <c r="A6858" s="11"/>
      <c r="B6858" s="11"/>
      <c r="C6858" s="11"/>
      <c r="D6858" s="10" t="s">
        <v>22</v>
      </c>
      <c r="E6858" s="14">
        <v>0.5</v>
      </c>
      <c r="F6858" s="15">
        <f>ROUND((G6855+G6856+G6857),3)</f>
        <v>43.8</v>
      </c>
      <c r="G6858" s="12">
        <f t="shared" si="1052"/>
        <v>21.9</v>
      </c>
    </row>
    <row r="6859" ht="15.0" customHeight="1">
      <c r="A6859" s="16"/>
      <c r="B6859" s="16"/>
      <c r="C6859" s="16"/>
      <c r="D6859" s="17" t="s">
        <v>2953</v>
      </c>
      <c r="E6859" s="16"/>
      <c r="F6859" s="18">
        <f>ROUND((G6850+G6851+G6852+G6853+G6854)*(1+G2/100),2)</f>
        <v>93.23</v>
      </c>
      <c r="G6859" s="16"/>
    </row>
    <row r="6860" ht="48.75" customHeight="1">
      <c r="A6860" s="19" t="s">
        <v>2958</v>
      </c>
      <c r="B6860" s="20" t="s">
        <v>18</v>
      </c>
      <c r="C6860" s="20" t="s">
        <v>351</v>
      </c>
      <c r="D6860" s="20" t="s">
        <v>2959</v>
      </c>
      <c r="E6860" s="21"/>
      <c r="F6860" s="22">
        <f>F6871</f>
        <v>55.46</v>
      </c>
      <c r="G6860" s="21"/>
    </row>
    <row r="6861" ht="39.75" customHeight="1">
      <c r="A6861" s="11"/>
      <c r="B6861" s="11"/>
      <c r="C6861" s="11"/>
      <c r="D6861" s="10" t="s">
        <v>2836</v>
      </c>
    </row>
    <row r="6862" ht="39.75" customHeight="1">
      <c r="A6862" s="10" t="s">
        <v>2960</v>
      </c>
      <c r="B6862" s="10" t="s">
        <v>42</v>
      </c>
      <c r="C6862" s="10" t="s">
        <v>344</v>
      </c>
      <c r="D6862" s="10" t="s">
        <v>2961</v>
      </c>
      <c r="E6862" s="14">
        <v>8.0</v>
      </c>
      <c r="F6862" s="15">
        <f>ROUND(2.39,3)</f>
        <v>2.39</v>
      </c>
      <c r="G6862" s="12">
        <f t="shared" ref="G6862:G6869" si="1054">ROUND(E6862*F6862,2)</f>
        <v>19.12</v>
      </c>
    </row>
    <row r="6863" ht="30.0" customHeight="1">
      <c r="A6863" s="10" t="s">
        <v>2694</v>
      </c>
      <c r="B6863" s="10" t="s">
        <v>42</v>
      </c>
      <c r="C6863" s="10" t="s">
        <v>184</v>
      </c>
      <c r="D6863" s="10" t="s">
        <v>2695</v>
      </c>
      <c r="E6863" s="14">
        <v>0.1232</v>
      </c>
      <c r="F6863" s="15">
        <f>ROUND(15.43,3)</f>
        <v>15.43</v>
      </c>
      <c r="G6863" s="12">
        <f t="shared" si="1054"/>
        <v>1.9</v>
      </c>
    </row>
    <row r="6864" ht="30.0" customHeight="1">
      <c r="A6864" s="10" t="s">
        <v>2053</v>
      </c>
      <c r="B6864" s="10" t="s">
        <v>42</v>
      </c>
      <c r="C6864" s="10" t="s">
        <v>184</v>
      </c>
      <c r="D6864" s="10" t="s">
        <v>2054</v>
      </c>
      <c r="E6864" s="14">
        <v>0.05069</v>
      </c>
      <c r="F6864" s="15">
        <f>ROUND(11.74,3)</f>
        <v>11.74</v>
      </c>
      <c r="G6864" s="12">
        <f t="shared" si="1054"/>
        <v>0.6</v>
      </c>
    </row>
    <row r="6865" ht="21.0" customHeight="1">
      <c r="A6865" s="10" t="s">
        <v>22</v>
      </c>
      <c r="B6865" s="10" t="s">
        <v>18</v>
      </c>
      <c r="C6865" s="10" t="s">
        <v>23</v>
      </c>
      <c r="D6865" s="10" t="s">
        <v>24</v>
      </c>
      <c r="E6865" s="14">
        <v>0.75</v>
      </c>
      <c r="F6865" s="15">
        <f>F6869</f>
        <v>43.8</v>
      </c>
      <c r="G6865" s="12">
        <f t="shared" si="1054"/>
        <v>32.85</v>
      </c>
    </row>
    <row r="6866" ht="24.0" customHeight="1">
      <c r="A6866" s="10" t="s">
        <v>25</v>
      </c>
      <c r="B6866" s="10" t="s">
        <v>26</v>
      </c>
      <c r="C6866" s="10" t="s">
        <v>23</v>
      </c>
      <c r="D6866" s="10" t="s">
        <v>27</v>
      </c>
      <c r="E6866" s="14">
        <v>1.0</v>
      </c>
      <c r="F6866" s="15">
        <f>ROUND(21,3)</f>
        <v>21</v>
      </c>
      <c r="G6866" s="12">
        <f t="shared" si="1054"/>
        <v>21</v>
      </c>
    </row>
    <row r="6867" ht="24.0" customHeight="1">
      <c r="A6867" s="10" t="s">
        <v>28</v>
      </c>
      <c r="B6867" s="10" t="s">
        <v>26</v>
      </c>
      <c r="C6867" s="10" t="s">
        <v>23</v>
      </c>
      <c r="D6867" s="10" t="s">
        <v>29</v>
      </c>
      <c r="E6867" s="14">
        <v>1.0</v>
      </c>
      <c r="F6867" s="15">
        <f t="shared" ref="F6867:F6868" si="1055">ROUND(19,3)</f>
        <v>19</v>
      </c>
      <c r="G6867" s="12">
        <f t="shared" si="1054"/>
        <v>19</v>
      </c>
    </row>
    <row r="6868" ht="24.0" customHeight="1">
      <c r="A6868" s="10" t="s">
        <v>30</v>
      </c>
      <c r="B6868" s="10" t="s">
        <v>26</v>
      </c>
      <c r="C6868" s="10" t="s">
        <v>23</v>
      </c>
      <c r="D6868" s="10" t="s">
        <v>31</v>
      </c>
      <c r="E6868" s="14">
        <v>0.2</v>
      </c>
      <c r="F6868" s="15">
        <f t="shared" si="1055"/>
        <v>19</v>
      </c>
      <c r="G6868" s="12">
        <f t="shared" si="1054"/>
        <v>3.8</v>
      </c>
    </row>
    <row r="6869" ht="15.0" customHeight="1">
      <c r="A6869" s="11"/>
      <c r="B6869" s="11"/>
      <c r="C6869" s="11"/>
      <c r="D6869" s="10" t="s">
        <v>22</v>
      </c>
      <c r="E6869" s="14">
        <v>0.75</v>
      </c>
      <c r="F6869" s="15">
        <f>ROUND((G6866+G6867+G6868),3)</f>
        <v>43.8</v>
      </c>
      <c r="G6869" s="12">
        <f t="shared" si="1054"/>
        <v>32.85</v>
      </c>
    </row>
    <row r="6870" ht="15.0" customHeight="1">
      <c r="A6870" s="10" t="s">
        <v>32</v>
      </c>
      <c r="B6870" s="10"/>
      <c r="C6870" s="10" t="s">
        <v>33</v>
      </c>
      <c r="D6870" s="10" t="s">
        <v>34</v>
      </c>
      <c r="E6870" s="14">
        <v>3.0</v>
      </c>
      <c r="F6870" s="15">
        <f>ROUND(32.85,3)</f>
        <v>32.85</v>
      </c>
      <c r="G6870" s="12">
        <f>ROUND((E6870*F6870)/100,2)</f>
        <v>0.99</v>
      </c>
    </row>
    <row r="6871" ht="15.0" customHeight="1">
      <c r="A6871" s="16"/>
      <c r="B6871" s="16"/>
      <c r="C6871" s="16"/>
      <c r="D6871" s="17" t="s">
        <v>2958</v>
      </c>
      <c r="E6871" s="16"/>
      <c r="F6871" s="18">
        <f>ROUND((G6862+G6863+G6864+G6865+G6870)*(1+G2/100),2)</f>
        <v>55.46</v>
      </c>
      <c r="G6871" s="16"/>
    </row>
    <row r="6872" ht="24.75" customHeight="1">
      <c r="A6872" s="19" t="s">
        <v>2962</v>
      </c>
      <c r="B6872" s="20" t="s">
        <v>18</v>
      </c>
      <c r="C6872" s="20" t="s">
        <v>537</v>
      </c>
      <c r="D6872" s="20" t="s">
        <v>2963</v>
      </c>
      <c r="E6872" s="21"/>
      <c r="F6872" s="22">
        <f>F6883</f>
        <v>47.24</v>
      </c>
      <c r="G6872" s="21"/>
    </row>
    <row r="6873" ht="12.0" customHeight="1">
      <c r="A6873" s="11"/>
      <c r="B6873" s="11"/>
      <c r="C6873" s="11"/>
      <c r="D6873" s="10" t="s">
        <v>2963</v>
      </c>
    </row>
    <row r="6874" ht="30.0" customHeight="1">
      <c r="A6874" s="10" t="s">
        <v>2964</v>
      </c>
      <c r="B6874" s="10" t="s">
        <v>42</v>
      </c>
      <c r="C6874" s="10" t="s">
        <v>344</v>
      </c>
      <c r="D6874" s="10" t="s">
        <v>2965</v>
      </c>
      <c r="E6874" s="14">
        <v>3.0</v>
      </c>
      <c r="F6874" s="15">
        <f>ROUND(7.55,3)</f>
        <v>7.55</v>
      </c>
      <c r="G6874" s="12">
        <f t="shared" ref="G6874:G6881" si="1056">ROUND(E6874*F6874,2)</f>
        <v>22.65</v>
      </c>
    </row>
    <row r="6875" ht="48.75" customHeight="1">
      <c r="A6875" s="10" t="s">
        <v>2069</v>
      </c>
      <c r="B6875" s="10" t="s">
        <v>42</v>
      </c>
      <c r="C6875" s="10" t="s">
        <v>184</v>
      </c>
      <c r="D6875" s="10" t="s">
        <v>2070</v>
      </c>
      <c r="E6875" s="14">
        <v>0.16</v>
      </c>
      <c r="F6875" s="15">
        <f>ROUND(10.25,3)</f>
        <v>10.25</v>
      </c>
      <c r="G6875" s="12">
        <f t="shared" si="1056"/>
        <v>1.64</v>
      </c>
    </row>
    <row r="6876" ht="30.0" customHeight="1">
      <c r="A6876" s="10" t="s">
        <v>2053</v>
      </c>
      <c r="B6876" s="10" t="s">
        <v>42</v>
      </c>
      <c r="C6876" s="10" t="s">
        <v>184</v>
      </c>
      <c r="D6876" s="10" t="s">
        <v>2054</v>
      </c>
      <c r="E6876" s="14">
        <v>0.0328</v>
      </c>
      <c r="F6876" s="15">
        <f>ROUND(11.74,3)</f>
        <v>11.74</v>
      </c>
      <c r="G6876" s="12">
        <f t="shared" si="1056"/>
        <v>0.39</v>
      </c>
    </row>
    <row r="6877" ht="21.0" customHeight="1">
      <c r="A6877" s="10" t="s">
        <v>22</v>
      </c>
      <c r="B6877" s="10" t="s">
        <v>18</v>
      </c>
      <c r="C6877" s="10" t="s">
        <v>23</v>
      </c>
      <c r="D6877" s="10" t="s">
        <v>24</v>
      </c>
      <c r="E6877" s="14">
        <v>0.5</v>
      </c>
      <c r="F6877" s="15">
        <f>F6881</f>
        <v>43.8</v>
      </c>
      <c r="G6877" s="12">
        <f t="shared" si="1056"/>
        <v>21.9</v>
      </c>
    </row>
    <row r="6878" ht="24.0" customHeight="1">
      <c r="A6878" s="10" t="s">
        <v>25</v>
      </c>
      <c r="B6878" s="10" t="s">
        <v>26</v>
      </c>
      <c r="C6878" s="10" t="s">
        <v>23</v>
      </c>
      <c r="D6878" s="10" t="s">
        <v>27</v>
      </c>
      <c r="E6878" s="14">
        <v>1.0</v>
      </c>
      <c r="F6878" s="15">
        <f>ROUND(21,3)</f>
        <v>21</v>
      </c>
      <c r="G6878" s="12">
        <f t="shared" si="1056"/>
        <v>21</v>
      </c>
    </row>
    <row r="6879" ht="24.0" customHeight="1">
      <c r="A6879" s="10" t="s">
        <v>28</v>
      </c>
      <c r="B6879" s="10" t="s">
        <v>26</v>
      </c>
      <c r="C6879" s="10" t="s">
        <v>23</v>
      </c>
      <c r="D6879" s="10" t="s">
        <v>29</v>
      </c>
      <c r="E6879" s="14">
        <v>1.0</v>
      </c>
      <c r="F6879" s="15">
        <f t="shared" ref="F6879:F6880" si="1057">ROUND(19,3)</f>
        <v>19</v>
      </c>
      <c r="G6879" s="12">
        <f t="shared" si="1056"/>
        <v>19</v>
      </c>
    </row>
    <row r="6880" ht="24.0" customHeight="1">
      <c r="A6880" s="10" t="s">
        <v>30</v>
      </c>
      <c r="B6880" s="10" t="s">
        <v>26</v>
      </c>
      <c r="C6880" s="10" t="s">
        <v>23</v>
      </c>
      <c r="D6880" s="10" t="s">
        <v>31</v>
      </c>
      <c r="E6880" s="14">
        <v>0.2</v>
      </c>
      <c r="F6880" s="15">
        <f t="shared" si="1057"/>
        <v>19</v>
      </c>
      <c r="G6880" s="12">
        <f t="shared" si="1056"/>
        <v>3.8</v>
      </c>
    </row>
    <row r="6881" ht="15.0" customHeight="1">
      <c r="A6881" s="11"/>
      <c r="B6881" s="11"/>
      <c r="C6881" s="11"/>
      <c r="D6881" s="10" t="s">
        <v>22</v>
      </c>
      <c r="E6881" s="14">
        <v>0.5</v>
      </c>
      <c r="F6881" s="15">
        <f>ROUND((G6878+G6879+G6880),3)</f>
        <v>43.8</v>
      </c>
      <c r="G6881" s="12">
        <f t="shared" si="1056"/>
        <v>21.9</v>
      </c>
    </row>
    <row r="6882" ht="15.0" customHeight="1">
      <c r="A6882" s="10" t="s">
        <v>32</v>
      </c>
      <c r="B6882" s="10"/>
      <c r="C6882" s="10" t="s">
        <v>33</v>
      </c>
      <c r="D6882" s="10" t="s">
        <v>34</v>
      </c>
      <c r="E6882" s="14">
        <v>3.0</v>
      </c>
      <c r="F6882" s="15">
        <f>ROUND(21.9,3)</f>
        <v>21.9</v>
      </c>
      <c r="G6882" s="12">
        <f>ROUND((E6882*F6882)/100,2)</f>
        <v>0.66</v>
      </c>
    </row>
    <row r="6883" ht="15.0" customHeight="1">
      <c r="A6883" s="16"/>
      <c r="B6883" s="16"/>
      <c r="C6883" s="16"/>
      <c r="D6883" s="17" t="s">
        <v>2962</v>
      </c>
      <c r="E6883" s="16"/>
      <c r="F6883" s="18">
        <f>ROUND((G6874+G6875+G6876+G6877+G6882)*(1+G2/100),2)</f>
        <v>47.24</v>
      </c>
      <c r="G6883" s="16"/>
    </row>
    <row r="6884" ht="21.0" customHeight="1">
      <c r="A6884" s="19" t="s">
        <v>2966</v>
      </c>
      <c r="B6884" s="20" t="s">
        <v>18</v>
      </c>
      <c r="C6884" s="20" t="s">
        <v>537</v>
      </c>
      <c r="D6884" s="20" t="s">
        <v>2967</v>
      </c>
      <c r="E6884" s="21"/>
      <c r="F6884" s="22">
        <f>F6898</f>
        <v>69.44</v>
      </c>
      <c r="G6884" s="21"/>
    </row>
    <row r="6885" ht="57.75" customHeight="1">
      <c r="A6885" s="11"/>
      <c r="B6885" s="11"/>
      <c r="C6885" s="11"/>
      <c r="D6885" s="10" t="s">
        <v>2968</v>
      </c>
    </row>
    <row r="6886" ht="30.0" customHeight="1">
      <c r="A6886" s="10" t="s">
        <v>2268</v>
      </c>
      <c r="B6886" s="10" t="s">
        <v>42</v>
      </c>
      <c r="C6886" s="10" t="s">
        <v>1997</v>
      </c>
      <c r="D6886" s="10" t="s">
        <v>2269</v>
      </c>
      <c r="E6886" s="14">
        <v>2.5</v>
      </c>
      <c r="F6886" s="15">
        <f>ROUND(2.37,3)</f>
        <v>2.37</v>
      </c>
      <c r="G6886" s="12">
        <f t="shared" ref="G6886:G6897" si="1058">ROUND(E6886*F6886,2)</f>
        <v>5.93</v>
      </c>
    </row>
    <row r="6887" ht="30.0" customHeight="1">
      <c r="A6887" s="10" t="s">
        <v>2346</v>
      </c>
      <c r="B6887" s="10" t="s">
        <v>42</v>
      </c>
      <c r="C6887" s="10" t="s">
        <v>1997</v>
      </c>
      <c r="D6887" s="10" t="s">
        <v>2347</v>
      </c>
      <c r="E6887" s="14">
        <v>2.5</v>
      </c>
      <c r="F6887" s="15">
        <f>ROUND(2.1,3)</f>
        <v>2.1</v>
      </c>
      <c r="G6887" s="12">
        <f t="shared" si="1058"/>
        <v>5.25</v>
      </c>
    </row>
    <row r="6888" ht="30.0" customHeight="1">
      <c r="A6888" s="10" t="s">
        <v>2286</v>
      </c>
      <c r="B6888" s="10" t="s">
        <v>42</v>
      </c>
      <c r="C6888" s="10" t="s">
        <v>1881</v>
      </c>
      <c r="D6888" s="10" t="s">
        <v>2287</v>
      </c>
      <c r="E6888" s="14">
        <v>1.0</v>
      </c>
      <c r="F6888" s="15">
        <f>ROUND(7.96,3)</f>
        <v>7.96</v>
      </c>
      <c r="G6888" s="12">
        <f t="shared" si="1058"/>
        <v>7.96</v>
      </c>
    </row>
    <row r="6889" ht="21.0" customHeight="1">
      <c r="A6889" s="10" t="s">
        <v>2969</v>
      </c>
      <c r="B6889" s="10" t="s">
        <v>42</v>
      </c>
      <c r="C6889" s="10" t="s">
        <v>325</v>
      </c>
      <c r="D6889" s="10" t="s">
        <v>2970</v>
      </c>
      <c r="E6889" s="14">
        <v>0.08</v>
      </c>
      <c r="F6889" s="15">
        <f>ROUND(7.28,3)</f>
        <v>7.28</v>
      </c>
      <c r="G6889" s="12">
        <f t="shared" si="1058"/>
        <v>0.58</v>
      </c>
    </row>
    <row r="6890" ht="21.0" customHeight="1">
      <c r="A6890" s="10" t="s">
        <v>967</v>
      </c>
      <c r="B6890" s="10" t="s">
        <v>42</v>
      </c>
      <c r="C6890" s="10" t="s">
        <v>325</v>
      </c>
      <c r="D6890" s="10" t="s">
        <v>968</v>
      </c>
      <c r="E6890" s="14">
        <v>0.5</v>
      </c>
      <c r="F6890" s="15">
        <f>ROUND(6.49,3)</f>
        <v>6.49</v>
      </c>
      <c r="G6890" s="12">
        <f t="shared" si="1058"/>
        <v>3.25</v>
      </c>
    </row>
    <row r="6891" ht="39.75" customHeight="1">
      <c r="A6891" s="10" t="s">
        <v>2282</v>
      </c>
      <c r="B6891" s="10" t="s">
        <v>42</v>
      </c>
      <c r="C6891" s="10" t="s">
        <v>226</v>
      </c>
      <c r="D6891" s="10" t="s">
        <v>2283</v>
      </c>
      <c r="E6891" s="14">
        <v>0.01</v>
      </c>
      <c r="F6891" s="15">
        <f>ROUND(5.55,3)</f>
        <v>5.55</v>
      </c>
      <c r="G6891" s="12">
        <f t="shared" si="1058"/>
        <v>0.06</v>
      </c>
    </row>
    <row r="6892" ht="30.0" customHeight="1">
      <c r="A6892" s="10" t="s">
        <v>2280</v>
      </c>
      <c r="B6892" s="10" t="s">
        <v>42</v>
      </c>
      <c r="C6892" s="10" t="s">
        <v>276</v>
      </c>
      <c r="D6892" s="10" t="s">
        <v>2281</v>
      </c>
      <c r="E6892" s="14">
        <v>0.02</v>
      </c>
      <c r="F6892" s="15">
        <f>ROUND(20.92,3)</f>
        <v>20.92</v>
      </c>
      <c r="G6892" s="12">
        <f t="shared" si="1058"/>
        <v>0.42</v>
      </c>
    </row>
    <row r="6893" ht="21.0" customHeight="1">
      <c r="A6893" s="10" t="s">
        <v>22</v>
      </c>
      <c r="B6893" s="10" t="s">
        <v>18</v>
      </c>
      <c r="C6893" s="10" t="s">
        <v>23</v>
      </c>
      <c r="D6893" s="10" t="s">
        <v>24</v>
      </c>
      <c r="E6893" s="14">
        <v>1.05</v>
      </c>
      <c r="F6893" s="15">
        <f>F6897</f>
        <v>43.8</v>
      </c>
      <c r="G6893" s="12">
        <f t="shared" si="1058"/>
        <v>45.99</v>
      </c>
    </row>
    <row r="6894" ht="24.0" customHeight="1">
      <c r="A6894" s="10" t="s">
        <v>25</v>
      </c>
      <c r="B6894" s="10" t="s">
        <v>26</v>
      </c>
      <c r="C6894" s="10" t="s">
        <v>23</v>
      </c>
      <c r="D6894" s="10" t="s">
        <v>27</v>
      </c>
      <c r="E6894" s="14">
        <v>1.0</v>
      </c>
      <c r="F6894" s="15">
        <f>ROUND(21,3)</f>
        <v>21</v>
      </c>
      <c r="G6894" s="12">
        <f t="shared" si="1058"/>
        <v>21</v>
      </c>
    </row>
    <row r="6895" ht="24.0" customHeight="1">
      <c r="A6895" s="10" t="s">
        <v>28</v>
      </c>
      <c r="B6895" s="10" t="s">
        <v>26</v>
      </c>
      <c r="C6895" s="10" t="s">
        <v>23</v>
      </c>
      <c r="D6895" s="10" t="s">
        <v>29</v>
      </c>
      <c r="E6895" s="14">
        <v>1.0</v>
      </c>
      <c r="F6895" s="15">
        <f t="shared" ref="F6895:F6896" si="1059">ROUND(19,3)</f>
        <v>19</v>
      </c>
      <c r="G6895" s="12">
        <f t="shared" si="1058"/>
        <v>19</v>
      </c>
    </row>
    <row r="6896" ht="24.0" customHeight="1">
      <c r="A6896" s="10" t="s">
        <v>30</v>
      </c>
      <c r="B6896" s="10" t="s">
        <v>26</v>
      </c>
      <c r="C6896" s="10" t="s">
        <v>23</v>
      </c>
      <c r="D6896" s="10" t="s">
        <v>31</v>
      </c>
      <c r="E6896" s="14">
        <v>0.2</v>
      </c>
      <c r="F6896" s="15">
        <f t="shared" si="1059"/>
        <v>19</v>
      </c>
      <c r="G6896" s="12">
        <f t="shared" si="1058"/>
        <v>3.8</v>
      </c>
    </row>
    <row r="6897" ht="15.0" customHeight="1">
      <c r="A6897" s="11"/>
      <c r="B6897" s="11"/>
      <c r="C6897" s="11"/>
      <c r="D6897" s="10" t="s">
        <v>22</v>
      </c>
      <c r="E6897" s="14">
        <v>1.05</v>
      </c>
      <c r="F6897" s="15">
        <f>ROUND((G6894+G6895+G6896),3)</f>
        <v>43.8</v>
      </c>
      <c r="G6897" s="12">
        <f t="shared" si="1058"/>
        <v>45.99</v>
      </c>
    </row>
    <row r="6898" ht="15.0" customHeight="1">
      <c r="A6898" s="16"/>
      <c r="B6898" s="16"/>
      <c r="C6898" s="16"/>
      <c r="D6898" s="17" t="s">
        <v>2966</v>
      </c>
      <c r="E6898" s="16"/>
      <c r="F6898" s="18">
        <f>ROUND((G6886+G6887+G6888+G6889+G6890+G6891+G6892+G6893)*(1+G2/100),2)</f>
        <v>69.44</v>
      </c>
      <c r="G6898" s="16"/>
    </row>
    <row r="6899" ht="21.0" customHeight="1">
      <c r="A6899" s="19" t="s">
        <v>2971</v>
      </c>
      <c r="B6899" s="20" t="s">
        <v>18</v>
      </c>
      <c r="C6899" s="20" t="s">
        <v>321</v>
      </c>
      <c r="D6899" s="20" t="s">
        <v>2972</v>
      </c>
      <c r="E6899" s="21"/>
      <c r="F6899" s="22">
        <f>F6910</f>
        <v>49.25</v>
      </c>
      <c r="G6899" s="21"/>
    </row>
    <row r="6900" ht="12.0" customHeight="1">
      <c r="A6900" s="11"/>
      <c r="B6900" s="11"/>
      <c r="C6900" s="11"/>
      <c r="D6900" s="10" t="s">
        <v>2972</v>
      </c>
    </row>
    <row r="6901" ht="39.75" customHeight="1">
      <c r="A6901" s="10" t="s">
        <v>2960</v>
      </c>
      <c r="B6901" s="10" t="s">
        <v>42</v>
      </c>
      <c r="C6901" s="10" t="s">
        <v>344</v>
      </c>
      <c r="D6901" s="10" t="s">
        <v>2961</v>
      </c>
      <c r="E6901" s="14">
        <v>8.0</v>
      </c>
      <c r="F6901" s="15">
        <f>ROUND(2.39,3)</f>
        <v>2.39</v>
      </c>
      <c r="G6901" s="12">
        <f t="shared" ref="G6901:G6909" si="1060">ROUND(E6901*F6901,2)</f>
        <v>19.12</v>
      </c>
    </row>
    <row r="6902" ht="48.75" customHeight="1">
      <c r="A6902" s="10" t="s">
        <v>2069</v>
      </c>
      <c r="B6902" s="10" t="s">
        <v>42</v>
      </c>
      <c r="C6902" s="10" t="s">
        <v>184</v>
      </c>
      <c r="D6902" s="10" t="s">
        <v>2070</v>
      </c>
      <c r="E6902" s="14">
        <v>0.36</v>
      </c>
      <c r="F6902" s="15">
        <f>ROUND(10.25,3)</f>
        <v>10.25</v>
      </c>
      <c r="G6902" s="12">
        <f t="shared" si="1060"/>
        <v>3.69</v>
      </c>
    </row>
    <row r="6903" ht="30.0" customHeight="1">
      <c r="A6903" s="10" t="s">
        <v>2053</v>
      </c>
      <c r="B6903" s="10" t="s">
        <v>42</v>
      </c>
      <c r="C6903" s="10" t="s">
        <v>184</v>
      </c>
      <c r="D6903" s="10" t="s">
        <v>2054</v>
      </c>
      <c r="E6903" s="14">
        <v>0.0328</v>
      </c>
      <c r="F6903" s="15">
        <f>ROUND(11.74,3)</f>
        <v>11.74</v>
      </c>
      <c r="G6903" s="12">
        <f t="shared" si="1060"/>
        <v>0.39</v>
      </c>
    </row>
    <row r="6904" ht="30.0" customHeight="1">
      <c r="A6904" s="10" t="s">
        <v>1763</v>
      </c>
      <c r="B6904" s="10" t="s">
        <v>42</v>
      </c>
      <c r="C6904" s="10" t="s">
        <v>1245</v>
      </c>
      <c r="D6904" s="10" t="s">
        <v>1764</v>
      </c>
      <c r="E6904" s="14">
        <v>0.275</v>
      </c>
      <c r="F6904" s="15">
        <f>ROUND(6.32,3)</f>
        <v>6.32</v>
      </c>
      <c r="G6904" s="12">
        <f t="shared" si="1060"/>
        <v>1.74</v>
      </c>
    </row>
    <row r="6905" ht="21.0" customHeight="1">
      <c r="A6905" s="10" t="s">
        <v>22</v>
      </c>
      <c r="B6905" s="10" t="s">
        <v>18</v>
      </c>
      <c r="C6905" s="10" t="s">
        <v>23</v>
      </c>
      <c r="D6905" s="10" t="s">
        <v>24</v>
      </c>
      <c r="E6905" s="14">
        <v>0.555</v>
      </c>
      <c r="F6905" s="15">
        <f>F6909</f>
        <v>43.8</v>
      </c>
      <c r="G6905" s="12">
        <f t="shared" si="1060"/>
        <v>24.31</v>
      </c>
    </row>
    <row r="6906" ht="24.0" customHeight="1">
      <c r="A6906" s="10" t="s">
        <v>25</v>
      </c>
      <c r="B6906" s="10" t="s">
        <v>26</v>
      </c>
      <c r="C6906" s="10" t="s">
        <v>23</v>
      </c>
      <c r="D6906" s="10" t="s">
        <v>27</v>
      </c>
      <c r="E6906" s="14">
        <v>1.0</v>
      </c>
      <c r="F6906" s="15">
        <f>ROUND(21,3)</f>
        <v>21</v>
      </c>
      <c r="G6906" s="12">
        <f t="shared" si="1060"/>
        <v>21</v>
      </c>
    </row>
    <row r="6907" ht="24.0" customHeight="1">
      <c r="A6907" s="10" t="s">
        <v>28</v>
      </c>
      <c r="B6907" s="10" t="s">
        <v>26</v>
      </c>
      <c r="C6907" s="10" t="s">
        <v>23</v>
      </c>
      <c r="D6907" s="10" t="s">
        <v>29</v>
      </c>
      <c r="E6907" s="14">
        <v>1.0</v>
      </c>
      <c r="F6907" s="15">
        <f t="shared" ref="F6907:F6908" si="1061">ROUND(19,3)</f>
        <v>19</v>
      </c>
      <c r="G6907" s="12">
        <f t="shared" si="1060"/>
        <v>19</v>
      </c>
    </row>
    <row r="6908" ht="24.0" customHeight="1">
      <c r="A6908" s="10" t="s">
        <v>30</v>
      </c>
      <c r="B6908" s="10" t="s">
        <v>26</v>
      </c>
      <c r="C6908" s="10" t="s">
        <v>23</v>
      </c>
      <c r="D6908" s="10" t="s">
        <v>31</v>
      </c>
      <c r="E6908" s="14">
        <v>0.2</v>
      </c>
      <c r="F6908" s="15">
        <f t="shared" si="1061"/>
        <v>19</v>
      </c>
      <c r="G6908" s="12">
        <f t="shared" si="1060"/>
        <v>3.8</v>
      </c>
    </row>
    <row r="6909" ht="15.0" customHeight="1">
      <c r="A6909" s="11"/>
      <c r="B6909" s="11"/>
      <c r="C6909" s="11"/>
      <c r="D6909" s="10" t="s">
        <v>22</v>
      </c>
      <c r="E6909" s="14">
        <v>0.555</v>
      </c>
      <c r="F6909" s="15">
        <f>ROUND((G6906+G6907+G6908),3)</f>
        <v>43.8</v>
      </c>
      <c r="G6909" s="12">
        <f t="shared" si="1060"/>
        <v>24.31</v>
      </c>
    </row>
    <row r="6910" ht="15.0" customHeight="1">
      <c r="A6910" s="16"/>
      <c r="B6910" s="16"/>
      <c r="C6910" s="16"/>
      <c r="D6910" s="17" t="s">
        <v>2971</v>
      </c>
      <c r="E6910" s="16"/>
      <c r="F6910" s="18">
        <f>ROUND((G6901+G6902+G6903+G6904+G6905)*(1+G2/100),2)</f>
        <v>49.25</v>
      </c>
      <c r="G6910" s="16"/>
    </row>
    <row r="6911" ht="21.0" customHeight="1">
      <c r="A6911" s="19" t="s">
        <v>2973</v>
      </c>
      <c r="B6911" s="20" t="s">
        <v>18</v>
      </c>
      <c r="C6911" s="20" t="s">
        <v>321</v>
      </c>
      <c r="D6911" s="20" t="s">
        <v>2974</v>
      </c>
      <c r="E6911" s="21"/>
      <c r="F6911" s="22">
        <f>F6921</f>
        <v>39.47</v>
      </c>
      <c r="G6911" s="21"/>
    </row>
    <row r="6912" ht="39.75" customHeight="1">
      <c r="A6912" s="11"/>
      <c r="B6912" s="11"/>
      <c r="C6912" s="11"/>
      <c r="D6912" s="10" t="s">
        <v>2975</v>
      </c>
    </row>
    <row r="6913" ht="30.0" customHeight="1">
      <c r="A6913" s="10" t="s">
        <v>2829</v>
      </c>
      <c r="B6913" s="10" t="s">
        <v>42</v>
      </c>
      <c r="C6913" s="10" t="s">
        <v>344</v>
      </c>
      <c r="D6913" s="10" t="s">
        <v>2830</v>
      </c>
      <c r="E6913" s="14">
        <v>5.0</v>
      </c>
      <c r="F6913" s="15">
        <f>ROUND(1.63,3)</f>
        <v>1.63</v>
      </c>
      <c r="G6913" s="12">
        <f t="shared" ref="G6913:G6920" si="1062">ROUND(E6913*F6913,2)</f>
        <v>8.15</v>
      </c>
    </row>
    <row r="6914" ht="48.75" customHeight="1">
      <c r="A6914" s="10" t="s">
        <v>2069</v>
      </c>
      <c r="B6914" s="10" t="s">
        <v>42</v>
      </c>
      <c r="C6914" s="10" t="s">
        <v>184</v>
      </c>
      <c r="D6914" s="10" t="s">
        <v>2070</v>
      </c>
      <c r="E6914" s="14">
        <v>0.24</v>
      </c>
      <c r="F6914" s="15">
        <f>ROUND(10.25,3)</f>
        <v>10.25</v>
      </c>
      <c r="G6914" s="12">
        <f t="shared" si="1062"/>
        <v>2.46</v>
      </c>
    </row>
    <row r="6915" ht="30.0" customHeight="1">
      <c r="A6915" s="10" t="s">
        <v>2053</v>
      </c>
      <c r="B6915" s="10" t="s">
        <v>42</v>
      </c>
      <c r="C6915" s="10" t="s">
        <v>184</v>
      </c>
      <c r="D6915" s="10" t="s">
        <v>2054</v>
      </c>
      <c r="E6915" s="14">
        <v>0.0328</v>
      </c>
      <c r="F6915" s="15">
        <f>ROUND(11.74,3)</f>
        <v>11.74</v>
      </c>
      <c r="G6915" s="12">
        <f t="shared" si="1062"/>
        <v>0.39</v>
      </c>
    </row>
    <row r="6916" ht="21.0" customHeight="1">
      <c r="A6916" s="10" t="s">
        <v>22</v>
      </c>
      <c r="B6916" s="10" t="s">
        <v>18</v>
      </c>
      <c r="C6916" s="10" t="s">
        <v>23</v>
      </c>
      <c r="D6916" s="10" t="s">
        <v>24</v>
      </c>
      <c r="E6916" s="14">
        <v>0.65</v>
      </c>
      <c r="F6916" s="15">
        <f>F6920</f>
        <v>43.8</v>
      </c>
      <c r="G6916" s="12">
        <f t="shared" si="1062"/>
        <v>28.47</v>
      </c>
    </row>
    <row r="6917" ht="24.0" customHeight="1">
      <c r="A6917" s="10" t="s">
        <v>25</v>
      </c>
      <c r="B6917" s="10" t="s">
        <v>26</v>
      </c>
      <c r="C6917" s="10" t="s">
        <v>23</v>
      </c>
      <c r="D6917" s="10" t="s">
        <v>27</v>
      </c>
      <c r="E6917" s="14">
        <v>1.0</v>
      </c>
      <c r="F6917" s="15">
        <f>ROUND(21,3)</f>
        <v>21</v>
      </c>
      <c r="G6917" s="12">
        <f t="shared" si="1062"/>
        <v>21</v>
      </c>
    </row>
    <row r="6918" ht="24.0" customHeight="1">
      <c r="A6918" s="10" t="s">
        <v>28</v>
      </c>
      <c r="B6918" s="10" t="s">
        <v>26</v>
      </c>
      <c r="C6918" s="10" t="s">
        <v>23</v>
      </c>
      <c r="D6918" s="10" t="s">
        <v>29</v>
      </c>
      <c r="E6918" s="14">
        <v>1.0</v>
      </c>
      <c r="F6918" s="15">
        <f t="shared" ref="F6918:F6919" si="1063">ROUND(19,3)</f>
        <v>19</v>
      </c>
      <c r="G6918" s="12">
        <f t="shared" si="1062"/>
        <v>19</v>
      </c>
    </row>
    <row r="6919" ht="24.0" customHeight="1">
      <c r="A6919" s="10" t="s">
        <v>30</v>
      </c>
      <c r="B6919" s="10" t="s">
        <v>26</v>
      </c>
      <c r="C6919" s="10" t="s">
        <v>23</v>
      </c>
      <c r="D6919" s="10" t="s">
        <v>31</v>
      </c>
      <c r="E6919" s="14">
        <v>0.2</v>
      </c>
      <c r="F6919" s="15">
        <f t="shared" si="1063"/>
        <v>19</v>
      </c>
      <c r="G6919" s="12">
        <f t="shared" si="1062"/>
        <v>3.8</v>
      </c>
    </row>
    <row r="6920" ht="15.0" customHeight="1">
      <c r="A6920" s="11"/>
      <c r="B6920" s="11"/>
      <c r="C6920" s="11"/>
      <c r="D6920" s="10" t="s">
        <v>22</v>
      </c>
      <c r="E6920" s="14">
        <v>0.65</v>
      </c>
      <c r="F6920" s="15">
        <f>ROUND((G6917+G6918+G6919),3)</f>
        <v>43.8</v>
      </c>
      <c r="G6920" s="12">
        <f t="shared" si="1062"/>
        <v>28.47</v>
      </c>
    </row>
    <row r="6921" ht="15.0" customHeight="1">
      <c r="A6921" s="16"/>
      <c r="B6921" s="16"/>
      <c r="C6921" s="16"/>
      <c r="D6921" s="17" t="s">
        <v>2973</v>
      </c>
      <c r="E6921" s="16"/>
      <c r="F6921" s="18">
        <f>ROUND((G6913+G6914+G6915+G6916)*(1+G2/100),2)</f>
        <v>39.47</v>
      </c>
      <c r="G6921" s="16"/>
    </row>
    <row r="6922" ht="24.75" customHeight="1">
      <c r="A6922" s="19" t="s">
        <v>2976</v>
      </c>
      <c r="B6922" s="20" t="s">
        <v>18</v>
      </c>
      <c r="C6922" s="20" t="s">
        <v>321</v>
      </c>
      <c r="D6922" s="20" t="s">
        <v>2977</v>
      </c>
      <c r="E6922" s="21"/>
      <c r="F6922" s="22">
        <f>F6932</f>
        <v>45.97</v>
      </c>
      <c r="G6922" s="21"/>
    </row>
    <row r="6923" ht="30.0" customHeight="1">
      <c r="A6923" s="11"/>
      <c r="B6923" s="11"/>
      <c r="C6923" s="11"/>
      <c r="D6923" s="10" t="s">
        <v>2978</v>
      </c>
    </row>
    <row r="6924" ht="30.0" customHeight="1">
      <c r="A6924" s="10" t="s">
        <v>2964</v>
      </c>
      <c r="B6924" s="10" t="s">
        <v>42</v>
      </c>
      <c r="C6924" s="10" t="s">
        <v>344</v>
      </c>
      <c r="D6924" s="10" t="s">
        <v>2965</v>
      </c>
      <c r="E6924" s="14">
        <v>3.0</v>
      </c>
      <c r="F6924" s="15">
        <f>ROUND(7.55,3)</f>
        <v>7.55</v>
      </c>
      <c r="G6924" s="12">
        <f t="shared" ref="G6924:G6931" si="1064">ROUND(E6924*F6924,2)</f>
        <v>22.65</v>
      </c>
    </row>
    <row r="6925" ht="48.75" customHeight="1">
      <c r="A6925" s="10" t="s">
        <v>2069</v>
      </c>
      <c r="B6925" s="10" t="s">
        <v>42</v>
      </c>
      <c r="C6925" s="10" t="s">
        <v>184</v>
      </c>
      <c r="D6925" s="10" t="s">
        <v>2070</v>
      </c>
      <c r="E6925" s="14">
        <v>0.1</v>
      </c>
      <c r="F6925" s="15">
        <f>ROUND(10.25,3)</f>
        <v>10.25</v>
      </c>
      <c r="G6925" s="12">
        <f t="shared" si="1064"/>
        <v>1.03</v>
      </c>
    </row>
    <row r="6926" ht="30.0" customHeight="1">
      <c r="A6926" s="10" t="s">
        <v>2053</v>
      </c>
      <c r="B6926" s="10" t="s">
        <v>42</v>
      </c>
      <c r="C6926" s="10" t="s">
        <v>184</v>
      </c>
      <c r="D6926" s="10" t="s">
        <v>2054</v>
      </c>
      <c r="E6926" s="14">
        <v>0.0328</v>
      </c>
      <c r="F6926" s="15">
        <f>ROUND(11.74,3)</f>
        <v>11.74</v>
      </c>
      <c r="G6926" s="12">
        <f t="shared" si="1064"/>
        <v>0.39</v>
      </c>
    </row>
    <row r="6927" ht="21.0" customHeight="1">
      <c r="A6927" s="10" t="s">
        <v>22</v>
      </c>
      <c r="B6927" s="10" t="s">
        <v>18</v>
      </c>
      <c r="C6927" s="10" t="s">
        <v>23</v>
      </c>
      <c r="D6927" s="10" t="s">
        <v>24</v>
      </c>
      <c r="E6927" s="14">
        <v>0.5</v>
      </c>
      <c r="F6927" s="15">
        <f>F6931</f>
        <v>43.8</v>
      </c>
      <c r="G6927" s="12">
        <f t="shared" si="1064"/>
        <v>21.9</v>
      </c>
    </row>
    <row r="6928" ht="24.0" customHeight="1">
      <c r="A6928" s="10" t="s">
        <v>25</v>
      </c>
      <c r="B6928" s="10" t="s">
        <v>26</v>
      </c>
      <c r="C6928" s="10" t="s">
        <v>23</v>
      </c>
      <c r="D6928" s="10" t="s">
        <v>27</v>
      </c>
      <c r="E6928" s="14">
        <v>1.0</v>
      </c>
      <c r="F6928" s="15">
        <f>ROUND(21,3)</f>
        <v>21</v>
      </c>
      <c r="G6928" s="12">
        <f t="shared" si="1064"/>
        <v>21</v>
      </c>
    </row>
    <row r="6929" ht="24.0" customHeight="1">
      <c r="A6929" s="10" t="s">
        <v>28</v>
      </c>
      <c r="B6929" s="10" t="s">
        <v>26</v>
      </c>
      <c r="C6929" s="10" t="s">
        <v>23</v>
      </c>
      <c r="D6929" s="10" t="s">
        <v>29</v>
      </c>
      <c r="E6929" s="14">
        <v>1.0</v>
      </c>
      <c r="F6929" s="15">
        <f t="shared" ref="F6929:F6930" si="1065">ROUND(19,3)</f>
        <v>19</v>
      </c>
      <c r="G6929" s="12">
        <f t="shared" si="1064"/>
        <v>19</v>
      </c>
    </row>
    <row r="6930" ht="24.0" customHeight="1">
      <c r="A6930" s="10" t="s">
        <v>30</v>
      </c>
      <c r="B6930" s="10" t="s">
        <v>26</v>
      </c>
      <c r="C6930" s="10" t="s">
        <v>23</v>
      </c>
      <c r="D6930" s="10" t="s">
        <v>31</v>
      </c>
      <c r="E6930" s="14">
        <v>0.2</v>
      </c>
      <c r="F6930" s="15">
        <f t="shared" si="1065"/>
        <v>19</v>
      </c>
      <c r="G6930" s="12">
        <f t="shared" si="1064"/>
        <v>3.8</v>
      </c>
    </row>
    <row r="6931" ht="15.0" customHeight="1">
      <c r="A6931" s="11"/>
      <c r="B6931" s="11"/>
      <c r="C6931" s="11"/>
      <c r="D6931" s="10" t="s">
        <v>22</v>
      </c>
      <c r="E6931" s="14">
        <v>0.5</v>
      </c>
      <c r="F6931" s="15">
        <f>ROUND((G6928+G6929+G6930),3)</f>
        <v>43.8</v>
      </c>
      <c r="G6931" s="12">
        <f t="shared" si="1064"/>
        <v>21.9</v>
      </c>
    </row>
    <row r="6932" ht="15.0" customHeight="1">
      <c r="A6932" s="16"/>
      <c r="B6932" s="16"/>
      <c r="C6932" s="16"/>
      <c r="D6932" s="17" t="s">
        <v>2976</v>
      </c>
      <c r="E6932" s="16"/>
      <c r="F6932" s="18">
        <f>ROUND((G6924+G6925+G6926+G6927)*(1+G2/100),2)</f>
        <v>45.97</v>
      </c>
      <c r="G6932" s="16"/>
    </row>
    <row r="6933" ht="15.0" customHeight="1">
      <c r="A6933" s="19" t="s">
        <v>2979</v>
      </c>
      <c r="B6933" s="20" t="s">
        <v>18</v>
      </c>
      <c r="C6933" s="20" t="s">
        <v>321</v>
      </c>
      <c r="D6933" s="20" t="s">
        <v>2980</v>
      </c>
      <c r="E6933" s="21"/>
      <c r="F6933" s="22">
        <f>F6943</f>
        <v>64.7</v>
      </c>
      <c r="G6933" s="21"/>
    </row>
    <row r="6934" ht="12.0" customHeight="1">
      <c r="A6934" s="11"/>
      <c r="B6934" s="11"/>
      <c r="C6934" s="11"/>
      <c r="D6934" s="10" t="s">
        <v>2981</v>
      </c>
    </row>
    <row r="6935" ht="15.0" customHeight="1">
      <c r="A6935" s="10" t="s">
        <v>2982</v>
      </c>
      <c r="B6935" s="10" t="s">
        <v>18</v>
      </c>
      <c r="C6935" s="10" t="s">
        <v>295</v>
      </c>
      <c r="D6935" s="10" t="s">
        <v>2980</v>
      </c>
      <c r="E6935" s="14">
        <v>0.0123</v>
      </c>
      <c r="F6935" s="15">
        <f>F6942</f>
        <v>5260.05</v>
      </c>
      <c r="G6935" s="12">
        <f t="shared" ref="G6935:G6942" si="1066">ROUND(E6935*F6935,2)</f>
        <v>64.7</v>
      </c>
    </row>
    <row r="6936" ht="21.0" customHeight="1">
      <c r="A6936" s="10" t="s">
        <v>2983</v>
      </c>
      <c r="B6936" s="10" t="s">
        <v>42</v>
      </c>
      <c r="C6936" s="10" t="s">
        <v>304</v>
      </c>
      <c r="D6936" s="10" t="s">
        <v>2984</v>
      </c>
      <c r="E6936" s="14">
        <v>36.0</v>
      </c>
      <c r="F6936" s="15">
        <f>ROUND(41.08,3)</f>
        <v>41.08</v>
      </c>
      <c r="G6936" s="12">
        <f t="shared" si="1066"/>
        <v>1478.88</v>
      </c>
    </row>
    <row r="6937" ht="15.0" customHeight="1">
      <c r="A6937" s="10" t="s">
        <v>2985</v>
      </c>
      <c r="B6937" s="10" t="s">
        <v>42</v>
      </c>
      <c r="C6937" s="10" t="s">
        <v>304</v>
      </c>
      <c r="D6937" s="10" t="s">
        <v>2986</v>
      </c>
      <c r="E6937" s="14">
        <v>30.0</v>
      </c>
      <c r="F6937" s="15">
        <f>ROUND(22.72,3)</f>
        <v>22.72</v>
      </c>
      <c r="G6937" s="12">
        <f t="shared" si="1066"/>
        <v>681.6</v>
      </c>
    </row>
    <row r="6938" ht="24.0" customHeight="1">
      <c r="A6938" s="10" t="s">
        <v>2987</v>
      </c>
      <c r="B6938" s="10" t="s">
        <v>42</v>
      </c>
      <c r="C6938" s="10" t="s">
        <v>304</v>
      </c>
      <c r="D6938" s="10" t="s">
        <v>2988</v>
      </c>
      <c r="E6938" s="14">
        <v>13.0</v>
      </c>
      <c r="F6938" s="15">
        <f>ROUND(4.89,3)</f>
        <v>4.89</v>
      </c>
      <c r="G6938" s="12">
        <f t="shared" si="1066"/>
        <v>63.57</v>
      </c>
    </row>
    <row r="6939" ht="21.0" customHeight="1">
      <c r="A6939" s="10" t="s">
        <v>2989</v>
      </c>
      <c r="B6939" s="10" t="s">
        <v>42</v>
      </c>
      <c r="C6939" s="10" t="s">
        <v>304</v>
      </c>
      <c r="D6939" s="10" t="s">
        <v>2990</v>
      </c>
      <c r="E6939" s="14">
        <v>8.0</v>
      </c>
      <c r="F6939" s="15">
        <f>ROUND(91,3)</f>
        <v>91</v>
      </c>
      <c r="G6939" s="12">
        <f t="shared" si="1066"/>
        <v>728</v>
      </c>
    </row>
    <row r="6940" ht="48.75" customHeight="1">
      <c r="A6940" s="10" t="s">
        <v>2069</v>
      </c>
      <c r="B6940" s="10" t="s">
        <v>42</v>
      </c>
      <c r="C6940" s="10" t="s">
        <v>184</v>
      </c>
      <c r="D6940" s="10" t="s">
        <v>2070</v>
      </c>
      <c r="E6940" s="14">
        <v>32.0</v>
      </c>
      <c r="F6940" s="15">
        <f>ROUND(10.25,3)</f>
        <v>10.25</v>
      </c>
      <c r="G6940" s="12">
        <f t="shared" si="1066"/>
        <v>328</v>
      </c>
    </row>
    <row r="6941" ht="24.0" customHeight="1">
      <c r="A6941" s="10" t="s">
        <v>1186</v>
      </c>
      <c r="B6941" s="10" t="s">
        <v>26</v>
      </c>
      <c r="C6941" s="10" t="s">
        <v>23</v>
      </c>
      <c r="D6941" s="10" t="s">
        <v>1187</v>
      </c>
      <c r="E6941" s="14">
        <v>40.0</v>
      </c>
      <c r="F6941" s="15">
        <f>ROUND(49.5,3)</f>
        <v>49.5</v>
      </c>
      <c r="G6941" s="12">
        <f t="shared" si="1066"/>
        <v>1980</v>
      </c>
    </row>
    <row r="6942" ht="15.0" customHeight="1">
      <c r="A6942" s="11"/>
      <c r="B6942" s="11"/>
      <c r="C6942" s="11"/>
      <c r="D6942" s="10" t="s">
        <v>2982</v>
      </c>
      <c r="E6942" s="14">
        <v>0.0123</v>
      </c>
      <c r="F6942" s="15">
        <f>ROUND((G6936+G6937+G6938+G6939+G6940+G6941),3)</f>
        <v>5260.05</v>
      </c>
      <c r="G6942" s="12">
        <f t="shared" si="1066"/>
        <v>64.7</v>
      </c>
    </row>
    <row r="6943" ht="15.0" customHeight="1">
      <c r="A6943" s="16"/>
      <c r="B6943" s="16"/>
      <c r="C6943" s="16"/>
      <c r="D6943" s="17" t="s">
        <v>2979</v>
      </c>
      <c r="E6943" s="16"/>
      <c r="F6943" s="18">
        <f>ROUND((G6935)*(1+G2/100),2)</f>
        <v>64.7</v>
      </c>
      <c r="G6943" s="16"/>
    </row>
    <row r="6944" ht="67.5" customHeight="1">
      <c r="A6944" s="19" t="s">
        <v>2991</v>
      </c>
      <c r="B6944" s="20" t="s">
        <v>18</v>
      </c>
      <c r="C6944" s="20" t="s">
        <v>351</v>
      </c>
      <c r="D6944" s="20" t="s">
        <v>2992</v>
      </c>
      <c r="E6944" s="21"/>
      <c r="F6944" s="22">
        <f>F6952</f>
        <v>30.66</v>
      </c>
      <c r="G6944" s="21"/>
    </row>
    <row r="6945" ht="21.0" customHeight="1">
      <c r="A6945" s="11"/>
      <c r="B6945" s="11"/>
      <c r="C6945" s="11"/>
      <c r="D6945" s="10" t="s">
        <v>2993</v>
      </c>
    </row>
    <row r="6946" ht="21.0" customHeight="1">
      <c r="A6946" s="10" t="s">
        <v>22</v>
      </c>
      <c r="B6946" s="10" t="s">
        <v>18</v>
      </c>
      <c r="C6946" s="10" t="s">
        <v>23</v>
      </c>
      <c r="D6946" s="10" t="s">
        <v>24</v>
      </c>
      <c r="E6946" s="14">
        <v>0.66667</v>
      </c>
      <c r="F6946" s="15">
        <f>F6950</f>
        <v>43.8</v>
      </c>
      <c r="G6946" s="12">
        <f t="shared" ref="G6946:G6950" si="1067">ROUND(E6946*F6946,2)</f>
        <v>29.2</v>
      </c>
    </row>
    <row r="6947" ht="24.0" customHeight="1">
      <c r="A6947" s="10" t="s">
        <v>25</v>
      </c>
      <c r="B6947" s="10" t="s">
        <v>26</v>
      </c>
      <c r="C6947" s="10" t="s">
        <v>23</v>
      </c>
      <c r="D6947" s="10" t="s">
        <v>27</v>
      </c>
      <c r="E6947" s="14">
        <v>1.0</v>
      </c>
      <c r="F6947" s="15">
        <f>ROUND(21,3)</f>
        <v>21</v>
      </c>
      <c r="G6947" s="12">
        <f t="shared" si="1067"/>
        <v>21</v>
      </c>
    </row>
    <row r="6948" ht="24.0" customHeight="1">
      <c r="A6948" s="10" t="s">
        <v>28</v>
      </c>
      <c r="B6948" s="10" t="s">
        <v>26</v>
      </c>
      <c r="C6948" s="10" t="s">
        <v>23</v>
      </c>
      <c r="D6948" s="10" t="s">
        <v>29</v>
      </c>
      <c r="E6948" s="14">
        <v>1.0</v>
      </c>
      <c r="F6948" s="15">
        <f t="shared" ref="F6948:F6949" si="1068">ROUND(19,3)</f>
        <v>19</v>
      </c>
      <c r="G6948" s="12">
        <f t="shared" si="1067"/>
        <v>19</v>
      </c>
    </row>
    <row r="6949" ht="24.0" customHeight="1">
      <c r="A6949" s="10" t="s">
        <v>30</v>
      </c>
      <c r="B6949" s="10" t="s">
        <v>26</v>
      </c>
      <c r="C6949" s="10" t="s">
        <v>23</v>
      </c>
      <c r="D6949" s="10" t="s">
        <v>31</v>
      </c>
      <c r="E6949" s="14">
        <v>0.2</v>
      </c>
      <c r="F6949" s="15">
        <f t="shared" si="1068"/>
        <v>19</v>
      </c>
      <c r="G6949" s="12">
        <f t="shared" si="1067"/>
        <v>3.8</v>
      </c>
    </row>
    <row r="6950" ht="15.0" customHeight="1">
      <c r="A6950" s="11"/>
      <c r="B6950" s="11"/>
      <c r="C6950" s="11"/>
      <c r="D6950" s="10" t="s">
        <v>22</v>
      </c>
      <c r="E6950" s="14">
        <v>0.66667</v>
      </c>
      <c r="F6950" s="15">
        <f>ROUND((G6947+G6948+G6949),3)</f>
        <v>43.8</v>
      </c>
      <c r="G6950" s="12">
        <f t="shared" si="1067"/>
        <v>29.2</v>
      </c>
    </row>
    <row r="6951" ht="15.0" customHeight="1">
      <c r="A6951" s="10" t="s">
        <v>32</v>
      </c>
      <c r="B6951" s="10"/>
      <c r="C6951" s="10" t="s">
        <v>33</v>
      </c>
      <c r="D6951" s="10" t="s">
        <v>34</v>
      </c>
      <c r="E6951" s="14">
        <v>5.0</v>
      </c>
      <c r="F6951" s="15">
        <f>ROUND(29.2,3)</f>
        <v>29.2</v>
      </c>
      <c r="G6951" s="12">
        <f>ROUND((E6951*F6951)/100,2)</f>
        <v>1.46</v>
      </c>
    </row>
    <row r="6952" ht="15.0" customHeight="1">
      <c r="A6952" s="16"/>
      <c r="B6952" s="16"/>
      <c r="C6952" s="16"/>
      <c r="D6952" s="17" t="s">
        <v>2991</v>
      </c>
      <c r="E6952" s="16"/>
      <c r="F6952" s="18">
        <f>ROUND((G6946+G6951)*(1+G2/100),2)</f>
        <v>30.66</v>
      </c>
      <c r="G6952" s="16"/>
    </row>
    <row r="6953" ht="67.5" customHeight="1">
      <c r="A6953" s="19" t="s">
        <v>2994</v>
      </c>
      <c r="B6953" s="20" t="s">
        <v>18</v>
      </c>
      <c r="C6953" s="20" t="s">
        <v>351</v>
      </c>
      <c r="D6953" s="20" t="s">
        <v>2995</v>
      </c>
      <c r="E6953" s="21"/>
      <c r="F6953" s="22">
        <f>F6961</f>
        <v>20.44</v>
      </c>
      <c r="G6953" s="21"/>
    </row>
    <row r="6954" ht="30.0" customHeight="1">
      <c r="A6954" s="11"/>
      <c r="B6954" s="11"/>
      <c r="C6954" s="11"/>
      <c r="D6954" s="10" t="s">
        <v>2995</v>
      </c>
    </row>
    <row r="6955" ht="21.0" customHeight="1">
      <c r="A6955" s="10" t="s">
        <v>22</v>
      </c>
      <c r="B6955" s="10" t="s">
        <v>18</v>
      </c>
      <c r="C6955" s="10" t="s">
        <v>23</v>
      </c>
      <c r="D6955" s="10" t="s">
        <v>24</v>
      </c>
      <c r="E6955" s="14">
        <v>0.44444</v>
      </c>
      <c r="F6955" s="15">
        <f>F6959</f>
        <v>43.8</v>
      </c>
      <c r="G6955" s="12">
        <f t="shared" ref="G6955:G6959" si="1069">ROUND(E6955*F6955,2)</f>
        <v>19.47</v>
      </c>
    </row>
    <row r="6956" ht="24.0" customHeight="1">
      <c r="A6956" s="10" t="s">
        <v>25</v>
      </c>
      <c r="B6956" s="10" t="s">
        <v>26</v>
      </c>
      <c r="C6956" s="10" t="s">
        <v>23</v>
      </c>
      <c r="D6956" s="10" t="s">
        <v>27</v>
      </c>
      <c r="E6956" s="14">
        <v>1.0</v>
      </c>
      <c r="F6956" s="15">
        <f>ROUND(21,3)</f>
        <v>21</v>
      </c>
      <c r="G6956" s="12">
        <f t="shared" si="1069"/>
        <v>21</v>
      </c>
    </row>
    <row r="6957" ht="24.0" customHeight="1">
      <c r="A6957" s="10" t="s">
        <v>28</v>
      </c>
      <c r="B6957" s="10" t="s">
        <v>26</v>
      </c>
      <c r="C6957" s="10" t="s">
        <v>23</v>
      </c>
      <c r="D6957" s="10" t="s">
        <v>29</v>
      </c>
      <c r="E6957" s="14">
        <v>1.0</v>
      </c>
      <c r="F6957" s="15">
        <f t="shared" ref="F6957:F6958" si="1070">ROUND(19,3)</f>
        <v>19</v>
      </c>
      <c r="G6957" s="12">
        <f t="shared" si="1069"/>
        <v>19</v>
      </c>
    </row>
    <row r="6958" ht="24.0" customHeight="1">
      <c r="A6958" s="10" t="s">
        <v>30</v>
      </c>
      <c r="B6958" s="10" t="s">
        <v>26</v>
      </c>
      <c r="C6958" s="10" t="s">
        <v>23</v>
      </c>
      <c r="D6958" s="10" t="s">
        <v>31</v>
      </c>
      <c r="E6958" s="14">
        <v>0.2</v>
      </c>
      <c r="F6958" s="15">
        <f t="shared" si="1070"/>
        <v>19</v>
      </c>
      <c r="G6958" s="12">
        <f t="shared" si="1069"/>
        <v>3.8</v>
      </c>
    </row>
    <row r="6959" ht="15.0" customHeight="1">
      <c r="A6959" s="11"/>
      <c r="B6959" s="11"/>
      <c r="C6959" s="11"/>
      <c r="D6959" s="10" t="s">
        <v>22</v>
      </c>
      <c r="E6959" s="14">
        <v>0.44444</v>
      </c>
      <c r="F6959" s="15">
        <f>ROUND((G6956+G6957+G6958),3)</f>
        <v>43.8</v>
      </c>
      <c r="G6959" s="12">
        <f t="shared" si="1069"/>
        <v>19.47</v>
      </c>
    </row>
    <row r="6960" ht="15.0" customHeight="1">
      <c r="A6960" s="10" t="s">
        <v>32</v>
      </c>
      <c r="B6960" s="10"/>
      <c r="C6960" s="10" t="s">
        <v>33</v>
      </c>
      <c r="D6960" s="10" t="s">
        <v>34</v>
      </c>
      <c r="E6960" s="14">
        <v>5.0</v>
      </c>
      <c r="F6960" s="15">
        <f>ROUND(19.47,3)</f>
        <v>19.47</v>
      </c>
      <c r="G6960" s="12">
        <f>ROUND((E6960*F6960)/100,2)</f>
        <v>0.97</v>
      </c>
    </row>
    <row r="6961" ht="15.0" customHeight="1">
      <c r="A6961" s="16"/>
      <c r="B6961" s="16"/>
      <c r="C6961" s="16"/>
      <c r="D6961" s="17" t="s">
        <v>2994</v>
      </c>
      <c r="E6961" s="16"/>
      <c r="F6961" s="18">
        <f>ROUND((G6955+G6960)*(1+G2/100),2)</f>
        <v>20.44</v>
      </c>
      <c r="G6961" s="16"/>
    </row>
    <row r="6962" ht="67.5" customHeight="1">
      <c r="A6962" s="19" t="s">
        <v>2996</v>
      </c>
      <c r="B6962" s="20" t="s">
        <v>18</v>
      </c>
      <c r="C6962" s="20" t="s">
        <v>351</v>
      </c>
      <c r="D6962" s="20" t="s">
        <v>2997</v>
      </c>
      <c r="E6962" s="21"/>
      <c r="F6962" s="22">
        <f>F6972</f>
        <v>12.84</v>
      </c>
      <c r="G6962" s="21"/>
    </row>
    <row r="6963" ht="30.0" customHeight="1">
      <c r="A6963" s="11"/>
      <c r="B6963" s="11"/>
      <c r="C6963" s="11"/>
      <c r="D6963" s="10" t="s">
        <v>2998</v>
      </c>
    </row>
    <row r="6964" ht="30.0" customHeight="1">
      <c r="A6964" s="10" t="s">
        <v>1793</v>
      </c>
      <c r="B6964" s="10" t="s">
        <v>42</v>
      </c>
      <c r="C6964" s="10" t="s">
        <v>956</v>
      </c>
      <c r="D6964" s="10" t="s">
        <v>1794</v>
      </c>
      <c r="E6964" s="14">
        <v>0.05</v>
      </c>
      <c r="F6964" s="15">
        <f>ROUND(8.81,3)</f>
        <v>8.81</v>
      </c>
      <c r="G6964" s="12">
        <f t="shared" ref="G6964:G6970" si="1071">ROUND(E6964*F6964,2)</f>
        <v>0.44</v>
      </c>
    </row>
    <row r="6965" ht="21.0" customHeight="1">
      <c r="A6965" s="10" t="s">
        <v>2999</v>
      </c>
      <c r="B6965" s="10" t="s">
        <v>112</v>
      </c>
      <c r="C6965" s="10" t="s">
        <v>23</v>
      </c>
      <c r="D6965" s="10" t="s">
        <v>3000</v>
      </c>
      <c r="E6965" s="14">
        <v>0.11428</v>
      </c>
      <c r="F6965" s="15">
        <f>ROUND(3.25,3)</f>
        <v>3.25</v>
      </c>
      <c r="G6965" s="12">
        <f t="shared" si="1071"/>
        <v>0.37</v>
      </c>
    </row>
    <row r="6966" ht="21.0" customHeight="1">
      <c r="A6966" s="10" t="s">
        <v>22</v>
      </c>
      <c r="B6966" s="10" t="s">
        <v>18</v>
      </c>
      <c r="C6966" s="10" t="s">
        <v>23</v>
      </c>
      <c r="D6966" s="10" t="s">
        <v>24</v>
      </c>
      <c r="E6966" s="14">
        <v>0.26667</v>
      </c>
      <c r="F6966" s="15">
        <f>F6970</f>
        <v>43.8</v>
      </c>
      <c r="G6966" s="12">
        <f t="shared" si="1071"/>
        <v>11.68</v>
      </c>
    </row>
    <row r="6967" ht="24.0" customHeight="1">
      <c r="A6967" s="10" t="s">
        <v>25</v>
      </c>
      <c r="B6967" s="10" t="s">
        <v>26</v>
      </c>
      <c r="C6967" s="10" t="s">
        <v>23</v>
      </c>
      <c r="D6967" s="10" t="s">
        <v>27</v>
      </c>
      <c r="E6967" s="14">
        <v>1.0</v>
      </c>
      <c r="F6967" s="15">
        <f>ROUND(21,3)</f>
        <v>21</v>
      </c>
      <c r="G6967" s="12">
        <f t="shared" si="1071"/>
        <v>21</v>
      </c>
    </row>
    <row r="6968" ht="24.0" customHeight="1">
      <c r="A6968" s="10" t="s">
        <v>28</v>
      </c>
      <c r="B6968" s="10" t="s">
        <v>26</v>
      </c>
      <c r="C6968" s="10" t="s">
        <v>23</v>
      </c>
      <c r="D6968" s="10" t="s">
        <v>29</v>
      </c>
      <c r="E6968" s="14">
        <v>1.0</v>
      </c>
      <c r="F6968" s="15">
        <f t="shared" ref="F6968:F6969" si="1072">ROUND(19,3)</f>
        <v>19</v>
      </c>
      <c r="G6968" s="12">
        <f t="shared" si="1071"/>
        <v>19</v>
      </c>
    </row>
    <row r="6969" ht="24.0" customHeight="1">
      <c r="A6969" s="10" t="s">
        <v>30</v>
      </c>
      <c r="B6969" s="10" t="s">
        <v>26</v>
      </c>
      <c r="C6969" s="10" t="s">
        <v>23</v>
      </c>
      <c r="D6969" s="10" t="s">
        <v>31</v>
      </c>
      <c r="E6969" s="14">
        <v>0.2</v>
      </c>
      <c r="F6969" s="15">
        <f t="shared" si="1072"/>
        <v>19</v>
      </c>
      <c r="G6969" s="12">
        <f t="shared" si="1071"/>
        <v>3.8</v>
      </c>
    </row>
    <row r="6970" ht="15.0" customHeight="1">
      <c r="A6970" s="11"/>
      <c r="B6970" s="11"/>
      <c r="C6970" s="11"/>
      <c r="D6970" s="10" t="s">
        <v>22</v>
      </c>
      <c r="E6970" s="14">
        <v>0.26667</v>
      </c>
      <c r="F6970" s="15">
        <f>ROUND((G6967+G6968+G6969),3)</f>
        <v>43.8</v>
      </c>
      <c r="G6970" s="12">
        <f t="shared" si="1071"/>
        <v>11.68</v>
      </c>
    </row>
    <row r="6971" ht="15.0" customHeight="1">
      <c r="A6971" s="10" t="s">
        <v>32</v>
      </c>
      <c r="B6971" s="10"/>
      <c r="C6971" s="10" t="s">
        <v>33</v>
      </c>
      <c r="D6971" s="10" t="s">
        <v>34</v>
      </c>
      <c r="E6971" s="14">
        <v>3.0</v>
      </c>
      <c r="F6971" s="15">
        <f>ROUND(11.68,3)</f>
        <v>11.68</v>
      </c>
      <c r="G6971" s="12">
        <f>ROUND((E6971*F6971)/100,2)</f>
        <v>0.35</v>
      </c>
    </row>
    <row r="6972" ht="15.0" customHeight="1">
      <c r="A6972" s="16"/>
      <c r="B6972" s="16"/>
      <c r="C6972" s="16"/>
      <c r="D6972" s="17" t="s">
        <v>2996</v>
      </c>
      <c r="E6972" s="16"/>
      <c r="F6972" s="18">
        <f>ROUND((G6964+G6965+G6966+G6971)*(1+G2/100),2)</f>
        <v>12.84</v>
      </c>
      <c r="G6972" s="16"/>
    </row>
    <row r="6973" ht="67.5" customHeight="1">
      <c r="A6973" s="19" t="s">
        <v>3001</v>
      </c>
      <c r="B6973" s="20" t="s">
        <v>18</v>
      </c>
      <c r="C6973" s="20" t="s">
        <v>351</v>
      </c>
      <c r="D6973" s="20" t="s">
        <v>3002</v>
      </c>
      <c r="E6973" s="21"/>
      <c r="F6973" s="22">
        <f>F6983</f>
        <v>19.01</v>
      </c>
      <c r="G6973" s="21"/>
    </row>
    <row r="6974" ht="21.0" customHeight="1">
      <c r="A6974" s="11"/>
      <c r="B6974" s="11"/>
      <c r="C6974" s="11"/>
      <c r="D6974" s="10" t="s">
        <v>3003</v>
      </c>
    </row>
    <row r="6975" ht="30.0" customHeight="1">
      <c r="A6975" s="10" t="s">
        <v>1793</v>
      </c>
      <c r="B6975" s="10" t="s">
        <v>42</v>
      </c>
      <c r="C6975" s="10" t="s">
        <v>956</v>
      </c>
      <c r="D6975" s="10" t="s">
        <v>1794</v>
      </c>
      <c r="E6975" s="14">
        <v>0.05</v>
      </c>
      <c r="F6975" s="15">
        <f>ROUND(8.81,3)</f>
        <v>8.81</v>
      </c>
      <c r="G6975" s="12">
        <f t="shared" ref="G6975:G6981" si="1073">ROUND(E6975*F6975,2)</f>
        <v>0.44</v>
      </c>
    </row>
    <row r="6976" ht="21.0" customHeight="1">
      <c r="A6976" s="10" t="s">
        <v>2999</v>
      </c>
      <c r="B6976" s="10" t="s">
        <v>112</v>
      </c>
      <c r="C6976" s="10" t="s">
        <v>23</v>
      </c>
      <c r="D6976" s="10" t="s">
        <v>3000</v>
      </c>
      <c r="E6976" s="14">
        <v>0.16</v>
      </c>
      <c r="F6976" s="15">
        <f>ROUND(3.25,3)</f>
        <v>3.25</v>
      </c>
      <c r="G6976" s="12">
        <f t="shared" si="1073"/>
        <v>0.52</v>
      </c>
    </row>
    <row r="6977" ht="21.0" customHeight="1">
      <c r="A6977" s="10" t="s">
        <v>22</v>
      </c>
      <c r="B6977" s="10" t="s">
        <v>18</v>
      </c>
      <c r="C6977" s="10" t="s">
        <v>23</v>
      </c>
      <c r="D6977" s="10" t="s">
        <v>24</v>
      </c>
      <c r="E6977" s="14">
        <v>0.4</v>
      </c>
      <c r="F6977" s="15">
        <f>F6981</f>
        <v>43.8</v>
      </c>
      <c r="G6977" s="12">
        <f t="shared" si="1073"/>
        <v>17.52</v>
      </c>
    </row>
    <row r="6978" ht="24.0" customHeight="1">
      <c r="A6978" s="10" t="s">
        <v>25</v>
      </c>
      <c r="B6978" s="10" t="s">
        <v>26</v>
      </c>
      <c r="C6978" s="10" t="s">
        <v>23</v>
      </c>
      <c r="D6978" s="10" t="s">
        <v>27</v>
      </c>
      <c r="E6978" s="14">
        <v>1.0</v>
      </c>
      <c r="F6978" s="15">
        <f>ROUND(21,3)</f>
        <v>21</v>
      </c>
      <c r="G6978" s="12">
        <f t="shared" si="1073"/>
        <v>21</v>
      </c>
    </row>
    <row r="6979" ht="24.0" customHeight="1">
      <c r="A6979" s="10" t="s">
        <v>28</v>
      </c>
      <c r="B6979" s="10" t="s">
        <v>26</v>
      </c>
      <c r="C6979" s="10" t="s">
        <v>23</v>
      </c>
      <c r="D6979" s="10" t="s">
        <v>29</v>
      </c>
      <c r="E6979" s="14">
        <v>1.0</v>
      </c>
      <c r="F6979" s="15">
        <f t="shared" ref="F6979:F6980" si="1074">ROUND(19,3)</f>
        <v>19</v>
      </c>
      <c r="G6979" s="12">
        <f t="shared" si="1073"/>
        <v>19</v>
      </c>
    </row>
    <row r="6980" ht="24.0" customHeight="1">
      <c r="A6980" s="10" t="s">
        <v>30</v>
      </c>
      <c r="B6980" s="10" t="s">
        <v>26</v>
      </c>
      <c r="C6980" s="10" t="s">
        <v>23</v>
      </c>
      <c r="D6980" s="10" t="s">
        <v>31</v>
      </c>
      <c r="E6980" s="14">
        <v>0.2</v>
      </c>
      <c r="F6980" s="15">
        <f t="shared" si="1074"/>
        <v>19</v>
      </c>
      <c r="G6980" s="12">
        <f t="shared" si="1073"/>
        <v>3.8</v>
      </c>
    </row>
    <row r="6981" ht="15.0" customHeight="1">
      <c r="A6981" s="11"/>
      <c r="B6981" s="11"/>
      <c r="C6981" s="11"/>
      <c r="D6981" s="10" t="s">
        <v>22</v>
      </c>
      <c r="E6981" s="14">
        <v>0.4</v>
      </c>
      <c r="F6981" s="15">
        <f>ROUND((G6978+G6979+G6980),3)</f>
        <v>43.8</v>
      </c>
      <c r="G6981" s="12">
        <f t="shared" si="1073"/>
        <v>17.52</v>
      </c>
    </row>
    <row r="6982" ht="15.0" customHeight="1">
      <c r="A6982" s="10" t="s">
        <v>32</v>
      </c>
      <c r="B6982" s="10"/>
      <c r="C6982" s="10" t="s">
        <v>33</v>
      </c>
      <c r="D6982" s="10" t="s">
        <v>34</v>
      </c>
      <c r="E6982" s="14">
        <v>3.0</v>
      </c>
      <c r="F6982" s="15">
        <f>ROUND(17.52,3)</f>
        <v>17.52</v>
      </c>
      <c r="G6982" s="12">
        <f>ROUND((E6982*F6982)/100,2)</f>
        <v>0.53</v>
      </c>
    </row>
    <row r="6983" ht="15.0" customHeight="1">
      <c r="A6983" s="16"/>
      <c r="B6983" s="16"/>
      <c r="C6983" s="16"/>
      <c r="D6983" s="17" t="s">
        <v>3001</v>
      </c>
      <c r="E6983" s="16"/>
      <c r="F6983" s="18">
        <f>ROUND((G6975+G6976+G6977+G6982)*(1+G2/100),2)</f>
        <v>19.01</v>
      </c>
      <c r="G6983" s="16"/>
    </row>
    <row r="6984" ht="24.75" customHeight="1">
      <c r="A6984" s="19" t="s">
        <v>3004</v>
      </c>
      <c r="B6984" s="20" t="s">
        <v>18</v>
      </c>
      <c r="C6984" s="20" t="s">
        <v>3005</v>
      </c>
      <c r="D6984" s="20" t="s">
        <v>3006</v>
      </c>
      <c r="E6984" s="21"/>
      <c r="F6984" s="22">
        <f>F6992</f>
        <v>525.6</v>
      </c>
      <c r="G6984" s="21"/>
    </row>
    <row r="6985" ht="12.0" customHeight="1">
      <c r="A6985" s="11"/>
      <c r="B6985" s="11"/>
      <c r="C6985" s="11"/>
      <c r="D6985" s="10" t="s">
        <v>3006</v>
      </c>
    </row>
    <row r="6986" ht="21.0" customHeight="1">
      <c r="A6986" s="10" t="s">
        <v>22</v>
      </c>
      <c r="B6986" s="10" t="s">
        <v>18</v>
      </c>
      <c r="C6986" s="10" t="s">
        <v>23</v>
      </c>
      <c r="D6986" s="10" t="s">
        <v>24</v>
      </c>
      <c r="E6986" s="14">
        <v>8.0</v>
      </c>
      <c r="F6986" s="15">
        <f>F6990</f>
        <v>43.8</v>
      </c>
      <c r="G6986" s="12">
        <f t="shared" ref="G6986:G6990" si="1075">ROUND(E6986*F6986,2)</f>
        <v>350.4</v>
      </c>
    </row>
    <row r="6987" ht="24.0" customHeight="1">
      <c r="A6987" s="10" t="s">
        <v>25</v>
      </c>
      <c r="B6987" s="10" t="s">
        <v>26</v>
      </c>
      <c r="C6987" s="10" t="s">
        <v>23</v>
      </c>
      <c r="D6987" s="10" t="s">
        <v>27</v>
      </c>
      <c r="E6987" s="14">
        <v>1.0</v>
      </c>
      <c r="F6987" s="15">
        <f>ROUND(21,3)</f>
        <v>21</v>
      </c>
      <c r="G6987" s="12">
        <f t="shared" si="1075"/>
        <v>21</v>
      </c>
    </row>
    <row r="6988" ht="24.0" customHeight="1">
      <c r="A6988" s="10" t="s">
        <v>28</v>
      </c>
      <c r="B6988" s="10" t="s">
        <v>26</v>
      </c>
      <c r="C6988" s="10" t="s">
        <v>23</v>
      </c>
      <c r="D6988" s="10" t="s">
        <v>29</v>
      </c>
      <c r="E6988" s="14">
        <v>1.0</v>
      </c>
      <c r="F6988" s="15">
        <f t="shared" ref="F6988:F6989" si="1076">ROUND(19,3)</f>
        <v>19</v>
      </c>
      <c r="G6988" s="12">
        <f t="shared" si="1075"/>
        <v>19</v>
      </c>
    </row>
    <row r="6989" ht="24.0" customHeight="1">
      <c r="A6989" s="10" t="s">
        <v>30</v>
      </c>
      <c r="B6989" s="10" t="s">
        <v>26</v>
      </c>
      <c r="C6989" s="10" t="s">
        <v>23</v>
      </c>
      <c r="D6989" s="10" t="s">
        <v>31</v>
      </c>
      <c r="E6989" s="14">
        <v>0.2</v>
      </c>
      <c r="F6989" s="15">
        <f t="shared" si="1076"/>
        <v>19</v>
      </c>
      <c r="G6989" s="12">
        <f t="shared" si="1075"/>
        <v>3.8</v>
      </c>
    </row>
    <row r="6990" ht="15.0" customHeight="1">
      <c r="A6990" s="11"/>
      <c r="B6990" s="11"/>
      <c r="C6990" s="11"/>
      <c r="D6990" s="10" t="s">
        <v>22</v>
      </c>
      <c r="E6990" s="14">
        <v>8.0</v>
      </c>
      <c r="F6990" s="15">
        <f>ROUND((G6987+G6988+G6989),3)</f>
        <v>43.8</v>
      </c>
      <c r="G6990" s="12">
        <f t="shared" si="1075"/>
        <v>350.4</v>
      </c>
    </row>
    <row r="6991" ht="15.0" customHeight="1">
      <c r="A6991" s="10" t="s">
        <v>32</v>
      </c>
      <c r="B6991" s="10"/>
      <c r="C6991" s="10" t="s">
        <v>33</v>
      </c>
      <c r="D6991" s="10" t="s">
        <v>34</v>
      </c>
      <c r="E6991" s="14">
        <v>50.0</v>
      </c>
      <c r="F6991" s="15">
        <f>ROUND(350.4,3)</f>
        <v>350.4</v>
      </c>
      <c r="G6991" s="12">
        <f>ROUND((E6991*F6991)/100,2)</f>
        <v>175.2</v>
      </c>
    </row>
    <row r="6992" ht="15.0" customHeight="1">
      <c r="A6992" s="16"/>
      <c r="B6992" s="16"/>
      <c r="C6992" s="16"/>
      <c r="D6992" s="17" t="s">
        <v>3004</v>
      </c>
      <c r="E6992" s="16"/>
      <c r="F6992" s="18">
        <f>ROUND((G6986+G6991)*(1+G2/100),2)</f>
        <v>525.6</v>
      </c>
      <c r="G6992" s="16"/>
    </row>
    <row r="6993" ht="24.75" customHeight="1">
      <c r="A6993" s="19" t="s">
        <v>3007</v>
      </c>
      <c r="B6993" s="20" t="s">
        <v>18</v>
      </c>
      <c r="C6993" s="20" t="s">
        <v>19</v>
      </c>
      <c r="D6993" s="20" t="s">
        <v>3008</v>
      </c>
      <c r="E6993" s="21"/>
      <c r="F6993" s="22">
        <f>F7001</f>
        <v>31.24</v>
      </c>
      <c r="G6993" s="21"/>
    </row>
    <row r="6994" ht="12.0" customHeight="1">
      <c r="A6994" s="11"/>
      <c r="B6994" s="11"/>
      <c r="C6994" s="11"/>
      <c r="D6994" s="10" t="s">
        <v>3008</v>
      </c>
    </row>
    <row r="6995" ht="21.0" customHeight="1">
      <c r="A6995" s="10" t="s">
        <v>22</v>
      </c>
      <c r="B6995" s="10" t="s">
        <v>18</v>
      </c>
      <c r="C6995" s="10" t="s">
        <v>23</v>
      </c>
      <c r="D6995" s="10" t="s">
        <v>24</v>
      </c>
      <c r="E6995" s="14">
        <v>0.66666</v>
      </c>
      <c r="F6995" s="15">
        <f>F6999</f>
        <v>43.8</v>
      </c>
      <c r="G6995" s="12">
        <f t="shared" ref="G6995:G6999" si="1077">ROUND(E6995*F6995,2)</f>
        <v>29.2</v>
      </c>
    </row>
    <row r="6996" ht="24.0" customHeight="1">
      <c r="A6996" s="10" t="s">
        <v>25</v>
      </c>
      <c r="B6996" s="10" t="s">
        <v>26</v>
      </c>
      <c r="C6996" s="10" t="s">
        <v>23</v>
      </c>
      <c r="D6996" s="10" t="s">
        <v>27</v>
      </c>
      <c r="E6996" s="14">
        <v>1.0</v>
      </c>
      <c r="F6996" s="15">
        <f>ROUND(21,3)</f>
        <v>21</v>
      </c>
      <c r="G6996" s="12">
        <f t="shared" si="1077"/>
        <v>21</v>
      </c>
    </row>
    <row r="6997" ht="24.0" customHeight="1">
      <c r="A6997" s="10" t="s">
        <v>28</v>
      </c>
      <c r="B6997" s="10" t="s">
        <v>26</v>
      </c>
      <c r="C6997" s="10" t="s">
        <v>23</v>
      </c>
      <c r="D6997" s="10" t="s">
        <v>29</v>
      </c>
      <c r="E6997" s="14">
        <v>1.0</v>
      </c>
      <c r="F6997" s="15">
        <f t="shared" ref="F6997:F6998" si="1078">ROUND(19,3)</f>
        <v>19</v>
      </c>
      <c r="G6997" s="12">
        <f t="shared" si="1077"/>
        <v>19</v>
      </c>
    </row>
    <row r="6998" ht="24.0" customHeight="1">
      <c r="A6998" s="10" t="s">
        <v>30</v>
      </c>
      <c r="B6998" s="10" t="s">
        <v>26</v>
      </c>
      <c r="C6998" s="10" t="s">
        <v>23</v>
      </c>
      <c r="D6998" s="10" t="s">
        <v>31</v>
      </c>
      <c r="E6998" s="14">
        <v>0.2</v>
      </c>
      <c r="F6998" s="15">
        <f t="shared" si="1078"/>
        <v>19</v>
      </c>
      <c r="G6998" s="12">
        <f t="shared" si="1077"/>
        <v>3.8</v>
      </c>
    </row>
    <row r="6999" ht="15.0" customHeight="1">
      <c r="A6999" s="11"/>
      <c r="B6999" s="11"/>
      <c r="C6999" s="11"/>
      <c r="D6999" s="10" t="s">
        <v>22</v>
      </c>
      <c r="E6999" s="14">
        <v>0.66666</v>
      </c>
      <c r="F6999" s="15">
        <f>ROUND((G6996+G6997+G6998),3)</f>
        <v>43.8</v>
      </c>
      <c r="G6999" s="12">
        <f t="shared" si="1077"/>
        <v>29.2</v>
      </c>
    </row>
    <row r="7000" ht="15.0" customHeight="1">
      <c r="A7000" s="10" t="s">
        <v>32</v>
      </c>
      <c r="B7000" s="10"/>
      <c r="C7000" s="10" t="s">
        <v>33</v>
      </c>
      <c r="D7000" s="10" t="s">
        <v>34</v>
      </c>
      <c r="E7000" s="14">
        <v>7.0</v>
      </c>
      <c r="F7000" s="15">
        <f>ROUND(29.2,3)</f>
        <v>29.2</v>
      </c>
      <c r="G7000" s="12">
        <f>ROUND((E7000*F7000)/100,2)</f>
        <v>2.04</v>
      </c>
    </row>
    <row r="7001" ht="15.0" customHeight="1">
      <c r="A7001" s="16"/>
      <c r="B7001" s="16"/>
      <c r="C7001" s="16"/>
      <c r="D7001" s="17" t="s">
        <v>3007</v>
      </c>
      <c r="E7001" s="16"/>
      <c r="F7001" s="18">
        <f>ROUND((G6995+G7000)*(1+G2/100),2)</f>
        <v>31.24</v>
      </c>
      <c r="G7001" s="16"/>
    </row>
    <row r="7002" ht="24.75" customHeight="1">
      <c r="A7002" s="19" t="s">
        <v>3009</v>
      </c>
      <c r="B7002" s="20" t="s">
        <v>18</v>
      </c>
      <c r="C7002" s="20" t="s">
        <v>485</v>
      </c>
      <c r="D7002" s="20" t="s">
        <v>3010</v>
      </c>
      <c r="E7002" s="21"/>
      <c r="F7002" s="22">
        <f>F7010</f>
        <v>187.46</v>
      </c>
      <c r="G7002" s="21"/>
    </row>
    <row r="7003" ht="12.0" customHeight="1">
      <c r="A7003" s="11"/>
      <c r="B7003" s="11"/>
      <c r="C7003" s="11"/>
      <c r="D7003" s="10" t="s">
        <v>3010</v>
      </c>
    </row>
    <row r="7004" ht="21.0" customHeight="1">
      <c r="A7004" s="10" t="s">
        <v>22</v>
      </c>
      <c r="B7004" s="10" t="s">
        <v>18</v>
      </c>
      <c r="C7004" s="10" t="s">
        <v>23</v>
      </c>
      <c r="D7004" s="10" t="s">
        <v>24</v>
      </c>
      <c r="E7004" s="14">
        <v>4.0</v>
      </c>
      <c r="F7004" s="15">
        <f>F7008</f>
        <v>43.8</v>
      </c>
      <c r="G7004" s="12">
        <f t="shared" ref="G7004:G7008" si="1079">ROUND(E7004*F7004,2)</f>
        <v>175.2</v>
      </c>
    </row>
    <row r="7005" ht="24.0" customHeight="1">
      <c r="A7005" s="10" t="s">
        <v>25</v>
      </c>
      <c r="B7005" s="10" t="s">
        <v>26</v>
      </c>
      <c r="C7005" s="10" t="s">
        <v>23</v>
      </c>
      <c r="D7005" s="10" t="s">
        <v>27</v>
      </c>
      <c r="E7005" s="14">
        <v>1.0</v>
      </c>
      <c r="F7005" s="15">
        <f>ROUND(21,3)</f>
        <v>21</v>
      </c>
      <c r="G7005" s="12">
        <f t="shared" si="1079"/>
        <v>21</v>
      </c>
    </row>
    <row r="7006" ht="24.0" customHeight="1">
      <c r="A7006" s="10" t="s">
        <v>28</v>
      </c>
      <c r="B7006" s="10" t="s">
        <v>26</v>
      </c>
      <c r="C7006" s="10" t="s">
        <v>23</v>
      </c>
      <c r="D7006" s="10" t="s">
        <v>29</v>
      </c>
      <c r="E7006" s="14">
        <v>1.0</v>
      </c>
      <c r="F7006" s="15">
        <f t="shared" ref="F7006:F7007" si="1080">ROUND(19,3)</f>
        <v>19</v>
      </c>
      <c r="G7006" s="12">
        <f t="shared" si="1079"/>
        <v>19</v>
      </c>
    </row>
    <row r="7007" ht="24.0" customHeight="1">
      <c r="A7007" s="10" t="s">
        <v>30</v>
      </c>
      <c r="B7007" s="10" t="s">
        <v>26</v>
      </c>
      <c r="C7007" s="10" t="s">
        <v>23</v>
      </c>
      <c r="D7007" s="10" t="s">
        <v>31</v>
      </c>
      <c r="E7007" s="14">
        <v>0.2</v>
      </c>
      <c r="F7007" s="15">
        <f t="shared" si="1080"/>
        <v>19</v>
      </c>
      <c r="G7007" s="12">
        <f t="shared" si="1079"/>
        <v>3.8</v>
      </c>
    </row>
    <row r="7008" ht="15.0" customHeight="1">
      <c r="A7008" s="11"/>
      <c r="B7008" s="11"/>
      <c r="C7008" s="11"/>
      <c r="D7008" s="10" t="s">
        <v>22</v>
      </c>
      <c r="E7008" s="14">
        <v>4.0</v>
      </c>
      <c r="F7008" s="15">
        <f>ROUND((G7005+G7006+G7007),3)</f>
        <v>43.8</v>
      </c>
      <c r="G7008" s="12">
        <f t="shared" si="1079"/>
        <v>175.2</v>
      </c>
    </row>
    <row r="7009" ht="15.0" customHeight="1">
      <c r="A7009" s="10" t="s">
        <v>32</v>
      </c>
      <c r="B7009" s="10"/>
      <c r="C7009" s="10" t="s">
        <v>33</v>
      </c>
      <c r="D7009" s="10" t="s">
        <v>34</v>
      </c>
      <c r="E7009" s="14">
        <v>7.0</v>
      </c>
      <c r="F7009" s="15">
        <f>ROUND(175.2,3)</f>
        <v>175.2</v>
      </c>
      <c r="G7009" s="12">
        <f>ROUND((E7009*F7009)/100,2)</f>
        <v>12.26</v>
      </c>
    </row>
    <row r="7010" ht="15.0" customHeight="1">
      <c r="A7010" s="16"/>
      <c r="B7010" s="16"/>
      <c r="C7010" s="16"/>
      <c r="D7010" s="17" t="s">
        <v>3009</v>
      </c>
      <c r="E7010" s="16"/>
      <c r="F7010" s="18">
        <f>ROUND((G7004+G7009)*(1+G2/100),2)</f>
        <v>187.46</v>
      </c>
      <c r="G7010" s="16"/>
    </row>
    <row r="7011" ht="39.75" customHeight="1">
      <c r="A7011" s="19" t="s">
        <v>3011</v>
      </c>
      <c r="B7011" s="20" t="s">
        <v>18</v>
      </c>
      <c r="C7011" s="20" t="s">
        <v>344</v>
      </c>
      <c r="D7011" s="20" t="s">
        <v>3012</v>
      </c>
      <c r="E7011" s="21"/>
      <c r="F7011" s="22">
        <f>F7021</f>
        <v>37.35</v>
      </c>
      <c r="G7011" s="21"/>
    </row>
    <row r="7012" ht="21.0" customHeight="1">
      <c r="A7012" s="11"/>
      <c r="B7012" s="11"/>
      <c r="C7012" s="11"/>
      <c r="D7012" s="10" t="s">
        <v>3012</v>
      </c>
    </row>
    <row r="7013" ht="39.75" customHeight="1">
      <c r="A7013" s="10" t="s">
        <v>3013</v>
      </c>
      <c r="B7013" s="10" t="s">
        <v>42</v>
      </c>
      <c r="C7013" s="10" t="s">
        <v>344</v>
      </c>
      <c r="D7013" s="10" t="s">
        <v>3014</v>
      </c>
      <c r="E7013" s="14">
        <v>1.0</v>
      </c>
      <c r="F7013" s="15">
        <f>ROUND(14.7,3)</f>
        <v>14.7</v>
      </c>
      <c r="G7013" s="12">
        <f t="shared" ref="G7013:G7019" si="1081">ROUND(E7013*F7013,2)</f>
        <v>14.7</v>
      </c>
    </row>
    <row r="7014" ht="39.75" customHeight="1">
      <c r="A7014" s="10" t="s">
        <v>2640</v>
      </c>
      <c r="B7014" s="10" t="s">
        <v>42</v>
      </c>
      <c r="C7014" s="10" t="s">
        <v>184</v>
      </c>
      <c r="D7014" s="10" t="s">
        <v>2641</v>
      </c>
      <c r="E7014" s="14">
        <v>0.03564</v>
      </c>
      <c r="F7014" s="15">
        <f>ROUND(2.6,3)</f>
        <v>2.6</v>
      </c>
      <c r="G7014" s="12">
        <f t="shared" si="1081"/>
        <v>0.09</v>
      </c>
    </row>
    <row r="7015" ht="21.0" customHeight="1">
      <c r="A7015" s="10" t="s">
        <v>22</v>
      </c>
      <c r="B7015" s="10" t="s">
        <v>18</v>
      </c>
      <c r="C7015" s="10" t="s">
        <v>23</v>
      </c>
      <c r="D7015" s="10" t="s">
        <v>24</v>
      </c>
      <c r="E7015" s="14">
        <v>0.5</v>
      </c>
      <c r="F7015" s="15">
        <f>F7019</f>
        <v>43.8</v>
      </c>
      <c r="G7015" s="12">
        <f t="shared" si="1081"/>
        <v>21.9</v>
      </c>
    </row>
    <row r="7016" ht="24.0" customHeight="1">
      <c r="A7016" s="10" t="s">
        <v>25</v>
      </c>
      <c r="B7016" s="10" t="s">
        <v>26</v>
      </c>
      <c r="C7016" s="10" t="s">
        <v>23</v>
      </c>
      <c r="D7016" s="10" t="s">
        <v>27</v>
      </c>
      <c r="E7016" s="14">
        <v>1.0</v>
      </c>
      <c r="F7016" s="15">
        <f>ROUND(21,3)</f>
        <v>21</v>
      </c>
      <c r="G7016" s="12">
        <f t="shared" si="1081"/>
        <v>21</v>
      </c>
    </row>
    <row r="7017" ht="24.0" customHeight="1">
      <c r="A7017" s="10" t="s">
        <v>28</v>
      </c>
      <c r="B7017" s="10" t="s">
        <v>26</v>
      </c>
      <c r="C7017" s="10" t="s">
        <v>23</v>
      </c>
      <c r="D7017" s="10" t="s">
        <v>29</v>
      </c>
      <c r="E7017" s="14">
        <v>1.0</v>
      </c>
      <c r="F7017" s="15">
        <f t="shared" ref="F7017:F7018" si="1082">ROUND(19,3)</f>
        <v>19</v>
      </c>
      <c r="G7017" s="12">
        <f t="shared" si="1081"/>
        <v>19</v>
      </c>
    </row>
    <row r="7018" ht="24.0" customHeight="1">
      <c r="A7018" s="10" t="s">
        <v>30</v>
      </c>
      <c r="B7018" s="10" t="s">
        <v>26</v>
      </c>
      <c r="C7018" s="10" t="s">
        <v>23</v>
      </c>
      <c r="D7018" s="10" t="s">
        <v>31</v>
      </c>
      <c r="E7018" s="14">
        <v>0.2</v>
      </c>
      <c r="F7018" s="15">
        <f t="shared" si="1082"/>
        <v>19</v>
      </c>
      <c r="G7018" s="12">
        <f t="shared" si="1081"/>
        <v>3.8</v>
      </c>
    </row>
    <row r="7019" ht="15.0" customHeight="1">
      <c r="A7019" s="11"/>
      <c r="B7019" s="11"/>
      <c r="C7019" s="11"/>
      <c r="D7019" s="10" t="s">
        <v>22</v>
      </c>
      <c r="E7019" s="14">
        <v>0.5</v>
      </c>
      <c r="F7019" s="15">
        <f>ROUND((G7016+G7017+G7018),3)</f>
        <v>43.8</v>
      </c>
      <c r="G7019" s="12">
        <f t="shared" si="1081"/>
        <v>21.9</v>
      </c>
    </row>
    <row r="7020" ht="15.0" customHeight="1">
      <c r="A7020" s="10" t="s">
        <v>32</v>
      </c>
      <c r="B7020" s="10"/>
      <c r="C7020" s="10" t="s">
        <v>33</v>
      </c>
      <c r="D7020" s="10" t="s">
        <v>34</v>
      </c>
      <c r="E7020" s="14">
        <v>3.0</v>
      </c>
      <c r="F7020" s="15">
        <f>ROUND(21.9,3)</f>
        <v>21.9</v>
      </c>
      <c r="G7020" s="12">
        <f>ROUND((E7020*F7020)/100,2)</f>
        <v>0.66</v>
      </c>
    </row>
    <row r="7021" ht="15.0" customHeight="1">
      <c r="A7021" s="16"/>
      <c r="B7021" s="16"/>
      <c r="C7021" s="16"/>
      <c r="D7021" s="17" t="s">
        <v>3011</v>
      </c>
      <c r="E7021" s="16"/>
      <c r="F7021" s="18">
        <f>ROUND((G7013+G7014+G7015+G7020)*(1+G2/100),2)</f>
        <v>37.35</v>
      </c>
      <c r="G7021" s="16"/>
    </row>
    <row r="7022" ht="39.75" customHeight="1">
      <c r="A7022" s="19" t="s">
        <v>3015</v>
      </c>
      <c r="B7022" s="20" t="s">
        <v>18</v>
      </c>
      <c r="C7022" s="20" t="s">
        <v>351</v>
      </c>
      <c r="D7022" s="20" t="s">
        <v>3016</v>
      </c>
      <c r="E7022" s="21"/>
      <c r="F7022" s="22">
        <f>F7031</f>
        <v>10.42</v>
      </c>
      <c r="G7022" s="21"/>
    </row>
    <row r="7023" ht="12.0" customHeight="1">
      <c r="A7023" s="11"/>
      <c r="B7023" s="11"/>
      <c r="C7023" s="11"/>
      <c r="D7023" s="10" t="s">
        <v>3017</v>
      </c>
    </row>
    <row r="7024" ht="39.75" customHeight="1">
      <c r="A7024" s="10" t="s">
        <v>3018</v>
      </c>
      <c r="B7024" s="10" t="s">
        <v>42</v>
      </c>
      <c r="C7024" s="10" t="s">
        <v>1245</v>
      </c>
      <c r="D7024" s="10" t="s">
        <v>3019</v>
      </c>
      <c r="E7024" s="14">
        <v>0.3</v>
      </c>
      <c r="F7024" s="15">
        <f>ROUND(4.65,3)</f>
        <v>4.65</v>
      </c>
      <c r="G7024" s="12">
        <f t="shared" ref="G7024:G7029" si="1083">ROUND(E7024*F7024,2)</f>
        <v>1.4</v>
      </c>
    </row>
    <row r="7025" ht="21.0" customHeight="1">
      <c r="A7025" s="10" t="s">
        <v>22</v>
      </c>
      <c r="B7025" s="10" t="s">
        <v>18</v>
      </c>
      <c r="C7025" s="10" t="s">
        <v>23</v>
      </c>
      <c r="D7025" s="10" t="s">
        <v>24</v>
      </c>
      <c r="E7025" s="14">
        <v>0.2</v>
      </c>
      <c r="F7025" s="15">
        <f>F7029</f>
        <v>43.8</v>
      </c>
      <c r="G7025" s="12">
        <f t="shared" si="1083"/>
        <v>8.76</v>
      </c>
    </row>
    <row r="7026" ht="24.0" customHeight="1">
      <c r="A7026" s="10" t="s">
        <v>25</v>
      </c>
      <c r="B7026" s="10" t="s">
        <v>26</v>
      </c>
      <c r="C7026" s="10" t="s">
        <v>23</v>
      </c>
      <c r="D7026" s="10" t="s">
        <v>27</v>
      </c>
      <c r="E7026" s="14">
        <v>1.0</v>
      </c>
      <c r="F7026" s="15">
        <f>ROUND(21,3)</f>
        <v>21</v>
      </c>
      <c r="G7026" s="12">
        <f t="shared" si="1083"/>
        <v>21</v>
      </c>
    </row>
    <row r="7027" ht="24.0" customHeight="1">
      <c r="A7027" s="10" t="s">
        <v>28</v>
      </c>
      <c r="B7027" s="10" t="s">
        <v>26</v>
      </c>
      <c r="C7027" s="10" t="s">
        <v>23</v>
      </c>
      <c r="D7027" s="10" t="s">
        <v>29</v>
      </c>
      <c r="E7027" s="14">
        <v>1.0</v>
      </c>
      <c r="F7027" s="15">
        <f t="shared" ref="F7027:F7028" si="1084">ROUND(19,3)</f>
        <v>19</v>
      </c>
      <c r="G7027" s="12">
        <f t="shared" si="1083"/>
        <v>19</v>
      </c>
    </row>
    <row r="7028" ht="24.0" customHeight="1">
      <c r="A7028" s="10" t="s">
        <v>30</v>
      </c>
      <c r="B7028" s="10" t="s">
        <v>26</v>
      </c>
      <c r="C7028" s="10" t="s">
        <v>23</v>
      </c>
      <c r="D7028" s="10" t="s">
        <v>31</v>
      </c>
      <c r="E7028" s="14">
        <v>0.2</v>
      </c>
      <c r="F7028" s="15">
        <f t="shared" si="1084"/>
        <v>19</v>
      </c>
      <c r="G7028" s="12">
        <f t="shared" si="1083"/>
        <v>3.8</v>
      </c>
    </row>
    <row r="7029" ht="15.0" customHeight="1">
      <c r="A7029" s="11"/>
      <c r="B7029" s="11"/>
      <c r="C7029" s="11"/>
      <c r="D7029" s="10" t="s">
        <v>22</v>
      </c>
      <c r="E7029" s="14">
        <v>0.2</v>
      </c>
      <c r="F7029" s="15">
        <f>ROUND((G7026+G7027+G7028),3)</f>
        <v>43.8</v>
      </c>
      <c r="G7029" s="12">
        <f t="shared" si="1083"/>
        <v>8.76</v>
      </c>
    </row>
    <row r="7030" ht="15.0" customHeight="1">
      <c r="A7030" s="10" t="s">
        <v>32</v>
      </c>
      <c r="B7030" s="10"/>
      <c r="C7030" s="10" t="s">
        <v>33</v>
      </c>
      <c r="D7030" s="10" t="s">
        <v>34</v>
      </c>
      <c r="E7030" s="14">
        <v>3.0</v>
      </c>
      <c r="F7030" s="15">
        <f>ROUND(8.76,3)</f>
        <v>8.76</v>
      </c>
      <c r="G7030" s="12">
        <f>ROUND((E7030*F7030)/100,2)</f>
        <v>0.26</v>
      </c>
    </row>
    <row r="7031" ht="15.0" customHeight="1">
      <c r="A7031" s="16"/>
      <c r="B7031" s="16"/>
      <c r="C7031" s="16"/>
      <c r="D7031" s="17" t="s">
        <v>3015</v>
      </c>
      <c r="E7031" s="16"/>
      <c r="F7031" s="18">
        <f>ROUND((G7024+G7025+G7030)*(1+G2/100),2)</f>
        <v>10.42</v>
      </c>
      <c r="G7031" s="16"/>
    </row>
    <row r="7032" ht="67.5" customHeight="1">
      <c r="A7032" s="19" t="s">
        <v>3020</v>
      </c>
      <c r="B7032" s="20" t="s">
        <v>18</v>
      </c>
      <c r="C7032" s="20" t="s">
        <v>19</v>
      </c>
      <c r="D7032" s="20" t="s">
        <v>3021</v>
      </c>
      <c r="E7032" s="21"/>
      <c r="F7032" s="22">
        <f>F7055</f>
        <v>399.45</v>
      </c>
      <c r="G7032" s="21"/>
    </row>
    <row r="7033" ht="30.0" customHeight="1">
      <c r="A7033" s="11"/>
      <c r="B7033" s="11"/>
      <c r="C7033" s="11"/>
      <c r="D7033" s="10" t="s">
        <v>3021</v>
      </c>
    </row>
    <row r="7034" ht="39.75" customHeight="1">
      <c r="A7034" s="10" t="s">
        <v>3022</v>
      </c>
      <c r="B7034" s="10" t="s">
        <v>42</v>
      </c>
      <c r="C7034" s="10" t="s">
        <v>43</v>
      </c>
      <c r="D7034" s="10" t="s">
        <v>3023</v>
      </c>
      <c r="E7034" s="14">
        <v>0.088</v>
      </c>
      <c r="F7034" s="15">
        <f>ROUND(22.38,3)</f>
        <v>22.38</v>
      </c>
      <c r="G7034" s="12">
        <f t="shared" ref="G7034:G7041" si="1085">ROUND(E7034*F7034,2)</f>
        <v>1.97</v>
      </c>
    </row>
    <row r="7035" ht="30.0" customHeight="1">
      <c r="A7035" s="10" t="s">
        <v>1227</v>
      </c>
      <c r="B7035" s="10" t="s">
        <v>42</v>
      </c>
      <c r="C7035" s="10" t="s">
        <v>226</v>
      </c>
      <c r="D7035" s="10" t="s">
        <v>1228</v>
      </c>
      <c r="E7035" s="14">
        <v>0.022</v>
      </c>
      <c r="F7035" s="15">
        <f>ROUND(27.5,3)</f>
        <v>27.5</v>
      </c>
      <c r="G7035" s="12">
        <f t="shared" si="1085"/>
        <v>0.61</v>
      </c>
    </row>
    <row r="7036" ht="21.0" customHeight="1">
      <c r="A7036" s="10" t="s">
        <v>3024</v>
      </c>
      <c r="B7036" s="10" t="s">
        <v>42</v>
      </c>
      <c r="C7036" s="10" t="s">
        <v>184</v>
      </c>
      <c r="D7036" s="10" t="s">
        <v>3025</v>
      </c>
      <c r="E7036" s="14">
        <v>1.134</v>
      </c>
      <c r="F7036" s="15">
        <f>ROUND(1.62,3)</f>
        <v>1.62</v>
      </c>
      <c r="G7036" s="12">
        <f t="shared" si="1085"/>
        <v>1.84</v>
      </c>
    </row>
    <row r="7037" ht="39.75" customHeight="1">
      <c r="A7037" s="10" t="s">
        <v>3026</v>
      </c>
      <c r="B7037" s="10" t="s">
        <v>42</v>
      </c>
      <c r="C7037" s="10" t="s">
        <v>344</v>
      </c>
      <c r="D7037" s="10" t="s">
        <v>3027</v>
      </c>
      <c r="E7037" s="14">
        <v>34.0</v>
      </c>
      <c r="F7037" s="15">
        <f>ROUND(0.43,3)</f>
        <v>0.43</v>
      </c>
      <c r="G7037" s="12">
        <f t="shared" si="1085"/>
        <v>14.62</v>
      </c>
    </row>
    <row r="7038" ht="39.75" customHeight="1">
      <c r="A7038" s="10" t="s">
        <v>3028</v>
      </c>
      <c r="B7038" s="10" t="s">
        <v>18</v>
      </c>
      <c r="C7038" s="10" t="s">
        <v>344</v>
      </c>
      <c r="D7038" s="10" t="s">
        <v>3029</v>
      </c>
      <c r="E7038" s="14">
        <v>3.0</v>
      </c>
      <c r="F7038" s="15">
        <f>F7043</f>
        <v>2.64</v>
      </c>
      <c r="G7038" s="12">
        <f t="shared" si="1085"/>
        <v>7.92</v>
      </c>
    </row>
    <row r="7039" ht="21.0" customHeight="1">
      <c r="A7039" s="10" t="s">
        <v>1376</v>
      </c>
      <c r="B7039" s="10" t="s">
        <v>42</v>
      </c>
      <c r="C7039" s="10" t="s">
        <v>344</v>
      </c>
      <c r="D7039" s="10" t="s">
        <v>1377</v>
      </c>
      <c r="E7039" s="14">
        <v>0.2</v>
      </c>
      <c r="F7039" s="15">
        <f>ROUND(4.98,3)</f>
        <v>4.98</v>
      </c>
      <c r="G7039" s="12">
        <f t="shared" si="1085"/>
        <v>1</v>
      </c>
    </row>
    <row r="7040" ht="24.0" customHeight="1">
      <c r="A7040" s="10" t="s">
        <v>1832</v>
      </c>
      <c r="B7040" s="10" t="s">
        <v>112</v>
      </c>
      <c r="C7040" s="10" t="s">
        <v>23</v>
      </c>
      <c r="D7040" s="10" t="s">
        <v>1833</v>
      </c>
      <c r="E7040" s="14">
        <v>0.06667</v>
      </c>
      <c r="F7040" s="15">
        <f>ROUND(4.88,3)</f>
        <v>4.88</v>
      </c>
      <c r="G7040" s="12">
        <f t="shared" si="1085"/>
        <v>0.33</v>
      </c>
    </row>
    <row r="7041" ht="24.0" customHeight="1">
      <c r="A7041" s="10" t="s">
        <v>28</v>
      </c>
      <c r="B7041" s="10" t="s">
        <v>26</v>
      </c>
      <c r="C7041" s="10" t="s">
        <v>23</v>
      </c>
      <c r="D7041" s="10" t="s">
        <v>29</v>
      </c>
      <c r="E7041" s="14">
        <v>0.06667</v>
      </c>
      <c r="F7041" s="15">
        <f>ROUND(19,3)</f>
        <v>19</v>
      </c>
      <c r="G7041" s="12">
        <f t="shared" si="1085"/>
        <v>1.27</v>
      </c>
    </row>
    <row r="7042" ht="15.0" customHeight="1">
      <c r="A7042" s="10" t="s">
        <v>32</v>
      </c>
      <c r="B7042" s="10"/>
      <c r="C7042" s="10" t="s">
        <v>33</v>
      </c>
      <c r="D7042" s="10" t="s">
        <v>34</v>
      </c>
      <c r="E7042" s="14">
        <v>3.0</v>
      </c>
      <c r="F7042" s="15">
        <f>ROUND(1.27,3)</f>
        <v>1.27</v>
      </c>
      <c r="G7042" s="12">
        <f>ROUND((E7042*F7042)/100,2)</f>
        <v>0.04</v>
      </c>
    </row>
    <row r="7043" ht="15.0" customHeight="1">
      <c r="A7043" s="11"/>
      <c r="B7043" s="11"/>
      <c r="C7043" s="11"/>
      <c r="D7043" s="10" t="s">
        <v>3028</v>
      </c>
      <c r="E7043" s="14">
        <v>3.0</v>
      </c>
      <c r="F7043" s="15">
        <f>ROUND((G7039+G7040+G7041+G7042),3)</f>
        <v>2.64</v>
      </c>
      <c r="G7043" s="12">
        <f t="shared" ref="G7043:G7053" si="1086">ROUND(E7043*F7043,2)</f>
        <v>7.92</v>
      </c>
    </row>
    <row r="7044" ht="39.75" customHeight="1">
      <c r="A7044" s="10" t="s">
        <v>1340</v>
      </c>
      <c r="B7044" s="10" t="s">
        <v>42</v>
      </c>
      <c r="C7044" s="10" t="s">
        <v>1245</v>
      </c>
      <c r="D7044" s="10" t="s">
        <v>1341</v>
      </c>
      <c r="E7044" s="14">
        <v>0.2222</v>
      </c>
      <c r="F7044" s="15">
        <f>ROUND(7.37,3)</f>
        <v>7.37</v>
      </c>
      <c r="G7044" s="12">
        <f t="shared" si="1086"/>
        <v>1.64</v>
      </c>
    </row>
    <row r="7045" ht="30.0" customHeight="1">
      <c r="A7045" s="10" t="s">
        <v>1378</v>
      </c>
      <c r="B7045" s="10" t="s">
        <v>42</v>
      </c>
      <c r="C7045" s="10" t="s">
        <v>330</v>
      </c>
      <c r="D7045" s="10" t="s">
        <v>1379</v>
      </c>
      <c r="E7045" s="14">
        <v>0.3</v>
      </c>
      <c r="F7045" s="15">
        <f>ROUND(6.14,3)</f>
        <v>6.14</v>
      </c>
      <c r="G7045" s="12">
        <f t="shared" si="1086"/>
        <v>1.84</v>
      </c>
    </row>
    <row r="7046" ht="30.0" customHeight="1">
      <c r="A7046" s="10" t="s">
        <v>1006</v>
      </c>
      <c r="B7046" s="10" t="s">
        <v>42</v>
      </c>
      <c r="C7046" s="10" t="s">
        <v>184</v>
      </c>
      <c r="D7046" s="10" t="s">
        <v>1007</v>
      </c>
      <c r="E7046" s="14">
        <v>0.2</v>
      </c>
      <c r="F7046" s="15">
        <f>ROUND(16.81,3)</f>
        <v>16.81</v>
      </c>
      <c r="G7046" s="12">
        <f t="shared" si="1086"/>
        <v>3.36</v>
      </c>
    </row>
    <row r="7047" ht="21.0" customHeight="1">
      <c r="A7047" s="10" t="s">
        <v>969</v>
      </c>
      <c r="B7047" s="10" t="s">
        <v>112</v>
      </c>
      <c r="C7047" s="10" t="s">
        <v>23</v>
      </c>
      <c r="D7047" s="10" t="s">
        <v>970</v>
      </c>
      <c r="E7047" s="14">
        <v>2.0</v>
      </c>
      <c r="F7047" s="15">
        <f>ROUND(2,3)</f>
        <v>2</v>
      </c>
      <c r="G7047" s="12">
        <f t="shared" si="1086"/>
        <v>4</v>
      </c>
    </row>
    <row r="7048" ht="30.0" customHeight="1">
      <c r="A7048" s="10" t="s">
        <v>971</v>
      </c>
      <c r="B7048" s="10" t="s">
        <v>42</v>
      </c>
      <c r="C7048" s="10" t="s">
        <v>231</v>
      </c>
      <c r="D7048" s="10" t="s">
        <v>972</v>
      </c>
      <c r="E7048" s="14">
        <v>0.15</v>
      </c>
      <c r="F7048" s="15">
        <f>ROUND(4.92,3)</f>
        <v>4.92</v>
      </c>
      <c r="G7048" s="12">
        <f t="shared" si="1086"/>
        <v>0.74</v>
      </c>
    </row>
    <row r="7049" ht="21.0" customHeight="1">
      <c r="A7049" s="10" t="s">
        <v>22</v>
      </c>
      <c r="B7049" s="10" t="s">
        <v>18</v>
      </c>
      <c r="C7049" s="10" t="s">
        <v>23</v>
      </c>
      <c r="D7049" s="10" t="s">
        <v>24</v>
      </c>
      <c r="E7049" s="14">
        <v>8.0</v>
      </c>
      <c r="F7049" s="15">
        <f>F7053</f>
        <v>43.8</v>
      </c>
      <c r="G7049" s="12">
        <f t="shared" si="1086"/>
        <v>350.4</v>
      </c>
    </row>
    <row r="7050" ht="24.0" customHeight="1">
      <c r="A7050" s="10" t="s">
        <v>25</v>
      </c>
      <c r="B7050" s="10" t="s">
        <v>26</v>
      </c>
      <c r="C7050" s="10" t="s">
        <v>23</v>
      </c>
      <c r="D7050" s="10" t="s">
        <v>27</v>
      </c>
      <c r="E7050" s="14">
        <v>1.0</v>
      </c>
      <c r="F7050" s="15">
        <f>ROUND(21,3)</f>
        <v>21</v>
      </c>
      <c r="G7050" s="12">
        <f t="shared" si="1086"/>
        <v>21</v>
      </c>
    </row>
    <row r="7051" ht="24.0" customHeight="1">
      <c r="A7051" s="10" t="s">
        <v>28</v>
      </c>
      <c r="B7051" s="10" t="s">
        <v>26</v>
      </c>
      <c r="C7051" s="10" t="s">
        <v>23</v>
      </c>
      <c r="D7051" s="10" t="s">
        <v>29</v>
      </c>
      <c r="E7051" s="14">
        <v>1.0</v>
      </c>
      <c r="F7051" s="15">
        <f t="shared" ref="F7051:F7052" si="1087">ROUND(19,3)</f>
        <v>19</v>
      </c>
      <c r="G7051" s="12">
        <f t="shared" si="1086"/>
        <v>19</v>
      </c>
    </row>
    <row r="7052" ht="24.0" customHeight="1">
      <c r="A7052" s="10" t="s">
        <v>30</v>
      </c>
      <c r="B7052" s="10" t="s">
        <v>26</v>
      </c>
      <c r="C7052" s="10" t="s">
        <v>23</v>
      </c>
      <c r="D7052" s="10" t="s">
        <v>31</v>
      </c>
      <c r="E7052" s="14">
        <v>0.2</v>
      </c>
      <c r="F7052" s="15">
        <f t="shared" si="1087"/>
        <v>19</v>
      </c>
      <c r="G7052" s="12">
        <f t="shared" si="1086"/>
        <v>3.8</v>
      </c>
    </row>
    <row r="7053" ht="15.0" customHeight="1">
      <c r="A7053" s="11"/>
      <c r="B7053" s="11"/>
      <c r="C7053" s="11"/>
      <c r="D7053" s="10" t="s">
        <v>22</v>
      </c>
      <c r="E7053" s="14">
        <v>8.0</v>
      </c>
      <c r="F7053" s="15">
        <f>ROUND((G7050+G7051+G7052),3)</f>
        <v>43.8</v>
      </c>
      <c r="G7053" s="12">
        <f t="shared" si="1086"/>
        <v>350.4</v>
      </c>
    </row>
    <row r="7054" ht="15.0" customHeight="1">
      <c r="A7054" s="10" t="s">
        <v>32</v>
      </c>
      <c r="B7054" s="10"/>
      <c r="C7054" s="10" t="s">
        <v>33</v>
      </c>
      <c r="D7054" s="10" t="s">
        <v>34</v>
      </c>
      <c r="E7054" s="14">
        <v>3.0</v>
      </c>
      <c r="F7054" s="15">
        <f>ROUND(350.4,3)</f>
        <v>350.4</v>
      </c>
      <c r="G7054" s="12">
        <f>ROUND((E7054*F7054)/100,2)</f>
        <v>10.51</v>
      </c>
    </row>
    <row r="7055" ht="24.75" customHeight="1">
      <c r="A7055" s="16"/>
      <c r="B7055" s="16"/>
      <c r="C7055" s="16"/>
      <c r="D7055" s="17" t="s">
        <v>3020</v>
      </c>
      <c r="E7055" s="16"/>
      <c r="F7055" s="18">
        <f>ROUND((G7034+G7035+G7036+G7037+G7038+G7044+G7045+G7046+G7047+G7048+G7049+G7054)*(1+G2/100),2)</f>
        <v>399.45</v>
      </c>
      <c r="G7055" s="16"/>
    </row>
    <row r="7056" ht="76.5" customHeight="1">
      <c r="A7056" s="19" t="s">
        <v>3030</v>
      </c>
      <c r="B7056" s="20" t="s">
        <v>18</v>
      </c>
      <c r="C7056" s="20" t="s">
        <v>19</v>
      </c>
      <c r="D7056" s="20" t="s">
        <v>3031</v>
      </c>
      <c r="E7056" s="21"/>
      <c r="F7056" s="22">
        <f>F7079</f>
        <v>534.79</v>
      </c>
      <c r="G7056" s="21"/>
    </row>
    <row r="7057" ht="30.0" customHeight="1">
      <c r="A7057" s="11"/>
      <c r="B7057" s="11"/>
      <c r="C7057" s="11"/>
      <c r="D7057" s="10" t="s">
        <v>3031</v>
      </c>
    </row>
    <row r="7058" ht="39.75" customHeight="1">
      <c r="A7058" s="10" t="s">
        <v>3022</v>
      </c>
      <c r="B7058" s="10" t="s">
        <v>42</v>
      </c>
      <c r="C7058" s="10" t="s">
        <v>43</v>
      </c>
      <c r="D7058" s="10" t="s">
        <v>3023</v>
      </c>
      <c r="E7058" s="14">
        <v>0.088</v>
      </c>
      <c r="F7058" s="15">
        <f>ROUND(22.38,3)</f>
        <v>22.38</v>
      </c>
      <c r="G7058" s="12">
        <f t="shared" ref="G7058:G7065" si="1088">ROUND(E7058*F7058,2)</f>
        <v>1.97</v>
      </c>
    </row>
    <row r="7059" ht="30.0" customHeight="1">
      <c r="A7059" s="10" t="s">
        <v>1227</v>
      </c>
      <c r="B7059" s="10" t="s">
        <v>42</v>
      </c>
      <c r="C7059" s="10" t="s">
        <v>226</v>
      </c>
      <c r="D7059" s="10" t="s">
        <v>1228</v>
      </c>
      <c r="E7059" s="14">
        <v>0.022</v>
      </c>
      <c r="F7059" s="15">
        <f>ROUND(27.5,3)</f>
        <v>27.5</v>
      </c>
      <c r="G7059" s="12">
        <f t="shared" si="1088"/>
        <v>0.61</v>
      </c>
    </row>
    <row r="7060" ht="21.0" customHeight="1">
      <c r="A7060" s="10" t="s">
        <v>3024</v>
      </c>
      <c r="B7060" s="10" t="s">
        <v>42</v>
      </c>
      <c r="C7060" s="10" t="s">
        <v>184</v>
      </c>
      <c r="D7060" s="10" t="s">
        <v>3025</v>
      </c>
      <c r="E7060" s="14">
        <v>1.134</v>
      </c>
      <c r="F7060" s="15">
        <f>ROUND(1.62,3)</f>
        <v>1.62</v>
      </c>
      <c r="G7060" s="12">
        <f t="shared" si="1088"/>
        <v>1.84</v>
      </c>
    </row>
    <row r="7061" ht="39.75" customHeight="1">
      <c r="A7061" s="10" t="s">
        <v>3026</v>
      </c>
      <c r="B7061" s="10" t="s">
        <v>42</v>
      </c>
      <c r="C7061" s="10" t="s">
        <v>344</v>
      </c>
      <c r="D7061" s="10" t="s">
        <v>3027</v>
      </c>
      <c r="E7061" s="14">
        <v>34.0</v>
      </c>
      <c r="F7061" s="15">
        <f>ROUND(0.43,3)</f>
        <v>0.43</v>
      </c>
      <c r="G7061" s="12">
        <f t="shared" si="1088"/>
        <v>14.62</v>
      </c>
    </row>
    <row r="7062" ht="39.75" customHeight="1">
      <c r="A7062" s="10" t="s">
        <v>3028</v>
      </c>
      <c r="B7062" s="10" t="s">
        <v>18</v>
      </c>
      <c r="C7062" s="10" t="s">
        <v>344</v>
      </c>
      <c r="D7062" s="10" t="s">
        <v>3029</v>
      </c>
      <c r="E7062" s="14">
        <v>3.0</v>
      </c>
      <c r="F7062" s="15">
        <f>F7067</f>
        <v>2.64</v>
      </c>
      <c r="G7062" s="12">
        <f t="shared" si="1088"/>
        <v>7.92</v>
      </c>
    </row>
    <row r="7063" ht="21.0" customHeight="1">
      <c r="A7063" s="10" t="s">
        <v>1376</v>
      </c>
      <c r="B7063" s="10" t="s">
        <v>42</v>
      </c>
      <c r="C7063" s="10" t="s">
        <v>344</v>
      </c>
      <c r="D7063" s="10" t="s">
        <v>1377</v>
      </c>
      <c r="E7063" s="14">
        <v>0.2</v>
      </c>
      <c r="F7063" s="15">
        <f>ROUND(4.98,3)</f>
        <v>4.98</v>
      </c>
      <c r="G7063" s="12">
        <f t="shared" si="1088"/>
        <v>1</v>
      </c>
    </row>
    <row r="7064" ht="24.0" customHeight="1">
      <c r="A7064" s="10" t="s">
        <v>1832</v>
      </c>
      <c r="B7064" s="10" t="s">
        <v>112</v>
      </c>
      <c r="C7064" s="10" t="s">
        <v>23</v>
      </c>
      <c r="D7064" s="10" t="s">
        <v>1833</v>
      </c>
      <c r="E7064" s="14">
        <v>0.06667</v>
      </c>
      <c r="F7064" s="15">
        <f>ROUND(4.88,3)</f>
        <v>4.88</v>
      </c>
      <c r="G7064" s="12">
        <f t="shared" si="1088"/>
        <v>0.33</v>
      </c>
    </row>
    <row r="7065" ht="24.0" customHeight="1">
      <c r="A7065" s="10" t="s">
        <v>28</v>
      </c>
      <c r="B7065" s="10" t="s">
        <v>26</v>
      </c>
      <c r="C7065" s="10" t="s">
        <v>23</v>
      </c>
      <c r="D7065" s="10" t="s">
        <v>29</v>
      </c>
      <c r="E7065" s="14">
        <v>0.06667</v>
      </c>
      <c r="F7065" s="15">
        <f>ROUND(19,3)</f>
        <v>19</v>
      </c>
      <c r="G7065" s="12">
        <f t="shared" si="1088"/>
        <v>1.27</v>
      </c>
    </row>
    <row r="7066" ht="15.0" customHeight="1">
      <c r="A7066" s="10" t="s">
        <v>32</v>
      </c>
      <c r="B7066" s="10"/>
      <c r="C7066" s="10" t="s">
        <v>33</v>
      </c>
      <c r="D7066" s="10" t="s">
        <v>34</v>
      </c>
      <c r="E7066" s="14">
        <v>3.0</v>
      </c>
      <c r="F7066" s="15">
        <f>ROUND(1.27,3)</f>
        <v>1.27</v>
      </c>
      <c r="G7066" s="12">
        <f>ROUND((E7066*F7066)/100,2)</f>
        <v>0.04</v>
      </c>
    </row>
    <row r="7067" ht="15.0" customHeight="1">
      <c r="A7067" s="11"/>
      <c r="B7067" s="11"/>
      <c r="C7067" s="11"/>
      <c r="D7067" s="10" t="s">
        <v>3028</v>
      </c>
      <c r="E7067" s="14">
        <v>3.0</v>
      </c>
      <c r="F7067" s="15">
        <f>ROUND((G7063+G7064+G7065+G7066),3)</f>
        <v>2.64</v>
      </c>
      <c r="G7067" s="12">
        <f t="shared" ref="G7067:G7077" si="1089">ROUND(E7067*F7067,2)</f>
        <v>7.92</v>
      </c>
    </row>
    <row r="7068" ht="39.75" customHeight="1">
      <c r="A7068" s="10" t="s">
        <v>1340</v>
      </c>
      <c r="B7068" s="10" t="s">
        <v>42</v>
      </c>
      <c r="C7068" s="10" t="s">
        <v>1245</v>
      </c>
      <c r="D7068" s="10" t="s">
        <v>1341</v>
      </c>
      <c r="E7068" s="14">
        <v>0.2222</v>
      </c>
      <c r="F7068" s="15">
        <f>ROUND(7.37,3)</f>
        <v>7.37</v>
      </c>
      <c r="G7068" s="12">
        <f t="shared" si="1089"/>
        <v>1.64</v>
      </c>
    </row>
    <row r="7069" ht="30.0" customHeight="1">
      <c r="A7069" s="10" t="s">
        <v>1378</v>
      </c>
      <c r="B7069" s="10" t="s">
        <v>42</v>
      </c>
      <c r="C7069" s="10" t="s">
        <v>330</v>
      </c>
      <c r="D7069" s="10" t="s">
        <v>1379</v>
      </c>
      <c r="E7069" s="14">
        <v>0.3</v>
      </c>
      <c r="F7069" s="15">
        <f>ROUND(6.14,3)</f>
        <v>6.14</v>
      </c>
      <c r="G7069" s="12">
        <f t="shared" si="1089"/>
        <v>1.84</v>
      </c>
    </row>
    <row r="7070" ht="30.0" customHeight="1">
      <c r="A7070" s="10" t="s">
        <v>1006</v>
      </c>
      <c r="B7070" s="10" t="s">
        <v>42</v>
      </c>
      <c r="C7070" s="10" t="s">
        <v>184</v>
      </c>
      <c r="D7070" s="10" t="s">
        <v>1007</v>
      </c>
      <c r="E7070" s="14">
        <v>0.2</v>
      </c>
      <c r="F7070" s="15">
        <f>ROUND(16.81,3)</f>
        <v>16.81</v>
      </c>
      <c r="G7070" s="12">
        <f t="shared" si="1089"/>
        <v>3.36</v>
      </c>
    </row>
    <row r="7071" ht="21.0" customHeight="1">
      <c r="A7071" s="10" t="s">
        <v>969</v>
      </c>
      <c r="B7071" s="10" t="s">
        <v>112</v>
      </c>
      <c r="C7071" s="10" t="s">
        <v>23</v>
      </c>
      <c r="D7071" s="10" t="s">
        <v>970</v>
      </c>
      <c r="E7071" s="14">
        <v>2.0</v>
      </c>
      <c r="F7071" s="15">
        <f>ROUND(2,3)</f>
        <v>2</v>
      </c>
      <c r="G7071" s="12">
        <f t="shared" si="1089"/>
        <v>4</v>
      </c>
    </row>
    <row r="7072" ht="30.0" customHeight="1">
      <c r="A7072" s="10" t="s">
        <v>971</v>
      </c>
      <c r="B7072" s="10" t="s">
        <v>42</v>
      </c>
      <c r="C7072" s="10" t="s">
        <v>231</v>
      </c>
      <c r="D7072" s="10" t="s">
        <v>972</v>
      </c>
      <c r="E7072" s="14">
        <v>0.15</v>
      </c>
      <c r="F7072" s="15">
        <f>ROUND(4.92,3)</f>
        <v>4.92</v>
      </c>
      <c r="G7072" s="12">
        <f t="shared" si="1089"/>
        <v>0.74</v>
      </c>
    </row>
    <row r="7073" ht="21.0" customHeight="1">
      <c r="A7073" s="10" t="s">
        <v>22</v>
      </c>
      <c r="B7073" s="10" t="s">
        <v>18</v>
      </c>
      <c r="C7073" s="10" t="s">
        <v>23</v>
      </c>
      <c r="D7073" s="10" t="s">
        <v>24</v>
      </c>
      <c r="E7073" s="14">
        <v>11.0</v>
      </c>
      <c r="F7073" s="15">
        <f>F7077</f>
        <v>43.8</v>
      </c>
      <c r="G7073" s="12">
        <f t="shared" si="1089"/>
        <v>481.8</v>
      </c>
    </row>
    <row r="7074" ht="24.0" customHeight="1">
      <c r="A7074" s="10" t="s">
        <v>25</v>
      </c>
      <c r="B7074" s="10" t="s">
        <v>26</v>
      </c>
      <c r="C7074" s="10" t="s">
        <v>23</v>
      </c>
      <c r="D7074" s="10" t="s">
        <v>27</v>
      </c>
      <c r="E7074" s="14">
        <v>1.0</v>
      </c>
      <c r="F7074" s="15">
        <f>ROUND(21,3)</f>
        <v>21</v>
      </c>
      <c r="G7074" s="12">
        <f t="shared" si="1089"/>
        <v>21</v>
      </c>
    </row>
    <row r="7075" ht="24.0" customHeight="1">
      <c r="A7075" s="10" t="s">
        <v>28</v>
      </c>
      <c r="B7075" s="10" t="s">
        <v>26</v>
      </c>
      <c r="C7075" s="10" t="s">
        <v>23</v>
      </c>
      <c r="D7075" s="10" t="s">
        <v>29</v>
      </c>
      <c r="E7075" s="14">
        <v>1.0</v>
      </c>
      <c r="F7075" s="15">
        <f t="shared" ref="F7075:F7076" si="1090">ROUND(19,3)</f>
        <v>19</v>
      </c>
      <c r="G7075" s="12">
        <f t="shared" si="1089"/>
        <v>19</v>
      </c>
    </row>
    <row r="7076" ht="24.0" customHeight="1">
      <c r="A7076" s="10" t="s">
        <v>30</v>
      </c>
      <c r="B7076" s="10" t="s">
        <v>26</v>
      </c>
      <c r="C7076" s="10" t="s">
        <v>23</v>
      </c>
      <c r="D7076" s="10" t="s">
        <v>31</v>
      </c>
      <c r="E7076" s="14">
        <v>0.2</v>
      </c>
      <c r="F7076" s="15">
        <f t="shared" si="1090"/>
        <v>19</v>
      </c>
      <c r="G7076" s="12">
        <f t="shared" si="1089"/>
        <v>3.8</v>
      </c>
    </row>
    <row r="7077" ht="15.0" customHeight="1">
      <c r="A7077" s="11"/>
      <c r="B7077" s="11"/>
      <c r="C7077" s="11"/>
      <c r="D7077" s="10" t="s">
        <v>22</v>
      </c>
      <c r="E7077" s="14">
        <v>11.0</v>
      </c>
      <c r="F7077" s="15">
        <f>ROUND((G7074+G7075+G7076),3)</f>
        <v>43.8</v>
      </c>
      <c r="G7077" s="12">
        <f t="shared" si="1089"/>
        <v>481.8</v>
      </c>
    </row>
    <row r="7078" ht="15.0" customHeight="1">
      <c r="A7078" s="10" t="s">
        <v>32</v>
      </c>
      <c r="B7078" s="10"/>
      <c r="C7078" s="10" t="s">
        <v>33</v>
      </c>
      <c r="D7078" s="10" t="s">
        <v>34</v>
      </c>
      <c r="E7078" s="14">
        <v>3.0</v>
      </c>
      <c r="F7078" s="15">
        <f>ROUND(481.8,3)</f>
        <v>481.8</v>
      </c>
      <c r="G7078" s="12">
        <f>ROUND((E7078*F7078)/100,2)</f>
        <v>14.45</v>
      </c>
    </row>
    <row r="7079" ht="24.75" customHeight="1">
      <c r="A7079" s="16"/>
      <c r="B7079" s="16"/>
      <c r="C7079" s="16"/>
      <c r="D7079" s="17" t="s">
        <v>3030</v>
      </c>
      <c r="E7079" s="16"/>
      <c r="F7079" s="18">
        <f>ROUND((G7058+G7059+G7060+G7061+G7062+G7068+G7069+G7070+G7071+G7072+G7073+G7078)*(1+G2/100),2)</f>
        <v>534.79</v>
      </c>
      <c r="G7079" s="16"/>
    </row>
    <row r="7080" ht="67.5" customHeight="1">
      <c r="A7080" s="19" t="s">
        <v>3032</v>
      </c>
      <c r="B7080" s="20" t="s">
        <v>18</v>
      </c>
      <c r="C7080" s="20" t="s">
        <v>19</v>
      </c>
      <c r="D7080" s="20" t="s">
        <v>3033</v>
      </c>
      <c r="E7080" s="21"/>
      <c r="F7080" s="22">
        <f>F7098</f>
        <v>406.41</v>
      </c>
      <c r="G7080" s="21"/>
    </row>
    <row r="7081" ht="30.0" customHeight="1">
      <c r="A7081" s="11"/>
      <c r="B7081" s="11"/>
      <c r="C7081" s="11"/>
      <c r="D7081" s="10" t="s">
        <v>3034</v>
      </c>
    </row>
    <row r="7082" ht="39.75" customHeight="1">
      <c r="A7082" s="10" t="s">
        <v>3022</v>
      </c>
      <c r="B7082" s="10" t="s">
        <v>42</v>
      </c>
      <c r="C7082" s="10" t="s">
        <v>43</v>
      </c>
      <c r="D7082" s="10" t="s">
        <v>3023</v>
      </c>
      <c r="E7082" s="14">
        <v>0.088</v>
      </c>
      <c r="F7082" s="15">
        <f>ROUND(22.38,3)</f>
        <v>22.38</v>
      </c>
      <c r="G7082" s="12">
        <f t="shared" ref="G7082:G7096" si="1091">ROUND(E7082*F7082,2)</f>
        <v>1.97</v>
      </c>
    </row>
    <row r="7083" ht="30.0" customHeight="1">
      <c r="A7083" s="10" t="s">
        <v>1227</v>
      </c>
      <c r="B7083" s="10" t="s">
        <v>42</v>
      </c>
      <c r="C7083" s="10" t="s">
        <v>226</v>
      </c>
      <c r="D7083" s="10" t="s">
        <v>1228</v>
      </c>
      <c r="E7083" s="14">
        <v>0.022</v>
      </c>
      <c r="F7083" s="15">
        <f>ROUND(27.5,3)</f>
        <v>27.5</v>
      </c>
      <c r="G7083" s="12">
        <f t="shared" si="1091"/>
        <v>0.61</v>
      </c>
    </row>
    <row r="7084" ht="21.0" customHeight="1">
      <c r="A7084" s="10" t="s">
        <v>3024</v>
      </c>
      <c r="B7084" s="10" t="s">
        <v>42</v>
      </c>
      <c r="C7084" s="10" t="s">
        <v>184</v>
      </c>
      <c r="D7084" s="10" t="s">
        <v>3025</v>
      </c>
      <c r="E7084" s="14">
        <v>1.134</v>
      </c>
      <c r="F7084" s="15">
        <f>ROUND(1.62,3)</f>
        <v>1.62</v>
      </c>
      <c r="G7084" s="12">
        <f t="shared" si="1091"/>
        <v>1.84</v>
      </c>
    </row>
    <row r="7085" ht="39.75" customHeight="1">
      <c r="A7085" s="10" t="s">
        <v>3026</v>
      </c>
      <c r="B7085" s="10" t="s">
        <v>42</v>
      </c>
      <c r="C7085" s="10" t="s">
        <v>344</v>
      </c>
      <c r="D7085" s="10" t="s">
        <v>3027</v>
      </c>
      <c r="E7085" s="14">
        <v>34.0</v>
      </c>
      <c r="F7085" s="15">
        <f>ROUND(0.43,3)</f>
        <v>0.43</v>
      </c>
      <c r="G7085" s="12">
        <f t="shared" si="1091"/>
        <v>14.62</v>
      </c>
    </row>
    <row r="7086" ht="39.75" customHeight="1">
      <c r="A7086" s="10" t="s">
        <v>1340</v>
      </c>
      <c r="B7086" s="10" t="s">
        <v>42</v>
      </c>
      <c r="C7086" s="10" t="s">
        <v>1245</v>
      </c>
      <c r="D7086" s="10" t="s">
        <v>1341</v>
      </c>
      <c r="E7086" s="14">
        <v>0.2222</v>
      </c>
      <c r="F7086" s="15">
        <f>ROUND(7.37,3)</f>
        <v>7.37</v>
      </c>
      <c r="G7086" s="12">
        <f t="shared" si="1091"/>
        <v>1.64</v>
      </c>
    </row>
    <row r="7087" ht="30.0" customHeight="1">
      <c r="A7087" s="10" t="s">
        <v>1378</v>
      </c>
      <c r="B7087" s="10" t="s">
        <v>42</v>
      </c>
      <c r="C7087" s="10" t="s">
        <v>330</v>
      </c>
      <c r="D7087" s="10" t="s">
        <v>1379</v>
      </c>
      <c r="E7087" s="14">
        <v>0.3</v>
      </c>
      <c r="F7087" s="15">
        <f>ROUND(6.14,3)</f>
        <v>6.14</v>
      </c>
      <c r="G7087" s="12">
        <f t="shared" si="1091"/>
        <v>1.84</v>
      </c>
    </row>
    <row r="7088" ht="30.0" customHeight="1">
      <c r="A7088" s="10" t="s">
        <v>1770</v>
      </c>
      <c r="B7088" s="10" t="s">
        <v>42</v>
      </c>
      <c r="C7088" s="10" t="s">
        <v>344</v>
      </c>
      <c r="D7088" s="10" t="s">
        <v>1771</v>
      </c>
      <c r="E7088" s="14">
        <v>3.0</v>
      </c>
      <c r="F7088" s="15">
        <f>ROUND(4.96,3)</f>
        <v>4.96</v>
      </c>
      <c r="G7088" s="12">
        <f t="shared" si="1091"/>
        <v>14.88</v>
      </c>
    </row>
    <row r="7089" ht="30.0" customHeight="1">
      <c r="A7089" s="10" t="s">
        <v>1006</v>
      </c>
      <c r="B7089" s="10" t="s">
        <v>42</v>
      </c>
      <c r="C7089" s="10" t="s">
        <v>184</v>
      </c>
      <c r="D7089" s="10" t="s">
        <v>1007</v>
      </c>
      <c r="E7089" s="14">
        <v>0.2</v>
      </c>
      <c r="F7089" s="15">
        <f>ROUND(16.81,3)</f>
        <v>16.81</v>
      </c>
      <c r="G7089" s="12">
        <f t="shared" si="1091"/>
        <v>3.36</v>
      </c>
    </row>
    <row r="7090" ht="21.0" customHeight="1">
      <c r="A7090" s="10" t="s">
        <v>969</v>
      </c>
      <c r="B7090" s="10" t="s">
        <v>112</v>
      </c>
      <c r="C7090" s="10" t="s">
        <v>23</v>
      </c>
      <c r="D7090" s="10" t="s">
        <v>970</v>
      </c>
      <c r="E7090" s="14">
        <v>2.0</v>
      </c>
      <c r="F7090" s="15">
        <f>ROUND(2,3)</f>
        <v>2</v>
      </c>
      <c r="G7090" s="12">
        <f t="shared" si="1091"/>
        <v>4</v>
      </c>
    </row>
    <row r="7091" ht="30.0" customHeight="1">
      <c r="A7091" s="10" t="s">
        <v>971</v>
      </c>
      <c r="B7091" s="10" t="s">
        <v>42</v>
      </c>
      <c r="C7091" s="10" t="s">
        <v>231</v>
      </c>
      <c r="D7091" s="10" t="s">
        <v>972</v>
      </c>
      <c r="E7091" s="14">
        <v>0.15</v>
      </c>
      <c r="F7091" s="15">
        <f>ROUND(4.92,3)</f>
        <v>4.92</v>
      </c>
      <c r="G7091" s="12">
        <f t="shared" si="1091"/>
        <v>0.74</v>
      </c>
    </row>
    <row r="7092" ht="21.0" customHeight="1">
      <c r="A7092" s="10" t="s">
        <v>22</v>
      </c>
      <c r="B7092" s="10" t="s">
        <v>18</v>
      </c>
      <c r="C7092" s="10" t="s">
        <v>23</v>
      </c>
      <c r="D7092" s="10" t="s">
        <v>24</v>
      </c>
      <c r="E7092" s="14">
        <v>8.0</v>
      </c>
      <c r="F7092" s="15">
        <f>F7096</f>
        <v>43.8</v>
      </c>
      <c r="G7092" s="12">
        <f t="shared" si="1091"/>
        <v>350.4</v>
      </c>
    </row>
    <row r="7093" ht="24.0" customHeight="1">
      <c r="A7093" s="10" t="s">
        <v>25</v>
      </c>
      <c r="B7093" s="10" t="s">
        <v>26</v>
      </c>
      <c r="C7093" s="10" t="s">
        <v>23</v>
      </c>
      <c r="D7093" s="10" t="s">
        <v>27</v>
      </c>
      <c r="E7093" s="14">
        <v>1.0</v>
      </c>
      <c r="F7093" s="15">
        <f>ROUND(21,3)</f>
        <v>21</v>
      </c>
      <c r="G7093" s="12">
        <f t="shared" si="1091"/>
        <v>21</v>
      </c>
    </row>
    <row r="7094" ht="24.0" customHeight="1">
      <c r="A7094" s="10" t="s">
        <v>28</v>
      </c>
      <c r="B7094" s="10" t="s">
        <v>26</v>
      </c>
      <c r="C7094" s="10" t="s">
        <v>23</v>
      </c>
      <c r="D7094" s="10" t="s">
        <v>29</v>
      </c>
      <c r="E7094" s="14">
        <v>1.0</v>
      </c>
      <c r="F7094" s="15">
        <f t="shared" ref="F7094:F7095" si="1092">ROUND(19,3)</f>
        <v>19</v>
      </c>
      <c r="G7094" s="12">
        <f t="shared" si="1091"/>
        <v>19</v>
      </c>
    </row>
    <row r="7095" ht="24.0" customHeight="1">
      <c r="A7095" s="10" t="s">
        <v>30</v>
      </c>
      <c r="B7095" s="10" t="s">
        <v>26</v>
      </c>
      <c r="C7095" s="10" t="s">
        <v>23</v>
      </c>
      <c r="D7095" s="10" t="s">
        <v>31</v>
      </c>
      <c r="E7095" s="14">
        <v>0.2</v>
      </c>
      <c r="F7095" s="15">
        <f t="shared" si="1092"/>
        <v>19</v>
      </c>
      <c r="G7095" s="12">
        <f t="shared" si="1091"/>
        <v>3.8</v>
      </c>
    </row>
    <row r="7096" ht="15.0" customHeight="1">
      <c r="A7096" s="11"/>
      <c r="B7096" s="11"/>
      <c r="C7096" s="11"/>
      <c r="D7096" s="10" t="s">
        <v>22</v>
      </c>
      <c r="E7096" s="14">
        <v>8.0</v>
      </c>
      <c r="F7096" s="15">
        <f>ROUND((G7093+G7094+G7095),3)</f>
        <v>43.8</v>
      </c>
      <c r="G7096" s="12">
        <f t="shared" si="1091"/>
        <v>350.4</v>
      </c>
    </row>
    <row r="7097" ht="15.0" customHeight="1">
      <c r="A7097" s="10" t="s">
        <v>32</v>
      </c>
      <c r="B7097" s="10"/>
      <c r="C7097" s="10" t="s">
        <v>33</v>
      </c>
      <c r="D7097" s="10" t="s">
        <v>34</v>
      </c>
      <c r="E7097" s="14">
        <v>3.0</v>
      </c>
      <c r="F7097" s="15">
        <f>ROUND(350.4,3)</f>
        <v>350.4</v>
      </c>
      <c r="G7097" s="12">
        <f>ROUND((E7097*F7097)/100,2)</f>
        <v>10.51</v>
      </c>
    </row>
    <row r="7098" ht="24.75" customHeight="1">
      <c r="A7098" s="16"/>
      <c r="B7098" s="16"/>
      <c r="C7098" s="16"/>
      <c r="D7098" s="17" t="s">
        <v>3032</v>
      </c>
      <c r="E7098" s="16"/>
      <c r="F7098" s="18">
        <f>ROUND((G7082+G7083+G7084+G7085+G7086+G7087+G7088+G7089+G7090+G7091+G7092+G7097)*(1+G2/100),2)</f>
        <v>406.41</v>
      </c>
      <c r="G7098" s="16"/>
    </row>
    <row r="7099" ht="67.5" customHeight="1">
      <c r="A7099" s="19" t="s">
        <v>3035</v>
      </c>
      <c r="B7099" s="20" t="s">
        <v>18</v>
      </c>
      <c r="C7099" s="20" t="s">
        <v>19</v>
      </c>
      <c r="D7099" s="20" t="s">
        <v>3036</v>
      </c>
      <c r="E7099" s="21"/>
      <c r="F7099" s="22">
        <f>F7117</f>
        <v>541.75</v>
      </c>
      <c r="G7099" s="21"/>
    </row>
    <row r="7100" ht="30.0" customHeight="1">
      <c r="A7100" s="11"/>
      <c r="B7100" s="11"/>
      <c r="C7100" s="11"/>
      <c r="D7100" s="10" t="s">
        <v>3036</v>
      </c>
    </row>
    <row r="7101" ht="39.75" customHeight="1">
      <c r="A7101" s="10" t="s">
        <v>3022</v>
      </c>
      <c r="B7101" s="10" t="s">
        <v>42</v>
      </c>
      <c r="C7101" s="10" t="s">
        <v>43</v>
      </c>
      <c r="D7101" s="10" t="s">
        <v>3023</v>
      </c>
      <c r="E7101" s="14">
        <v>0.088</v>
      </c>
      <c r="F7101" s="15">
        <f>ROUND(22.38,3)</f>
        <v>22.38</v>
      </c>
      <c r="G7101" s="12">
        <f t="shared" ref="G7101:G7115" si="1093">ROUND(E7101*F7101,2)</f>
        <v>1.97</v>
      </c>
    </row>
    <row r="7102" ht="30.0" customHeight="1">
      <c r="A7102" s="10" t="s">
        <v>1227</v>
      </c>
      <c r="B7102" s="10" t="s">
        <v>42</v>
      </c>
      <c r="C7102" s="10" t="s">
        <v>226</v>
      </c>
      <c r="D7102" s="10" t="s">
        <v>1228</v>
      </c>
      <c r="E7102" s="14">
        <v>0.022</v>
      </c>
      <c r="F7102" s="15">
        <f>ROUND(27.5,3)</f>
        <v>27.5</v>
      </c>
      <c r="G7102" s="12">
        <f t="shared" si="1093"/>
        <v>0.61</v>
      </c>
    </row>
    <row r="7103" ht="21.0" customHeight="1">
      <c r="A7103" s="10" t="s">
        <v>3024</v>
      </c>
      <c r="B7103" s="10" t="s">
        <v>42</v>
      </c>
      <c r="C7103" s="10" t="s">
        <v>184</v>
      </c>
      <c r="D7103" s="10" t="s">
        <v>3025</v>
      </c>
      <c r="E7103" s="14">
        <v>1.134</v>
      </c>
      <c r="F7103" s="15">
        <f>ROUND(1.62,3)</f>
        <v>1.62</v>
      </c>
      <c r="G7103" s="12">
        <f t="shared" si="1093"/>
        <v>1.84</v>
      </c>
    </row>
    <row r="7104" ht="39.75" customHeight="1">
      <c r="A7104" s="10" t="s">
        <v>3026</v>
      </c>
      <c r="B7104" s="10" t="s">
        <v>42</v>
      </c>
      <c r="C7104" s="10" t="s">
        <v>344</v>
      </c>
      <c r="D7104" s="10" t="s">
        <v>3027</v>
      </c>
      <c r="E7104" s="14">
        <v>34.0</v>
      </c>
      <c r="F7104" s="15">
        <f>ROUND(0.43,3)</f>
        <v>0.43</v>
      </c>
      <c r="G7104" s="12">
        <f t="shared" si="1093"/>
        <v>14.62</v>
      </c>
    </row>
    <row r="7105" ht="39.75" customHeight="1">
      <c r="A7105" s="10" t="s">
        <v>1340</v>
      </c>
      <c r="B7105" s="10" t="s">
        <v>42</v>
      </c>
      <c r="C7105" s="10" t="s">
        <v>1245</v>
      </c>
      <c r="D7105" s="10" t="s">
        <v>1341</v>
      </c>
      <c r="E7105" s="14">
        <v>0.2222</v>
      </c>
      <c r="F7105" s="15">
        <f>ROUND(7.37,3)</f>
        <v>7.37</v>
      </c>
      <c r="G7105" s="12">
        <f t="shared" si="1093"/>
        <v>1.64</v>
      </c>
    </row>
    <row r="7106" ht="30.0" customHeight="1">
      <c r="A7106" s="10" t="s">
        <v>1378</v>
      </c>
      <c r="B7106" s="10" t="s">
        <v>42</v>
      </c>
      <c r="C7106" s="10" t="s">
        <v>330</v>
      </c>
      <c r="D7106" s="10" t="s">
        <v>1379</v>
      </c>
      <c r="E7106" s="14">
        <v>0.3</v>
      </c>
      <c r="F7106" s="15">
        <f>ROUND(6.14,3)</f>
        <v>6.14</v>
      </c>
      <c r="G7106" s="12">
        <f t="shared" si="1093"/>
        <v>1.84</v>
      </c>
    </row>
    <row r="7107" ht="30.0" customHeight="1">
      <c r="A7107" s="10" t="s">
        <v>1770</v>
      </c>
      <c r="B7107" s="10" t="s">
        <v>42</v>
      </c>
      <c r="C7107" s="10" t="s">
        <v>344</v>
      </c>
      <c r="D7107" s="10" t="s">
        <v>1771</v>
      </c>
      <c r="E7107" s="14">
        <v>3.0</v>
      </c>
      <c r="F7107" s="15">
        <f>ROUND(4.96,3)</f>
        <v>4.96</v>
      </c>
      <c r="G7107" s="12">
        <f t="shared" si="1093"/>
        <v>14.88</v>
      </c>
    </row>
    <row r="7108" ht="30.0" customHeight="1">
      <c r="A7108" s="10" t="s">
        <v>1006</v>
      </c>
      <c r="B7108" s="10" t="s">
        <v>42</v>
      </c>
      <c r="C7108" s="10" t="s">
        <v>184</v>
      </c>
      <c r="D7108" s="10" t="s">
        <v>1007</v>
      </c>
      <c r="E7108" s="14">
        <v>0.2</v>
      </c>
      <c r="F7108" s="15">
        <f>ROUND(16.81,3)</f>
        <v>16.81</v>
      </c>
      <c r="G7108" s="12">
        <f t="shared" si="1093"/>
        <v>3.36</v>
      </c>
    </row>
    <row r="7109" ht="21.0" customHeight="1">
      <c r="A7109" s="10" t="s">
        <v>969</v>
      </c>
      <c r="B7109" s="10" t="s">
        <v>112</v>
      </c>
      <c r="C7109" s="10" t="s">
        <v>23</v>
      </c>
      <c r="D7109" s="10" t="s">
        <v>970</v>
      </c>
      <c r="E7109" s="14">
        <v>2.0</v>
      </c>
      <c r="F7109" s="15">
        <f>ROUND(2,3)</f>
        <v>2</v>
      </c>
      <c r="G7109" s="12">
        <f t="shared" si="1093"/>
        <v>4</v>
      </c>
    </row>
    <row r="7110" ht="30.0" customHeight="1">
      <c r="A7110" s="10" t="s">
        <v>971</v>
      </c>
      <c r="B7110" s="10" t="s">
        <v>42</v>
      </c>
      <c r="C7110" s="10" t="s">
        <v>231</v>
      </c>
      <c r="D7110" s="10" t="s">
        <v>972</v>
      </c>
      <c r="E7110" s="14">
        <v>0.15</v>
      </c>
      <c r="F7110" s="15">
        <f>ROUND(4.92,3)</f>
        <v>4.92</v>
      </c>
      <c r="G7110" s="12">
        <f t="shared" si="1093"/>
        <v>0.74</v>
      </c>
    </row>
    <row r="7111" ht="21.0" customHeight="1">
      <c r="A7111" s="10" t="s">
        <v>22</v>
      </c>
      <c r="B7111" s="10" t="s">
        <v>18</v>
      </c>
      <c r="C7111" s="10" t="s">
        <v>23</v>
      </c>
      <c r="D7111" s="10" t="s">
        <v>24</v>
      </c>
      <c r="E7111" s="14">
        <v>11.0</v>
      </c>
      <c r="F7111" s="15">
        <f>F7115</f>
        <v>43.8</v>
      </c>
      <c r="G7111" s="12">
        <f t="shared" si="1093"/>
        <v>481.8</v>
      </c>
    </row>
    <row r="7112" ht="24.0" customHeight="1">
      <c r="A7112" s="10" t="s">
        <v>25</v>
      </c>
      <c r="B7112" s="10" t="s">
        <v>26</v>
      </c>
      <c r="C7112" s="10" t="s">
        <v>23</v>
      </c>
      <c r="D7112" s="10" t="s">
        <v>27</v>
      </c>
      <c r="E7112" s="14">
        <v>1.0</v>
      </c>
      <c r="F7112" s="15">
        <f>ROUND(21,3)</f>
        <v>21</v>
      </c>
      <c r="G7112" s="12">
        <f t="shared" si="1093"/>
        <v>21</v>
      </c>
    </row>
    <row r="7113" ht="24.0" customHeight="1">
      <c r="A7113" s="10" t="s">
        <v>28</v>
      </c>
      <c r="B7113" s="10" t="s">
        <v>26</v>
      </c>
      <c r="C7113" s="10" t="s">
        <v>23</v>
      </c>
      <c r="D7113" s="10" t="s">
        <v>29</v>
      </c>
      <c r="E7113" s="14">
        <v>1.0</v>
      </c>
      <c r="F7113" s="15">
        <f t="shared" ref="F7113:F7114" si="1094">ROUND(19,3)</f>
        <v>19</v>
      </c>
      <c r="G7113" s="12">
        <f t="shared" si="1093"/>
        <v>19</v>
      </c>
    </row>
    <row r="7114" ht="24.0" customHeight="1">
      <c r="A7114" s="10" t="s">
        <v>30</v>
      </c>
      <c r="B7114" s="10" t="s">
        <v>26</v>
      </c>
      <c r="C7114" s="10" t="s">
        <v>23</v>
      </c>
      <c r="D7114" s="10" t="s">
        <v>31</v>
      </c>
      <c r="E7114" s="14">
        <v>0.2</v>
      </c>
      <c r="F7114" s="15">
        <f t="shared" si="1094"/>
        <v>19</v>
      </c>
      <c r="G7114" s="12">
        <f t="shared" si="1093"/>
        <v>3.8</v>
      </c>
    </row>
    <row r="7115" ht="15.0" customHeight="1">
      <c r="A7115" s="11"/>
      <c r="B7115" s="11"/>
      <c r="C7115" s="11"/>
      <c r="D7115" s="10" t="s">
        <v>22</v>
      </c>
      <c r="E7115" s="14">
        <v>11.0</v>
      </c>
      <c r="F7115" s="15">
        <f>ROUND((G7112+G7113+G7114),3)</f>
        <v>43.8</v>
      </c>
      <c r="G7115" s="12">
        <f t="shared" si="1093"/>
        <v>481.8</v>
      </c>
    </row>
    <row r="7116" ht="15.0" customHeight="1">
      <c r="A7116" s="10" t="s">
        <v>32</v>
      </c>
      <c r="B7116" s="10"/>
      <c r="C7116" s="10" t="s">
        <v>33</v>
      </c>
      <c r="D7116" s="10" t="s">
        <v>34</v>
      </c>
      <c r="E7116" s="14">
        <v>3.0</v>
      </c>
      <c r="F7116" s="15">
        <f>ROUND(481.8,3)</f>
        <v>481.8</v>
      </c>
      <c r="G7116" s="12">
        <f>ROUND((E7116*F7116)/100,2)</f>
        <v>14.45</v>
      </c>
    </row>
    <row r="7117" ht="24.75" customHeight="1">
      <c r="A7117" s="16"/>
      <c r="B7117" s="16"/>
      <c r="C7117" s="16"/>
      <c r="D7117" s="17" t="s">
        <v>3035</v>
      </c>
      <c r="E7117" s="16"/>
      <c r="F7117" s="18">
        <f>ROUND((G7101+G7102+G7103+G7104+G7105+G7106+G7107+G7108+G7109+G7110+G7111+G7116)*(1+G2/100),2)</f>
        <v>541.75</v>
      </c>
      <c r="G7117" s="16"/>
    </row>
    <row r="7118" ht="57.75" customHeight="1">
      <c r="A7118" s="19" t="s">
        <v>3037</v>
      </c>
      <c r="B7118" s="20" t="s">
        <v>18</v>
      </c>
      <c r="C7118" s="20" t="s">
        <v>19</v>
      </c>
      <c r="D7118" s="20" t="s">
        <v>3038</v>
      </c>
      <c r="E7118" s="21"/>
      <c r="F7118" s="22">
        <f>F7130</f>
        <v>109.27</v>
      </c>
      <c r="G7118" s="21"/>
    </row>
    <row r="7119" ht="30.0" customHeight="1">
      <c r="A7119" s="11"/>
      <c r="B7119" s="11"/>
      <c r="C7119" s="11"/>
      <c r="D7119" s="10" t="s">
        <v>3039</v>
      </c>
    </row>
    <row r="7120" ht="39.75" customHeight="1">
      <c r="A7120" s="10" t="s">
        <v>3022</v>
      </c>
      <c r="B7120" s="10" t="s">
        <v>42</v>
      </c>
      <c r="C7120" s="10" t="s">
        <v>43</v>
      </c>
      <c r="D7120" s="10" t="s">
        <v>3023</v>
      </c>
      <c r="E7120" s="14">
        <v>0.088</v>
      </c>
      <c r="F7120" s="15">
        <f>ROUND(22.38,3)</f>
        <v>22.38</v>
      </c>
      <c r="G7120" s="12">
        <f t="shared" ref="G7120:G7128" si="1095">ROUND(E7120*F7120,2)</f>
        <v>1.97</v>
      </c>
    </row>
    <row r="7121" ht="30.0" customHeight="1">
      <c r="A7121" s="10" t="s">
        <v>1227</v>
      </c>
      <c r="B7121" s="10" t="s">
        <v>42</v>
      </c>
      <c r="C7121" s="10" t="s">
        <v>226</v>
      </c>
      <c r="D7121" s="10" t="s">
        <v>1228</v>
      </c>
      <c r="E7121" s="14">
        <v>0.022</v>
      </c>
      <c r="F7121" s="15">
        <f>ROUND(27.5,3)</f>
        <v>27.5</v>
      </c>
      <c r="G7121" s="12">
        <f t="shared" si="1095"/>
        <v>0.61</v>
      </c>
    </row>
    <row r="7122" ht="21.0" customHeight="1">
      <c r="A7122" s="10" t="s">
        <v>3024</v>
      </c>
      <c r="B7122" s="10" t="s">
        <v>42</v>
      </c>
      <c r="C7122" s="10" t="s">
        <v>184</v>
      </c>
      <c r="D7122" s="10" t="s">
        <v>3025</v>
      </c>
      <c r="E7122" s="14">
        <v>1.134</v>
      </c>
      <c r="F7122" s="15">
        <f>ROUND(1.62,3)</f>
        <v>1.62</v>
      </c>
      <c r="G7122" s="12">
        <f t="shared" si="1095"/>
        <v>1.84</v>
      </c>
    </row>
    <row r="7123" ht="39.75" customHeight="1">
      <c r="A7123" s="10" t="s">
        <v>3026</v>
      </c>
      <c r="B7123" s="10" t="s">
        <v>42</v>
      </c>
      <c r="C7123" s="10" t="s">
        <v>344</v>
      </c>
      <c r="D7123" s="10" t="s">
        <v>3027</v>
      </c>
      <c r="E7123" s="14">
        <v>34.0</v>
      </c>
      <c r="F7123" s="15">
        <f>ROUND(0.43,3)</f>
        <v>0.43</v>
      </c>
      <c r="G7123" s="12">
        <f t="shared" si="1095"/>
        <v>14.62</v>
      </c>
    </row>
    <row r="7124" ht="21.0" customHeight="1">
      <c r="A7124" s="10" t="s">
        <v>22</v>
      </c>
      <c r="B7124" s="10" t="s">
        <v>18</v>
      </c>
      <c r="C7124" s="10" t="s">
        <v>23</v>
      </c>
      <c r="D7124" s="10" t="s">
        <v>24</v>
      </c>
      <c r="E7124" s="14">
        <v>2.0</v>
      </c>
      <c r="F7124" s="15">
        <f>F7128</f>
        <v>43.8</v>
      </c>
      <c r="G7124" s="12">
        <f t="shared" si="1095"/>
        <v>87.6</v>
      </c>
    </row>
    <row r="7125" ht="24.0" customHeight="1">
      <c r="A7125" s="10" t="s">
        <v>25</v>
      </c>
      <c r="B7125" s="10" t="s">
        <v>26</v>
      </c>
      <c r="C7125" s="10" t="s">
        <v>23</v>
      </c>
      <c r="D7125" s="10" t="s">
        <v>27</v>
      </c>
      <c r="E7125" s="14">
        <v>1.0</v>
      </c>
      <c r="F7125" s="15">
        <f>ROUND(21,3)</f>
        <v>21</v>
      </c>
      <c r="G7125" s="12">
        <f t="shared" si="1095"/>
        <v>21</v>
      </c>
    </row>
    <row r="7126" ht="24.0" customHeight="1">
      <c r="A7126" s="10" t="s">
        <v>28</v>
      </c>
      <c r="B7126" s="10" t="s">
        <v>26</v>
      </c>
      <c r="C7126" s="10" t="s">
        <v>23</v>
      </c>
      <c r="D7126" s="10" t="s">
        <v>29</v>
      </c>
      <c r="E7126" s="14">
        <v>1.0</v>
      </c>
      <c r="F7126" s="15">
        <f t="shared" ref="F7126:F7127" si="1096">ROUND(19,3)</f>
        <v>19</v>
      </c>
      <c r="G7126" s="12">
        <f t="shared" si="1095"/>
        <v>19</v>
      </c>
    </row>
    <row r="7127" ht="24.0" customHeight="1">
      <c r="A7127" s="10" t="s">
        <v>30</v>
      </c>
      <c r="B7127" s="10" t="s">
        <v>26</v>
      </c>
      <c r="C7127" s="10" t="s">
        <v>23</v>
      </c>
      <c r="D7127" s="10" t="s">
        <v>31</v>
      </c>
      <c r="E7127" s="14">
        <v>0.2</v>
      </c>
      <c r="F7127" s="15">
        <f t="shared" si="1096"/>
        <v>19</v>
      </c>
      <c r="G7127" s="12">
        <f t="shared" si="1095"/>
        <v>3.8</v>
      </c>
    </row>
    <row r="7128" ht="15.0" customHeight="1">
      <c r="A7128" s="11"/>
      <c r="B7128" s="11"/>
      <c r="C7128" s="11"/>
      <c r="D7128" s="10" t="s">
        <v>22</v>
      </c>
      <c r="E7128" s="14">
        <v>2.0</v>
      </c>
      <c r="F7128" s="15">
        <f>ROUND((G7125+G7126+G7127),3)</f>
        <v>43.8</v>
      </c>
      <c r="G7128" s="12">
        <f t="shared" si="1095"/>
        <v>87.6</v>
      </c>
    </row>
    <row r="7129" ht="15.0" customHeight="1">
      <c r="A7129" s="10" t="s">
        <v>32</v>
      </c>
      <c r="B7129" s="10"/>
      <c r="C7129" s="10" t="s">
        <v>33</v>
      </c>
      <c r="D7129" s="10" t="s">
        <v>34</v>
      </c>
      <c r="E7129" s="14">
        <v>3.0</v>
      </c>
      <c r="F7129" s="15">
        <f>ROUND(87.6,3)</f>
        <v>87.6</v>
      </c>
      <c r="G7129" s="12">
        <f>ROUND((E7129*F7129)/100,2)</f>
        <v>2.63</v>
      </c>
    </row>
    <row r="7130" ht="15.0" customHeight="1">
      <c r="A7130" s="16"/>
      <c r="B7130" s="16"/>
      <c r="C7130" s="16"/>
      <c r="D7130" s="17" t="s">
        <v>3037</v>
      </c>
      <c r="E7130" s="16"/>
      <c r="F7130" s="18">
        <f>ROUND((G7120+G7121+G7122+G7123+G7124+G7129)*(1+G2/100),2)</f>
        <v>109.27</v>
      </c>
      <c r="G7130" s="16"/>
    </row>
    <row r="7131" ht="57.75" customHeight="1">
      <c r="A7131" s="19" t="s">
        <v>3040</v>
      </c>
      <c r="B7131" s="20" t="s">
        <v>18</v>
      </c>
      <c r="C7131" s="20" t="s">
        <v>19</v>
      </c>
      <c r="D7131" s="20" t="s">
        <v>3041</v>
      </c>
      <c r="E7131" s="21"/>
      <c r="F7131" s="22">
        <f>F7143</f>
        <v>154.38</v>
      </c>
      <c r="G7131" s="21"/>
    </row>
    <row r="7132" ht="30.0" customHeight="1">
      <c r="A7132" s="11"/>
      <c r="B7132" s="11"/>
      <c r="C7132" s="11"/>
      <c r="D7132" s="10" t="s">
        <v>3041</v>
      </c>
    </row>
    <row r="7133" ht="39.75" customHeight="1">
      <c r="A7133" s="10" t="s">
        <v>3022</v>
      </c>
      <c r="B7133" s="10" t="s">
        <v>42</v>
      </c>
      <c r="C7133" s="10" t="s">
        <v>43</v>
      </c>
      <c r="D7133" s="10" t="s">
        <v>3023</v>
      </c>
      <c r="E7133" s="14">
        <v>0.088</v>
      </c>
      <c r="F7133" s="15">
        <f>ROUND(22.38,3)</f>
        <v>22.38</v>
      </c>
      <c r="G7133" s="12">
        <f t="shared" ref="G7133:G7141" si="1097">ROUND(E7133*F7133,2)</f>
        <v>1.97</v>
      </c>
    </row>
    <row r="7134" ht="30.0" customHeight="1">
      <c r="A7134" s="10" t="s">
        <v>1227</v>
      </c>
      <c r="B7134" s="10" t="s">
        <v>42</v>
      </c>
      <c r="C7134" s="10" t="s">
        <v>226</v>
      </c>
      <c r="D7134" s="10" t="s">
        <v>1228</v>
      </c>
      <c r="E7134" s="14">
        <v>0.022</v>
      </c>
      <c r="F7134" s="15">
        <f>ROUND(27.5,3)</f>
        <v>27.5</v>
      </c>
      <c r="G7134" s="12">
        <f t="shared" si="1097"/>
        <v>0.61</v>
      </c>
    </row>
    <row r="7135" ht="21.0" customHeight="1">
      <c r="A7135" s="10" t="s">
        <v>3024</v>
      </c>
      <c r="B7135" s="10" t="s">
        <v>42</v>
      </c>
      <c r="C7135" s="10" t="s">
        <v>184</v>
      </c>
      <c r="D7135" s="10" t="s">
        <v>3025</v>
      </c>
      <c r="E7135" s="14">
        <v>1.134</v>
      </c>
      <c r="F7135" s="15">
        <f>ROUND(1.62,3)</f>
        <v>1.62</v>
      </c>
      <c r="G7135" s="12">
        <f t="shared" si="1097"/>
        <v>1.84</v>
      </c>
    </row>
    <row r="7136" ht="39.75" customHeight="1">
      <c r="A7136" s="10" t="s">
        <v>3026</v>
      </c>
      <c r="B7136" s="10" t="s">
        <v>42</v>
      </c>
      <c r="C7136" s="10" t="s">
        <v>344</v>
      </c>
      <c r="D7136" s="10" t="s">
        <v>3027</v>
      </c>
      <c r="E7136" s="14">
        <v>34.0</v>
      </c>
      <c r="F7136" s="15">
        <f>ROUND(0.43,3)</f>
        <v>0.43</v>
      </c>
      <c r="G7136" s="12">
        <f t="shared" si="1097"/>
        <v>14.62</v>
      </c>
    </row>
    <row r="7137" ht="21.0" customHeight="1">
      <c r="A7137" s="10" t="s">
        <v>22</v>
      </c>
      <c r="B7137" s="10" t="s">
        <v>18</v>
      </c>
      <c r="C7137" s="10" t="s">
        <v>23</v>
      </c>
      <c r="D7137" s="10" t="s">
        <v>24</v>
      </c>
      <c r="E7137" s="14">
        <v>3.0</v>
      </c>
      <c r="F7137" s="15">
        <f>F7141</f>
        <v>43.8</v>
      </c>
      <c r="G7137" s="12">
        <f t="shared" si="1097"/>
        <v>131.4</v>
      </c>
    </row>
    <row r="7138" ht="24.0" customHeight="1">
      <c r="A7138" s="10" t="s">
        <v>25</v>
      </c>
      <c r="B7138" s="10" t="s">
        <v>26</v>
      </c>
      <c r="C7138" s="10" t="s">
        <v>23</v>
      </c>
      <c r="D7138" s="10" t="s">
        <v>27</v>
      </c>
      <c r="E7138" s="14">
        <v>1.0</v>
      </c>
      <c r="F7138" s="15">
        <f>ROUND(21,3)</f>
        <v>21</v>
      </c>
      <c r="G7138" s="12">
        <f t="shared" si="1097"/>
        <v>21</v>
      </c>
    </row>
    <row r="7139" ht="24.0" customHeight="1">
      <c r="A7139" s="10" t="s">
        <v>28</v>
      </c>
      <c r="B7139" s="10" t="s">
        <v>26</v>
      </c>
      <c r="C7139" s="10" t="s">
        <v>23</v>
      </c>
      <c r="D7139" s="10" t="s">
        <v>29</v>
      </c>
      <c r="E7139" s="14">
        <v>1.0</v>
      </c>
      <c r="F7139" s="15">
        <f t="shared" ref="F7139:F7140" si="1098">ROUND(19,3)</f>
        <v>19</v>
      </c>
      <c r="G7139" s="12">
        <f t="shared" si="1097"/>
        <v>19</v>
      </c>
    </row>
    <row r="7140" ht="24.0" customHeight="1">
      <c r="A7140" s="10" t="s">
        <v>30</v>
      </c>
      <c r="B7140" s="10" t="s">
        <v>26</v>
      </c>
      <c r="C7140" s="10" t="s">
        <v>23</v>
      </c>
      <c r="D7140" s="10" t="s">
        <v>31</v>
      </c>
      <c r="E7140" s="14">
        <v>0.2</v>
      </c>
      <c r="F7140" s="15">
        <f t="shared" si="1098"/>
        <v>19</v>
      </c>
      <c r="G7140" s="12">
        <f t="shared" si="1097"/>
        <v>3.8</v>
      </c>
    </row>
    <row r="7141" ht="15.0" customHeight="1">
      <c r="A7141" s="11"/>
      <c r="B7141" s="11"/>
      <c r="C7141" s="11"/>
      <c r="D7141" s="10" t="s">
        <v>22</v>
      </c>
      <c r="E7141" s="14">
        <v>3.0</v>
      </c>
      <c r="F7141" s="15">
        <f>ROUND((G7138+G7139+G7140),3)</f>
        <v>43.8</v>
      </c>
      <c r="G7141" s="12">
        <f t="shared" si="1097"/>
        <v>131.4</v>
      </c>
    </row>
    <row r="7142" ht="15.0" customHeight="1">
      <c r="A7142" s="10" t="s">
        <v>32</v>
      </c>
      <c r="B7142" s="10"/>
      <c r="C7142" s="10" t="s">
        <v>33</v>
      </c>
      <c r="D7142" s="10" t="s">
        <v>34</v>
      </c>
      <c r="E7142" s="14">
        <v>3.0</v>
      </c>
      <c r="F7142" s="15">
        <f>ROUND(131.4,3)</f>
        <v>131.4</v>
      </c>
      <c r="G7142" s="12">
        <f>ROUND((E7142*F7142)/100,2)</f>
        <v>3.94</v>
      </c>
    </row>
    <row r="7143" ht="15.0" customHeight="1">
      <c r="A7143" s="16"/>
      <c r="B7143" s="16"/>
      <c r="C7143" s="16"/>
      <c r="D7143" s="17" t="s">
        <v>3040</v>
      </c>
      <c r="E7143" s="16"/>
      <c r="F7143" s="18">
        <f>ROUND((G7133+G7134+G7135+G7136+G7137+G7142)*(1+G2/100),2)</f>
        <v>154.38</v>
      </c>
      <c r="G7143" s="16"/>
    </row>
    <row r="7144" ht="30.0" customHeight="1">
      <c r="A7144" s="19" t="s">
        <v>3042</v>
      </c>
      <c r="B7144" s="20" t="s">
        <v>18</v>
      </c>
      <c r="C7144" s="20" t="s">
        <v>351</v>
      </c>
      <c r="D7144" s="20" t="s">
        <v>3043</v>
      </c>
      <c r="E7144" s="21"/>
      <c r="F7144" s="22">
        <f>F7158</f>
        <v>14.91</v>
      </c>
      <c r="G7144" s="21"/>
    </row>
    <row r="7145" ht="21.0" customHeight="1">
      <c r="A7145" s="11"/>
      <c r="B7145" s="11"/>
      <c r="C7145" s="11"/>
      <c r="D7145" s="10" t="s">
        <v>3044</v>
      </c>
    </row>
    <row r="7146" ht="24.0" customHeight="1">
      <c r="A7146" s="10" t="s">
        <v>1166</v>
      </c>
      <c r="B7146" s="10" t="s">
        <v>18</v>
      </c>
      <c r="C7146" s="10" t="s">
        <v>19</v>
      </c>
      <c r="D7146" s="10" t="s">
        <v>1167</v>
      </c>
      <c r="E7146" s="14">
        <v>0.3</v>
      </c>
      <c r="F7146" s="15">
        <f>F7149</f>
        <v>12.26</v>
      </c>
      <c r="G7146" s="12">
        <f t="shared" ref="G7146:G7147" si="1099">ROUND(E7146*F7146,2)</f>
        <v>3.68</v>
      </c>
    </row>
    <row r="7147" ht="21.0" customHeight="1">
      <c r="A7147" s="10" t="s">
        <v>22</v>
      </c>
      <c r="B7147" s="10" t="s">
        <v>18</v>
      </c>
      <c r="C7147" s="10" t="s">
        <v>23</v>
      </c>
      <c r="D7147" s="10" t="s">
        <v>24</v>
      </c>
      <c r="E7147" s="14">
        <v>0.26667</v>
      </c>
      <c r="F7147" s="15">
        <f>ROUND(43.8,3)</f>
        <v>43.8</v>
      </c>
      <c r="G7147" s="12">
        <f t="shared" si="1099"/>
        <v>11.68</v>
      </c>
    </row>
    <row r="7148" ht="15.0" customHeight="1">
      <c r="A7148" s="10" t="s">
        <v>32</v>
      </c>
      <c r="B7148" s="10"/>
      <c r="C7148" s="10" t="s">
        <v>33</v>
      </c>
      <c r="D7148" s="10" t="s">
        <v>34</v>
      </c>
      <c r="E7148" s="14">
        <v>5.0</v>
      </c>
      <c r="F7148" s="15">
        <f>ROUND(11.68,3)</f>
        <v>11.68</v>
      </c>
      <c r="G7148" s="12">
        <f>ROUND((E7148*F7148)/100,2)</f>
        <v>0.58</v>
      </c>
    </row>
    <row r="7149" ht="15.0" customHeight="1">
      <c r="A7149" s="11"/>
      <c r="B7149" s="11"/>
      <c r="C7149" s="11"/>
      <c r="D7149" s="10" t="s">
        <v>1166</v>
      </c>
      <c r="E7149" s="14">
        <v>0.3</v>
      </c>
      <c r="F7149" s="15">
        <f>ROUND((G7147+G7148),3)</f>
        <v>12.26</v>
      </c>
      <c r="G7149" s="12">
        <f t="shared" ref="G7149:G7156" si="1100">ROUND(E7149*F7149,2)</f>
        <v>3.68</v>
      </c>
    </row>
    <row r="7150" ht="21.0" customHeight="1">
      <c r="A7150" s="10" t="s">
        <v>3024</v>
      </c>
      <c r="B7150" s="10" t="s">
        <v>42</v>
      </c>
      <c r="C7150" s="10" t="s">
        <v>184</v>
      </c>
      <c r="D7150" s="10" t="s">
        <v>3025</v>
      </c>
      <c r="E7150" s="14">
        <v>0.54</v>
      </c>
      <c r="F7150" s="15">
        <f>ROUND(1.62,3)</f>
        <v>1.62</v>
      </c>
      <c r="G7150" s="12">
        <f t="shared" si="1100"/>
        <v>0.87</v>
      </c>
    </row>
    <row r="7151" ht="39.75" customHeight="1">
      <c r="A7151" s="10" t="s">
        <v>1315</v>
      </c>
      <c r="B7151" s="10" t="s">
        <v>42</v>
      </c>
      <c r="C7151" s="10" t="s">
        <v>231</v>
      </c>
      <c r="D7151" s="10" t="s">
        <v>1316</v>
      </c>
      <c r="E7151" s="14">
        <v>0.44</v>
      </c>
      <c r="F7151" s="15">
        <f>ROUND(2.63,3)</f>
        <v>2.63</v>
      </c>
      <c r="G7151" s="12">
        <f t="shared" si="1100"/>
        <v>1.16</v>
      </c>
    </row>
    <row r="7152" ht="21.0" customHeight="1">
      <c r="A7152" s="10" t="s">
        <v>22</v>
      </c>
      <c r="B7152" s="10" t="s">
        <v>18</v>
      </c>
      <c r="C7152" s="10" t="s">
        <v>23</v>
      </c>
      <c r="D7152" s="10" t="s">
        <v>24</v>
      </c>
      <c r="E7152" s="14">
        <v>0.2</v>
      </c>
      <c r="F7152" s="15">
        <f>F7156</f>
        <v>43.8</v>
      </c>
      <c r="G7152" s="12">
        <f t="shared" si="1100"/>
        <v>8.76</v>
      </c>
    </row>
    <row r="7153" ht="24.0" customHeight="1">
      <c r="A7153" s="10" t="s">
        <v>25</v>
      </c>
      <c r="B7153" s="10" t="s">
        <v>26</v>
      </c>
      <c r="C7153" s="10" t="s">
        <v>23</v>
      </c>
      <c r="D7153" s="10" t="s">
        <v>27</v>
      </c>
      <c r="E7153" s="14">
        <v>1.0</v>
      </c>
      <c r="F7153" s="15">
        <f>ROUND(21,3)</f>
        <v>21</v>
      </c>
      <c r="G7153" s="12">
        <f t="shared" si="1100"/>
        <v>21</v>
      </c>
    </row>
    <row r="7154" ht="24.0" customHeight="1">
      <c r="A7154" s="10" t="s">
        <v>28</v>
      </c>
      <c r="B7154" s="10" t="s">
        <v>26</v>
      </c>
      <c r="C7154" s="10" t="s">
        <v>23</v>
      </c>
      <c r="D7154" s="10" t="s">
        <v>29</v>
      </c>
      <c r="E7154" s="14">
        <v>1.0</v>
      </c>
      <c r="F7154" s="15">
        <f t="shared" ref="F7154:F7155" si="1101">ROUND(19,3)</f>
        <v>19</v>
      </c>
      <c r="G7154" s="12">
        <f t="shared" si="1100"/>
        <v>19</v>
      </c>
    </row>
    <row r="7155" ht="24.0" customHeight="1">
      <c r="A7155" s="10" t="s">
        <v>30</v>
      </c>
      <c r="B7155" s="10" t="s">
        <v>26</v>
      </c>
      <c r="C7155" s="10" t="s">
        <v>23</v>
      </c>
      <c r="D7155" s="10" t="s">
        <v>31</v>
      </c>
      <c r="E7155" s="14">
        <v>0.2</v>
      </c>
      <c r="F7155" s="15">
        <f t="shared" si="1101"/>
        <v>19</v>
      </c>
      <c r="G7155" s="12">
        <f t="shared" si="1100"/>
        <v>3.8</v>
      </c>
    </row>
    <row r="7156" ht="15.0" customHeight="1">
      <c r="A7156" s="11"/>
      <c r="B7156" s="11"/>
      <c r="C7156" s="11"/>
      <c r="D7156" s="10" t="s">
        <v>22</v>
      </c>
      <c r="E7156" s="14">
        <v>0.2</v>
      </c>
      <c r="F7156" s="15">
        <f>ROUND((G7153+G7154+G7155),3)</f>
        <v>43.8</v>
      </c>
      <c r="G7156" s="12">
        <f t="shared" si="1100"/>
        <v>8.76</v>
      </c>
    </row>
    <row r="7157" ht="15.0" customHeight="1">
      <c r="A7157" s="10" t="s">
        <v>32</v>
      </c>
      <c r="B7157" s="10"/>
      <c r="C7157" s="10" t="s">
        <v>33</v>
      </c>
      <c r="D7157" s="10" t="s">
        <v>34</v>
      </c>
      <c r="E7157" s="14">
        <v>5.0</v>
      </c>
      <c r="F7157" s="15">
        <f>ROUND(8.76,3)</f>
        <v>8.76</v>
      </c>
      <c r="G7157" s="12">
        <f>ROUND((E7157*F7157)/100,2)</f>
        <v>0.44</v>
      </c>
    </row>
    <row r="7158" ht="15.0" customHeight="1">
      <c r="A7158" s="16"/>
      <c r="B7158" s="16"/>
      <c r="C7158" s="16"/>
      <c r="D7158" s="17" t="s">
        <v>3042</v>
      </c>
      <c r="E7158" s="16"/>
      <c r="F7158" s="18">
        <f>ROUND((G7146+G7150+G7151+G7152+G7157)*(1+G2/100),2)</f>
        <v>14.91</v>
      </c>
      <c r="G7158" s="16"/>
    </row>
    <row r="7159" ht="34.5" customHeight="1">
      <c r="A7159" s="19" t="s">
        <v>3045</v>
      </c>
      <c r="B7159" s="20" t="s">
        <v>18</v>
      </c>
      <c r="C7159" s="20" t="s">
        <v>351</v>
      </c>
      <c r="D7159" s="20" t="s">
        <v>3046</v>
      </c>
      <c r="E7159" s="21"/>
      <c r="F7159" s="22">
        <f>F7171</f>
        <v>16.83</v>
      </c>
      <c r="G7159" s="21"/>
    </row>
    <row r="7160" ht="21.0" customHeight="1">
      <c r="A7160" s="11"/>
      <c r="B7160" s="11"/>
      <c r="C7160" s="11"/>
      <c r="D7160" s="10" t="s">
        <v>3046</v>
      </c>
    </row>
    <row r="7161" ht="30.0" customHeight="1">
      <c r="A7161" s="10" t="s">
        <v>3047</v>
      </c>
      <c r="B7161" s="10" t="s">
        <v>42</v>
      </c>
      <c r="C7161" s="10" t="s">
        <v>344</v>
      </c>
      <c r="D7161" s="10" t="s">
        <v>3048</v>
      </c>
      <c r="E7161" s="14">
        <v>2.0</v>
      </c>
      <c r="F7161" s="15">
        <f>ROUND(3.41,3)</f>
        <v>3.41</v>
      </c>
      <c r="G7161" s="12">
        <f t="shared" ref="G7161:G7169" si="1102">ROUND(E7161*F7161,2)</f>
        <v>6.82</v>
      </c>
    </row>
    <row r="7162" ht="21.0" customHeight="1">
      <c r="A7162" s="10" t="s">
        <v>967</v>
      </c>
      <c r="B7162" s="10" t="s">
        <v>42</v>
      </c>
      <c r="C7162" s="10" t="s">
        <v>325</v>
      </c>
      <c r="D7162" s="10" t="s">
        <v>968</v>
      </c>
      <c r="E7162" s="14">
        <v>0.04</v>
      </c>
      <c r="F7162" s="15">
        <f>ROUND(6.49,3)</f>
        <v>6.49</v>
      </c>
      <c r="G7162" s="12">
        <f t="shared" si="1102"/>
        <v>0.26</v>
      </c>
    </row>
    <row r="7163" ht="21.0" customHeight="1">
      <c r="A7163" s="10" t="s">
        <v>969</v>
      </c>
      <c r="B7163" s="10" t="s">
        <v>112</v>
      </c>
      <c r="C7163" s="10" t="s">
        <v>23</v>
      </c>
      <c r="D7163" s="10" t="s">
        <v>970</v>
      </c>
      <c r="E7163" s="14">
        <v>0.15</v>
      </c>
      <c r="F7163" s="15">
        <f>ROUND(2,3)</f>
        <v>2</v>
      </c>
      <c r="G7163" s="12">
        <f t="shared" si="1102"/>
        <v>0.3</v>
      </c>
    </row>
    <row r="7164" ht="30.0" customHeight="1">
      <c r="A7164" s="10" t="s">
        <v>971</v>
      </c>
      <c r="B7164" s="10" t="s">
        <v>42</v>
      </c>
      <c r="C7164" s="10" t="s">
        <v>231</v>
      </c>
      <c r="D7164" s="10" t="s">
        <v>972</v>
      </c>
      <c r="E7164" s="14">
        <v>0.05</v>
      </c>
      <c r="F7164" s="15">
        <f>ROUND(4.92,3)</f>
        <v>4.92</v>
      </c>
      <c r="G7164" s="12">
        <f t="shared" si="1102"/>
        <v>0.25</v>
      </c>
    </row>
    <row r="7165" ht="21.0" customHeight="1">
      <c r="A7165" s="10" t="s">
        <v>22</v>
      </c>
      <c r="B7165" s="10" t="s">
        <v>18</v>
      </c>
      <c r="C7165" s="10" t="s">
        <v>23</v>
      </c>
      <c r="D7165" s="10" t="s">
        <v>24</v>
      </c>
      <c r="E7165" s="14">
        <v>0.2</v>
      </c>
      <c r="F7165" s="15">
        <f>F7169</f>
        <v>43.8</v>
      </c>
      <c r="G7165" s="12">
        <f t="shared" si="1102"/>
        <v>8.76</v>
      </c>
    </row>
    <row r="7166" ht="24.0" customHeight="1">
      <c r="A7166" s="10" t="s">
        <v>25</v>
      </c>
      <c r="B7166" s="10" t="s">
        <v>26</v>
      </c>
      <c r="C7166" s="10" t="s">
        <v>23</v>
      </c>
      <c r="D7166" s="10" t="s">
        <v>27</v>
      </c>
      <c r="E7166" s="14">
        <v>1.0</v>
      </c>
      <c r="F7166" s="15">
        <f>ROUND(21,3)</f>
        <v>21</v>
      </c>
      <c r="G7166" s="12">
        <f t="shared" si="1102"/>
        <v>21</v>
      </c>
    </row>
    <row r="7167" ht="24.0" customHeight="1">
      <c r="A7167" s="10" t="s">
        <v>28</v>
      </c>
      <c r="B7167" s="10" t="s">
        <v>26</v>
      </c>
      <c r="C7167" s="10" t="s">
        <v>23</v>
      </c>
      <c r="D7167" s="10" t="s">
        <v>29</v>
      </c>
      <c r="E7167" s="14">
        <v>1.0</v>
      </c>
      <c r="F7167" s="15">
        <f t="shared" ref="F7167:F7168" si="1103">ROUND(19,3)</f>
        <v>19</v>
      </c>
      <c r="G7167" s="12">
        <f t="shared" si="1102"/>
        <v>19</v>
      </c>
    </row>
    <row r="7168" ht="24.0" customHeight="1">
      <c r="A7168" s="10" t="s">
        <v>30</v>
      </c>
      <c r="B7168" s="10" t="s">
        <v>26</v>
      </c>
      <c r="C7168" s="10" t="s">
        <v>23</v>
      </c>
      <c r="D7168" s="10" t="s">
        <v>31</v>
      </c>
      <c r="E7168" s="14">
        <v>0.2</v>
      </c>
      <c r="F7168" s="15">
        <f t="shared" si="1103"/>
        <v>19</v>
      </c>
      <c r="G7168" s="12">
        <f t="shared" si="1102"/>
        <v>3.8</v>
      </c>
    </row>
    <row r="7169" ht="15.0" customHeight="1">
      <c r="A7169" s="11"/>
      <c r="B7169" s="11"/>
      <c r="C7169" s="11"/>
      <c r="D7169" s="10" t="s">
        <v>22</v>
      </c>
      <c r="E7169" s="14">
        <v>0.2</v>
      </c>
      <c r="F7169" s="15">
        <f>ROUND((G7166+G7167+G7168),3)</f>
        <v>43.8</v>
      </c>
      <c r="G7169" s="12">
        <f t="shared" si="1102"/>
        <v>8.76</v>
      </c>
    </row>
    <row r="7170" ht="15.0" customHeight="1">
      <c r="A7170" s="10" t="s">
        <v>32</v>
      </c>
      <c r="B7170" s="10"/>
      <c r="C7170" s="10" t="s">
        <v>33</v>
      </c>
      <c r="D7170" s="10" t="s">
        <v>34</v>
      </c>
      <c r="E7170" s="14">
        <v>5.0</v>
      </c>
      <c r="F7170" s="15">
        <f>ROUND(8.76,3)</f>
        <v>8.76</v>
      </c>
      <c r="G7170" s="12">
        <f>ROUND((E7170*F7170)/100,2)</f>
        <v>0.44</v>
      </c>
    </row>
    <row r="7171" ht="24.75" customHeight="1">
      <c r="A7171" s="16"/>
      <c r="B7171" s="16"/>
      <c r="C7171" s="16"/>
      <c r="D7171" s="17" t="s">
        <v>3045</v>
      </c>
      <c r="E7171" s="16"/>
      <c r="F7171" s="18">
        <f>ROUND((G7161+G7162+G7163+G7164+G7165+G7170)*(1+G2/100),2)</f>
        <v>16.83</v>
      </c>
      <c r="G7171" s="16"/>
    </row>
    <row r="7172" ht="34.5" customHeight="1">
      <c r="A7172" s="19" t="s">
        <v>3049</v>
      </c>
      <c r="B7172" s="20" t="s">
        <v>18</v>
      </c>
      <c r="C7172" s="20" t="s">
        <v>351</v>
      </c>
      <c r="D7172" s="20" t="s">
        <v>3050</v>
      </c>
      <c r="E7172" s="21"/>
      <c r="F7172" s="22">
        <f>F7184</f>
        <v>29.77</v>
      </c>
      <c r="G7172" s="21"/>
    </row>
    <row r="7173" ht="21.0" customHeight="1">
      <c r="A7173" s="11"/>
      <c r="B7173" s="11"/>
      <c r="C7173" s="11"/>
      <c r="D7173" s="10" t="s">
        <v>3050</v>
      </c>
    </row>
    <row r="7174" ht="30.0" customHeight="1">
      <c r="A7174" s="10" t="s">
        <v>3047</v>
      </c>
      <c r="B7174" s="10" t="s">
        <v>42</v>
      </c>
      <c r="C7174" s="10" t="s">
        <v>344</v>
      </c>
      <c r="D7174" s="10" t="s">
        <v>3048</v>
      </c>
      <c r="E7174" s="14">
        <v>4.0</v>
      </c>
      <c r="F7174" s="15">
        <f>ROUND(3.41,3)</f>
        <v>3.41</v>
      </c>
      <c r="G7174" s="12">
        <f t="shared" ref="G7174:G7182" si="1104">ROUND(E7174*F7174,2)</f>
        <v>13.64</v>
      </c>
    </row>
    <row r="7175" ht="21.0" customHeight="1">
      <c r="A7175" s="10" t="s">
        <v>967</v>
      </c>
      <c r="B7175" s="10" t="s">
        <v>42</v>
      </c>
      <c r="C7175" s="10" t="s">
        <v>325</v>
      </c>
      <c r="D7175" s="10" t="s">
        <v>968</v>
      </c>
      <c r="E7175" s="14">
        <v>0.08</v>
      </c>
      <c r="F7175" s="15">
        <f>ROUND(6.49,3)</f>
        <v>6.49</v>
      </c>
      <c r="G7175" s="12">
        <f t="shared" si="1104"/>
        <v>0.52</v>
      </c>
    </row>
    <row r="7176" ht="21.0" customHeight="1">
      <c r="A7176" s="10" t="s">
        <v>969</v>
      </c>
      <c r="B7176" s="10" t="s">
        <v>112</v>
      </c>
      <c r="C7176" s="10" t="s">
        <v>23</v>
      </c>
      <c r="D7176" s="10" t="s">
        <v>970</v>
      </c>
      <c r="E7176" s="14">
        <v>0.2</v>
      </c>
      <c r="F7176" s="15">
        <f>ROUND(2,3)</f>
        <v>2</v>
      </c>
      <c r="G7176" s="12">
        <f t="shared" si="1104"/>
        <v>0.4</v>
      </c>
    </row>
    <row r="7177" ht="30.0" customHeight="1">
      <c r="A7177" s="10" t="s">
        <v>971</v>
      </c>
      <c r="B7177" s="10" t="s">
        <v>42</v>
      </c>
      <c r="C7177" s="10" t="s">
        <v>231</v>
      </c>
      <c r="D7177" s="10" t="s">
        <v>972</v>
      </c>
      <c r="E7177" s="14">
        <v>0.1</v>
      </c>
      <c r="F7177" s="15">
        <f>ROUND(4.92,3)</f>
        <v>4.92</v>
      </c>
      <c r="G7177" s="12">
        <f t="shared" si="1104"/>
        <v>0.49</v>
      </c>
    </row>
    <row r="7178" ht="21.0" customHeight="1">
      <c r="A7178" s="10" t="s">
        <v>22</v>
      </c>
      <c r="B7178" s="10" t="s">
        <v>18</v>
      </c>
      <c r="C7178" s="10" t="s">
        <v>23</v>
      </c>
      <c r="D7178" s="10" t="s">
        <v>24</v>
      </c>
      <c r="E7178" s="14">
        <v>0.32</v>
      </c>
      <c r="F7178" s="15">
        <f>F7182</f>
        <v>43.8</v>
      </c>
      <c r="G7178" s="12">
        <f t="shared" si="1104"/>
        <v>14.02</v>
      </c>
    </row>
    <row r="7179" ht="24.0" customHeight="1">
      <c r="A7179" s="10" t="s">
        <v>25</v>
      </c>
      <c r="B7179" s="10" t="s">
        <v>26</v>
      </c>
      <c r="C7179" s="10" t="s">
        <v>23</v>
      </c>
      <c r="D7179" s="10" t="s">
        <v>27</v>
      </c>
      <c r="E7179" s="14">
        <v>1.0</v>
      </c>
      <c r="F7179" s="15">
        <f>ROUND(21,3)</f>
        <v>21</v>
      </c>
      <c r="G7179" s="12">
        <f t="shared" si="1104"/>
        <v>21</v>
      </c>
    </row>
    <row r="7180" ht="24.0" customHeight="1">
      <c r="A7180" s="10" t="s">
        <v>28</v>
      </c>
      <c r="B7180" s="10" t="s">
        <v>26</v>
      </c>
      <c r="C7180" s="10" t="s">
        <v>23</v>
      </c>
      <c r="D7180" s="10" t="s">
        <v>29</v>
      </c>
      <c r="E7180" s="14">
        <v>1.0</v>
      </c>
      <c r="F7180" s="15">
        <f t="shared" ref="F7180:F7181" si="1105">ROUND(19,3)</f>
        <v>19</v>
      </c>
      <c r="G7180" s="12">
        <f t="shared" si="1104"/>
        <v>19</v>
      </c>
    </row>
    <row r="7181" ht="24.0" customHeight="1">
      <c r="A7181" s="10" t="s">
        <v>30</v>
      </c>
      <c r="B7181" s="10" t="s">
        <v>26</v>
      </c>
      <c r="C7181" s="10" t="s">
        <v>23</v>
      </c>
      <c r="D7181" s="10" t="s">
        <v>31</v>
      </c>
      <c r="E7181" s="14">
        <v>0.2</v>
      </c>
      <c r="F7181" s="15">
        <f t="shared" si="1105"/>
        <v>19</v>
      </c>
      <c r="G7181" s="12">
        <f t="shared" si="1104"/>
        <v>3.8</v>
      </c>
    </row>
    <row r="7182" ht="15.0" customHeight="1">
      <c r="A7182" s="11"/>
      <c r="B7182" s="11"/>
      <c r="C7182" s="11"/>
      <c r="D7182" s="10" t="s">
        <v>22</v>
      </c>
      <c r="E7182" s="14">
        <v>0.32</v>
      </c>
      <c r="F7182" s="15">
        <f>ROUND((G7179+G7180+G7181),3)</f>
        <v>43.8</v>
      </c>
      <c r="G7182" s="12">
        <f t="shared" si="1104"/>
        <v>14.02</v>
      </c>
    </row>
    <row r="7183" ht="15.0" customHeight="1">
      <c r="A7183" s="10" t="s">
        <v>32</v>
      </c>
      <c r="B7183" s="10"/>
      <c r="C7183" s="10" t="s">
        <v>33</v>
      </c>
      <c r="D7183" s="10" t="s">
        <v>34</v>
      </c>
      <c r="E7183" s="14">
        <v>5.0</v>
      </c>
      <c r="F7183" s="15">
        <f>ROUND(14.02,3)</f>
        <v>14.02</v>
      </c>
      <c r="G7183" s="12">
        <f>ROUND((E7183*F7183)/100,2)</f>
        <v>0.7</v>
      </c>
    </row>
    <row r="7184" ht="24.75" customHeight="1">
      <c r="A7184" s="16"/>
      <c r="B7184" s="16"/>
      <c r="C7184" s="16"/>
      <c r="D7184" s="17" t="s">
        <v>3049</v>
      </c>
      <c r="E7184" s="16"/>
      <c r="F7184" s="18">
        <f>ROUND((G7174+G7175+G7176+G7177+G7178+G7183)*(1+G2/100),2)</f>
        <v>29.77</v>
      </c>
      <c r="G7184" s="16"/>
    </row>
    <row r="7185" ht="24.75" customHeight="1">
      <c r="A7185" s="19" t="s">
        <v>3051</v>
      </c>
      <c r="B7185" s="20" t="s">
        <v>18</v>
      </c>
      <c r="C7185" s="20" t="s">
        <v>351</v>
      </c>
      <c r="D7185" s="20" t="s">
        <v>3052</v>
      </c>
      <c r="E7185" s="21"/>
      <c r="F7185" s="22">
        <f>F7198</f>
        <v>37.13</v>
      </c>
      <c r="G7185" s="21"/>
    </row>
    <row r="7186" ht="12.0" customHeight="1">
      <c r="A7186" s="11"/>
      <c r="B7186" s="11"/>
      <c r="C7186" s="11"/>
      <c r="D7186" s="10" t="s">
        <v>3052</v>
      </c>
    </row>
    <row r="7187" ht="30.0" customHeight="1">
      <c r="A7187" s="10" t="s">
        <v>3053</v>
      </c>
      <c r="B7187" s="10" t="s">
        <v>42</v>
      </c>
      <c r="C7187" s="10" t="s">
        <v>344</v>
      </c>
      <c r="D7187" s="10" t="s">
        <v>3054</v>
      </c>
      <c r="E7187" s="14">
        <v>1.0</v>
      </c>
      <c r="F7187" s="15">
        <f>ROUND(10,3)</f>
        <v>10</v>
      </c>
      <c r="G7187" s="12">
        <f t="shared" ref="G7187:G7196" si="1106">ROUND(E7187*F7187,2)</f>
        <v>10</v>
      </c>
    </row>
    <row r="7188" ht="39.75" customHeight="1">
      <c r="A7188" s="10" t="s">
        <v>2640</v>
      </c>
      <c r="B7188" s="10" t="s">
        <v>42</v>
      </c>
      <c r="C7188" s="10" t="s">
        <v>184</v>
      </c>
      <c r="D7188" s="10" t="s">
        <v>2641</v>
      </c>
      <c r="E7188" s="14">
        <v>0.64</v>
      </c>
      <c r="F7188" s="15">
        <f>ROUND(2.6,3)</f>
        <v>2.6</v>
      </c>
      <c r="G7188" s="12">
        <f t="shared" si="1106"/>
        <v>1.66</v>
      </c>
    </row>
    <row r="7189" ht="30.0" customHeight="1">
      <c r="A7189" s="10" t="s">
        <v>2053</v>
      </c>
      <c r="B7189" s="10" t="s">
        <v>42</v>
      </c>
      <c r="C7189" s="10" t="s">
        <v>184</v>
      </c>
      <c r="D7189" s="10" t="s">
        <v>2054</v>
      </c>
      <c r="E7189" s="14">
        <v>0.03</v>
      </c>
      <c r="F7189" s="15">
        <f>ROUND(11.74,3)</f>
        <v>11.74</v>
      </c>
      <c r="G7189" s="12">
        <f t="shared" si="1106"/>
        <v>0.35</v>
      </c>
    </row>
    <row r="7190" ht="39.75" customHeight="1">
      <c r="A7190" s="10" t="s">
        <v>953</v>
      </c>
      <c r="B7190" s="10" t="s">
        <v>112</v>
      </c>
      <c r="C7190" s="10" t="s">
        <v>23</v>
      </c>
      <c r="D7190" s="10" t="s">
        <v>954</v>
      </c>
      <c r="E7190" s="14">
        <v>0.25</v>
      </c>
      <c r="F7190" s="15">
        <f>ROUND(1.75,3)</f>
        <v>1.75</v>
      </c>
      <c r="G7190" s="12">
        <f t="shared" si="1106"/>
        <v>0.44</v>
      </c>
    </row>
    <row r="7191" ht="30.0" customHeight="1">
      <c r="A7191" s="10" t="s">
        <v>1793</v>
      </c>
      <c r="B7191" s="10" t="s">
        <v>42</v>
      </c>
      <c r="C7191" s="10" t="s">
        <v>956</v>
      </c>
      <c r="D7191" s="10" t="s">
        <v>1794</v>
      </c>
      <c r="E7191" s="14">
        <v>0.01667</v>
      </c>
      <c r="F7191" s="15">
        <f>ROUND(8.81,3)</f>
        <v>8.81</v>
      </c>
      <c r="G7191" s="12">
        <f t="shared" si="1106"/>
        <v>0.15</v>
      </c>
    </row>
    <row r="7192" ht="21.0" customHeight="1">
      <c r="A7192" s="10" t="s">
        <v>22</v>
      </c>
      <c r="B7192" s="10" t="s">
        <v>18</v>
      </c>
      <c r="C7192" s="10" t="s">
        <v>23</v>
      </c>
      <c r="D7192" s="10" t="s">
        <v>24</v>
      </c>
      <c r="E7192" s="14">
        <v>0.53333</v>
      </c>
      <c r="F7192" s="15">
        <f>F7196</f>
        <v>43.8</v>
      </c>
      <c r="G7192" s="12">
        <f t="shared" si="1106"/>
        <v>23.36</v>
      </c>
    </row>
    <row r="7193" ht="24.0" customHeight="1">
      <c r="A7193" s="10" t="s">
        <v>25</v>
      </c>
      <c r="B7193" s="10" t="s">
        <v>26</v>
      </c>
      <c r="C7193" s="10" t="s">
        <v>23</v>
      </c>
      <c r="D7193" s="10" t="s">
        <v>27</v>
      </c>
      <c r="E7193" s="14">
        <v>1.0</v>
      </c>
      <c r="F7193" s="15">
        <f>ROUND(21,3)</f>
        <v>21</v>
      </c>
      <c r="G7193" s="12">
        <f t="shared" si="1106"/>
        <v>21</v>
      </c>
    </row>
    <row r="7194" ht="24.0" customHeight="1">
      <c r="A7194" s="10" t="s">
        <v>28</v>
      </c>
      <c r="B7194" s="10" t="s">
        <v>26</v>
      </c>
      <c r="C7194" s="10" t="s">
        <v>23</v>
      </c>
      <c r="D7194" s="10" t="s">
        <v>29</v>
      </c>
      <c r="E7194" s="14">
        <v>1.0</v>
      </c>
      <c r="F7194" s="15">
        <f t="shared" ref="F7194:F7195" si="1107">ROUND(19,3)</f>
        <v>19</v>
      </c>
      <c r="G7194" s="12">
        <f t="shared" si="1106"/>
        <v>19</v>
      </c>
    </row>
    <row r="7195" ht="24.0" customHeight="1">
      <c r="A7195" s="10" t="s">
        <v>30</v>
      </c>
      <c r="B7195" s="10" t="s">
        <v>26</v>
      </c>
      <c r="C7195" s="10" t="s">
        <v>23</v>
      </c>
      <c r="D7195" s="10" t="s">
        <v>31</v>
      </c>
      <c r="E7195" s="14">
        <v>0.2</v>
      </c>
      <c r="F7195" s="15">
        <f t="shared" si="1107"/>
        <v>19</v>
      </c>
      <c r="G7195" s="12">
        <f t="shared" si="1106"/>
        <v>3.8</v>
      </c>
    </row>
    <row r="7196" ht="15.0" customHeight="1">
      <c r="A7196" s="11"/>
      <c r="B7196" s="11"/>
      <c r="C7196" s="11"/>
      <c r="D7196" s="10" t="s">
        <v>22</v>
      </c>
      <c r="E7196" s="14">
        <v>0.53333</v>
      </c>
      <c r="F7196" s="15">
        <f>ROUND((G7193+G7194+G7195),3)</f>
        <v>43.8</v>
      </c>
      <c r="G7196" s="12">
        <f t="shared" si="1106"/>
        <v>23.36</v>
      </c>
    </row>
    <row r="7197" ht="15.0" customHeight="1">
      <c r="A7197" s="10" t="s">
        <v>32</v>
      </c>
      <c r="B7197" s="10"/>
      <c r="C7197" s="10" t="s">
        <v>33</v>
      </c>
      <c r="D7197" s="10" t="s">
        <v>34</v>
      </c>
      <c r="E7197" s="14">
        <v>5.0</v>
      </c>
      <c r="F7197" s="15">
        <f>ROUND(23.36,3)</f>
        <v>23.36</v>
      </c>
      <c r="G7197" s="12">
        <f>ROUND((E7197*F7197)/100,2)</f>
        <v>1.17</v>
      </c>
    </row>
    <row r="7198" ht="15.0" customHeight="1">
      <c r="A7198" s="16"/>
      <c r="B7198" s="16"/>
      <c r="C7198" s="16"/>
      <c r="D7198" s="17" t="s">
        <v>3051</v>
      </c>
      <c r="E7198" s="16"/>
      <c r="F7198" s="18">
        <f>ROUND((G7187+G7188+G7189+G7190+G7191+G7192+G7197)*(1+G2/100),2)</f>
        <v>37.13</v>
      </c>
      <c r="G7198" s="16"/>
    </row>
    <row r="7199" ht="57.75" customHeight="1">
      <c r="A7199" s="19" t="s">
        <v>3055</v>
      </c>
      <c r="B7199" s="20" t="s">
        <v>18</v>
      </c>
      <c r="C7199" s="20" t="s">
        <v>3056</v>
      </c>
      <c r="D7199" s="20" t="s">
        <v>3057</v>
      </c>
      <c r="E7199" s="21"/>
      <c r="F7199" s="22">
        <f>F7212</f>
        <v>19.63</v>
      </c>
      <c r="G7199" s="21"/>
    </row>
    <row r="7200" ht="30.0" customHeight="1">
      <c r="A7200" s="11"/>
      <c r="B7200" s="11"/>
      <c r="C7200" s="11"/>
      <c r="D7200" s="10" t="s">
        <v>3057</v>
      </c>
    </row>
    <row r="7201" ht="30.0" customHeight="1">
      <c r="A7201" s="10" t="s">
        <v>1378</v>
      </c>
      <c r="B7201" s="10" t="s">
        <v>42</v>
      </c>
      <c r="C7201" s="10" t="s">
        <v>330</v>
      </c>
      <c r="D7201" s="10" t="s">
        <v>1379</v>
      </c>
      <c r="E7201" s="14">
        <v>0.0525</v>
      </c>
      <c r="F7201" s="15">
        <f>ROUND(6.14,3)</f>
        <v>6.14</v>
      </c>
      <c r="G7201" s="12">
        <f t="shared" ref="G7201:G7210" si="1108">ROUND(E7201*F7201,2)</f>
        <v>0.32</v>
      </c>
    </row>
    <row r="7202" ht="39.75" customHeight="1">
      <c r="A7202" s="10" t="s">
        <v>1340</v>
      </c>
      <c r="B7202" s="10" t="s">
        <v>42</v>
      </c>
      <c r="C7202" s="10" t="s">
        <v>1245</v>
      </c>
      <c r="D7202" s="10" t="s">
        <v>1341</v>
      </c>
      <c r="E7202" s="14">
        <v>0.1126</v>
      </c>
      <c r="F7202" s="15">
        <f>ROUND(7.37,3)</f>
        <v>7.37</v>
      </c>
      <c r="G7202" s="12">
        <f t="shared" si="1108"/>
        <v>0.83</v>
      </c>
    </row>
    <row r="7203" ht="39.75" customHeight="1">
      <c r="A7203" s="10" t="s">
        <v>1342</v>
      </c>
      <c r="B7203" s="10" t="s">
        <v>42</v>
      </c>
      <c r="C7203" s="10" t="s">
        <v>330</v>
      </c>
      <c r="D7203" s="10" t="s">
        <v>1343</v>
      </c>
      <c r="E7203" s="14">
        <v>0.13125</v>
      </c>
      <c r="F7203" s="15">
        <f>ROUND(11.38,3)</f>
        <v>11.38</v>
      </c>
      <c r="G7203" s="12">
        <f t="shared" si="1108"/>
        <v>1.49</v>
      </c>
    </row>
    <row r="7204" ht="24.0" customHeight="1">
      <c r="A7204" s="10" t="s">
        <v>3058</v>
      </c>
      <c r="B7204" s="10" t="s">
        <v>112</v>
      </c>
      <c r="C7204" s="10" t="s">
        <v>23</v>
      </c>
      <c r="D7204" s="10" t="s">
        <v>3059</v>
      </c>
      <c r="E7204" s="14">
        <v>0.33333</v>
      </c>
      <c r="F7204" s="15">
        <f>ROUND(4.5,3)</f>
        <v>4.5</v>
      </c>
      <c r="G7204" s="12">
        <f t="shared" si="1108"/>
        <v>1.5</v>
      </c>
    </row>
    <row r="7205" ht="30.0" customHeight="1">
      <c r="A7205" s="10" t="s">
        <v>971</v>
      </c>
      <c r="B7205" s="10" t="s">
        <v>42</v>
      </c>
      <c r="C7205" s="10" t="s">
        <v>231</v>
      </c>
      <c r="D7205" s="10" t="s">
        <v>972</v>
      </c>
      <c r="E7205" s="14">
        <v>0.03333</v>
      </c>
      <c r="F7205" s="15">
        <f>ROUND(4.92,3)</f>
        <v>4.92</v>
      </c>
      <c r="G7205" s="12">
        <f t="shared" si="1108"/>
        <v>0.16</v>
      </c>
    </row>
    <row r="7206" ht="21.0" customHeight="1">
      <c r="A7206" s="10" t="s">
        <v>22</v>
      </c>
      <c r="B7206" s="10" t="s">
        <v>18</v>
      </c>
      <c r="C7206" s="10" t="s">
        <v>23</v>
      </c>
      <c r="D7206" s="10" t="s">
        <v>24</v>
      </c>
      <c r="E7206" s="14">
        <v>0.33333</v>
      </c>
      <c r="F7206" s="15">
        <f>F7210</f>
        <v>43.8</v>
      </c>
      <c r="G7206" s="12">
        <f t="shared" si="1108"/>
        <v>14.6</v>
      </c>
    </row>
    <row r="7207" ht="24.0" customHeight="1">
      <c r="A7207" s="10" t="s">
        <v>25</v>
      </c>
      <c r="B7207" s="10" t="s">
        <v>26</v>
      </c>
      <c r="C7207" s="10" t="s">
        <v>23</v>
      </c>
      <c r="D7207" s="10" t="s">
        <v>27</v>
      </c>
      <c r="E7207" s="14">
        <v>1.0</v>
      </c>
      <c r="F7207" s="15">
        <f>ROUND(21,3)</f>
        <v>21</v>
      </c>
      <c r="G7207" s="12">
        <f t="shared" si="1108"/>
        <v>21</v>
      </c>
    </row>
    <row r="7208" ht="24.0" customHeight="1">
      <c r="A7208" s="10" t="s">
        <v>28</v>
      </c>
      <c r="B7208" s="10" t="s">
        <v>26</v>
      </c>
      <c r="C7208" s="10" t="s">
        <v>23</v>
      </c>
      <c r="D7208" s="10" t="s">
        <v>29</v>
      </c>
      <c r="E7208" s="14">
        <v>1.0</v>
      </c>
      <c r="F7208" s="15">
        <f t="shared" ref="F7208:F7209" si="1109">ROUND(19,3)</f>
        <v>19</v>
      </c>
      <c r="G7208" s="12">
        <f t="shared" si="1108"/>
        <v>19</v>
      </c>
    </row>
    <row r="7209" ht="24.0" customHeight="1">
      <c r="A7209" s="10" t="s">
        <v>30</v>
      </c>
      <c r="B7209" s="10" t="s">
        <v>26</v>
      </c>
      <c r="C7209" s="10" t="s">
        <v>23</v>
      </c>
      <c r="D7209" s="10" t="s">
        <v>31</v>
      </c>
      <c r="E7209" s="14">
        <v>0.2</v>
      </c>
      <c r="F7209" s="15">
        <f t="shared" si="1109"/>
        <v>19</v>
      </c>
      <c r="G7209" s="12">
        <f t="shared" si="1108"/>
        <v>3.8</v>
      </c>
    </row>
    <row r="7210" ht="15.0" customHeight="1">
      <c r="A7210" s="11"/>
      <c r="B7210" s="11"/>
      <c r="C7210" s="11"/>
      <c r="D7210" s="10" t="s">
        <v>22</v>
      </c>
      <c r="E7210" s="14">
        <v>0.33333</v>
      </c>
      <c r="F7210" s="15">
        <f>ROUND((G7207+G7208+G7209),3)</f>
        <v>43.8</v>
      </c>
      <c r="G7210" s="12">
        <f t="shared" si="1108"/>
        <v>14.6</v>
      </c>
    </row>
    <row r="7211" ht="15.0" customHeight="1">
      <c r="A7211" s="10" t="s">
        <v>32</v>
      </c>
      <c r="B7211" s="10"/>
      <c r="C7211" s="10" t="s">
        <v>33</v>
      </c>
      <c r="D7211" s="10" t="s">
        <v>34</v>
      </c>
      <c r="E7211" s="14">
        <v>5.0</v>
      </c>
      <c r="F7211" s="15">
        <f>ROUND(14.6,3)</f>
        <v>14.6</v>
      </c>
      <c r="G7211" s="12">
        <f>ROUND((E7211*F7211)/100,2)</f>
        <v>0.73</v>
      </c>
    </row>
    <row r="7212" ht="24.75" customHeight="1">
      <c r="A7212" s="16"/>
      <c r="B7212" s="16"/>
      <c r="C7212" s="16"/>
      <c r="D7212" s="17" t="s">
        <v>3055</v>
      </c>
      <c r="E7212" s="16"/>
      <c r="F7212" s="18">
        <f>ROUND((G7201+G7202+G7203+G7204+G7205+G7206+G7211)*(1+G2/100),2)</f>
        <v>19.63</v>
      </c>
      <c r="G7212" s="16"/>
    </row>
    <row r="7213" ht="39.75" customHeight="1">
      <c r="A7213" s="19" t="s">
        <v>3060</v>
      </c>
      <c r="B7213" s="20" t="s">
        <v>18</v>
      </c>
      <c r="C7213" s="20" t="s">
        <v>231</v>
      </c>
      <c r="D7213" s="20" t="s">
        <v>3061</v>
      </c>
      <c r="E7213" s="21"/>
      <c r="F7213" s="22">
        <f>F7222</f>
        <v>47.46</v>
      </c>
      <c r="G7213" s="21"/>
    </row>
    <row r="7214" ht="21.0" customHeight="1">
      <c r="A7214" s="11"/>
      <c r="B7214" s="11"/>
      <c r="C7214" s="11"/>
      <c r="D7214" s="10" t="s">
        <v>3061</v>
      </c>
    </row>
    <row r="7215" ht="30.0" customHeight="1">
      <c r="A7215" s="10" t="s">
        <v>1382</v>
      </c>
      <c r="B7215" s="10" t="s">
        <v>42</v>
      </c>
      <c r="C7215" s="10" t="s">
        <v>184</v>
      </c>
      <c r="D7215" s="10" t="s">
        <v>1383</v>
      </c>
      <c r="E7215" s="14">
        <v>1.0</v>
      </c>
      <c r="F7215" s="15">
        <f>ROUND(1.47,3)</f>
        <v>1.47</v>
      </c>
      <c r="G7215" s="12">
        <f t="shared" ref="G7215:G7220" si="1110">ROUND(E7215*F7215,2)</f>
        <v>1.47</v>
      </c>
    </row>
    <row r="7216" ht="21.0" customHeight="1">
      <c r="A7216" s="10" t="s">
        <v>22</v>
      </c>
      <c r="B7216" s="10" t="s">
        <v>18</v>
      </c>
      <c r="C7216" s="10" t="s">
        <v>23</v>
      </c>
      <c r="D7216" s="10" t="s">
        <v>24</v>
      </c>
      <c r="E7216" s="14">
        <v>1.0</v>
      </c>
      <c r="F7216" s="15">
        <f>F7220</f>
        <v>43.8</v>
      </c>
      <c r="G7216" s="12">
        <f t="shared" si="1110"/>
        <v>43.8</v>
      </c>
    </row>
    <row r="7217" ht="24.0" customHeight="1">
      <c r="A7217" s="10" t="s">
        <v>25</v>
      </c>
      <c r="B7217" s="10" t="s">
        <v>26</v>
      </c>
      <c r="C7217" s="10" t="s">
        <v>23</v>
      </c>
      <c r="D7217" s="10" t="s">
        <v>27</v>
      </c>
      <c r="E7217" s="14">
        <v>1.0</v>
      </c>
      <c r="F7217" s="15">
        <f>ROUND(21,3)</f>
        <v>21</v>
      </c>
      <c r="G7217" s="12">
        <f t="shared" si="1110"/>
        <v>21</v>
      </c>
    </row>
    <row r="7218" ht="24.0" customHeight="1">
      <c r="A7218" s="10" t="s">
        <v>28</v>
      </c>
      <c r="B7218" s="10" t="s">
        <v>26</v>
      </c>
      <c r="C7218" s="10" t="s">
        <v>23</v>
      </c>
      <c r="D7218" s="10" t="s">
        <v>29</v>
      </c>
      <c r="E7218" s="14">
        <v>1.0</v>
      </c>
      <c r="F7218" s="15">
        <f t="shared" ref="F7218:F7219" si="1111">ROUND(19,3)</f>
        <v>19</v>
      </c>
      <c r="G7218" s="12">
        <f t="shared" si="1110"/>
        <v>19</v>
      </c>
    </row>
    <row r="7219" ht="24.0" customHeight="1">
      <c r="A7219" s="10" t="s">
        <v>30</v>
      </c>
      <c r="B7219" s="10" t="s">
        <v>26</v>
      </c>
      <c r="C7219" s="10" t="s">
        <v>23</v>
      </c>
      <c r="D7219" s="10" t="s">
        <v>31</v>
      </c>
      <c r="E7219" s="14">
        <v>0.2</v>
      </c>
      <c r="F7219" s="15">
        <f t="shared" si="1111"/>
        <v>19</v>
      </c>
      <c r="G7219" s="12">
        <f t="shared" si="1110"/>
        <v>3.8</v>
      </c>
    </row>
    <row r="7220" ht="15.0" customHeight="1">
      <c r="A7220" s="11"/>
      <c r="B7220" s="11"/>
      <c r="C7220" s="11"/>
      <c r="D7220" s="10" t="s">
        <v>22</v>
      </c>
      <c r="E7220" s="14">
        <v>1.0</v>
      </c>
      <c r="F7220" s="15">
        <f>ROUND((G7217+G7218+G7219),3)</f>
        <v>43.8</v>
      </c>
      <c r="G7220" s="12">
        <f t="shared" si="1110"/>
        <v>43.8</v>
      </c>
    </row>
    <row r="7221" ht="15.0" customHeight="1">
      <c r="A7221" s="10" t="s">
        <v>32</v>
      </c>
      <c r="B7221" s="10"/>
      <c r="C7221" s="10" t="s">
        <v>33</v>
      </c>
      <c r="D7221" s="10" t="s">
        <v>34</v>
      </c>
      <c r="E7221" s="14">
        <v>5.0</v>
      </c>
      <c r="F7221" s="15">
        <f>ROUND(43.8,3)</f>
        <v>43.8</v>
      </c>
      <c r="G7221" s="12">
        <f>ROUND((E7221*F7221)/100,2)</f>
        <v>2.19</v>
      </c>
    </row>
    <row r="7222" ht="15.0" customHeight="1">
      <c r="A7222" s="16"/>
      <c r="B7222" s="16"/>
      <c r="C7222" s="16"/>
      <c r="D7222" s="17" t="s">
        <v>3060</v>
      </c>
      <c r="E7222" s="16"/>
      <c r="F7222" s="18">
        <f>ROUND((G7215+G7216+G7221)*(1+G2/100),2)</f>
        <v>47.46</v>
      </c>
      <c r="G7222" s="16"/>
    </row>
    <row r="7223" ht="48.75" customHeight="1">
      <c r="A7223" s="19" t="s">
        <v>3062</v>
      </c>
      <c r="B7223" s="20" t="s">
        <v>18</v>
      </c>
      <c r="C7223" s="20" t="s">
        <v>231</v>
      </c>
      <c r="D7223" s="20" t="s">
        <v>3063</v>
      </c>
      <c r="E7223" s="21"/>
      <c r="F7223" s="22">
        <f>F7232</f>
        <v>70.46</v>
      </c>
      <c r="G7223" s="21"/>
    </row>
    <row r="7224" ht="21.0" customHeight="1">
      <c r="A7224" s="11"/>
      <c r="B7224" s="11"/>
      <c r="C7224" s="11"/>
      <c r="D7224" s="10" t="s">
        <v>3063</v>
      </c>
    </row>
    <row r="7225" ht="30.0" customHeight="1">
      <c r="A7225" s="10" t="s">
        <v>1382</v>
      </c>
      <c r="B7225" s="10" t="s">
        <v>42</v>
      </c>
      <c r="C7225" s="10" t="s">
        <v>184</v>
      </c>
      <c r="D7225" s="10" t="s">
        <v>1383</v>
      </c>
      <c r="E7225" s="14">
        <v>1.0</v>
      </c>
      <c r="F7225" s="15">
        <f>ROUND(1.47,3)</f>
        <v>1.47</v>
      </c>
      <c r="G7225" s="12">
        <f t="shared" ref="G7225:G7230" si="1112">ROUND(E7225*F7225,2)</f>
        <v>1.47</v>
      </c>
    </row>
    <row r="7226" ht="21.0" customHeight="1">
      <c r="A7226" s="10" t="s">
        <v>22</v>
      </c>
      <c r="B7226" s="10" t="s">
        <v>18</v>
      </c>
      <c r="C7226" s="10" t="s">
        <v>23</v>
      </c>
      <c r="D7226" s="10" t="s">
        <v>24</v>
      </c>
      <c r="E7226" s="14">
        <v>1.5</v>
      </c>
      <c r="F7226" s="15">
        <f>F7230</f>
        <v>43.8</v>
      </c>
      <c r="G7226" s="12">
        <f t="shared" si="1112"/>
        <v>65.7</v>
      </c>
    </row>
    <row r="7227" ht="24.0" customHeight="1">
      <c r="A7227" s="10" t="s">
        <v>25</v>
      </c>
      <c r="B7227" s="10" t="s">
        <v>26</v>
      </c>
      <c r="C7227" s="10" t="s">
        <v>23</v>
      </c>
      <c r="D7227" s="10" t="s">
        <v>27</v>
      </c>
      <c r="E7227" s="14">
        <v>1.0</v>
      </c>
      <c r="F7227" s="15">
        <f>ROUND(21,3)</f>
        <v>21</v>
      </c>
      <c r="G7227" s="12">
        <f t="shared" si="1112"/>
        <v>21</v>
      </c>
    </row>
    <row r="7228" ht="24.0" customHeight="1">
      <c r="A7228" s="10" t="s">
        <v>28</v>
      </c>
      <c r="B7228" s="10" t="s">
        <v>26</v>
      </c>
      <c r="C7228" s="10" t="s">
        <v>23</v>
      </c>
      <c r="D7228" s="10" t="s">
        <v>29</v>
      </c>
      <c r="E7228" s="14">
        <v>1.0</v>
      </c>
      <c r="F7228" s="15">
        <f t="shared" ref="F7228:F7229" si="1113">ROUND(19,3)</f>
        <v>19</v>
      </c>
      <c r="G7228" s="12">
        <f t="shared" si="1112"/>
        <v>19</v>
      </c>
    </row>
    <row r="7229" ht="24.0" customHeight="1">
      <c r="A7229" s="10" t="s">
        <v>30</v>
      </c>
      <c r="B7229" s="10" t="s">
        <v>26</v>
      </c>
      <c r="C7229" s="10" t="s">
        <v>23</v>
      </c>
      <c r="D7229" s="10" t="s">
        <v>31</v>
      </c>
      <c r="E7229" s="14">
        <v>0.2</v>
      </c>
      <c r="F7229" s="15">
        <f t="shared" si="1113"/>
        <v>19</v>
      </c>
      <c r="G7229" s="12">
        <f t="shared" si="1112"/>
        <v>3.8</v>
      </c>
    </row>
    <row r="7230" ht="15.0" customHeight="1">
      <c r="A7230" s="11"/>
      <c r="B7230" s="11"/>
      <c r="C7230" s="11"/>
      <c r="D7230" s="10" t="s">
        <v>22</v>
      </c>
      <c r="E7230" s="14">
        <v>1.5</v>
      </c>
      <c r="F7230" s="15">
        <f>ROUND((G7227+G7228+G7229),3)</f>
        <v>43.8</v>
      </c>
      <c r="G7230" s="12">
        <f t="shared" si="1112"/>
        <v>65.7</v>
      </c>
    </row>
    <row r="7231" ht="15.0" customHeight="1">
      <c r="A7231" s="10" t="s">
        <v>32</v>
      </c>
      <c r="B7231" s="10"/>
      <c r="C7231" s="10" t="s">
        <v>33</v>
      </c>
      <c r="D7231" s="10" t="s">
        <v>34</v>
      </c>
      <c r="E7231" s="14">
        <v>5.0</v>
      </c>
      <c r="F7231" s="15">
        <f>ROUND(65.7,3)</f>
        <v>65.7</v>
      </c>
      <c r="G7231" s="12">
        <f>ROUND((E7231*F7231)/100,2)</f>
        <v>3.29</v>
      </c>
    </row>
    <row r="7232" ht="15.0" customHeight="1">
      <c r="A7232" s="16"/>
      <c r="B7232" s="16"/>
      <c r="C7232" s="16"/>
      <c r="D7232" s="17" t="s">
        <v>3062</v>
      </c>
      <c r="E7232" s="16"/>
      <c r="F7232" s="18">
        <f>ROUND((G7225+G7226+G7231)*(1+G2/100),2)</f>
        <v>70.46</v>
      </c>
      <c r="G7232" s="16"/>
    </row>
    <row r="7233" ht="24.75" customHeight="1">
      <c r="A7233" s="19" t="s">
        <v>3064</v>
      </c>
      <c r="B7233" s="20" t="s">
        <v>18</v>
      </c>
      <c r="C7233" s="20" t="s">
        <v>231</v>
      </c>
      <c r="D7233" s="20" t="s">
        <v>3065</v>
      </c>
      <c r="E7233" s="21"/>
      <c r="F7233" s="22">
        <f>F7240</f>
        <v>1440</v>
      </c>
      <c r="G7233" s="21"/>
    </row>
    <row r="7234" ht="12.0" customHeight="1">
      <c r="A7234" s="11"/>
      <c r="B7234" s="11"/>
      <c r="C7234" s="11"/>
      <c r="D7234" s="10" t="s">
        <v>3065</v>
      </c>
    </row>
    <row r="7235" ht="30.0" customHeight="1">
      <c r="A7235" s="10" t="s">
        <v>3066</v>
      </c>
      <c r="B7235" s="10" t="s">
        <v>18</v>
      </c>
      <c r="C7235" s="10" t="s">
        <v>23</v>
      </c>
      <c r="D7235" s="10" t="s">
        <v>3067</v>
      </c>
      <c r="E7235" s="14">
        <v>24.0</v>
      </c>
      <c r="F7235" s="15">
        <f>F7238</f>
        <v>40</v>
      </c>
      <c r="G7235" s="12">
        <f t="shared" ref="G7235:G7238" si="1114">ROUND(E7235*F7235,2)</f>
        <v>960</v>
      </c>
    </row>
    <row r="7236" ht="24.0" customHeight="1">
      <c r="A7236" s="10" t="s">
        <v>3068</v>
      </c>
      <c r="B7236" s="10" t="s">
        <v>26</v>
      </c>
      <c r="C7236" s="10" t="s">
        <v>23</v>
      </c>
      <c r="D7236" s="10" t="s">
        <v>3069</v>
      </c>
      <c r="E7236" s="14">
        <v>1.0</v>
      </c>
      <c r="F7236" s="15">
        <f>ROUND(21,3)</f>
        <v>21</v>
      </c>
      <c r="G7236" s="12">
        <f t="shared" si="1114"/>
        <v>21</v>
      </c>
    </row>
    <row r="7237" ht="24.0" customHeight="1">
      <c r="A7237" s="10" t="s">
        <v>3070</v>
      </c>
      <c r="B7237" s="10" t="s">
        <v>26</v>
      </c>
      <c r="C7237" s="10" t="s">
        <v>23</v>
      </c>
      <c r="D7237" s="10" t="s">
        <v>3071</v>
      </c>
      <c r="E7237" s="14">
        <v>1.0</v>
      </c>
      <c r="F7237" s="15">
        <f>ROUND(19,3)</f>
        <v>19</v>
      </c>
      <c r="G7237" s="12">
        <f t="shared" si="1114"/>
        <v>19</v>
      </c>
    </row>
    <row r="7238" ht="15.0" customHeight="1">
      <c r="A7238" s="11"/>
      <c r="B7238" s="11"/>
      <c r="C7238" s="11"/>
      <c r="D7238" s="10" t="s">
        <v>3066</v>
      </c>
      <c r="E7238" s="14">
        <v>24.0</v>
      </c>
      <c r="F7238" s="15">
        <f>ROUND((G7236+G7237),3)</f>
        <v>40</v>
      </c>
      <c r="G7238" s="12">
        <f t="shared" si="1114"/>
        <v>960</v>
      </c>
    </row>
    <row r="7239" ht="15.0" customHeight="1">
      <c r="A7239" s="10" t="s">
        <v>32</v>
      </c>
      <c r="B7239" s="10"/>
      <c r="C7239" s="10" t="s">
        <v>33</v>
      </c>
      <c r="D7239" s="10" t="s">
        <v>34</v>
      </c>
      <c r="E7239" s="14">
        <v>50.0</v>
      </c>
      <c r="F7239" s="15">
        <f>ROUND(960,3)</f>
        <v>960</v>
      </c>
      <c r="G7239" s="12">
        <f>ROUND((E7239*F7239)/100,2)</f>
        <v>480</v>
      </c>
    </row>
    <row r="7240" ht="24.75" customHeight="1">
      <c r="A7240" s="16"/>
      <c r="B7240" s="16"/>
      <c r="C7240" s="16"/>
      <c r="D7240" s="17" t="s">
        <v>3064</v>
      </c>
      <c r="E7240" s="16"/>
      <c r="F7240" s="18">
        <f>ROUND((G7235+G7239)*(1+G2/100),2)</f>
        <v>1440</v>
      </c>
      <c r="G7240" s="16"/>
    </row>
    <row r="7241" ht="30.0" customHeight="1">
      <c r="A7241" s="19" t="s">
        <v>3072</v>
      </c>
      <c r="B7241" s="20" t="s">
        <v>18</v>
      </c>
      <c r="C7241" s="20" t="s">
        <v>19</v>
      </c>
      <c r="D7241" s="20" t="s">
        <v>3073</v>
      </c>
      <c r="E7241" s="21"/>
      <c r="F7241" s="22" t="str">
        <f>F7251</f>
        <v>#ERROR!</v>
      </c>
      <c r="G7241" s="21"/>
    </row>
    <row r="7242" ht="57.75" customHeight="1">
      <c r="A7242" s="11"/>
      <c r="B7242" s="11"/>
      <c r="C7242" s="11"/>
      <c r="D7242" s="10" t="s">
        <v>3074</v>
      </c>
    </row>
    <row r="7243" ht="39.75" customHeight="1">
      <c r="A7243" s="10" t="s">
        <v>3075</v>
      </c>
      <c r="B7243" s="10" t="s">
        <v>42</v>
      </c>
      <c r="C7243" s="10" t="s">
        <v>344</v>
      </c>
      <c r="D7243" s="10" t="s">
        <v>3076</v>
      </c>
      <c r="E7243" s="14">
        <v>2.555</v>
      </c>
      <c r="F7243" s="15">
        <f>ROUND(21.49,3)</f>
        <v>21.49</v>
      </c>
      <c r="G7243" s="12">
        <f t="shared" ref="G7243:G7249" si="1115">ROUND(E7243*F7243,2)</f>
        <v>54.91</v>
      </c>
    </row>
    <row r="7244" ht="39.75" customHeight="1">
      <c r="A7244" s="10" t="s">
        <v>953</v>
      </c>
      <c r="B7244" s="10" t="s">
        <v>112</v>
      </c>
      <c r="C7244" s="10" t="s">
        <v>23</v>
      </c>
      <c r="D7244" s="10" t="s">
        <v>954</v>
      </c>
      <c r="E7244" s="14">
        <v>0.2</v>
      </c>
      <c r="F7244" s="15">
        <f>ROUND(1.75,3)</f>
        <v>1.75</v>
      </c>
      <c r="G7244" s="12">
        <f t="shared" si="1115"/>
        <v>0.35</v>
      </c>
    </row>
    <row r="7245" ht="39.75" customHeight="1">
      <c r="A7245" s="10" t="s">
        <v>1435</v>
      </c>
      <c r="B7245" s="10" t="s">
        <v>112</v>
      </c>
      <c r="C7245" s="10" t="s">
        <v>23</v>
      </c>
      <c r="D7245" s="10" t="s">
        <v>1436</v>
      </c>
      <c r="E7245" s="14">
        <v>0.3</v>
      </c>
      <c r="F7245" s="15">
        <f>ROUND(2.86,3)</f>
        <v>2.86</v>
      </c>
      <c r="G7245" s="12">
        <f t="shared" si="1115"/>
        <v>0.86</v>
      </c>
    </row>
    <row r="7246" ht="30.0" customHeight="1">
      <c r="A7246" s="10" t="s">
        <v>1437</v>
      </c>
      <c r="B7246" s="10" t="s">
        <v>42</v>
      </c>
      <c r="C7246" s="10" t="s">
        <v>325</v>
      </c>
      <c r="D7246" s="10" t="s">
        <v>1438</v>
      </c>
      <c r="E7246" s="14">
        <v>0.42</v>
      </c>
      <c r="F7246" s="15">
        <f>ROUND(30.45,3)</f>
        <v>30.45</v>
      </c>
      <c r="G7246" s="12">
        <f t="shared" si="1115"/>
        <v>12.79</v>
      </c>
    </row>
    <row r="7247" ht="39.75" customHeight="1">
      <c r="A7247" s="10" t="s">
        <v>3077</v>
      </c>
      <c r="B7247" s="10" t="s">
        <v>42</v>
      </c>
      <c r="C7247" s="10" t="s">
        <v>43</v>
      </c>
      <c r="D7247" s="10" t="s">
        <v>3078</v>
      </c>
      <c r="E7247" s="14">
        <v>0.05</v>
      </c>
      <c r="F7247" s="15">
        <f>ROUND(53.44,3)</f>
        <v>53.44</v>
      </c>
      <c r="G7247" s="12">
        <f t="shared" si="1115"/>
        <v>2.67</v>
      </c>
    </row>
    <row r="7248" ht="30.0" customHeight="1">
      <c r="A7248" s="10" t="s">
        <v>2458</v>
      </c>
      <c r="B7248" s="10" t="s">
        <v>18</v>
      </c>
      <c r="C7248" s="10" t="s">
        <v>23</v>
      </c>
      <c r="D7248" s="10" t="s">
        <v>2459</v>
      </c>
      <c r="E7248" s="14">
        <v>0.72</v>
      </c>
      <c r="F7248" s="15" t="str">
        <f>F7249</f>
        <v>#ERROR!</v>
      </c>
      <c r="G7248" s="12" t="str">
        <f t="shared" si="1115"/>
        <v>#ERROR!</v>
      </c>
    </row>
    <row r="7249" ht="15.0" customHeight="1">
      <c r="A7249" s="11"/>
      <c r="B7249" s="11"/>
      <c r="C7249" s="11"/>
      <c r="D7249" s="10" t="s">
        <v>2458</v>
      </c>
      <c r="E7249" s="14">
        <v>0.72</v>
      </c>
      <c r="F7249" s="15" t="str">
        <f>ROUND((),3)</f>
        <v>#ERROR!</v>
      </c>
      <c r="G7249" s="12" t="str">
        <f t="shared" si="1115"/>
        <v>#ERROR!</v>
      </c>
    </row>
    <row r="7250" ht="15.0" customHeight="1">
      <c r="A7250" s="10" t="s">
        <v>32</v>
      </c>
      <c r="B7250" s="10"/>
      <c r="C7250" s="10" t="s">
        <v>33</v>
      </c>
      <c r="D7250" s="10" t="s">
        <v>34</v>
      </c>
      <c r="E7250" s="14">
        <v>7.0</v>
      </c>
      <c r="F7250" s="15">
        <f>ROUND(35.64,3)</f>
        <v>35.64</v>
      </c>
      <c r="G7250" s="12">
        <f>ROUND((E7250*F7250)/100,2)</f>
        <v>2.49</v>
      </c>
    </row>
    <row r="7251" ht="15.0" customHeight="1">
      <c r="A7251" s="16"/>
      <c r="B7251" s="16"/>
      <c r="C7251" s="16"/>
      <c r="D7251" s="17" t="s">
        <v>3072</v>
      </c>
      <c r="E7251" s="16"/>
      <c r="F7251" s="18" t="str">
        <f>ROUND((G7243+G7244+G7245+G7246+G7247+G7248+G7250)*(1+G2/100),2)</f>
        <v>#ERROR!</v>
      </c>
      <c r="G7251" s="16"/>
    </row>
    <row r="7252" ht="21.0" customHeight="1">
      <c r="A7252" s="19" t="s">
        <v>3079</v>
      </c>
      <c r="B7252" s="20" t="s">
        <v>18</v>
      </c>
      <c r="C7252" s="20" t="s">
        <v>251</v>
      </c>
      <c r="D7252" s="20" t="s">
        <v>3080</v>
      </c>
      <c r="E7252" s="21"/>
      <c r="F7252" s="22">
        <f>F7261</f>
        <v>23.21</v>
      </c>
      <c r="G7252" s="21"/>
    </row>
    <row r="7253" ht="39.75" customHeight="1">
      <c r="A7253" s="11"/>
      <c r="B7253" s="11"/>
      <c r="C7253" s="11"/>
      <c r="D7253" s="10" t="s">
        <v>1113</v>
      </c>
    </row>
    <row r="7254" ht="30.0" customHeight="1">
      <c r="A7254" s="10" t="s">
        <v>1051</v>
      </c>
      <c r="B7254" s="10" t="s">
        <v>42</v>
      </c>
      <c r="C7254" s="10" t="s">
        <v>43</v>
      </c>
      <c r="D7254" s="10" t="s">
        <v>1052</v>
      </c>
      <c r="E7254" s="14">
        <v>0.0666</v>
      </c>
      <c r="F7254" s="15">
        <f>ROUND(110.66,3)</f>
        <v>110.66</v>
      </c>
      <c r="G7254" s="12">
        <f t="shared" ref="G7254:G7260" si="1116">ROUND(E7254*F7254,2)</f>
        <v>7.37</v>
      </c>
    </row>
    <row r="7255" ht="24.0" customHeight="1">
      <c r="A7255" s="10" t="s">
        <v>1053</v>
      </c>
      <c r="B7255" s="10" t="s">
        <v>42</v>
      </c>
      <c r="C7255" s="10" t="s">
        <v>43</v>
      </c>
      <c r="D7255" s="10" t="s">
        <v>1054</v>
      </c>
      <c r="E7255" s="14">
        <v>0.11</v>
      </c>
      <c r="F7255" s="15">
        <f>ROUND(4.63,3)</f>
        <v>4.63</v>
      </c>
      <c r="G7255" s="12">
        <f t="shared" si="1116"/>
        <v>0.51</v>
      </c>
    </row>
    <row r="7256" ht="21.0" customHeight="1">
      <c r="A7256" s="10" t="s">
        <v>22</v>
      </c>
      <c r="B7256" s="10" t="s">
        <v>18</v>
      </c>
      <c r="C7256" s="10" t="s">
        <v>23</v>
      </c>
      <c r="D7256" s="10" t="s">
        <v>24</v>
      </c>
      <c r="E7256" s="14">
        <v>0.35</v>
      </c>
      <c r="F7256" s="15">
        <f>F7260</f>
        <v>43.8</v>
      </c>
      <c r="G7256" s="12">
        <f t="shared" si="1116"/>
        <v>15.33</v>
      </c>
    </row>
    <row r="7257" ht="24.0" customHeight="1">
      <c r="A7257" s="10" t="s">
        <v>25</v>
      </c>
      <c r="B7257" s="10" t="s">
        <v>26</v>
      </c>
      <c r="C7257" s="10" t="s">
        <v>23</v>
      </c>
      <c r="D7257" s="10" t="s">
        <v>27</v>
      </c>
      <c r="E7257" s="14">
        <v>1.0</v>
      </c>
      <c r="F7257" s="15">
        <f>ROUND(21,3)</f>
        <v>21</v>
      </c>
      <c r="G7257" s="12">
        <f t="shared" si="1116"/>
        <v>21</v>
      </c>
    </row>
    <row r="7258" ht="24.0" customHeight="1">
      <c r="A7258" s="10" t="s">
        <v>28</v>
      </c>
      <c r="B7258" s="10" t="s">
        <v>26</v>
      </c>
      <c r="C7258" s="10" t="s">
        <v>23</v>
      </c>
      <c r="D7258" s="10" t="s">
        <v>29</v>
      </c>
      <c r="E7258" s="14">
        <v>1.0</v>
      </c>
      <c r="F7258" s="15">
        <f t="shared" ref="F7258:F7259" si="1117">ROUND(19,3)</f>
        <v>19</v>
      </c>
      <c r="G7258" s="12">
        <f t="shared" si="1116"/>
        <v>19</v>
      </c>
    </row>
    <row r="7259" ht="24.0" customHeight="1">
      <c r="A7259" s="10" t="s">
        <v>30</v>
      </c>
      <c r="B7259" s="10" t="s">
        <v>26</v>
      </c>
      <c r="C7259" s="10" t="s">
        <v>23</v>
      </c>
      <c r="D7259" s="10" t="s">
        <v>31</v>
      </c>
      <c r="E7259" s="14">
        <v>0.2</v>
      </c>
      <c r="F7259" s="15">
        <f t="shared" si="1117"/>
        <v>19</v>
      </c>
      <c r="G7259" s="12">
        <f t="shared" si="1116"/>
        <v>3.8</v>
      </c>
    </row>
    <row r="7260" ht="15.0" customHeight="1">
      <c r="A7260" s="11"/>
      <c r="B7260" s="11"/>
      <c r="C7260" s="11"/>
      <c r="D7260" s="10" t="s">
        <v>22</v>
      </c>
      <c r="E7260" s="14">
        <v>0.35</v>
      </c>
      <c r="F7260" s="15">
        <f>ROUND((G7257+G7258+G7259),3)</f>
        <v>43.8</v>
      </c>
      <c r="G7260" s="12">
        <f t="shared" si="1116"/>
        <v>15.33</v>
      </c>
    </row>
    <row r="7261" ht="15.0" customHeight="1">
      <c r="A7261" s="16"/>
      <c r="B7261" s="16"/>
      <c r="C7261" s="16"/>
      <c r="D7261" s="17" t="s">
        <v>3079</v>
      </c>
      <c r="E7261" s="16"/>
      <c r="F7261" s="18">
        <f>ROUND((G7254+G7255+G7256)*(1+G2/100),2)</f>
        <v>23.21</v>
      </c>
      <c r="G7261" s="16"/>
    </row>
    <row r="7262" ht="39.75" customHeight="1">
      <c r="A7262" s="19" t="s">
        <v>3081</v>
      </c>
      <c r="B7262" s="20" t="s">
        <v>18</v>
      </c>
      <c r="C7262" s="20" t="s">
        <v>231</v>
      </c>
      <c r="D7262" s="20" t="s">
        <v>3082</v>
      </c>
      <c r="E7262" s="21"/>
      <c r="F7262" s="22">
        <f>F7269</f>
        <v>480</v>
      </c>
      <c r="G7262" s="21"/>
    </row>
    <row r="7263" ht="21.0" customHeight="1">
      <c r="A7263" s="11"/>
      <c r="B7263" s="11"/>
      <c r="C7263" s="11"/>
      <c r="D7263" s="10" t="s">
        <v>3082</v>
      </c>
    </row>
    <row r="7264" ht="21.0" customHeight="1">
      <c r="A7264" s="10" t="s">
        <v>1046</v>
      </c>
      <c r="B7264" s="10" t="s">
        <v>18</v>
      </c>
      <c r="C7264" s="10" t="s">
        <v>23</v>
      </c>
      <c r="D7264" s="10" t="s">
        <v>1047</v>
      </c>
      <c r="E7264" s="14">
        <v>8.0</v>
      </c>
      <c r="F7264" s="15">
        <f>F7267</f>
        <v>40</v>
      </c>
      <c r="G7264" s="12">
        <f t="shared" ref="G7264:G7267" si="1118">ROUND(E7264*F7264,2)</f>
        <v>320</v>
      </c>
    </row>
    <row r="7265" ht="24.0" customHeight="1">
      <c r="A7265" s="10" t="s">
        <v>25</v>
      </c>
      <c r="B7265" s="10" t="s">
        <v>26</v>
      </c>
      <c r="C7265" s="10" t="s">
        <v>23</v>
      </c>
      <c r="D7265" s="10" t="s">
        <v>27</v>
      </c>
      <c r="E7265" s="14">
        <v>1.0</v>
      </c>
      <c r="F7265" s="15">
        <f>ROUND(21,3)</f>
        <v>21</v>
      </c>
      <c r="G7265" s="12">
        <f t="shared" si="1118"/>
        <v>21</v>
      </c>
    </row>
    <row r="7266" ht="24.0" customHeight="1">
      <c r="A7266" s="10" t="s">
        <v>28</v>
      </c>
      <c r="B7266" s="10" t="s">
        <v>26</v>
      </c>
      <c r="C7266" s="10" t="s">
        <v>23</v>
      </c>
      <c r="D7266" s="10" t="s">
        <v>29</v>
      </c>
      <c r="E7266" s="14">
        <v>1.0</v>
      </c>
      <c r="F7266" s="15">
        <f>ROUND(19,3)</f>
        <v>19</v>
      </c>
      <c r="G7266" s="12">
        <f t="shared" si="1118"/>
        <v>19</v>
      </c>
    </row>
    <row r="7267" ht="15.0" customHeight="1">
      <c r="A7267" s="11"/>
      <c r="B7267" s="11"/>
      <c r="C7267" s="11"/>
      <c r="D7267" s="10" t="s">
        <v>1046</v>
      </c>
      <c r="E7267" s="14">
        <v>8.0</v>
      </c>
      <c r="F7267" s="15">
        <f>ROUND((G7265+G7266),3)</f>
        <v>40</v>
      </c>
      <c r="G7267" s="12">
        <f t="shared" si="1118"/>
        <v>320</v>
      </c>
    </row>
    <row r="7268" ht="15.0" customHeight="1">
      <c r="A7268" s="10" t="s">
        <v>32</v>
      </c>
      <c r="B7268" s="10"/>
      <c r="C7268" s="10" t="s">
        <v>33</v>
      </c>
      <c r="D7268" s="10" t="s">
        <v>34</v>
      </c>
      <c r="E7268" s="14">
        <v>50.0</v>
      </c>
      <c r="F7268" s="15">
        <f>ROUND(320,3)</f>
        <v>320</v>
      </c>
      <c r="G7268" s="12">
        <f>ROUND((E7268*F7268)/100,2)</f>
        <v>160</v>
      </c>
    </row>
    <row r="7269" ht="24.75" customHeight="1">
      <c r="A7269" s="16"/>
      <c r="B7269" s="16"/>
      <c r="C7269" s="16"/>
      <c r="D7269" s="17" t="s">
        <v>3081</v>
      </c>
      <c r="E7269" s="16"/>
      <c r="F7269" s="18">
        <f>ROUND((G7264+G7268)*(1+G2/100),2)</f>
        <v>480</v>
      </c>
      <c r="G7269" s="16"/>
    </row>
    <row r="7270" ht="24.75" customHeight="1">
      <c r="A7270" s="19" t="s">
        <v>3083</v>
      </c>
      <c r="B7270" s="20" t="s">
        <v>18</v>
      </c>
      <c r="C7270" s="20" t="s">
        <v>3005</v>
      </c>
      <c r="D7270" s="20" t="s">
        <v>3084</v>
      </c>
      <c r="E7270" s="21"/>
      <c r="F7270" s="22">
        <f>F7278</f>
        <v>360.91</v>
      </c>
      <c r="G7270" s="21"/>
    </row>
    <row r="7271" ht="12.0" customHeight="1">
      <c r="A7271" s="11"/>
      <c r="B7271" s="11"/>
      <c r="C7271" s="11"/>
      <c r="D7271" s="10" t="s">
        <v>3084</v>
      </c>
    </row>
    <row r="7272" ht="21.0" customHeight="1">
      <c r="A7272" s="10" t="s">
        <v>22</v>
      </c>
      <c r="B7272" s="10" t="s">
        <v>18</v>
      </c>
      <c r="C7272" s="10" t="s">
        <v>23</v>
      </c>
      <c r="D7272" s="10" t="s">
        <v>24</v>
      </c>
      <c r="E7272" s="14">
        <v>8.0</v>
      </c>
      <c r="F7272" s="15">
        <f>F7276</f>
        <v>43.8</v>
      </c>
      <c r="G7272" s="12">
        <f t="shared" ref="G7272:G7276" si="1119">ROUND(E7272*F7272,2)</f>
        <v>350.4</v>
      </c>
    </row>
    <row r="7273" ht="24.0" customHeight="1">
      <c r="A7273" s="10" t="s">
        <v>25</v>
      </c>
      <c r="B7273" s="10" t="s">
        <v>26</v>
      </c>
      <c r="C7273" s="10" t="s">
        <v>23</v>
      </c>
      <c r="D7273" s="10" t="s">
        <v>27</v>
      </c>
      <c r="E7273" s="14">
        <v>1.0</v>
      </c>
      <c r="F7273" s="15">
        <f>ROUND(21,3)</f>
        <v>21</v>
      </c>
      <c r="G7273" s="12">
        <f t="shared" si="1119"/>
        <v>21</v>
      </c>
    </row>
    <row r="7274" ht="24.0" customHeight="1">
      <c r="A7274" s="10" t="s">
        <v>28</v>
      </c>
      <c r="B7274" s="10" t="s">
        <v>26</v>
      </c>
      <c r="C7274" s="10" t="s">
        <v>23</v>
      </c>
      <c r="D7274" s="10" t="s">
        <v>29</v>
      </c>
      <c r="E7274" s="14">
        <v>1.0</v>
      </c>
      <c r="F7274" s="15">
        <f t="shared" ref="F7274:F7275" si="1120">ROUND(19,3)</f>
        <v>19</v>
      </c>
      <c r="G7274" s="12">
        <f t="shared" si="1119"/>
        <v>19</v>
      </c>
    </row>
    <row r="7275" ht="24.0" customHeight="1">
      <c r="A7275" s="10" t="s">
        <v>30</v>
      </c>
      <c r="B7275" s="10" t="s">
        <v>26</v>
      </c>
      <c r="C7275" s="10" t="s">
        <v>23</v>
      </c>
      <c r="D7275" s="10" t="s">
        <v>31</v>
      </c>
      <c r="E7275" s="14">
        <v>0.2</v>
      </c>
      <c r="F7275" s="15">
        <f t="shared" si="1120"/>
        <v>19</v>
      </c>
      <c r="G7275" s="12">
        <f t="shared" si="1119"/>
        <v>3.8</v>
      </c>
    </row>
    <row r="7276" ht="15.0" customHeight="1">
      <c r="A7276" s="11"/>
      <c r="B7276" s="11"/>
      <c r="C7276" s="11"/>
      <c r="D7276" s="10" t="s">
        <v>22</v>
      </c>
      <c r="E7276" s="14">
        <v>8.0</v>
      </c>
      <c r="F7276" s="15">
        <f>ROUND((G7273+G7274+G7275),3)</f>
        <v>43.8</v>
      </c>
      <c r="G7276" s="12">
        <f t="shared" si="1119"/>
        <v>350.4</v>
      </c>
    </row>
    <row r="7277" ht="15.0" customHeight="1">
      <c r="A7277" s="10" t="s">
        <v>32</v>
      </c>
      <c r="B7277" s="10"/>
      <c r="C7277" s="10" t="s">
        <v>33</v>
      </c>
      <c r="D7277" s="10" t="s">
        <v>34</v>
      </c>
      <c r="E7277" s="14">
        <v>3.0</v>
      </c>
      <c r="F7277" s="15">
        <f>ROUND(350.4,3)</f>
        <v>350.4</v>
      </c>
      <c r="G7277" s="12">
        <f>ROUND((E7277*F7277)/100,2)</f>
        <v>10.51</v>
      </c>
    </row>
    <row r="7278" ht="15.0" customHeight="1">
      <c r="A7278" s="16"/>
      <c r="B7278" s="16"/>
      <c r="C7278" s="16"/>
      <c r="D7278" s="17" t="s">
        <v>3083</v>
      </c>
      <c r="E7278" s="16"/>
      <c r="F7278" s="18">
        <f>ROUND((G7272+G7277)*(1+G2/100),2)</f>
        <v>360.91</v>
      </c>
      <c r="G7278" s="16"/>
    </row>
    <row r="7279" ht="34.5" customHeight="1">
      <c r="A7279" s="19" t="s">
        <v>3085</v>
      </c>
      <c r="B7279" s="20" t="s">
        <v>18</v>
      </c>
      <c r="C7279" s="20" t="s">
        <v>231</v>
      </c>
      <c r="D7279" s="20" t="s">
        <v>3086</v>
      </c>
      <c r="E7279" s="21"/>
      <c r="F7279" s="22">
        <f>F7286</f>
        <v>480</v>
      </c>
      <c r="G7279" s="21"/>
    </row>
    <row r="7280" ht="21.0" customHeight="1">
      <c r="A7280" s="11"/>
      <c r="B7280" s="11"/>
      <c r="C7280" s="11"/>
      <c r="D7280" s="10" t="s">
        <v>3086</v>
      </c>
    </row>
    <row r="7281" ht="21.0" customHeight="1">
      <c r="A7281" s="10" t="s">
        <v>1046</v>
      </c>
      <c r="B7281" s="10" t="s">
        <v>18</v>
      </c>
      <c r="C7281" s="10" t="s">
        <v>23</v>
      </c>
      <c r="D7281" s="10" t="s">
        <v>1047</v>
      </c>
      <c r="E7281" s="14">
        <v>8.0</v>
      </c>
      <c r="F7281" s="15">
        <f>F7284</f>
        <v>40</v>
      </c>
      <c r="G7281" s="12">
        <f t="shared" ref="G7281:G7284" si="1121">ROUND(E7281*F7281,2)</f>
        <v>320</v>
      </c>
    </row>
    <row r="7282" ht="24.0" customHeight="1">
      <c r="A7282" s="10" t="s">
        <v>25</v>
      </c>
      <c r="B7282" s="10" t="s">
        <v>26</v>
      </c>
      <c r="C7282" s="10" t="s">
        <v>23</v>
      </c>
      <c r="D7282" s="10" t="s">
        <v>27</v>
      </c>
      <c r="E7282" s="14">
        <v>1.0</v>
      </c>
      <c r="F7282" s="15">
        <f>ROUND(21,3)</f>
        <v>21</v>
      </c>
      <c r="G7282" s="12">
        <f t="shared" si="1121"/>
        <v>21</v>
      </c>
    </row>
    <row r="7283" ht="24.0" customHeight="1">
      <c r="A7283" s="10" t="s">
        <v>28</v>
      </c>
      <c r="B7283" s="10" t="s">
        <v>26</v>
      </c>
      <c r="C7283" s="10" t="s">
        <v>23</v>
      </c>
      <c r="D7283" s="10" t="s">
        <v>29</v>
      </c>
      <c r="E7283" s="14">
        <v>1.0</v>
      </c>
      <c r="F7283" s="15">
        <f>ROUND(19,3)</f>
        <v>19</v>
      </c>
      <c r="G7283" s="12">
        <f t="shared" si="1121"/>
        <v>19</v>
      </c>
    </row>
    <row r="7284" ht="15.0" customHeight="1">
      <c r="A7284" s="11"/>
      <c r="B7284" s="11"/>
      <c r="C7284" s="11"/>
      <c r="D7284" s="10" t="s">
        <v>1046</v>
      </c>
      <c r="E7284" s="14">
        <v>8.0</v>
      </c>
      <c r="F7284" s="15">
        <f>ROUND((G7282+G7283),3)</f>
        <v>40</v>
      </c>
      <c r="G7284" s="12">
        <f t="shared" si="1121"/>
        <v>320</v>
      </c>
    </row>
    <row r="7285" ht="15.0" customHeight="1">
      <c r="A7285" s="10" t="s">
        <v>32</v>
      </c>
      <c r="B7285" s="10"/>
      <c r="C7285" s="10" t="s">
        <v>33</v>
      </c>
      <c r="D7285" s="10" t="s">
        <v>34</v>
      </c>
      <c r="E7285" s="14">
        <v>50.0</v>
      </c>
      <c r="F7285" s="15">
        <f>ROUND(320,3)</f>
        <v>320</v>
      </c>
      <c r="G7285" s="12">
        <f>ROUND((E7285*F7285)/100,2)</f>
        <v>160</v>
      </c>
    </row>
    <row r="7286" ht="24.75" customHeight="1">
      <c r="A7286" s="16"/>
      <c r="B7286" s="16"/>
      <c r="C7286" s="16"/>
      <c r="D7286" s="17" t="s">
        <v>3085</v>
      </c>
      <c r="E7286" s="16"/>
      <c r="F7286" s="18">
        <f>ROUND((G7281+G7285)*(1+G2/100),2)</f>
        <v>480</v>
      </c>
      <c r="G7286" s="16"/>
    </row>
    <row r="7287" ht="39.75" customHeight="1">
      <c r="A7287" s="19" t="s">
        <v>3087</v>
      </c>
      <c r="B7287" s="20" t="s">
        <v>18</v>
      </c>
      <c r="C7287" s="20" t="s">
        <v>231</v>
      </c>
      <c r="D7287" s="20" t="s">
        <v>3088</v>
      </c>
      <c r="E7287" s="21"/>
      <c r="F7287" s="22">
        <f>F7294</f>
        <v>480</v>
      </c>
      <c r="G7287" s="21"/>
    </row>
    <row r="7288" ht="21.0" customHeight="1">
      <c r="A7288" s="11"/>
      <c r="B7288" s="11"/>
      <c r="C7288" s="11"/>
      <c r="D7288" s="10" t="s">
        <v>3088</v>
      </c>
    </row>
    <row r="7289" ht="21.0" customHeight="1">
      <c r="A7289" s="10" t="s">
        <v>1046</v>
      </c>
      <c r="B7289" s="10" t="s">
        <v>18</v>
      </c>
      <c r="C7289" s="10" t="s">
        <v>23</v>
      </c>
      <c r="D7289" s="10" t="s">
        <v>1047</v>
      </c>
      <c r="E7289" s="14">
        <v>8.0</v>
      </c>
      <c r="F7289" s="15">
        <f>F7292</f>
        <v>40</v>
      </c>
      <c r="G7289" s="12">
        <f t="shared" ref="G7289:G7292" si="1122">ROUND(E7289*F7289,2)</f>
        <v>320</v>
      </c>
    </row>
    <row r="7290" ht="24.0" customHeight="1">
      <c r="A7290" s="10" t="s">
        <v>25</v>
      </c>
      <c r="B7290" s="10" t="s">
        <v>26</v>
      </c>
      <c r="C7290" s="10" t="s">
        <v>23</v>
      </c>
      <c r="D7290" s="10" t="s">
        <v>27</v>
      </c>
      <c r="E7290" s="14">
        <v>1.0</v>
      </c>
      <c r="F7290" s="15">
        <f>ROUND(21,3)</f>
        <v>21</v>
      </c>
      <c r="G7290" s="12">
        <f t="shared" si="1122"/>
        <v>21</v>
      </c>
    </row>
    <row r="7291" ht="24.0" customHeight="1">
      <c r="A7291" s="10" t="s">
        <v>28</v>
      </c>
      <c r="B7291" s="10" t="s">
        <v>26</v>
      </c>
      <c r="C7291" s="10" t="s">
        <v>23</v>
      </c>
      <c r="D7291" s="10" t="s">
        <v>29</v>
      </c>
      <c r="E7291" s="14">
        <v>1.0</v>
      </c>
      <c r="F7291" s="15">
        <f>ROUND(19,3)</f>
        <v>19</v>
      </c>
      <c r="G7291" s="12">
        <f t="shared" si="1122"/>
        <v>19</v>
      </c>
    </row>
    <row r="7292" ht="15.0" customHeight="1">
      <c r="A7292" s="11"/>
      <c r="B7292" s="11"/>
      <c r="C7292" s="11"/>
      <c r="D7292" s="10" t="s">
        <v>1046</v>
      </c>
      <c r="E7292" s="14">
        <v>8.0</v>
      </c>
      <c r="F7292" s="15">
        <f>ROUND((G7290+G7291),3)</f>
        <v>40</v>
      </c>
      <c r="G7292" s="12">
        <f t="shared" si="1122"/>
        <v>320</v>
      </c>
    </row>
    <row r="7293" ht="15.0" customHeight="1">
      <c r="A7293" s="10" t="s">
        <v>32</v>
      </c>
      <c r="B7293" s="10"/>
      <c r="C7293" s="10" t="s">
        <v>33</v>
      </c>
      <c r="D7293" s="10" t="s">
        <v>34</v>
      </c>
      <c r="E7293" s="14">
        <v>50.0</v>
      </c>
      <c r="F7293" s="15">
        <f>ROUND(320,3)</f>
        <v>320</v>
      </c>
      <c r="G7293" s="12">
        <f>ROUND((E7293*F7293)/100,2)</f>
        <v>160</v>
      </c>
    </row>
    <row r="7294" ht="24.75" customHeight="1">
      <c r="A7294" s="16"/>
      <c r="B7294" s="16"/>
      <c r="C7294" s="16"/>
      <c r="D7294" s="17" t="s">
        <v>3087</v>
      </c>
      <c r="E7294" s="16"/>
      <c r="F7294" s="18">
        <f>ROUND((G7289+G7293)*(1+G2/100),2)</f>
        <v>480</v>
      </c>
      <c r="G7294" s="16"/>
    </row>
    <row r="7295" ht="39.75" customHeight="1">
      <c r="A7295" s="19" t="s">
        <v>3089</v>
      </c>
      <c r="B7295" s="20" t="s">
        <v>18</v>
      </c>
      <c r="C7295" s="20" t="s">
        <v>231</v>
      </c>
      <c r="D7295" s="20" t="s">
        <v>3090</v>
      </c>
      <c r="E7295" s="21"/>
      <c r="F7295" s="22">
        <f>F7302</f>
        <v>480</v>
      </c>
      <c r="G7295" s="21"/>
    </row>
    <row r="7296" ht="21.0" customHeight="1">
      <c r="A7296" s="11"/>
      <c r="B7296" s="11"/>
      <c r="C7296" s="11"/>
      <c r="D7296" s="10" t="s">
        <v>3090</v>
      </c>
    </row>
    <row r="7297" ht="21.0" customHeight="1">
      <c r="A7297" s="10" t="s">
        <v>1046</v>
      </c>
      <c r="B7297" s="10" t="s">
        <v>18</v>
      </c>
      <c r="C7297" s="10" t="s">
        <v>23</v>
      </c>
      <c r="D7297" s="10" t="s">
        <v>1047</v>
      </c>
      <c r="E7297" s="14">
        <v>8.0</v>
      </c>
      <c r="F7297" s="15">
        <f>F7300</f>
        <v>40</v>
      </c>
      <c r="G7297" s="12">
        <f t="shared" ref="G7297:G7300" si="1123">ROUND(E7297*F7297,2)</f>
        <v>320</v>
      </c>
    </row>
    <row r="7298" ht="24.0" customHeight="1">
      <c r="A7298" s="10" t="s">
        <v>25</v>
      </c>
      <c r="B7298" s="10" t="s">
        <v>26</v>
      </c>
      <c r="C7298" s="10" t="s">
        <v>23</v>
      </c>
      <c r="D7298" s="10" t="s">
        <v>27</v>
      </c>
      <c r="E7298" s="14">
        <v>1.0</v>
      </c>
      <c r="F7298" s="15">
        <f>ROUND(21,3)</f>
        <v>21</v>
      </c>
      <c r="G7298" s="12">
        <f t="shared" si="1123"/>
        <v>21</v>
      </c>
    </row>
    <row r="7299" ht="24.0" customHeight="1">
      <c r="A7299" s="10" t="s">
        <v>28</v>
      </c>
      <c r="B7299" s="10" t="s">
        <v>26</v>
      </c>
      <c r="C7299" s="10" t="s">
        <v>23</v>
      </c>
      <c r="D7299" s="10" t="s">
        <v>29</v>
      </c>
      <c r="E7299" s="14">
        <v>1.0</v>
      </c>
      <c r="F7299" s="15">
        <f>ROUND(19,3)</f>
        <v>19</v>
      </c>
      <c r="G7299" s="12">
        <f t="shared" si="1123"/>
        <v>19</v>
      </c>
    </row>
    <row r="7300" ht="15.0" customHeight="1">
      <c r="A7300" s="11"/>
      <c r="B7300" s="11"/>
      <c r="C7300" s="11"/>
      <c r="D7300" s="10" t="s">
        <v>1046</v>
      </c>
      <c r="E7300" s="14">
        <v>8.0</v>
      </c>
      <c r="F7300" s="15">
        <f>ROUND((G7298+G7299),3)</f>
        <v>40</v>
      </c>
      <c r="G7300" s="12">
        <f t="shared" si="1123"/>
        <v>320</v>
      </c>
    </row>
    <row r="7301" ht="15.0" customHeight="1">
      <c r="A7301" s="10" t="s">
        <v>32</v>
      </c>
      <c r="B7301" s="10"/>
      <c r="C7301" s="10" t="s">
        <v>33</v>
      </c>
      <c r="D7301" s="10" t="s">
        <v>34</v>
      </c>
      <c r="E7301" s="14">
        <v>50.0</v>
      </c>
      <c r="F7301" s="15">
        <f>ROUND(320,3)</f>
        <v>320</v>
      </c>
      <c r="G7301" s="12">
        <f>ROUND((E7301*F7301)/100,2)</f>
        <v>160</v>
      </c>
    </row>
    <row r="7302" ht="24.75" customHeight="1">
      <c r="A7302" s="16"/>
      <c r="B7302" s="16"/>
      <c r="C7302" s="16"/>
      <c r="D7302" s="17" t="s">
        <v>3089</v>
      </c>
      <c r="E7302" s="16"/>
      <c r="F7302" s="18">
        <f>ROUND((G7297+G7301)*(1+G2/100),2)</f>
        <v>480</v>
      </c>
      <c r="G7302" s="16"/>
    </row>
    <row r="7303" ht="15.0" customHeight="1">
      <c r="A7303" s="23"/>
      <c r="B7303" s="23"/>
      <c r="C7303" s="23"/>
      <c r="D7303" s="36" t="s">
        <v>2672</v>
      </c>
      <c r="E7303" s="37"/>
      <c r="F7303" s="37"/>
      <c r="G7303" s="37"/>
    </row>
    <row r="7304" ht="15.0" customHeight="1">
      <c r="A7304" s="38" t="s">
        <v>3091</v>
      </c>
      <c r="B7304" s="38" t="s">
        <v>10</v>
      </c>
      <c r="C7304" s="39"/>
      <c r="D7304" s="38" t="s">
        <v>3092</v>
      </c>
      <c r="E7304" s="39"/>
      <c r="F7304" s="39"/>
      <c r="G7304" s="39"/>
    </row>
    <row r="7305" ht="15.0" customHeight="1">
      <c r="A7305" s="40" t="s">
        <v>3093</v>
      </c>
      <c r="B7305" s="40" t="s">
        <v>10</v>
      </c>
      <c r="C7305" s="41"/>
      <c r="D7305" s="40" t="s">
        <v>3094</v>
      </c>
      <c r="E7305" s="41"/>
      <c r="F7305" s="41"/>
      <c r="G7305" s="41"/>
    </row>
    <row r="7306" ht="21.0" customHeight="1">
      <c r="A7306" s="13" t="s">
        <v>3095</v>
      </c>
      <c r="B7306" s="10" t="s">
        <v>18</v>
      </c>
      <c r="C7306" s="10" t="s">
        <v>321</v>
      </c>
      <c r="D7306" s="10" t="s">
        <v>3096</v>
      </c>
      <c r="E7306" s="11"/>
      <c r="F7306" s="12">
        <f>F7314</f>
        <v>5.82</v>
      </c>
      <c r="G7306" s="11"/>
    </row>
    <row r="7307" ht="30.0" customHeight="1">
      <c r="A7307" s="11"/>
      <c r="B7307" s="11"/>
      <c r="C7307" s="11"/>
      <c r="D7307" s="10" t="s">
        <v>3097</v>
      </c>
    </row>
    <row r="7308" ht="21.0" customHeight="1">
      <c r="A7308" s="10" t="s">
        <v>22</v>
      </c>
      <c r="B7308" s="10" t="s">
        <v>18</v>
      </c>
      <c r="C7308" s="10" t="s">
        <v>23</v>
      </c>
      <c r="D7308" s="10" t="s">
        <v>24</v>
      </c>
      <c r="E7308" s="14">
        <v>0.129</v>
      </c>
      <c r="F7308" s="15">
        <f>F7312</f>
        <v>43.8</v>
      </c>
      <c r="G7308" s="12">
        <f t="shared" ref="G7308:G7312" si="1124">ROUND(E7308*F7308,2)</f>
        <v>5.65</v>
      </c>
    </row>
    <row r="7309" ht="24.0" customHeight="1">
      <c r="A7309" s="10" t="s">
        <v>25</v>
      </c>
      <c r="B7309" s="10" t="s">
        <v>26</v>
      </c>
      <c r="C7309" s="10" t="s">
        <v>23</v>
      </c>
      <c r="D7309" s="10" t="s">
        <v>27</v>
      </c>
      <c r="E7309" s="14">
        <v>1.0</v>
      </c>
      <c r="F7309" s="15">
        <f>ROUND(21,3)</f>
        <v>21</v>
      </c>
      <c r="G7309" s="12">
        <f t="shared" si="1124"/>
        <v>21</v>
      </c>
    </row>
    <row r="7310" ht="24.0" customHeight="1">
      <c r="A7310" s="10" t="s">
        <v>28</v>
      </c>
      <c r="B7310" s="10" t="s">
        <v>26</v>
      </c>
      <c r="C7310" s="10" t="s">
        <v>23</v>
      </c>
      <c r="D7310" s="10" t="s">
        <v>29</v>
      </c>
      <c r="E7310" s="14">
        <v>1.0</v>
      </c>
      <c r="F7310" s="15">
        <f t="shared" ref="F7310:F7311" si="1125">ROUND(19,3)</f>
        <v>19</v>
      </c>
      <c r="G7310" s="12">
        <f t="shared" si="1124"/>
        <v>19</v>
      </c>
    </row>
    <row r="7311" ht="24.0" customHeight="1">
      <c r="A7311" s="10" t="s">
        <v>30</v>
      </c>
      <c r="B7311" s="10" t="s">
        <v>26</v>
      </c>
      <c r="C7311" s="10" t="s">
        <v>23</v>
      </c>
      <c r="D7311" s="10" t="s">
        <v>31</v>
      </c>
      <c r="E7311" s="14">
        <v>0.2</v>
      </c>
      <c r="F7311" s="15">
        <f t="shared" si="1125"/>
        <v>19</v>
      </c>
      <c r="G7311" s="12">
        <f t="shared" si="1124"/>
        <v>3.8</v>
      </c>
    </row>
    <row r="7312" ht="15.0" customHeight="1">
      <c r="A7312" s="11"/>
      <c r="B7312" s="11"/>
      <c r="C7312" s="11"/>
      <c r="D7312" s="10" t="s">
        <v>22</v>
      </c>
      <c r="E7312" s="14">
        <v>0.129</v>
      </c>
      <c r="F7312" s="15">
        <f>ROUND((G7309+G7310+G7311),3)</f>
        <v>43.8</v>
      </c>
      <c r="G7312" s="12">
        <f t="shared" si="1124"/>
        <v>5.65</v>
      </c>
    </row>
    <row r="7313" ht="15.0" customHeight="1">
      <c r="A7313" s="10" t="s">
        <v>32</v>
      </c>
      <c r="B7313" s="10"/>
      <c r="C7313" s="10" t="s">
        <v>33</v>
      </c>
      <c r="D7313" s="10" t="s">
        <v>34</v>
      </c>
      <c r="E7313" s="14">
        <v>3.0</v>
      </c>
      <c r="F7313" s="15">
        <f>ROUND(5.65,3)</f>
        <v>5.65</v>
      </c>
      <c r="G7313" s="12">
        <f>ROUND((E7313*F7313)/100,2)</f>
        <v>0.17</v>
      </c>
    </row>
    <row r="7314" ht="15.0" customHeight="1">
      <c r="A7314" s="16"/>
      <c r="B7314" s="16"/>
      <c r="C7314" s="16"/>
      <c r="D7314" s="17" t="s">
        <v>3095</v>
      </c>
      <c r="E7314" s="16"/>
      <c r="F7314" s="18">
        <f>ROUND((G7308+G7313)*(1+G2/100),2)</f>
        <v>5.82</v>
      </c>
      <c r="G7314" s="16"/>
    </row>
    <row r="7315" ht="30.0" customHeight="1">
      <c r="A7315" s="19" t="s">
        <v>3098</v>
      </c>
      <c r="B7315" s="20" t="s">
        <v>18</v>
      </c>
      <c r="C7315" s="20" t="s">
        <v>321</v>
      </c>
      <c r="D7315" s="20" t="s">
        <v>3099</v>
      </c>
      <c r="E7315" s="21"/>
      <c r="F7315" s="22">
        <f>F7323</f>
        <v>9.02</v>
      </c>
      <c r="G7315" s="21"/>
    </row>
    <row r="7316" ht="30.0" customHeight="1">
      <c r="A7316" s="11"/>
      <c r="B7316" s="11"/>
      <c r="C7316" s="11"/>
      <c r="D7316" s="10" t="s">
        <v>3100</v>
      </c>
    </row>
    <row r="7317" ht="21.0" customHeight="1">
      <c r="A7317" s="10" t="s">
        <v>22</v>
      </c>
      <c r="B7317" s="10" t="s">
        <v>18</v>
      </c>
      <c r="C7317" s="10" t="s">
        <v>23</v>
      </c>
      <c r="D7317" s="10" t="s">
        <v>24</v>
      </c>
      <c r="E7317" s="14">
        <v>0.2</v>
      </c>
      <c r="F7317" s="15">
        <f>F7321</f>
        <v>43.8</v>
      </c>
      <c r="G7317" s="12">
        <f t="shared" ref="G7317:G7321" si="1126">ROUND(E7317*F7317,2)</f>
        <v>8.76</v>
      </c>
    </row>
    <row r="7318" ht="24.0" customHeight="1">
      <c r="A7318" s="10" t="s">
        <v>25</v>
      </c>
      <c r="B7318" s="10" t="s">
        <v>26</v>
      </c>
      <c r="C7318" s="10" t="s">
        <v>23</v>
      </c>
      <c r="D7318" s="10" t="s">
        <v>27</v>
      </c>
      <c r="E7318" s="14">
        <v>1.0</v>
      </c>
      <c r="F7318" s="15">
        <f>ROUND(21,3)</f>
        <v>21</v>
      </c>
      <c r="G7318" s="12">
        <f t="shared" si="1126"/>
        <v>21</v>
      </c>
    </row>
    <row r="7319" ht="24.0" customHeight="1">
      <c r="A7319" s="10" t="s">
        <v>28</v>
      </c>
      <c r="B7319" s="10" t="s">
        <v>26</v>
      </c>
      <c r="C7319" s="10" t="s">
        <v>23</v>
      </c>
      <c r="D7319" s="10" t="s">
        <v>29</v>
      </c>
      <c r="E7319" s="14">
        <v>1.0</v>
      </c>
      <c r="F7319" s="15">
        <f t="shared" ref="F7319:F7320" si="1127">ROUND(19,3)</f>
        <v>19</v>
      </c>
      <c r="G7319" s="12">
        <f t="shared" si="1126"/>
        <v>19</v>
      </c>
    </row>
    <row r="7320" ht="24.0" customHeight="1">
      <c r="A7320" s="10" t="s">
        <v>30</v>
      </c>
      <c r="B7320" s="10" t="s">
        <v>26</v>
      </c>
      <c r="C7320" s="10" t="s">
        <v>23</v>
      </c>
      <c r="D7320" s="10" t="s">
        <v>31</v>
      </c>
      <c r="E7320" s="14">
        <v>0.2</v>
      </c>
      <c r="F7320" s="15">
        <f t="shared" si="1127"/>
        <v>19</v>
      </c>
      <c r="G7320" s="12">
        <f t="shared" si="1126"/>
        <v>3.8</v>
      </c>
    </row>
    <row r="7321" ht="15.0" customHeight="1">
      <c r="A7321" s="11"/>
      <c r="B7321" s="11"/>
      <c r="C7321" s="11"/>
      <c r="D7321" s="10" t="s">
        <v>22</v>
      </c>
      <c r="E7321" s="14">
        <v>0.2</v>
      </c>
      <c r="F7321" s="15">
        <f>ROUND((G7318+G7319+G7320),3)</f>
        <v>43.8</v>
      </c>
      <c r="G7321" s="12">
        <f t="shared" si="1126"/>
        <v>8.76</v>
      </c>
    </row>
    <row r="7322" ht="15.0" customHeight="1">
      <c r="A7322" s="10" t="s">
        <v>32</v>
      </c>
      <c r="B7322" s="10"/>
      <c r="C7322" s="10" t="s">
        <v>33</v>
      </c>
      <c r="D7322" s="10" t="s">
        <v>34</v>
      </c>
      <c r="E7322" s="14">
        <v>3.0</v>
      </c>
      <c r="F7322" s="15">
        <f>ROUND(8.76,3)</f>
        <v>8.76</v>
      </c>
      <c r="G7322" s="12">
        <f>ROUND((E7322*F7322)/100,2)</f>
        <v>0.26</v>
      </c>
    </row>
    <row r="7323" ht="15.0" customHeight="1">
      <c r="A7323" s="16"/>
      <c r="B7323" s="16"/>
      <c r="C7323" s="16"/>
      <c r="D7323" s="17" t="s">
        <v>3098</v>
      </c>
      <c r="E7323" s="16"/>
      <c r="F7323" s="18">
        <f>ROUND((G7317+G7322)*(1+G2/100),2)</f>
        <v>9.02</v>
      </c>
      <c r="G7323" s="16"/>
    </row>
    <row r="7324" ht="15.0" customHeight="1">
      <c r="A7324" s="23"/>
      <c r="B7324" s="23"/>
      <c r="C7324" s="23"/>
      <c r="D7324" s="32" t="s">
        <v>3093</v>
      </c>
      <c r="E7324" s="33"/>
      <c r="F7324" s="33"/>
      <c r="G7324" s="33"/>
    </row>
    <row r="7325" ht="15.0" customHeight="1">
      <c r="A7325" s="34" t="s">
        <v>3101</v>
      </c>
      <c r="B7325" s="34" t="s">
        <v>10</v>
      </c>
      <c r="C7325" s="35"/>
      <c r="D7325" s="34" t="s">
        <v>3102</v>
      </c>
      <c r="E7325" s="35"/>
      <c r="F7325" s="35"/>
      <c r="G7325" s="35"/>
    </row>
    <row r="7326" ht="24.75" customHeight="1">
      <c r="A7326" s="42" t="s">
        <v>3103</v>
      </c>
      <c r="B7326" s="42" t="s">
        <v>10</v>
      </c>
      <c r="C7326" s="43"/>
      <c r="D7326" s="42" t="s">
        <v>3104</v>
      </c>
      <c r="E7326" s="43"/>
      <c r="F7326" s="43"/>
      <c r="G7326" s="43"/>
    </row>
    <row r="7327" ht="39.75" customHeight="1">
      <c r="A7327" s="13" t="s">
        <v>3105</v>
      </c>
      <c r="B7327" s="10" t="s">
        <v>18</v>
      </c>
      <c r="C7327" s="10" t="s">
        <v>351</v>
      </c>
      <c r="D7327" s="10" t="s">
        <v>3106</v>
      </c>
      <c r="E7327" s="11"/>
      <c r="F7327" s="12">
        <f>F7340</f>
        <v>18.51</v>
      </c>
      <c r="G7327" s="11"/>
    </row>
    <row r="7328" ht="39.75" customHeight="1">
      <c r="A7328" s="11"/>
      <c r="B7328" s="11"/>
      <c r="C7328" s="11"/>
      <c r="D7328" s="10" t="s">
        <v>3107</v>
      </c>
    </row>
    <row r="7329" ht="21.0" customHeight="1">
      <c r="A7329" s="10" t="s">
        <v>3108</v>
      </c>
      <c r="B7329" s="10" t="s">
        <v>42</v>
      </c>
      <c r="C7329" s="10" t="s">
        <v>344</v>
      </c>
      <c r="D7329" s="10" t="s">
        <v>3109</v>
      </c>
      <c r="E7329" s="14">
        <v>0.55</v>
      </c>
      <c r="F7329" s="15">
        <f>ROUND(16.52,3)</f>
        <v>16.52</v>
      </c>
      <c r="G7329" s="12">
        <f t="shared" ref="G7329:G7338" si="1128">ROUND(E7329*F7329,2)</f>
        <v>9.09</v>
      </c>
    </row>
    <row r="7330" ht="39.75" customHeight="1">
      <c r="A7330" s="10" t="s">
        <v>3110</v>
      </c>
      <c r="B7330" s="10" t="s">
        <v>42</v>
      </c>
      <c r="C7330" s="10" t="s">
        <v>584</v>
      </c>
      <c r="D7330" s="10" t="s">
        <v>3111</v>
      </c>
      <c r="E7330" s="14">
        <v>0.06667</v>
      </c>
      <c r="F7330" s="15">
        <f>ROUND(6.89,3)</f>
        <v>6.89</v>
      </c>
      <c r="G7330" s="12">
        <f t="shared" si="1128"/>
        <v>0.46</v>
      </c>
    </row>
    <row r="7331" ht="21.0" customHeight="1">
      <c r="A7331" s="10" t="s">
        <v>967</v>
      </c>
      <c r="B7331" s="10" t="s">
        <v>42</v>
      </c>
      <c r="C7331" s="10" t="s">
        <v>325</v>
      </c>
      <c r="D7331" s="10" t="s">
        <v>968</v>
      </c>
      <c r="E7331" s="14">
        <v>0.12</v>
      </c>
      <c r="F7331" s="15">
        <f>ROUND(6.49,3)</f>
        <v>6.49</v>
      </c>
      <c r="G7331" s="12">
        <f t="shared" si="1128"/>
        <v>0.78</v>
      </c>
    </row>
    <row r="7332" ht="21.0" customHeight="1">
      <c r="A7332" s="10" t="s">
        <v>329</v>
      </c>
      <c r="B7332" s="10" t="s">
        <v>42</v>
      </c>
      <c r="C7332" s="10" t="s">
        <v>330</v>
      </c>
      <c r="D7332" s="10" t="s">
        <v>331</v>
      </c>
      <c r="E7332" s="14">
        <v>0.11</v>
      </c>
      <c r="F7332" s="15">
        <f>ROUND(4.8,3)</f>
        <v>4.8</v>
      </c>
      <c r="G7332" s="12">
        <f t="shared" si="1128"/>
        <v>0.53</v>
      </c>
    </row>
    <row r="7333" ht="30.0" customHeight="1">
      <c r="A7333" s="10" t="s">
        <v>971</v>
      </c>
      <c r="B7333" s="10" t="s">
        <v>42</v>
      </c>
      <c r="C7333" s="10" t="s">
        <v>231</v>
      </c>
      <c r="D7333" s="10" t="s">
        <v>972</v>
      </c>
      <c r="E7333" s="14">
        <v>0.15</v>
      </c>
      <c r="F7333" s="15">
        <f>ROUND(4.92,3)</f>
        <v>4.92</v>
      </c>
      <c r="G7333" s="12">
        <f t="shared" si="1128"/>
        <v>0.74</v>
      </c>
    </row>
    <row r="7334" ht="21.0" customHeight="1">
      <c r="A7334" s="10" t="s">
        <v>969</v>
      </c>
      <c r="B7334" s="10" t="s">
        <v>112</v>
      </c>
      <c r="C7334" s="10" t="s">
        <v>23</v>
      </c>
      <c r="D7334" s="10" t="s">
        <v>970</v>
      </c>
      <c r="E7334" s="14">
        <v>0.16</v>
      </c>
      <c r="F7334" s="15">
        <f>ROUND(2,3)</f>
        <v>2</v>
      </c>
      <c r="G7334" s="12">
        <f t="shared" si="1128"/>
        <v>0.32</v>
      </c>
    </row>
    <row r="7335" ht="30.0" customHeight="1">
      <c r="A7335" s="10" t="s">
        <v>3066</v>
      </c>
      <c r="B7335" s="10" t="s">
        <v>18</v>
      </c>
      <c r="C7335" s="10" t="s">
        <v>23</v>
      </c>
      <c r="D7335" s="10" t="s">
        <v>3067</v>
      </c>
      <c r="E7335" s="14">
        <v>0.16</v>
      </c>
      <c r="F7335" s="15">
        <f>F7338</f>
        <v>40</v>
      </c>
      <c r="G7335" s="12">
        <f t="shared" si="1128"/>
        <v>6.4</v>
      </c>
    </row>
    <row r="7336" ht="24.0" customHeight="1">
      <c r="A7336" s="10" t="s">
        <v>3068</v>
      </c>
      <c r="B7336" s="10" t="s">
        <v>26</v>
      </c>
      <c r="C7336" s="10" t="s">
        <v>23</v>
      </c>
      <c r="D7336" s="10" t="s">
        <v>3069</v>
      </c>
      <c r="E7336" s="14">
        <v>1.0</v>
      </c>
      <c r="F7336" s="15">
        <f>ROUND(21,3)</f>
        <v>21</v>
      </c>
      <c r="G7336" s="12">
        <f t="shared" si="1128"/>
        <v>21</v>
      </c>
    </row>
    <row r="7337" ht="24.0" customHeight="1">
      <c r="A7337" s="10" t="s">
        <v>3070</v>
      </c>
      <c r="B7337" s="10" t="s">
        <v>26</v>
      </c>
      <c r="C7337" s="10" t="s">
        <v>23</v>
      </c>
      <c r="D7337" s="10" t="s">
        <v>3071</v>
      </c>
      <c r="E7337" s="14">
        <v>1.0</v>
      </c>
      <c r="F7337" s="15">
        <f>ROUND(19,3)</f>
        <v>19</v>
      </c>
      <c r="G7337" s="12">
        <f t="shared" si="1128"/>
        <v>19</v>
      </c>
    </row>
    <row r="7338" ht="15.0" customHeight="1">
      <c r="A7338" s="11"/>
      <c r="B7338" s="11"/>
      <c r="C7338" s="11"/>
      <c r="D7338" s="10" t="s">
        <v>3066</v>
      </c>
      <c r="E7338" s="14">
        <v>0.16</v>
      </c>
      <c r="F7338" s="15">
        <f>ROUND((G7336+G7337),3)</f>
        <v>40</v>
      </c>
      <c r="G7338" s="12">
        <f t="shared" si="1128"/>
        <v>6.4</v>
      </c>
    </row>
    <row r="7339" ht="15.0" customHeight="1">
      <c r="A7339" s="10" t="s">
        <v>32</v>
      </c>
      <c r="B7339" s="10"/>
      <c r="C7339" s="10" t="s">
        <v>33</v>
      </c>
      <c r="D7339" s="10" t="s">
        <v>34</v>
      </c>
      <c r="E7339" s="14">
        <v>3.0</v>
      </c>
      <c r="F7339" s="15">
        <f>ROUND(6.4,3)</f>
        <v>6.4</v>
      </c>
      <c r="G7339" s="12">
        <f>ROUND((E7339*F7339)/100,2)</f>
        <v>0.19</v>
      </c>
    </row>
    <row r="7340" ht="24.75" customHeight="1">
      <c r="A7340" s="16"/>
      <c r="B7340" s="16"/>
      <c r="C7340" s="16"/>
      <c r="D7340" s="17" t="s">
        <v>3105</v>
      </c>
      <c r="E7340" s="16"/>
      <c r="F7340" s="18">
        <f>ROUND((G7329+G7330+G7331+G7332+G7333+G7334+G7335+G7339)*(1+G2/100),2)</f>
        <v>18.51</v>
      </c>
      <c r="G7340" s="16"/>
    </row>
    <row r="7341" ht="48.75" customHeight="1">
      <c r="A7341" s="19" t="s">
        <v>3112</v>
      </c>
      <c r="B7341" s="20" t="s">
        <v>18</v>
      </c>
      <c r="C7341" s="20" t="s">
        <v>351</v>
      </c>
      <c r="D7341" s="20" t="s">
        <v>3113</v>
      </c>
      <c r="E7341" s="21"/>
      <c r="F7341" s="22">
        <f>F7354</f>
        <v>21.72</v>
      </c>
      <c r="G7341" s="21"/>
    </row>
    <row r="7342" ht="39.75" customHeight="1">
      <c r="A7342" s="11"/>
      <c r="B7342" s="11"/>
      <c r="C7342" s="11"/>
      <c r="D7342" s="10" t="s">
        <v>3114</v>
      </c>
    </row>
    <row r="7343" ht="21.0" customHeight="1">
      <c r="A7343" s="10" t="s">
        <v>3108</v>
      </c>
      <c r="B7343" s="10" t="s">
        <v>42</v>
      </c>
      <c r="C7343" s="10" t="s">
        <v>344</v>
      </c>
      <c r="D7343" s="10" t="s">
        <v>3109</v>
      </c>
      <c r="E7343" s="14">
        <v>0.55</v>
      </c>
      <c r="F7343" s="15">
        <f>ROUND(16.52,3)</f>
        <v>16.52</v>
      </c>
      <c r="G7343" s="12">
        <f t="shared" ref="G7343:G7352" si="1129">ROUND(E7343*F7343,2)</f>
        <v>9.09</v>
      </c>
    </row>
    <row r="7344" ht="39.75" customHeight="1">
      <c r="A7344" s="10" t="s">
        <v>3110</v>
      </c>
      <c r="B7344" s="10" t="s">
        <v>42</v>
      </c>
      <c r="C7344" s="10" t="s">
        <v>584</v>
      </c>
      <c r="D7344" s="10" t="s">
        <v>3111</v>
      </c>
      <c r="E7344" s="14">
        <v>0.06667</v>
      </c>
      <c r="F7344" s="15">
        <f>ROUND(6.89,3)</f>
        <v>6.89</v>
      </c>
      <c r="G7344" s="12">
        <f t="shared" si="1129"/>
        <v>0.46</v>
      </c>
    </row>
    <row r="7345" ht="21.0" customHeight="1">
      <c r="A7345" s="10" t="s">
        <v>967</v>
      </c>
      <c r="B7345" s="10" t="s">
        <v>42</v>
      </c>
      <c r="C7345" s="10" t="s">
        <v>325</v>
      </c>
      <c r="D7345" s="10" t="s">
        <v>968</v>
      </c>
      <c r="E7345" s="14">
        <v>0.12</v>
      </c>
      <c r="F7345" s="15">
        <f>ROUND(6.49,3)</f>
        <v>6.49</v>
      </c>
      <c r="G7345" s="12">
        <f t="shared" si="1129"/>
        <v>0.78</v>
      </c>
    </row>
    <row r="7346" ht="21.0" customHeight="1">
      <c r="A7346" s="10" t="s">
        <v>329</v>
      </c>
      <c r="B7346" s="10" t="s">
        <v>42</v>
      </c>
      <c r="C7346" s="10" t="s">
        <v>330</v>
      </c>
      <c r="D7346" s="10" t="s">
        <v>331</v>
      </c>
      <c r="E7346" s="14">
        <v>0.11</v>
      </c>
      <c r="F7346" s="15">
        <f>ROUND(4.8,3)</f>
        <v>4.8</v>
      </c>
      <c r="G7346" s="12">
        <f t="shared" si="1129"/>
        <v>0.53</v>
      </c>
    </row>
    <row r="7347" ht="30.0" customHeight="1">
      <c r="A7347" s="10" t="s">
        <v>971</v>
      </c>
      <c r="B7347" s="10" t="s">
        <v>42</v>
      </c>
      <c r="C7347" s="10" t="s">
        <v>231</v>
      </c>
      <c r="D7347" s="10" t="s">
        <v>972</v>
      </c>
      <c r="E7347" s="14">
        <v>0.15</v>
      </c>
      <c r="F7347" s="15">
        <f>ROUND(4.92,3)</f>
        <v>4.92</v>
      </c>
      <c r="G7347" s="12">
        <f t="shared" si="1129"/>
        <v>0.74</v>
      </c>
    </row>
    <row r="7348" ht="21.0" customHeight="1">
      <c r="A7348" s="10" t="s">
        <v>969</v>
      </c>
      <c r="B7348" s="10" t="s">
        <v>112</v>
      </c>
      <c r="C7348" s="10" t="s">
        <v>23</v>
      </c>
      <c r="D7348" s="10" t="s">
        <v>970</v>
      </c>
      <c r="E7348" s="14">
        <v>0.23</v>
      </c>
      <c r="F7348" s="15">
        <f>ROUND(2,3)</f>
        <v>2</v>
      </c>
      <c r="G7348" s="12">
        <f t="shared" si="1129"/>
        <v>0.46</v>
      </c>
    </row>
    <row r="7349" ht="30.0" customHeight="1">
      <c r="A7349" s="10" t="s">
        <v>3066</v>
      </c>
      <c r="B7349" s="10" t="s">
        <v>18</v>
      </c>
      <c r="C7349" s="10" t="s">
        <v>23</v>
      </c>
      <c r="D7349" s="10" t="s">
        <v>3067</v>
      </c>
      <c r="E7349" s="14">
        <v>0.23</v>
      </c>
      <c r="F7349" s="15">
        <f>F7352</f>
        <v>40</v>
      </c>
      <c r="G7349" s="12">
        <f t="shared" si="1129"/>
        <v>9.2</v>
      </c>
    </row>
    <row r="7350" ht="24.0" customHeight="1">
      <c r="A7350" s="10" t="s">
        <v>3068</v>
      </c>
      <c r="B7350" s="10" t="s">
        <v>26</v>
      </c>
      <c r="C7350" s="10" t="s">
        <v>23</v>
      </c>
      <c r="D7350" s="10" t="s">
        <v>3069</v>
      </c>
      <c r="E7350" s="14">
        <v>1.0</v>
      </c>
      <c r="F7350" s="15">
        <f>ROUND(21,3)</f>
        <v>21</v>
      </c>
      <c r="G7350" s="12">
        <f t="shared" si="1129"/>
        <v>21</v>
      </c>
    </row>
    <row r="7351" ht="24.0" customHeight="1">
      <c r="A7351" s="10" t="s">
        <v>3070</v>
      </c>
      <c r="B7351" s="10" t="s">
        <v>26</v>
      </c>
      <c r="C7351" s="10" t="s">
        <v>23</v>
      </c>
      <c r="D7351" s="10" t="s">
        <v>3071</v>
      </c>
      <c r="E7351" s="14">
        <v>1.0</v>
      </c>
      <c r="F7351" s="15">
        <f>ROUND(19,3)</f>
        <v>19</v>
      </c>
      <c r="G7351" s="12">
        <f t="shared" si="1129"/>
        <v>19</v>
      </c>
    </row>
    <row r="7352" ht="15.0" customHeight="1">
      <c r="A7352" s="11"/>
      <c r="B7352" s="11"/>
      <c r="C7352" s="11"/>
      <c r="D7352" s="10" t="s">
        <v>3066</v>
      </c>
      <c r="E7352" s="14">
        <v>0.23</v>
      </c>
      <c r="F7352" s="15">
        <f>ROUND((G7350+G7351),3)</f>
        <v>40</v>
      </c>
      <c r="G7352" s="12">
        <f t="shared" si="1129"/>
        <v>9.2</v>
      </c>
    </row>
    <row r="7353" ht="15.0" customHeight="1">
      <c r="A7353" s="10" t="s">
        <v>32</v>
      </c>
      <c r="B7353" s="10"/>
      <c r="C7353" s="10" t="s">
        <v>33</v>
      </c>
      <c r="D7353" s="10" t="s">
        <v>34</v>
      </c>
      <c r="E7353" s="14">
        <v>5.0</v>
      </c>
      <c r="F7353" s="15">
        <f>ROUND(9.2,3)</f>
        <v>9.2</v>
      </c>
      <c r="G7353" s="12">
        <f>ROUND((E7353*F7353)/100,2)</f>
        <v>0.46</v>
      </c>
    </row>
    <row r="7354" ht="24.75" customHeight="1">
      <c r="A7354" s="16"/>
      <c r="B7354" s="16"/>
      <c r="C7354" s="16"/>
      <c r="D7354" s="17" t="s">
        <v>3112</v>
      </c>
      <c r="E7354" s="16"/>
      <c r="F7354" s="18">
        <f>ROUND((G7343+G7344+G7345+G7346+G7347+G7348+G7349+G7353)*(1+G2/100),2)</f>
        <v>21.72</v>
      </c>
      <c r="G7354" s="16"/>
    </row>
    <row r="7355" ht="57.75" customHeight="1">
      <c r="A7355" s="19" t="s">
        <v>3115</v>
      </c>
      <c r="B7355" s="20" t="s">
        <v>18</v>
      </c>
      <c r="C7355" s="20" t="s">
        <v>351</v>
      </c>
      <c r="D7355" s="20" t="s">
        <v>3116</v>
      </c>
      <c r="E7355" s="21"/>
      <c r="F7355" s="22">
        <f>F7368</f>
        <v>14.94</v>
      </c>
      <c r="G7355" s="21"/>
    </row>
    <row r="7356" ht="39.75" customHeight="1">
      <c r="A7356" s="11"/>
      <c r="B7356" s="11"/>
      <c r="C7356" s="11"/>
      <c r="D7356" s="10" t="s">
        <v>3117</v>
      </c>
    </row>
    <row r="7357" ht="30.0" customHeight="1">
      <c r="A7357" s="10" t="s">
        <v>3118</v>
      </c>
      <c r="B7357" s="10" t="s">
        <v>42</v>
      </c>
      <c r="C7357" s="10" t="s">
        <v>344</v>
      </c>
      <c r="D7357" s="10" t="s">
        <v>3119</v>
      </c>
      <c r="E7357" s="14">
        <v>0.165</v>
      </c>
      <c r="F7357" s="15">
        <f>ROUND(17.99,3)</f>
        <v>17.99</v>
      </c>
      <c r="G7357" s="12">
        <f t="shared" ref="G7357:G7366" si="1130">ROUND(E7357*F7357,2)</f>
        <v>2.97</v>
      </c>
    </row>
    <row r="7358" ht="30.0" customHeight="1">
      <c r="A7358" s="10" t="s">
        <v>3120</v>
      </c>
      <c r="B7358" s="10" t="s">
        <v>42</v>
      </c>
      <c r="C7358" s="10" t="s">
        <v>344</v>
      </c>
      <c r="D7358" s="10" t="s">
        <v>3121</v>
      </c>
      <c r="E7358" s="14">
        <v>6.0</v>
      </c>
      <c r="F7358" s="15">
        <f>ROUND(0.48,3)</f>
        <v>0.48</v>
      </c>
      <c r="G7358" s="12">
        <f t="shared" si="1130"/>
        <v>2.88</v>
      </c>
    </row>
    <row r="7359" ht="21.0" customHeight="1">
      <c r="A7359" s="10" t="s">
        <v>967</v>
      </c>
      <c r="B7359" s="10" t="s">
        <v>42</v>
      </c>
      <c r="C7359" s="10" t="s">
        <v>325</v>
      </c>
      <c r="D7359" s="10" t="s">
        <v>968</v>
      </c>
      <c r="E7359" s="14">
        <v>0.12</v>
      </c>
      <c r="F7359" s="15">
        <f>ROUND(6.49,3)</f>
        <v>6.49</v>
      </c>
      <c r="G7359" s="12">
        <f t="shared" si="1130"/>
        <v>0.78</v>
      </c>
    </row>
    <row r="7360" ht="21.0" customHeight="1">
      <c r="A7360" s="10" t="s">
        <v>329</v>
      </c>
      <c r="B7360" s="10" t="s">
        <v>42</v>
      </c>
      <c r="C7360" s="10" t="s">
        <v>330</v>
      </c>
      <c r="D7360" s="10" t="s">
        <v>331</v>
      </c>
      <c r="E7360" s="14">
        <v>0.11</v>
      </c>
      <c r="F7360" s="15">
        <f>ROUND(4.8,3)</f>
        <v>4.8</v>
      </c>
      <c r="G7360" s="12">
        <f t="shared" si="1130"/>
        <v>0.53</v>
      </c>
    </row>
    <row r="7361" ht="30.0" customHeight="1">
      <c r="A7361" s="10" t="s">
        <v>971</v>
      </c>
      <c r="B7361" s="10" t="s">
        <v>42</v>
      </c>
      <c r="C7361" s="10" t="s">
        <v>231</v>
      </c>
      <c r="D7361" s="10" t="s">
        <v>972</v>
      </c>
      <c r="E7361" s="14">
        <v>0.15</v>
      </c>
      <c r="F7361" s="15">
        <f>ROUND(4.92,3)</f>
        <v>4.92</v>
      </c>
      <c r="G7361" s="12">
        <f t="shared" si="1130"/>
        <v>0.74</v>
      </c>
    </row>
    <row r="7362" ht="21.0" customHeight="1">
      <c r="A7362" s="10" t="s">
        <v>969</v>
      </c>
      <c r="B7362" s="10" t="s">
        <v>112</v>
      </c>
      <c r="C7362" s="10" t="s">
        <v>23</v>
      </c>
      <c r="D7362" s="10" t="s">
        <v>970</v>
      </c>
      <c r="E7362" s="14">
        <v>0.16</v>
      </c>
      <c r="F7362" s="15">
        <f>ROUND(2,3)</f>
        <v>2</v>
      </c>
      <c r="G7362" s="12">
        <f t="shared" si="1130"/>
        <v>0.32</v>
      </c>
    </row>
    <row r="7363" ht="30.0" customHeight="1">
      <c r="A7363" s="10" t="s">
        <v>3066</v>
      </c>
      <c r="B7363" s="10" t="s">
        <v>18</v>
      </c>
      <c r="C7363" s="10" t="s">
        <v>23</v>
      </c>
      <c r="D7363" s="10" t="s">
        <v>3067</v>
      </c>
      <c r="E7363" s="14">
        <v>0.16</v>
      </c>
      <c r="F7363" s="15">
        <f>F7366</f>
        <v>40</v>
      </c>
      <c r="G7363" s="12">
        <f t="shared" si="1130"/>
        <v>6.4</v>
      </c>
    </row>
    <row r="7364" ht="24.0" customHeight="1">
      <c r="A7364" s="10" t="s">
        <v>3068</v>
      </c>
      <c r="B7364" s="10" t="s">
        <v>26</v>
      </c>
      <c r="C7364" s="10" t="s">
        <v>23</v>
      </c>
      <c r="D7364" s="10" t="s">
        <v>3069</v>
      </c>
      <c r="E7364" s="14">
        <v>1.0</v>
      </c>
      <c r="F7364" s="15">
        <f>ROUND(21,3)</f>
        <v>21</v>
      </c>
      <c r="G7364" s="12">
        <f t="shared" si="1130"/>
        <v>21</v>
      </c>
    </row>
    <row r="7365" ht="24.0" customHeight="1">
      <c r="A7365" s="10" t="s">
        <v>3070</v>
      </c>
      <c r="B7365" s="10" t="s">
        <v>26</v>
      </c>
      <c r="C7365" s="10" t="s">
        <v>23</v>
      </c>
      <c r="D7365" s="10" t="s">
        <v>3071</v>
      </c>
      <c r="E7365" s="14">
        <v>1.0</v>
      </c>
      <c r="F7365" s="15">
        <f>ROUND(19,3)</f>
        <v>19</v>
      </c>
      <c r="G7365" s="12">
        <f t="shared" si="1130"/>
        <v>19</v>
      </c>
    </row>
    <row r="7366" ht="15.0" customHeight="1">
      <c r="A7366" s="11"/>
      <c r="B7366" s="11"/>
      <c r="C7366" s="11"/>
      <c r="D7366" s="10" t="s">
        <v>3066</v>
      </c>
      <c r="E7366" s="14">
        <v>0.16</v>
      </c>
      <c r="F7366" s="15">
        <f>ROUND((G7364+G7365),3)</f>
        <v>40</v>
      </c>
      <c r="G7366" s="12">
        <f t="shared" si="1130"/>
        <v>6.4</v>
      </c>
    </row>
    <row r="7367" ht="15.0" customHeight="1">
      <c r="A7367" s="10" t="s">
        <v>32</v>
      </c>
      <c r="B7367" s="10"/>
      <c r="C7367" s="10" t="s">
        <v>33</v>
      </c>
      <c r="D7367" s="10" t="s">
        <v>34</v>
      </c>
      <c r="E7367" s="14">
        <v>5.0</v>
      </c>
      <c r="F7367" s="15">
        <f>ROUND(6.4,3)</f>
        <v>6.4</v>
      </c>
      <c r="G7367" s="12">
        <f>ROUND((E7367*F7367)/100,2)</f>
        <v>0.32</v>
      </c>
    </row>
    <row r="7368" ht="24.75" customHeight="1">
      <c r="A7368" s="16"/>
      <c r="B7368" s="16"/>
      <c r="C7368" s="16"/>
      <c r="D7368" s="17" t="s">
        <v>3115</v>
      </c>
      <c r="E7368" s="16"/>
      <c r="F7368" s="18">
        <f>ROUND((G7357+G7358+G7359+G7360+G7361+G7362+G7363+G7367)*(1+G2/100),2)</f>
        <v>14.94</v>
      </c>
      <c r="G7368" s="16"/>
    </row>
    <row r="7369" ht="57.75" customHeight="1">
      <c r="A7369" s="19" t="s">
        <v>3122</v>
      </c>
      <c r="B7369" s="20" t="s">
        <v>18</v>
      </c>
      <c r="C7369" s="20" t="s">
        <v>351</v>
      </c>
      <c r="D7369" s="20" t="s">
        <v>3123</v>
      </c>
      <c r="E7369" s="21"/>
      <c r="F7369" s="22">
        <f>F7382</f>
        <v>17.84</v>
      </c>
      <c r="G7369" s="21"/>
    </row>
    <row r="7370" ht="39.75" customHeight="1">
      <c r="A7370" s="11"/>
      <c r="B7370" s="11"/>
      <c r="C7370" s="11"/>
      <c r="D7370" s="10" t="s">
        <v>3124</v>
      </c>
    </row>
    <row r="7371" ht="30.0" customHeight="1">
      <c r="A7371" s="10" t="s">
        <v>3118</v>
      </c>
      <c r="B7371" s="10" t="s">
        <v>42</v>
      </c>
      <c r="C7371" s="10" t="s">
        <v>344</v>
      </c>
      <c r="D7371" s="10" t="s">
        <v>3119</v>
      </c>
      <c r="E7371" s="14">
        <v>0.165</v>
      </c>
      <c r="F7371" s="15">
        <f>ROUND(17.99,3)</f>
        <v>17.99</v>
      </c>
      <c r="G7371" s="12">
        <f t="shared" ref="G7371:G7380" si="1131">ROUND(E7371*F7371,2)</f>
        <v>2.97</v>
      </c>
    </row>
    <row r="7372" ht="30.0" customHeight="1">
      <c r="A7372" s="10" t="s">
        <v>3120</v>
      </c>
      <c r="B7372" s="10" t="s">
        <v>42</v>
      </c>
      <c r="C7372" s="10" t="s">
        <v>344</v>
      </c>
      <c r="D7372" s="10" t="s">
        <v>3121</v>
      </c>
      <c r="E7372" s="14">
        <v>6.0</v>
      </c>
      <c r="F7372" s="15">
        <f>ROUND(0.48,3)</f>
        <v>0.48</v>
      </c>
      <c r="G7372" s="12">
        <f t="shared" si="1131"/>
        <v>2.88</v>
      </c>
    </row>
    <row r="7373" ht="21.0" customHeight="1">
      <c r="A7373" s="10" t="s">
        <v>967</v>
      </c>
      <c r="B7373" s="10" t="s">
        <v>42</v>
      </c>
      <c r="C7373" s="10" t="s">
        <v>325</v>
      </c>
      <c r="D7373" s="10" t="s">
        <v>968</v>
      </c>
      <c r="E7373" s="14">
        <v>0.12</v>
      </c>
      <c r="F7373" s="15">
        <f>ROUND(6.49,3)</f>
        <v>6.49</v>
      </c>
      <c r="G7373" s="12">
        <f t="shared" si="1131"/>
        <v>0.78</v>
      </c>
    </row>
    <row r="7374" ht="21.0" customHeight="1">
      <c r="A7374" s="10" t="s">
        <v>329</v>
      </c>
      <c r="B7374" s="10" t="s">
        <v>42</v>
      </c>
      <c r="C7374" s="10" t="s">
        <v>330</v>
      </c>
      <c r="D7374" s="10" t="s">
        <v>331</v>
      </c>
      <c r="E7374" s="14">
        <v>0.11</v>
      </c>
      <c r="F7374" s="15">
        <f>ROUND(4.8,3)</f>
        <v>4.8</v>
      </c>
      <c r="G7374" s="12">
        <f t="shared" si="1131"/>
        <v>0.53</v>
      </c>
    </row>
    <row r="7375" ht="30.0" customHeight="1">
      <c r="A7375" s="10" t="s">
        <v>971</v>
      </c>
      <c r="B7375" s="10" t="s">
        <v>42</v>
      </c>
      <c r="C7375" s="10" t="s">
        <v>231</v>
      </c>
      <c r="D7375" s="10" t="s">
        <v>972</v>
      </c>
      <c r="E7375" s="14">
        <v>0.15</v>
      </c>
      <c r="F7375" s="15">
        <f>ROUND(4.92,3)</f>
        <v>4.92</v>
      </c>
      <c r="G7375" s="12">
        <f t="shared" si="1131"/>
        <v>0.74</v>
      </c>
    </row>
    <row r="7376" ht="21.0" customHeight="1">
      <c r="A7376" s="10" t="s">
        <v>969</v>
      </c>
      <c r="B7376" s="10" t="s">
        <v>112</v>
      </c>
      <c r="C7376" s="10" t="s">
        <v>23</v>
      </c>
      <c r="D7376" s="10" t="s">
        <v>970</v>
      </c>
      <c r="E7376" s="14">
        <v>0.23</v>
      </c>
      <c r="F7376" s="15">
        <f>ROUND(2,3)</f>
        <v>2</v>
      </c>
      <c r="G7376" s="12">
        <f t="shared" si="1131"/>
        <v>0.46</v>
      </c>
    </row>
    <row r="7377" ht="30.0" customHeight="1">
      <c r="A7377" s="10" t="s">
        <v>3066</v>
      </c>
      <c r="B7377" s="10" t="s">
        <v>18</v>
      </c>
      <c r="C7377" s="10" t="s">
        <v>23</v>
      </c>
      <c r="D7377" s="10" t="s">
        <v>3067</v>
      </c>
      <c r="E7377" s="14">
        <v>0.23</v>
      </c>
      <c r="F7377" s="15">
        <f>F7380</f>
        <v>40</v>
      </c>
      <c r="G7377" s="12">
        <f t="shared" si="1131"/>
        <v>9.2</v>
      </c>
    </row>
    <row r="7378" ht="24.0" customHeight="1">
      <c r="A7378" s="10" t="s">
        <v>3068</v>
      </c>
      <c r="B7378" s="10" t="s">
        <v>26</v>
      </c>
      <c r="C7378" s="10" t="s">
        <v>23</v>
      </c>
      <c r="D7378" s="10" t="s">
        <v>3069</v>
      </c>
      <c r="E7378" s="14">
        <v>1.0</v>
      </c>
      <c r="F7378" s="15">
        <f>ROUND(21,3)</f>
        <v>21</v>
      </c>
      <c r="G7378" s="12">
        <f t="shared" si="1131"/>
        <v>21</v>
      </c>
    </row>
    <row r="7379" ht="24.0" customHeight="1">
      <c r="A7379" s="10" t="s">
        <v>3070</v>
      </c>
      <c r="B7379" s="10" t="s">
        <v>26</v>
      </c>
      <c r="C7379" s="10" t="s">
        <v>23</v>
      </c>
      <c r="D7379" s="10" t="s">
        <v>3071</v>
      </c>
      <c r="E7379" s="14">
        <v>1.0</v>
      </c>
      <c r="F7379" s="15">
        <f>ROUND(19,3)</f>
        <v>19</v>
      </c>
      <c r="G7379" s="12">
        <f t="shared" si="1131"/>
        <v>19</v>
      </c>
    </row>
    <row r="7380" ht="15.0" customHeight="1">
      <c r="A7380" s="11"/>
      <c r="B7380" s="11"/>
      <c r="C7380" s="11"/>
      <c r="D7380" s="10" t="s">
        <v>3066</v>
      </c>
      <c r="E7380" s="14">
        <v>0.23</v>
      </c>
      <c r="F7380" s="15">
        <f>ROUND((G7378+G7379),3)</f>
        <v>40</v>
      </c>
      <c r="G7380" s="12">
        <f t="shared" si="1131"/>
        <v>9.2</v>
      </c>
    </row>
    <row r="7381" ht="15.0" customHeight="1">
      <c r="A7381" s="10" t="s">
        <v>32</v>
      </c>
      <c r="B7381" s="10"/>
      <c r="C7381" s="10" t="s">
        <v>33</v>
      </c>
      <c r="D7381" s="10" t="s">
        <v>34</v>
      </c>
      <c r="E7381" s="14">
        <v>3.0</v>
      </c>
      <c r="F7381" s="15">
        <f>ROUND(9.2,3)</f>
        <v>9.2</v>
      </c>
      <c r="G7381" s="12">
        <f>ROUND((E7381*F7381)/100,2)</f>
        <v>0.28</v>
      </c>
    </row>
    <row r="7382" ht="24.75" customHeight="1">
      <c r="A7382" s="16"/>
      <c r="B7382" s="16"/>
      <c r="C7382" s="16"/>
      <c r="D7382" s="17" t="s">
        <v>3122</v>
      </c>
      <c r="E7382" s="16"/>
      <c r="F7382" s="18">
        <f>ROUND((G7371+G7372+G7373+G7374+G7375+G7376+G7377+G7381)*(1+G2/100),2)</f>
        <v>17.84</v>
      </c>
      <c r="G7382" s="16"/>
    </row>
    <row r="7383" ht="15.0" customHeight="1">
      <c r="A7383" s="19" t="s">
        <v>3125</v>
      </c>
      <c r="B7383" s="20" t="s">
        <v>18</v>
      </c>
      <c r="C7383" s="20" t="s">
        <v>321</v>
      </c>
      <c r="D7383" s="20" t="s">
        <v>3126</v>
      </c>
      <c r="E7383" s="21"/>
      <c r="F7383" s="22">
        <f>F7393</f>
        <v>5.85</v>
      </c>
      <c r="G7383" s="21"/>
    </row>
    <row r="7384" ht="30.0" customHeight="1">
      <c r="A7384" s="11"/>
      <c r="B7384" s="11"/>
      <c r="C7384" s="11"/>
      <c r="D7384" s="10" t="s">
        <v>3127</v>
      </c>
    </row>
    <row r="7385" ht="21.0" customHeight="1">
      <c r="A7385" s="10" t="s">
        <v>3128</v>
      </c>
      <c r="B7385" s="10" t="s">
        <v>42</v>
      </c>
      <c r="C7385" s="10" t="s">
        <v>351</v>
      </c>
      <c r="D7385" s="10" t="s">
        <v>3129</v>
      </c>
      <c r="E7385" s="14">
        <v>1.0</v>
      </c>
      <c r="F7385" s="15">
        <f>ROUND(0.7,3)</f>
        <v>0.7</v>
      </c>
      <c r="G7385" s="12">
        <f t="shared" ref="G7385:G7391" si="1132">ROUND(E7385*F7385,2)</f>
        <v>0.7</v>
      </c>
    </row>
    <row r="7386" ht="21.0" customHeight="1">
      <c r="A7386" s="10" t="s">
        <v>3130</v>
      </c>
      <c r="B7386" s="10" t="s">
        <v>42</v>
      </c>
      <c r="C7386" s="10" t="s">
        <v>351</v>
      </c>
      <c r="D7386" s="10" t="s">
        <v>3131</v>
      </c>
      <c r="E7386" s="14">
        <v>3.0</v>
      </c>
      <c r="F7386" s="15">
        <f>ROUND(1,3)</f>
        <v>1</v>
      </c>
      <c r="G7386" s="12">
        <f t="shared" si="1132"/>
        <v>3</v>
      </c>
    </row>
    <row r="7387" ht="21.0" customHeight="1">
      <c r="A7387" s="10" t="s">
        <v>3132</v>
      </c>
      <c r="B7387" s="10" t="s">
        <v>42</v>
      </c>
      <c r="C7387" s="10" t="s">
        <v>5</v>
      </c>
      <c r="D7387" s="10" t="s">
        <v>3133</v>
      </c>
      <c r="E7387" s="14">
        <v>0.2</v>
      </c>
      <c r="F7387" s="15">
        <f>ROUND(1.51,3)</f>
        <v>1.51</v>
      </c>
      <c r="G7387" s="12">
        <f t="shared" si="1132"/>
        <v>0.3</v>
      </c>
    </row>
    <row r="7388" ht="30.0" customHeight="1">
      <c r="A7388" s="10" t="s">
        <v>3066</v>
      </c>
      <c r="B7388" s="10" t="s">
        <v>18</v>
      </c>
      <c r="C7388" s="10" t="s">
        <v>23</v>
      </c>
      <c r="D7388" s="10" t="s">
        <v>3067</v>
      </c>
      <c r="E7388" s="14">
        <v>0.045</v>
      </c>
      <c r="F7388" s="15">
        <f>F7391</f>
        <v>40</v>
      </c>
      <c r="G7388" s="12">
        <f t="shared" si="1132"/>
        <v>1.8</v>
      </c>
    </row>
    <row r="7389" ht="24.0" customHeight="1">
      <c r="A7389" s="10" t="s">
        <v>3068</v>
      </c>
      <c r="B7389" s="10" t="s">
        <v>26</v>
      </c>
      <c r="C7389" s="10" t="s">
        <v>23</v>
      </c>
      <c r="D7389" s="10" t="s">
        <v>3069</v>
      </c>
      <c r="E7389" s="14">
        <v>1.0</v>
      </c>
      <c r="F7389" s="15">
        <f>ROUND(21,3)</f>
        <v>21</v>
      </c>
      <c r="G7389" s="12">
        <f t="shared" si="1132"/>
        <v>21</v>
      </c>
    </row>
    <row r="7390" ht="24.0" customHeight="1">
      <c r="A7390" s="10" t="s">
        <v>3070</v>
      </c>
      <c r="B7390" s="10" t="s">
        <v>26</v>
      </c>
      <c r="C7390" s="10" t="s">
        <v>23</v>
      </c>
      <c r="D7390" s="10" t="s">
        <v>3071</v>
      </c>
      <c r="E7390" s="14">
        <v>1.0</v>
      </c>
      <c r="F7390" s="15">
        <f>ROUND(19,3)</f>
        <v>19</v>
      </c>
      <c r="G7390" s="12">
        <f t="shared" si="1132"/>
        <v>19</v>
      </c>
    </row>
    <row r="7391" ht="15.0" customHeight="1">
      <c r="A7391" s="11"/>
      <c r="B7391" s="11"/>
      <c r="C7391" s="11"/>
      <c r="D7391" s="10" t="s">
        <v>3066</v>
      </c>
      <c r="E7391" s="14">
        <v>0.045</v>
      </c>
      <c r="F7391" s="15">
        <f>ROUND((G7389+G7390),3)</f>
        <v>40</v>
      </c>
      <c r="G7391" s="12">
        <f t="shared" si="1132"/>
        <v>1.8</v>
      </c>
    </row>
    <row r="7392" ht="15.0" customHeight="1">
      <c r="A7392" s="10" t="s">
        <v>32</v>
      </c>
      <c r="B7392" s="10"/>
      <c r="C7392" s="10" t="s">
        <v>33</v>
      </c>
      <c r="D7392" s="10" t="s">
        <v>34</v>
      </c>
      <c r="E7392" s="14">
        <v>3.0</v>
      </c>
      <c r="F7392" s="15">
        <f>ROUND(1.8,3)</f>
        <v>1.8</v>
      </c>
      <c r="G7392" s="12">
        <f>ROUND((E7392*F7392)/100,2)</f>
        <v>0.05</v>
      </c>
    </row>
    <row r="7393" ht="15.0" customHeight="1">
      <c r="A7393" s="16"/>
      <c r="B7393" s="16"/>
      <c r="C7393" s="16"/>
      <c r="D7393" s="17" t="s">
        <v>3125</v>
      </c>
      <c r="E7393" s="16"/>
      <c r="F7393" s="18">
        <f>ROUND((G7385+G7386+G7387+G7388+G7392)*(1+G2/100),2)</f>
        <v>5.85</v>
      </c>
      <c r="G7393" s="16"/>
    </row>
    <row r="7394" ht="21.0" customHeight="1">
      <c r="A7394" s="19" t="s">
        <v>3134</v>
      </c>
      <c r="B7394" s="20" t="s">
        <v>18</v>
      </c>
      <c r="C7394" s="20" t="s">
        <v>321</v>
      </c>
      <c r="D7394" s="20" t="s">
        <v>3135</v>
      </c>
      <c r="E7394" s="21"/>
      <c r="F7394" s="22">
        <f>F7403</f>
        <v>11.81</v>
      </c>
      <c r="G7394" s="21"/>
    </row>
    <row r="7395" ht="21.0" customHeight="1">
      <c r="A7395" s="11"/>
      <c r="B7395" s="11"/>
      <c r="C7395" s="11"/>
      <c r="D7395" s="10" t="s">
        <v>3136</v>
      </c>
    </row>
    <row r="7396" ht="30.0" customHeight="1">
      <c r="A7396" s="10" t="s">
        <v>1382</v>
      </c>
      <c r="B7396" s="10" t="s">
        <v>42</v>
      </c>
      <c r="C7396" s="10" t="s">
        <v>184</v>
      </c>
      <c r="D7396" s="10" t="s">
        <v>1383</v>
      </c>
      <c r="E7396" s="14">
        <v>0.36</v>
      </c>
      <c r="F7396" s="15">
        <f>ROUND(1.47,3)</f>
        <v>1.47</v>
      </c>
      <c r="G7396" s="12">
        <f t="shared" ref="G7396:G7401" si="1133">ROUND(E7396*F7396,2)</f>
        <v>0.53</v>
      </c>
    </row>
    <row r="7397" ht="21.0" customHeight="1">
      <c r="A7397" s="10" t="s">
        <v>22</v>
      </c>
      <c r="B7397" s="10" t="s">
        <v>18</v>
      </c>
      <c r="C7397" s="10" t="s">
        <v>23</v>
      </c>
      <c r="D7397" s="10" t="s">
        <v>24</v>
      </c>
      <c r="E7397" s="14">
        <v>0.25</v>
      </c>
      <c r="F7397" s="15">
        <f>F7401</f>
        <v>43.8</v>
      </c>
      <c r="G7397" s="12">
        <f t="shared" si="1133"/>
        <v>10.95</v>
      </c>
    </row>
    <row r="7398" ht="24.0" customHeight="1">
      <c r="A7398" s="10" t="s">
        <v>25</v>
      </c>
      <c r="B7398" s="10" t="s">
        <v>26</v>
      </c>
      <c r="C7398" s="10" t="s">
        <v>23</v>
      </c>
      <c r="D7398" s="10" t="s">
        <v>27</v>
      </c>
      <c r="E7398" s="14">
        <v>1.0</v>
      </c>
      <c r="F7398" s="15">
        <f>ROUND(21,3)</f>
        <v>21</v>
      </c>
      <c r="G7398" s="12">
        <f t="shared" si="1133"/>
        <v>21</v>
      </c>
    </row>
    <row r="7399" ht="24.0" customHeight="1">
      <c r="A7399" s="10" t="s">
        <v>28</v>
      </c>
      <c r="B7399" s="10" t="s">
        <v>26</v>
      </c>
      <c r="C7399" s="10" t="s">
        <v>23</v>
      </c>
      <c r="D7399" s="10" t="s">
        <v>29</v>
      </c>
      <c r="E7399" s="14">
        <v>1.0</v>
      </c>
      <c r="F7399" s="15">
        <f t="shared" ref="F7399:F7400" si="1134">ROUND(19,3)</f>
        <v>19</v>
      </c>
      <c r="G7399" s="12">
        <f t="shared" si="1133"/>
        <v>19</v>
      </c>
    </row>
    <row r="7400" ht="24.0" customHeight="1">
      <c r="A7400" s="10" t="s">
        <v>30</v>
      </c>
      <c r="B7400" s="10" t="s">
        <v>26</v>
      </c>
      <c r="C7400" s="10" t="s">
        <v>23</v>
      </c>
      <c r="D7400" s="10" t="s">
        <v>31</v>
      </c>
      <c r="E7400" s="14">
        <v>0.2</v>
      </c>
      <c r="F7400" s="15">
        <f t="shared" si="1134"/>
        <v>19</v>
      </c>
      <c r="G7400" s="12">
        <f t="shared" si="1133"/>
        <v>3.8</v>
      </c>
    </row>
    <row r="7401" ht="15.0" customHeight="1">
      <c r="A7401" s="11"/>
      <c r="B7401" s="11"/>
      <c r="C7401" s="11"/>
      <c r="D7401" s="10" t="s">
        <v>22</v>
      </c>
      <c r="E7401" s="14">
        <v>0.25</v>
      </c>
      <c r="F7401" s="15">
        <f>ROUND((G7398+G7399+G7400),3)</f>
        <v>43.8</v>
      </c>
      <c r="G7401" s="12">
        <f t="shared" si="1133"/>
        <v>10.95</v>
      </c>
    </row>
    <row r="7402" ht="15.0" customHeight="1">
      <c r="A7402" s="10" t="s">
        <v>32</v>
      </c>
      <c r="B7402" s="10"/>
      <c r="C7402" s="10" t="s">
        <v>33</v>
      </c>
      <c r="D7402" s="10" t="s">
        <v>34</v>
      </c>
      <c r="E7402" s="14">
        <v>3.0</v>
      </c>
      <c r="F7402" s="15">
        <f>ROUND(10.95,3)</f>
        <v>10.95</v>
      </c>
      <c r="G7402" s="12">
        <f>ROUND((E7402*F7402)/100,2)</f>
        <v>0.33</v>
      </c>
    </row>
    <row r="7403" ht="15.0" customHeight="1">
      <c r="A7403" s="16"/>
      <c r="B7403" s="16"/>
      <c r="C7403" s="16"/>
      <c r="D7403" s="17" t="s">
        <v>3134</v>
      </c>
      <c r="E7403" s="16"/>
      <c r="F7403" s="18">
        <f>ROUND((G7396+G7397+G7402)*(1+G2/100),2)</f>
        <v>11.81</v>
      </c>
      <c r="G7403" s="16"/>
    </row>
    <row r="7404" ht="15.0" customHeight="1">
      <c r="A7404" s="19" t="s">
        <v>3137</v>
      </c>
      <c r="B7404" s="20" t="s">
        <v>18</v>
      </c>
      <c r="C7404" s="20" t="s">
        <v>351</v>
      </c>
      <c r="D7404" s="20" t="s">
        <v>3138</v>
      </c>
      <c r="E7404" s="21"/>
      <c r="F7404" s="22">
        <f>F7413</f>
        <v>1.97</v>
      </c>
      <c r="G7404" s="21"/>
    </row>
    <row r="7405" ht="12.0" customHeight="1">
      <c r="A7405" s="11"/>
      <c r="B7405" s="11"/>
      <c r="C7405" s="11"/>
      <c r="D7405" s="10" t="s">
        <v>3138</v>
      </c>
    </row>
    <row r="7406" ht="30.0" customHeight="1">
      <c r="A7406" s="10" t="s">
        <v>3139</v>
      </c>
      <c r="B7406" s="10" t="s">
        <v>42</v>
      </c>
      <c r="C7406" s="10" t="s">
        <v>226</v>
      </c>
      <c r="D7406" s="10" t="s">
        <v>3140</v>
      </c>
      <c r="E7406" s="14">
        <v>0.011</v>
      </c>
      <c r="F7406" s="15">
        <f>ROUND(25.45,3)</f>
        <v>25.45</v>
      </c>
      <c r="G7406" s="12">
        <f t="shared" ref="G7406:G7411" si="1135">ROUND(E7406*F7406,2)</f>
        <v>0.28</v>
      </c>
    </row>
    <row r="7407" ht="21.0" customHeight="1">
      <c r="A7407" s="10" t="s">
        <v>3141</v>
      </c>
      <c r="B7407" s="10" t="s">
        <v>42</v>
      </c>
      <c r="C7407" s="10" t="s">
        <v>226</v>
      </c>
      <c r="D7407" s="10" t="s">
        <v>3142</v>
      </c>
      <c r="E7407" s="14">
        <v>0.01</v>
      </c>
      <c r="F7407" s="15">
        <f>ROUND(0.7,3)</f>
        <v>0.7</v>
      </c>
      <c r="G7407" s="12">
        <f t="shared" si="1135"/>
        <v>0.01</v>
      </c>
    </row>
    <row r="7408" ht="30.0" customHeight="1">
      <c r="A7408" s="10" t="s">
        <v>3066</v>
      </c>
      <c r="B7408" s="10" t="s">
        <v>18</v>
      </c>
      <c r="C7408" s="10" t="s">
        <v>23</v>
      </c>
      <c r="D7408" s="10" t="s">
        <v>3067</v>
      </c>
      <c r="E7408" s="14">
        <v>0.04</v>
      </c>
      <c r="F7408" s="15">
        <f>F7411</f>
        <v>40</v>
      </c>
      <c r="G7408" s="12">
        <f t="shared" si="1135"/>
        <v>1.6</v>
      </c>
    </row>
    <row r="7409" ht="24.0" customHeight="1">
      <c r="A7409" s="10" t="s">
        <v>3068</v>
      </c>
      <c r="B7409" s="10" t="s">
        <v>26</v>
      </c>
      <c r="C7409" s="10" t="s">
        <v>23</v>
      </c>
      <c r="D7409" s="10" t="s">
        <v>3069</v>
      </c>
      <c r="E7409" s="14">
        <v>1.0</v>
      </c>
      <c r="F7409" s="15">
        <f>ROUND(21,3)</f>
        <v>21</v>
      </c>
      <c r="G7409" s="12">
        <f t="shared" si="1135"/>
        <v>21</v>
      </c>
    </row>
    <row r="7410" ht="24.0" customHeight="1">
      <c r="A7410" s="10" t="s">
        <v>3070</v>
      </c>
      <c r="B7410" s="10" t="s">
        <v>26</v>
      </c>
      <c r="C7410" s="10" t="s">
        <v>23</v>
      </c>
      <c r="D7410" s="10" t="s">
        <v>3071</v>
      </c>
      <c r="E7410" s="14">
        <v>1.0</v>
      </c>
      <c r="F7410" s="15">
        <f>ROUND(19,3)</f>
        <v>19</v>
      </c>
      <c r="G7410" s="12">
        <f t="shared" si="1135"/>
        <v>19</v>
      </c>
    </row>
    <row r="7411" ht="15.0" customHeight="1">
      <c r="A7411" s="11"/>
      <c r="B7411" s="11"/>
      <c r="C7411" s="11"/>
      <c r="D7411" s="10" t="s">
        <v>3066</v>
      </c>
      <c r="E7411" s="14">
        <v>0.04</v>
      </c>
      <c r="F7411" s="15">
        <f>ROUND((G7409+G7410),3)</f>
        <v>40</v>
      </c>
      <c r="G7411" s="12">
        <f t="shared" si="1135"/>
        <v>1.6</v>
      </c>
    </row>
    <row r="7412" ht="15.0" customHeight="1">
      <c r="A7412" s="10" t="s">
        <v>32</v>
      </c>
      <c r="B7412" s="10"/>
      <c r="C7412" s="10" t="s">
        <v>33</v>
      </c>
      <c r="D7412" s="10" t="s">
        <v>34</v>
      </c>
      <c r="E7412" s="14">
        <v>5.0</v>
      </c>
      <c r="F7412" s="15">
        <f>ROUND(1.6,3)</f>
        <v>1.6</v>
      </c>
      <c r="G7412" s="12">
        <f>ROUND((E7412*F7412)/100,2)</f>
        <v>0.08</v>
      </c>
    </row>
    <row r="7413" ht="15.0" customHeight="1">
      <c r="A7413" s="16"/>
      <c r="B7413" s="16"/>
      <c r="C7413" s="16"/>
      <c r="D7413" s="17" t="s">
        <v>3137</v>
      </c>
      <c r="E7413" s="16"/>
      <c r="F7413" s="18">
        <f>ROUND((G7406+G7407+G7408+G7412)*(1+G2/100),2)</f>
        <v>1.97</v>
      </c>
      <c r="G7413" s="16"/>
    </row>
    <row r="7414" ht="15.0" customHeight="1">
      <c r="A7414" s="23"/>
      <c r="B7414" s="23"/>
      <c r="C7414" s="23"/>
      <c r="D7414" s="24" t="s">
        <v>3103</v>
      </c>
      <c r="E7414" s="25"/>
      <c r="F7414" s="25"/>
      <c r="G7414" s="25"/>
    </row>
    <row r="7415" ht="24.75" customHeight="1">
      <c r="A7415" s="26" t="s">
        <v>3143</v>
      </c>
      <c r="B7415" s="26" t="s">
        <v>10</v>
      </c>
      <c r="C7415" s="27"/>
      <c r="D7415" s="26" t="s">
        <v>3144</v>
      </c>
      <c r="E7415" s="27"/>
      <c r="F7415" s="27"/>
      <c r="G7415" s="27"/>
    </row>
    <row r="7416" ht="30.0" customHeight="1">
      <c r="A7416" s="13" t="s">
        <v>3145</v>
      </c>
      <c r="B7416" s="10" t="s">
        <v>18</v>
      </c>
      <c r="C7416" s="10" t="s">
        <v>231</v>
      </c>
      <c r="D7416" s="10" t="s">
        <v>3146</v>
      </c>
      <c r="E7416" s="11"/>
      <c r="F7416" s="12">
        <f>F7429</f>
        <v>195.29</v>
      </c>
      <c r="G7416" s="11"/>
    </row>
    <row r="7417" ht="21.0" customHeight="1">
      <c r="A7417" s="11"/>
      <c r="B7417" s="11"/>
      <c r="C7417" s="11"/>
      <c r="D7417" s="10" t="s">
        <v>3147</v>
      </c>
    </row>
    <row r="7418" ht="39.75" customHeight="1">
      <c r="A7418" s="10" t="s">
        <v>3148</v>
      </c>
      <c r="B7418" s="10" t="s">
        <v>42</v>
      </c>
      <c r="C7418" s="10" t="s">
        <v>231</v>
      </c>
      <c r="D7418" s="10" t="s">
        <v>3149</v>
      </c>
      <c r="E7418" s="14">
        <v>1.0</v>
      </c>
      <c r="F7418" s="15">
        <f>ROUND(100.83,3)</f>
        <v>100.83</v>
      </c>
      <c r="G7418" s="12">
        <f t="shared" ref="G7418:G7427" si="1136">ROUND(E7418*F7418,2)</f>
        <v>100.83</v>
      </c>
    </row>
    <row r="7419" ht="21.0" customHeight="1">
      <c r="A7419" s="10" t="s">
        <v>967</v>
      </c>
      <c r="B7419" s="10" t="s">
        <v>42</v>
      </c>
      <c r="C7419" s="10" t="s">
        <v>325</v>
      </c>
      <c r="D7419" s="10" t="s">
        <v>968</v>
      </c>
      <c r="E7419" s="14">
        <v>0.1</v>
      </c>
      <c r="F7419" s="15">
        <f>ROUND(6.49,3)</f>
        <v>6.49</v>
      </c>
      <c r="G7419" s="12">
        <f t="shared" si="1136"/>
        <v>0.65</v>
      </c>
    </row>
    <row r="7420" ht="30.0" customHeight="1">
      <c r="A7420" s="10" t="s">
        <v>1382</v>
      </c>
      <c r="B7420" s="10" t="s">
        <v>42</v>
      </c>
      <c r="C7420" s="10" t="s">
        <v>184</v>
      </c>
      <c r="D7420" s="10" t="s">
        <v>1383</v>
      </c>
      <c r="E7420" s="14">
        <v>0.5</v>
      </c>
      <c r="F7420" s="15">
        <f>ROUND(1.47,3)</f>
        <v>1.47</v>
      </c>
      <c r="G7420" s="12">
        <f t="shared" si="1136"/>
        <v>0.74</v>
      </c>
    </row>
    <row r="7421" ht="30.0" customHeight="1">
      <c r="A7421" s="10" t="s">
        <v>971</v>
      </c>
      <c r="B7421" s="10" t="s">
        <v>42</v>
      </c>
      <c r="C7421" s="10" t="s">
        <v>231</v>
      </c>
      <c r="D7421" s="10" t="s">
        <v>972</v>
      </c>
      <c r="E7421" s="14">
        <v>0.1</v>
      </c>
      <c r="F7421" s="15">
        <f>ROUND(4.92,3)</f>
        <v>4.92</v>
      </c>
      <c r="G7421" s="12">
        <f t="shared" si="1136"/>
        <v>0.49</v>
      </c>
    </row>
    <row r="7422" ht="21.0" customHeight="1">
      <c r="A7422" s="10" t="s">
        <v>969</v>
      </c>
      <c r="B7422" s="10" t="s">
        <v>112</v>
      </c>
      <c r="C7422" s="10" t="s">
        <v>23</v>
      </c>
      <c r="D7422" s="10" t="s">
        <v>970</v>
      </c>
      <c r="E7422" s="14">
        <v>0.3</v>
      </c>
      <c r="F7422" s="15">
        <f>ROUND(2,3)</f>
        <v>2</v>
      </c>
      <c r="G7422" s="12">
        <f t="shared" si="1136"/>
        <v>0.6</v>
      </c>
    </row>
    <row r="7423" ht="21.0" customHeight="1">
      <c r="A7423" s="10" t="s">
        <v>22</v>
      </c>
      <c r="B7423" s="10" t="s">
        <v>18</v>
      </c>
      <c r="C7423" s="10" t="s">
        <v>23</v>
      </c>
      <c r="D7423" s="10" t="s">
        <v>24</v>
      </c>
      <c r="E7423" s="14">
        <v>2.0</v>
      </c>
      <c r="F7423" s="15">
        <f>F7427</f>
        <v>43.8</v>
      </c>
      <c r="G7423" s="12">
        <f t="shared" si="1136"/>
        <v>87.6</v>
      </c>
    </row>
    <row r="7424" ht="24.0" customHeight="1">
      <c r="A7424" s="10" t="s">
        <v>25</v>
      </c>
      <c r="B7424" s="10" t="s">
        <v>26</v>
      </c>
      <c r="C7424" s="10" t="s">
        <v>23</v>
      </c>
      <c r="D7424" s="10" t="s">
        <v>27</v>
      </c>
      <c r="E7424" s="14">
        <v>1.0</v>
      </c>
      <c r="F7424" s="15">
        <f>ROUND(21,3)</f>
        <v>21</v>
      </c>
      <c r="G7424" s="12">
        <f t="shared" si="1136"/>
        <v>21</v>
      </c>
    </row>
    <row r="7425" ht="24.0" customHeight="1">
      <c r="A7425" s="10" t="s">
        <v>28</v>
      </c>
      <c r="B7425" s="10" t="s">
        <v>26</v>
      </c>
      <c r="C7425" s="10" t="s">
        <v>23</v>
      </c>
      <c r="D7425" s="10" t="s">
        <v>29</v>
      </c>
      <c r="E7425" s="14">
        <v>1.0</v>
      </c>
      <c r="F7425" s="15">
        <f t="shared" ref="F7425:F7426" si="1137">ROUND(19,3)</f>
        <v>19</v>
      </c>
      <c r="G7425" s="12">
        <f t="shared" si="1136"/>
        <v>19</v>
      </c>
    </row>
    <row r="7426" ht="24.0" customHeight="1">
      <c r="A7426" s="10" t="s">
        <v>30</v>
      </c>
      <c r="B7426" s="10" t="s">
        <v>26</v>
      </c>
      <c r="C7426" s="10" t="s">
        <v>23</v>
      </c>
      <c r="D7426" s="10" t="s">
        <v>31</v>
      </c>
      <c r="E7426" s="14">
        <v>0.2</v>
      </c>
      <c r="F7426" s="15">
        <f t="shared" si="1137"/>
        <v>19</v>
      </c>
      <c r="G7426" s="12">
        <f t="shared" si="1136"/>
        <v>3.8</v>
      </c>
    </row>
    <row r="7427" ht="15.0" customHeight="1">
      <c r="A7427" s="11"/>
      <c r="B7427" s="11"/>
      <c r="C7427" s="11"/>
      <c r="D7427" s="10" t="s">
        <v>22</v>
      </c>
      <c r="E7427" s="14">
        <v>2.0</v>
      </c>
      <c r="F7427" s="15">
        <f>ROUND((G7424+G7425+G7426),3)</f>
        <v>43.8</v>
      </c>
      <c r="G7427" s="12">
        <f t="shared" si="1136"/>
        <v>87.6</v>
      </c>
    </row>
    <row r="7428" ht="15.0" customHeight="1">
      <c r="A7428" s="10" t="s">
        <v>32</v>
      </c>
      <c r="B7428" s="10"/>
      <c r="C7428" s="10" t="s">
        <v>33</v>
      </c>
      <c r="D7428" s="10" t="s">
        <v>34</v>
      </c>
      <c r="E7428" s="14">
        <v>5.0</v>
      </c>
      <c r="F7428" s="15">
        <f>ROUND(87.6,3)</f>
        <v>87.6</v>
      </c>
      <c r="G7428" s="12">
        <f>ROUND((E7428*F7428)/100,2)</f>
        <v>4.38</v>
      </c>
    </row>
    <row r="7429" ht="15.0" customHeight="1">
      <c r="A7429" s="16"/>
      <c r="B7429" s="16"/>
      <c r="C7429" s="16"/>
      <c r="D7429" s="17" t="s">
        <v>3145</v>
      </c>
      <c r="E7429" s="16"/>
      <c r="F7429" s="18">
        <f>ROUND((G7418+G7419+G7420+G7421+G7422+G7423+G7428)*(1+G2/100),2)</f>
        <v>195.29</v>
      </c>
      <c r="G7429" s="16"/>
    </row>
    <row r="7430" ht="15.0" customHeight="1">
      <c r="A7430" s="23"/>
      <c r="B7430" s="23"/>
      <c r="C7430" s="23"/>
      <c r="D7430" s="24" t="s">
        <v>3143</v>
      </c>
      <c r="E7430" s="25"/>
      <c r="F7430" s="25"/>
      <c r="G7430" s="25"/>
    </row>
    <row r="7431" ht="24.75" customHeight="1">
      <c r="A7431" s="26" t="s">
        <v>3150</v>
      </c>
      <c r="B7431" s="26" t="s">
        <v>10</v>
      </c>
      <c r="C7431" s="27"/>
      <c r="D7431" s="26" t="s">
        <v>3151</v>
      </c>
      <c r="E7431" s="27"/>
      <c r="F7431" s="27"/>
      <c r="G7431" s="27"/>
    </row>
    <row r="7432" ht="39.75" customHeight="1">
      <c r="A7432" s="13" t="s">
        <v>3152</v>
      </c>
      <c r="B7432" s="10" t="s">
        <v>18</v>
      </c>
      <c r="C7432" s="10" t="s">
        <v>231</v>
      </c>
      <c r="D7432" s="10" t="s">
        <v>3153</v>
      </c>
      <c r="E7432" s="11"/>
      <c r="F7432" s="12">
        <f>F7444</f>
        <v>49.42</v>
      </c>
      <c r="G7432" s="11"/>
    </row>
    <row r="7433" ht="12.0" customHeight="1">
      <c r="A7433" s="11"/>
      <c r="B7433" s="11"/>
      <c r="C7433" s="11"/>
      <c r="D7433" s="10" t="s">
        <v>3154</v>
      </c>
    </row>
    <row r="7434" ht="39.75" customHeight="1">
      <c r="A7434" s="10" t="s">
        <v>3155</v>
      </c>
      <c r="B7434" s="10" t="s">
        <v>42</v>
      </c>
      <c r="C7434" s="10" t="s">
        <v>231</v>
      </c>
      <c r="D7434" s="10" t="s">
        <v>3156</v>
      </c>
      <c r="E7434" s="14">
        <v>1.0</v>
      </c>
      <c r="F7434" s="15">
        <f>ROUND(29.74,3)</f>
        <v>29.74</v>
      </c>
      <c r="G7434" s="12">
        <f t="shared" ref="G7434:G7442" si="1138">ROUND(E7434*F7434,2)</f>
        <v>29.74</v>
      </c>
    </row>
    <row r="7435" ht="21.0" customHeight="1">
      <c r="A7435" s="10" t="s">
        <v>967</v>
      </c>
      <c r="B7435" s="10" t="s">
        <v>42</v>
      </c>
      <c r="C7435" s="10" t="s">
        <v>325</v>
      </c>
      <c r="D7435" s="10" t="s">
        <v>968</v>
      </c>
      <c r="E7435" s="14">
        <v>0.06</v>
      </c>
      <c r="F7435" s="15">
        <f>ROUND(6.49,3)</f>
        <v>6.49</v>
      </c>
      <c r="G7435" s="12">
        <f t="shared" si="1138"/>
        <v>0.39</v>
      </c>
    </row>
    <row r="7436" ht="21.0" customHeight="1">
      <c r="A7436" s="10" t="s">
        <v>969</v>
      </c>
      <c r="B7436" s="10" t="s">
        <v>112</v>
      </c>
      <c r="C7436" s="10" t="s">
        <v>23</v>
      </c>
      <c r="D7436" s="10" t="s">
        <v>970</v>
      </c>
      <c r="E7436" s="14">
        <v>0.2</v>
      </c>
      <c r="F7436" s="15">
        <f>ROUND(2,3)</f>
        <v>2</v>
      </c>
      <c r="G7436" s="12">
        <f t="shared" si="1138"/>
        <v>0.4</v>
      </c>
    </row>
    <row r="7437" ht="30.0" customHeight="1">
      <c r="A7437" s="10" t="s">
        <v>971</v>
      </c>
      <c r="B7437" s="10" t="s">
        <v>42</v>
      </c>
      <c r="C7437" s="10" t="s">
        <v>231</v>
      </c>
      <c r="D7437" s="10" t="s">
        <v>972</v>
      </c>
      <c r="E7437" s="14">
        <v>0.1</v>
      </c>
      <c r="F7437" s="15">
        <f>ROUND(4.92,3)</f>
        <v>4.92</v>
      </c>
      <c r="G7437" s="12">
        <f t="shared" si="1138"/>
        <v>0.49</v>
      </c>
    </row>
    <row r="7438" ht="21.0" customHeight="1">
      <c r="A7438" s="10" t="s">
        <v>22</v>
      </c>
      <c r="B7438" s="10" t="s">
        <v>18</v>
      </c>
      <c r="C7438" s="10" t="s">
        <v>23</v>
      </c>
      <c r="D7438" s="10" t="s">
        <v>24</v>
      </c>
      <c r="E7438" s="14">
        <v>0.4</v>
      </c>
      <c r="F7438" s="15">
        <f>F7442</f>
        <v>43.8</v>
      </c>
      <c r="G7438" s="12">
        <f t="shared" si="1138"/>
        <v>17.52</v>
      </c>
    </row>
    <row r="7439" ht="24.0" customHeight="1">
      <c r="A7439" s="10" t="s">
        <v>25</v>
      </c>
      <c r="B7439" s="10" t="s">
        <v>26</v>
      </c>
      <c r="C7439" s="10" t="s">
        <v>23</v>
      </c>
      <c r="D7439" s="10" t="s">
        <v>27</v>
      </c>
      <c r="E7439" s="14">
        <v>1.0</v>
      </c>
      <c r="F7439" s="15">
        <f>ROUND(21,3)</f>
        <v>21</v>
      </c>
      <c r="G7439" s="12">
        <f t="shared" si="1138"/>
        <v>21</v>
      </c>
    </row>
    <row r="7440" ht="24.0" customHeight="1">
      <c r="A7440" s="10" t="s">
        <v>28</v>
      </c>
      <c r="B7440" s="10" t="s">
        <v>26</v>
      </c>
      <c r="C7440" s="10" t="s">
        <v>23</v>
      </c>
      <c r="D7440" s="10" t="s">
        <v>29</v>
      </c>
      <c r="E7440" s="14">
        <v>1.0</v>
      </c>
      <c r="F7440" s="15">
        <f t="shared" ref="F7440:F7441" si="1139">ROUND(19,3)</f>
        <v>19</v>
      </c>
      <c r="G7440" s="12">
        <f t="shared" si="1138"/>
        <v>19</v>
      </c>
    </row>
    <row r="7441" ht="24.0" customHeight="1">
      <c r="A7441" s="10" t="s">
        <v>30</v>
      </c>
      <c r="B7441" s="10" t="s">
        <v>26</v>
      </c>
      <c r="C7441" s="10" t="s">
        <v>23</v>
      </c>
      <c r="D7441" s="10" t="s">
        <v>31</v>
      </c>
      <c r="E7441" s="14">
        <v>0.2</v>
      </c>
      <c r="F7441" s="15">
        <f t="shared" si="1139"/>
        <v>19</v>
      </c>
      <c r="G7441" s="12">
        <f t="shared" si="1138"/>
        <v>3.8</v>
      </c>
    </row>
    <row r="7442" ht="15.0" customHeight="1">
      <c r="A7442" s="11"/>
      <c r="B7442" s="11"/>
      <c r="C7442" s="11"/>
      <c r="D7442" s="10" t="s">
        <v>22</v>
      </c>
      <c r="E7442" s="14">
        <v>0.4</v>
      </c>
      <c r="F7442" s="15">
        <f>ROUND((G7439+G7440+G7441),3)</f>
        <v>43.8</v>
      </c>
      <c r="G7442" s="12">
        <f t="shared" si="1138"/>
        <v>17.52</v>
      </c>
    </row>
    <row r="7443" ht="15.0" customHeight="1">
      <c r="A7443" s="10" t="s">
        <v>32</v>
      </c>
      <c r="B7443" s="10"/>
      <c r="C7443" s="10" t="s">
        <v>33</v>
      </c>
      <c r="D7443" s="10" t="s">
        <v>34</v>
      </c>
      <c r="E7443" s="14">
        <v>5.0</v>
      </c>
      <c r="F7443" s="15">
        <f>ROUND(17.52,3)</f>
        <v>17.52</v>
      </c>
      <c r="G7443" s="12">
        <f>ROUND((E7443*F7443)/100,2)</f>
        <v>0.88</v>
      </c>
    </row>
    <row r="7444" ht="15.0" customHeight="1">
      <c r="A7444" s="16"/>
      <c r="B7444" s="16"/>
      <c r="C7444" s="16"/>
      <c r="D7444" s="17" t="s">
        <v>3152</v>
      </c>
      <c r="E7444" s="16"/>
      <c r="F7444" s="18">
        <f>ROUND((G7434+G7435+G7436+G7437+G7438+G7443)*(1+G2/100),2)</f>
        <v>49.42</v>
      </c>
      <c r="G7444" s="16"/>
    </row>
    <row r="7445" ht="15.0" customHeight="1">
      <c r="A7445" s="23"/>
      <c r="B7445" s="23"/>
      <c r="C7445" s="23"/>
      <c r="D7445" s="24" t="s">
        <v>3150</v>
      </c>
      <c r="E7445" s="25"/>
      <c r="F7445" s="25"/>
      <c r="G7445" s="25"/>
    </row>
    <row r="7446" ht="21.75" customHeight="1">
      <c r="A7446" s="26" t="s">
        <v>3157</v>
      </c>
      <c r="B7446" s="26" t="s">
        <v>10</v>
      </c>
      <c r="C7446" s="27"/>
      <c r="D7446" s="26" t="s">
        <v>3158</v>
      </c>
      <c r="E7446" s="27"/>
      <c r="F7446" s="27"/>
      <c r="G7446" s="27"/>
    </row>
    <row r="7447" ht="15.0" customHeight="1">
      <c r="A7447" s="13" t="s">
        <v>3159</v>
      </c>
      <c r="B7447" s="10" t="s">
        <v>18</v>
      </c>
      <c r="C7447" s="10" t="s">
        <v>222</v>
      </c>
      <c r="D7447" s="10" t="s">
        <v>3160</v>
      </c>
      <c r="E7447" s="11"/>
      <c r="F7447" s="12">
        <f>F7450</f>
        <v>1186.7</v>
      </c>
      <c r="G7447" s="11"/>
    </row>
    <row r="7448" ht="48.75" customHeight="1">
      <c r="A7448" s="11"/>
      <c r="B7448" s="11"/>
      <c r="C7448" s="11"/>
      <c r="D7448" s="10" t="s">
        <v>3161</v>
      </c>
    </row>
    <row r="7449" ht="15.0" customHeight="1">
      <c r="A7449" s="10" t="s">
        <v>3162</v>
      </c>
      <c r="B7449" s="10" t="s">
        <v>42</v>
      </c>
      <c r="C7449" s="10" t="s">
        <v>222</v>
      </c>
      <c r="D7449" s="10" t="s">
        <v>3160</v>
      </c>
      <c r="E7449" s="14">
        <v>1.0</v>
      </c>
      <c r="F7449" s="15">
        <f>ROUND(1186.7,3)</f>
        <v>1186.7</v>
      </c>
      <c r="G7449" s="12">
        <f>ROUND(E7449*F7449,2)</f>
        <v>1186.7</v>
      </c>
    </row>
    <row r="7450" ht="15.0" customHeight="1">
      <c r="A7450" s="16"/>
      <c r="B7450" s="16"/>
      <c r="C7450" s="16"/>
      <c r="D7450" s="17" t="s">
        <v>3159</v>
      </c>
      <c r="E7450" s="16"/>
      <c r="F7450" s="18">
        <f>ROUND((G7449)*(1+G2/100),2)</f>
        <v>1186.7</v>
      </c>
      <c r="G7450" s="16"/>
    </row>
    <row r="7451" ht="15.0" customHeight="1">
      <c r="A7451" s="19" t="s">
        <v>3163</v>
      </c>
      <c r="B7451" s="20" t="s">
        <v>18</v>
      </c>
      <c r="C7451" s="20" t="s">
        <v>222</v>
      </c>
      <c r="D7451" s="20" t="s">
        <v>3164</v>
      </c>
      <c r="E7451" s="21"/>
      <c r="F7451" s="22">
        <f>F7454</f>
        <v>3627</v>
      </c>
      <c r="G7451" s="21"/>
    </row>
    <row r="7452" ht="39.75" customHeight="1">
      <c r="A7452" s="11"/>
      <c r="B7452" s="11"/>
      <c r="C7452" s="11"/>
      <c r="D7452" s="10" t="s">
        <v>3165</v>
      </c>
    </row>
    <row r="7453" ht="15.0" customHeight="1">
      <c r="A7453" s="10" t="s">
        <v>3166</v>
      </c>
      <c r="B7453" s="10" t="s">
        <v>42</v>
      </c>
      <c r="C7453" s="10" t="s">
        <v>222</v>
      </c>
      <c r="D7453" s="10" t="s">
        <v>3164</v>
      </c>
      <c r="E7453" s="14">
        <v>1.0</v>
      </c>
      <c r="F7453" s="15">
        <f>ROUND(3627,3)</f>
        <v>3627</v>
      </c>
      <c r="G7453" s="12">
        <f>ROUND(E7453*F7453,2)</f>
        <v>3627</v>
      </c>
    </row>
    <row r="7454" ht="15.0" customHeight="1">
      <c r="A7454" s="16"/>
      <c r="B7454" s="16"/>
      <c r="C7454" s="16"/>
      <c r="D7454" s="17" t="s">
        <v>3163</v>
      </c>
      <c r="E7454" s="16"/>
      <c r="F7454" s="18">
        <f>ROUND((G7453)*(1+G2/100),2)</f>
        <v>3627</v>
      </c>
      <c r="G7454" s="16"/>
    </row>
    <row r="7455" ht="15.0" customHeight="1">
      <c r="A7455" s="19" t="s">
        <v>3167</v>
      </c>
      <c r="B7455" s="20" t="s">
        <v>18</v>
      </c>
      <c r="C7455" s="20" t="s">
        <v>222</v>
      </c>
      <c r="D7455" s="20" t="s">
        <v>3168</v>
      </c>
      <c r="E7455" s="21"/>
      <c r="F7455" s="22">
        <f>F7458</f>
        <v>1387</v>
      </c>
      <c r="G7455" s="21"/>
    </row>
    <row r="7456" ht="30.0" customHeight="1">
      <c r="A7456" s="11"/>
      <c r="B7456" s="11"/>
      <c r="C7456" s="11"/>
      <c r="D7456" s="10" t="s">
        <v>3169</v>
      </c>
    </row>
    <row r="7457" ht="15.0" customHeight="1">
      <c r="A7457" s="10" t="s">
        <v>3170</v>
      </c>
      <c r="B7457" s="10" t="s">
        <v>42</v>
      </c>
      <c r="C7457" s="10" t="s">
        <v>222</v>
      </c>
      <c r="D7457" s="10" t="s">
        <v>3168</v>
      </c>
      <c r="E7457" s="14">
        <v>1.0</v>
      </c>
      <c r="F7457" s="15">
        <f>ROUND(1387,3)</f>
        <v>1387</v>
      </c>
      <c r="G7457" s="12">
        <f>ROUND(E7457*F7457,2)</f>
        <v>1387</v>
      </c>
    </row>
    <row r="7458" ht="15.0" customHeight="1">
      <c r="A7458" s="16"/>
      <c r="B7458" s="16"/>
      <c r="C7458" s="16"/>
      <c r="D7458" s="17" t="s">
        <v>3167</v>
      </c>
      <c r="E7458" s="16"/>
      <c r="F7458" s="18">
        <f>ROUND((G7457)*(1+G2/100),2)</f>
        <v>1387</v>
      </c>
      <c r="G7458" s="16"/>
    </row>
    <row r="7459" ht="15.0" customHeight="1">
      <c r="A7459" s="19" t="s">
        <v>3171</v>
      </c>
      <c r="B7459" s="20" t="s">
        <v>18</v>
      </c>
      <c r="C7459" s="20" t="s">
        <v>222</v>
      </c>
      <c r="D7459" s="20" t="s">
        <v>3172</v>
      </c>
      <c r="E7459" s="21"/>
      <c r="F7459" s="22">
        <f>F7462</f>
        <v>3259.3</v>
      </c>
      <c r="G7459" s="21"/>
    </row>
    <row r="7460" ht="48.75" customHeight="1">
      <c r="A7460" s="11"/>
      <c r="B7460" s="11"/>
      <c r="C7460" s="11"/>
      <c r="D7460" s="10" t="s">
        <v>3173</v>
      </c>
    </row>
    <row r="7461" ht="15.0" customHeight="1">
      <c r="A7461" s="10" t="s">
        <v>3174</v>
      </c>
      <c r="B7461" s="10" t="s">
        <v>42</v>
      </c>
      <c r="C7461" s="10" t="s">
        <v>222</v>
      </c>
      <c r="D7461" s="10" t="s">
        <v>3172</v>
      </c>
      <c r="E7461" s="14">
        <v>1.0</v>
      </c>
      <c r="F7461" s="15">
        <f>ROUND(3259.3,3)</f>
        <v>3259.3</v>
      </c>
      <c r="G7461" s="12">
        <f>ROUND(E7461*F7461,2)</f>
        <v>3259.3</v>
      </c>
    </row>
    <row r="7462" ht="15.0" customHeight="1">
      <c r="A7462" s="16"/>
      <c r="B7462" s="16"/>
      <c r="C7462" s="16"/>
      <c r="D7462" s="17" t="s">
        <v>3171</v>
      </c>
      <c r="E7462" s="16"/>
      <c r="F7462" s="18">
        <f>ROUND((G7461)*(1+G2/100),2)</f>
        <v>3259.3</v>
      </c>
      <c r="G7462" s="16"/>
    </row>
    <row r="7463" ht="15.0" customHeight="1">
      <c r="A7463" s="19" t="s">
        <v>3175</v>
      </c>
      <c r="B7463" s="20" t="s">
        <v>18</v>
      </c>
      <c r="C7463" s="20" t="s">
        <v>222</v>
      </c>
      <c r="D7463" s="20" t="s">
        <v>3176</v>
      </c>
      <c r="E7463" s="21"/>
      <c r="F7463" s="22">
        <f>F7466</f>
        <v>309</v>
      </c>
      <c r="G7463" s="21"/>
    </row>
    <row r="7464" ht="21.0" customHeight="1">
      <c r="A7464" s="11"/>
      <c r="B7464" s="11"/>
      <c r="C7464" s="11"/>
      <c r="D7464" s="10" t="s">
        <v>3177</v>
      </c>
    </row>
    <row r="7465" ht="15.0" customHeight="1">
      <c r="A7465" s="10" t="s">
        <v>3178</v>
      </c>
      <c r="B7465" s="10" t="s">
        <v>42</v>
      </c>
      <c r="C7465" s="10" t="s">
        <v>222</v>
      </c>
      <c r="D7465" s="10" t="s">
        <v>3176</v>
      </c>
      <c r="E7465" s="14">
        <v>1.0</v>
      </c>
      <c r="F7465" s="15">
        <f>ROUND(309,3)</f>
        <v>309</v>
      </c>
      <c r="G7465" s="12">
        <f>ROUND(E7465*F7465,2)</f>
        <v>309</v>
      </c>
    </row>
    <row r="7466" ht="15.0" customHeight="1">
      <c r="A7466" s="16"/>
      <c r="B7466" s="16"/>
      <c r="C7466" s="16"/>
      <c r="D7466" s="17" t="s">
        <v>3175</v>
      </c>
      <c r="E7466" s="16"/>
      <c r="F7466" s="18">
        <f>ROUND((G7465)*(1+G2/100),2)</f>
        <v>309</v>
      </c>
      <c r="G7466" s="16"/>
    </row>
    <row r="7467" ht="15.0" customHeight="1">
      <c r="A7467" s="19" t="s">
        <v>3179</v>
      </c>
      <c r="B7467" s="20" t="s">
        <v>18</v>
      </c>
      <c r="C7467" s="20" t="s">
        <v>222</v>
      </c>
      <c r="D7467" s="20" t="s">
        <v>3180</v>
      </c>
      <c r="E7467" s="21"/>
      <c r="F7467" s="22">
        <f>F7470</f>
        <v>205</v>
      </c>
      <c r="G7467" s="21"/>
    </row>
    <row r="7468" ht="12.0" customHeight="1">
      <c r="A7468" s="11"/>
      <c r="B7468" s="11"/>
      <c r="C7468" s="11"/>
      <c r="D7468" s="10" t="s">
        <v>3181</v>
      </c>
    </row>
    <row r="7469" ht="15.0" customHeight="1">
      <c r="A7469" s="10" t="s">
        <v>3182</v>
      </c>
      <c r="B7469" s="10" t="s">
        <v>42</v>
      </c>
      <c r="C7469" s="10" t="s">
        <v>222</v>
      </c>
      <c r="D7469" s="10" t="s">
        <v>3180</v>
      </c>
      <c r="E7469" s="14">
        <v>1.0</v>
      </c>
      <c r="F7469" s="15">
        <f>ROUND(205,3)</f>
        <v>205</v>
      </c>
      <c r="G7469" s="12">
        <f>ROUND(E7469*F7469,2)</f>
        <v>205</v>
      </c>
    </row>
    <row r="7470" ht="15.0" customHeight="1">
      <c r="A7470" s="16"/>
      <c r="B7470" s="16"/>
      <c r="C7470" s="16"/>
      <c r="D7470" s="17" t="s">
        <v>3179</v>
      </c>
      <c r="E7470" s="16"/>
      <c r="F7470" s="18">
        <f>ROUND((G7469)*(1+G2/100),2)</f>
        <v>205</v>
      </c>
      <c r="G7470" s="16"/>
    </row>
    <row r="7471" ht="21.0" customHeight="1">
      <c r="A7471" s="19" t="s">
        <v>3183</v>
      </c>
      <c r="B7471" s="20" t="s">
        <v>18</v>
      </c>
      <c r="C7471" s="20" t="s">
        <v>222</v>
      </c>
      <c r="D7471" s="20" t="s">
        <v>3184</v>
      </c>
      <c r="E7471" s="21"/>
      <c r="F7471" s="22">
        <f>F7474</f>
        <v>970</v>
      </c>
      <c r="G7471" s="21"/>
    </row>
    <row r="7472" ht="39.75" customHeight="1">
      <c r="A7472" s="11"/>
      <c r="B7472" s="11"/>
      <c r="C7472" s="11"/>
      <c r="D7472" s="10" t="s">
        <v>3185</v>
      </c>
    </row>
    <row r="7473" ht="21.0" customHeight="1">
      <c r="A7473" s="10" t="s">
        <v>3186</v>
      </c>
      <c r="B7473" s="10" t="s">
        <v>42</v>
      </c>
      <c r="C7473" s="10" t="s">
        <v>222</v>
      </c>
      <c r="D7473" s="10" t="s">
        <v>3184</v>
      </c>
      <c r="E7473" s="14">
        <v>1.0</v>
      </c>
      <c r="F7473" s="15">
        <f>ROUND(970,3)</f>
        <v>970</v>
      </c>
      <c r="G7473" s="12">
        <f>ROUND(E7473*F7473,2)</f>
        <v>970</v>
      </c>
    </row>
    <row r="7474" ht="15.0" customHeight="1">
      <c r="A7474" s="16"/>
      <c r="B7474" s="16"/>
      <c r="C7474" s="16"/>
      <c r="D7474" s="17" t="s">
        <v>3183</v>
      </c>
      <c r="E7474" s="16"/>
      <c r="F7474" s="18">
        <f>ROUND((G7473)*(1+G2/100),2)</f>
        <v>970</v>
      </c>
      <c r="G7474" s="16"/>
    </row>
    <row r="7475" ht="15.0" customHeight="1">
      <c r="A7475" s="19" t="s">
        <v>3187</v>
      </c>
      <c r="B7475" s="20" t="s">
        <v>18</v>
      </c>
      <c r="C7475" s="20" t="s">
        <v>222</v>
      </c>
      <c r="D7475" s="20" t="s">
        <v>1572</v>
      </c>
      <c r="E7475" s="21"/>
      <c r="F7475" s="22">
        <f>F7478</f>
        <v>945</v>
      </c>
      <c r="G7475" s="21"/>
    </row>
    <row r="7476" ht="48.75" customHeight="1">
      <c r="A7476" s="11"/>
      <c r="B7476" s="11"/>
      <c r="C7476" s="11"/>
      <c r="D7476" s="10" t="s">
        <v>3188</v>
      </c>
    </row>
    <row r="7477" ht="15.0" customHeight="1">
      <c r="A7477" s="10" t="s">
        <v>3189</v>
      </c>
      <c r="B7477" s="10" t="s">
        <v>42</v>
      </c>
      <c r="C7477" s="10" t="s">
        <v>222</v>
      </c>
      <c r="D7477" s="10" t="s">
        <v>1572</v>
      </c>
      <c r="E7477" s="14">
        <v>1.0</v>
      </c>
      <c r="F7477" s="15">
        <f>ROUND(945,3)</f>
        <v>945</v>
      </c>
      <c r="G7477" s="12">
        <f>ROUND(E7477*F7477,2)</f>
        <v>945</v>
      </c>
    </row>
    <row r="7478" ht="15.0" customHeight="1">
      <c r="A7478" s="16"/>
      <c r="B7478" s="16"/>
      <c r="C7478" s="16"/>
      <c r="D7478" s="17" t="s">
        <v>3187</v>
      </c>
      <c r="E7478" s="16"/>
      <c r="F7478" s="18">
        <f>ROUND((G7477)*(1+G2/100),2)</f>
        <v>945</v>
      </c>
      <c r="G7478" s="16"/>
    </row>
    <row r="7479" ht="15.0" customHeight="1">
      <c r="A7479" s="19" t="s">
        <v>3190</v>
      </c>
      <c r="B7479" s="20" t="s">
        <v>18</v>
      </c>
      <c r="C7479" s="20" t="s">
        <v>222</v>
      </c>
      <c r="D7479" s="20" t="s">
        <v>3191</v>
      </c>
      <c r="E7479" s="21"/>
      <c r="F7479" s="22">
        <f>F7482</f>
        <v>1005</v>
      </c>
      <c r="G7479" s="21"/>
    </row>
    <row r="7480" ht="30.0" customHeight="1">
      <c r="A7480" s="11"/>
      <c r="B7480" s="11"/>
      <c r="C7480" s="11"/>
      <c r="D7480" s="10" t="s">
        <v>3192</v>
      </c>
    </row>
    <row r="7481" ht="15.0" customHeight="1">
      <c r="A7481" s="10" t="s">
        <v>3193</v>
      </c>
      <c r="B7481" s="10" t="s">
        <v>42</v>
      </c>
      <c r="C7481" s="10" t="s">
        <v>222</v>
      </c>
      <c r="D7481" s="10" t="s">
        <v>3191</v>
      </c>
      <c r="E7481" s="14">
        <v>1.0</v>
      </c>
      <c r="F7481" s="15">
        <f>ROUND(1005,3)</f>
        <v>1005</v>
      </c>
      <c r="G7481" s="12">
        <f>ROUND(E7481*F7481,2)</f>
        <v>1005</v>
      </c>
    </row>
    <row r="7482" ht="15.0" customHeight="1">
      <c r="A7482" s="16"/>
      <c r="B7482" s="16"/>
      <c r="C7482" s="16"/>
      <c r="D7482" s="17" t="s">
        <v>3190</v>
      </c>
      <c r="E7482" s="16"/>
      <c r="F7482" s="18">
        <f>ROUND((G7481)*(1+G2/100),2)</f>
        <v>1005</v>
      </c>
      <c r="G7482" s="16"/>
    </row>
    <row r="7483" ht="15.0" customHeight="1">
      <c r="A7483" s="19" t="s">
        <v>3194</v>
      </c>
      <c r="B7483" s="20" t="s">
        <v>18</v>
      </c>
      <c r="C7483" s="20" t="s">
        <v>222</v>
      </c>
      <c r="D7483" s="20" t="s">
        <v>3195</v>
      </c>
      <c r="E7483" s="21"/>
      <c r="F7483" s="22">
        <f>F7486</f>
        <v>1946</v>
      </c>
      <c r="G7483" s="21"/>
    </row>
    <row r="7484" ht="48.75" customHeight="1">
      <c r="A7484" s="11"/>
      <c r="B7484" s="11"/>
      <c r="C7484" s="11"/>
      <c r="D7484" s="10" t="s">
        <v>3196</v>
      </c>
    </row>
    <row r="7485" ht="21.0" customHeight="1">
      <c r="A7485" s="10" t="s">
        <v>3197</v>
      </c>
      <c r="B7485" s="10" t="s">
        <v>42</v>
      </c>
      <c r="C7485" s="10" t="s">
        <v>485</v>
      </c>
      <c r="D7485" s="10" t="s">
        <v>3198</v>
      </c>
      <c r="E7485" s="14">
        <v>1.0</v>
      </c>
      <c r="F7485" s="15">
        <f>ROUND(1946,3)</f>
        <v>1946</v>
      </c>
      <c r="G7485" s="12">
        <f>ROUND(E7485*F7485,2)</f>
        <v>1946</v>
      </c>
    </row>
    <row r="7486" ht="15.0" customHeight="1">
      <c r="A7486" s="16"/>
      <c r="B7486" s="16"/>
      <c r="C7486" s="16"/>
      <c r="D7486" s="17" t="s">
        <v>3194</v>
      </c>
      <c r="E7486" s="16"/>
      <c r="F7486" s="18">
        <f>ROUND((G7485)*(1+G2/100),2)</f>
        <v>1946</v>
      </c>
      <c r="G7486" s="16"/>
    </row>
    <row r="7487" ht="15.0" customHeight="1">
      <c r="A7487" s="23"/>
      <c r="B7487" s="23"/>
      <c r="C7487" s="23"/>
      <c r="D7487" s="24" t="s">
        <v>3157</v>
      </c>
      <c r="E7487" s="25"/>
      <c r="F7487" s="25"/>
      <c r="G7487" s="25"/>
    </row>
    <row r="7488" ht="15.0" customHeight="1">
      <c r="A7488" s="23"/>
      <c r="B7488" s="23"/>
      <c r="C7488" s="23"/>
      <c r="D7488" s="32" t="s">
        <v>3101</v>
      </c>
      <c r="E7488" s="33"/>
      <c r="F7488" s="33"/>
      <c r="G7488" s="33"/>
    </row>
    <row r="7489" ht="24.75" customHeight="1">
      <c r="A7489" s="34" t="s">
        <v>3199</v>
      </c>
      <c r="B7489" s="34" t="s">
        <v>10</v>
      </c>
      <c r="C7489" s="35"/>
      <c r="D7489" s="34" t="s">
        <v>3200</v>
      </c>
      <c r="E7489" s="35"/>
      <c r="F7489" s="35"/>
      <c r="G7489" s="35"/>
    </row>
    <row r="7490" ht="15.0" customHeight="1">
      <c r="A7490" s="42" t="s">
        <v>3201</v>
      </c>
      <c r="B7490" s="42" t="s">
        <v>10</v>
      </c>
      <c r="C7490" s="43"/>
      <c r="D7490" s="42" t="s">
        <v>3202</v>
      </c>
      <c r="E7490" s="43"/>
      <c r="F7490" s="43"/>
      <c r="G7490" s="43"/>
    </row>
    <row r="7491" ht="39.75" customHeight="1">
      <c r="A7491" s="13" t="s">
        <v>3203</v>
      </c>
      <c r="B7491" s="10" t="s">
        <v>18</v>
      </c>
      <c r="C7491" s="10" t="s">
        <v>344</v>
      </c>
      <c r="D7491" s="10" t="s">
        <v>3204</v>
      </c>
      <c r="E7491" s="11"/>
      <c r="F7491" s="12">
        <f>F7500</f>
        <v>88.6</v>
      </c>
      <c r="G7491" s="11"/>
    </row>
    <row r="7492" ht="21.0" customHeight="1">
      <c r="A7492" s="11"/>
      <c r="B7492" s="11"/>
      <c r="C7492" s="11"/>
      <c r="D7492" s="10" t="s">
        <v>3204</v>
      </c>
    </row>
    <row r="7493" ht="30.0" customHeight="1">
      <c r="A7493" s="10" t="s">
        <v>3205</v>
      </c>
      <c r="B7493" s="10" t="s">
        <v>42</v>
      </c>
      <c r="C7493" s="10" t="s">
        <v>344</v>
      </c>
      <c r="D7493" s="10" t="s">
        <v>3206</v>
      </c>
      <c r="E7493" s="14">
        <v>1.0</v>
      </c>
      <c r="F7493" s="15">
        <f>ROUND(65.96,3)</f>
        <v>65.96</v>
      </c>
      <c r="G7493" s="12">
        <f t="shared" ref="G7493:G7498" si="1140">ROUND(E7493*F7493,2)</f>
        <v>65.96</v>
      </c>
    </row>
    <row r="7494" ht="21.0" customHeight="1">
      <c r="A7494" s="10" t="s">
        <v>348</v>
      </c>
      <c r="B7494" s="10" t="s">
        <v>42</v>
      </c>
      <c r="C7494" s="10" t="s">
        <v>226</v>
      </c>
      <c r="D7494" s="10" t="s">
        <v>349</v>
      </c>
      <c r="E7494" s="14">
        <v>0.012</v>
      </c>
      <c r="F7494" s="15">
        <f>ROUND(4.95,3)</f>
        <v>4.95</v>
      </c>
      <c r="G7494" s="12">
        <f t="shared" si="1140"/>
        <v>0.06</v>
      </c>
    </row>
    <row r="7495" ht="30.0" customHeight="1">
      <c r="A7495" s="10" t="s">
        <v>3207</v>
      </c>
      <c r="B7495" s="10" t="s">
        <v>18</v>
      </c>
      <c r="C7495" s="10" t="s">
        <v>23</v>
      </c>
      <c r="D7495" s="10" t="s">
        <v>3208</v>
      </c>
      <c r="E7495" s="14">
        <v>0.5</v>
      </c>
      <c r="F7495" s="15">
        <f>F7498</f>
        <v>43</v>
      </c>
      <c r="G7495" s="12">
        <f t="shared" si="1140"/>
        <v>21.5</v>
      </c>
    </row>
    <row r="7496" ht="24.0" customHeight="1">
      <c r="A7496" s="10" t="s">
        <v>3209</v>
      </c>
      <c r="B7496" s="10" t="s">
        <v>26</v>
      </c>
      <c r="C7496" s="10" t="s">
        <v>23</v>
      </c>
      <c r="D7496" s="10" t="s">
        <v>3210</v>
      </c>
      <c r="E7496" s="14">
        <v>1.0</v>
      </c>
      <c r="F7496" s="15">
        <f>ROUND(24,3)</f>
        <v>24</v>
      </c>
      <c r="G7496" s="12">
        <f t="shared" si="1140"/>
        <v>24</v>
      </c>
    </row>
    <row r="7497" ht="24.0" customHeight="1">
      <c r="A7497" s="10" t="s">
        <v>3211</v>
      </c>
      <c r="B7497" s="10" t="s">
        <v>26</v>
      </c>
      <c r="C7497" s="10" t="s">
        <v>23</v>
      </c>
      <c r="D7497" s="10" t="s">
        <v>3212</v>
      </c>
      <c r="E7497" s="14">
        <v>1.0</v>
      </c>
      <c r="F7497" s="15">
        <f>ROUND(19,3)</f>
        <v>19</v>
      </c>
      <c r="G7497" s="12">
        <f t="shared" si="1140"/>
        <v>19</v>
      </c>
    </row>
    <row r="7498" ht="15.0" customHeight="1">
      <c r="A7498" s="11"/>
      <c r="B7498" s="11"/>
      <c r="C7498" s="11"/>
      <c r="D7498" s="10" t="s">
        <v>3207</v>
      </c>
      <c r="E7498" s="14">
        <v>0.5</v>
      </c>
      <c r="F7498" s="15">
        <f>ROUND((G7496+G7497),3)</f>
        <v>43</v>
      </c>
      <c r="G7498" s="12">
        <f t="shared" si="1140"/>
        <v>21.5</v>
      </c>
    </row>
    <row r="7499" ht="15.0" customHeight="1">
      <c r="A7499" s="10" t="s">
        <v>32</v>
      </c>
      <c r="B7499" s="10"/>
      <c r="C7499" s="10" t="s">
        <v>33</v>
      </c>
      <c r="D7499" s="10" t="s">
        <v>34</v>
      </c>
      <c r="E7499" s="14">
        <v>5.0</v>
      </c>
      <c r="F7499" s="15">
        <f>ROUND(21.5,3)</f>
        <v>21.5</v>
      </c>
      <c r="G7499" s="12">
        <f>ROUND((E7499*F7499)/100,2)</f>
        <v>1.08</v>
      </c>
    </row>
    <row r="7500" ht="15.0" customHeight="1">
      <c r="A7500" s="16"/>
      <c r="B7500" s="16"/>
      <c r="C7500" s="16"/>
      <c r="D7500" s="17" t="s">
        <v>3203</v>
      </c>
      <c r="E7500" s="16"/>
      <c r="F7500" s="18">
        <f>ROUND((G7493+G7494+G7495+G7499)*(1+G2/100),2)</f>
        <v>88.6</v>
      </c>
      <c r="G7500" s="16"/>
    </row>
    <row r="7501" ht="15.0" customHeight="1">
      <c r="A7501" s="23"/>
      <c r="B7501" s="23"/>
      <c r="C7501" s="23"/>
      <c r="D7501" s="24" t="s">
        <v>3201</v>
      </c>
      <c r="E7501" s="25"/>
      <c r="F7501" s="25"/>
      <c r="G7501" s="25"/>
    </row>
    <row r="7502" ht="15.0" customHeight="1">
      <c r="A7502" s="23"/>
      <c r="B7502" s="23"/>
      <c r="C7502" s="23"/>
      <c r="D7502" s="32" t="s">
        <v>3199</v>
      </c>
      <c r="E7502" s="33"/>
      <c r="F7502" s="33"/>
      <c r="G7502" s="33"/>
    </row>
    <row r="7503" ht="15.0" customHeight="1">
      <c r="A7503" s="34" t="s">
        <v>3213</v>
      </c>
      <c r="B7503" s="34" t="s">
        <v>10</v>
      </c>
      <c r="C7503" s="35"/>
      <c r="D7503" s="34" t="s">
        <v>3214</v>
      </c>
      <c r="E7503" s="35"/>
      <c r="F7503" s="35"/>
      <c r="G7503" s="35"/>
    </row>
    <row r="7504" ht="39.75" customHeight="1">
      <c r="A7504" s="13" t="s">
        <v>3215</v>
      </c>
      <c r="B7504" s="10" t="s">
        <v>18</v>
      </c>
      <c r="C7504" s="10" t="s">
        <v>351</v>
      </c>
      <c r="D7504" s="10" t="s">
        <v>3216</v>
      </c>
      <c r="E7504" s="11"/>
      <c r="F7504" s="12">
        <f>F7520</f>
        <v>28.08</v>
      </c>
      <c r="G7504" s="11"/>
    </row>
    <row r="7505" ht="12.0" customHeight="1">
      <c r="A7505" s="11"/>
      <c r="B7505" s="11"/>
      <c r="C7505" s="11"/>
      <c r="D7505" s="10" t="s">
        <v>3217</v>
      </c>
    </row>
    <row r="7506" ht="21.0" customHeight="1">
      <c r="A7506" s="10" t="s">
        <v>3218</v>
      </c>
      <c r="B7506" s="10" t="s">
        <v>42</v>
      </c>
      <c r="C7506" s="10" t="s">
        <v>3219</v>
      </c>
      <c r="D7506" s="10" t="s">
        <v>3220</v>
      </c>
      <c r="E7506" s="14">
        <v>0.18333</v>
      </c>
      <c r="F7506" s="15">
        <f>ROUND(66.1,3)</f>
        <v>66.1</v>
      </c>
      <c r="G7506" s="12">
        <f t="shared" ref="G7506:G7518" si="1141">ROUND(E7506*F7506,2)</f>
        <v>12.12</v>
      </c>
    </row>
    <row r="7507" ht="21.0" customHeight="1">
      <c r="A7507" s="10" t="s">
        <v>3221</v>
      </c>
      <c r="B7507" s="10" t="s">
        <v>42</v>
      </c>
      <c r="C7507" s="10" t="s">
        <v>344</v>
      </c>
      <c r="D7507" s="10" t="s">
        <v>3222</v>
      </c>
      <c r="E7507" s="14">
        <v>0.25714</v>
      </c>
      <c r="F7507" s="15">
        <f>ROUND(3.51,3)</f>
        <v>3.51</v>
      </c>
      <c r="G7507" s="12">
        <f t="shared" si="1141"/>
        <v>0.9</v>
      </c>
    </row>
    <row r="7508" ht="21.0" customHeight="1">
      <c r="A7508" s="10" t="s">
        <v>3223</v>
      </c>
      <c r="B7508" s="10" t="s">
        <v>42</v>
      </c>
      <c r="C7508" s="10" t="s">
        <v>344</v>
      </c>
      <c r="D7508" s="10" t="s">
        <v>3224</v>
      </c>
      <c r="E7508" s="14">
        <v>0.27143</v>
      </c>
      <c r="F7508" s="15">
        <f>ROUND(2.93,3)</f>
        <v>2.93</v>
      </c>
      <c r="G7508" s="12">
        <f t="shared" si="1141"/>
        <v>0.8</v>
      </c>
    </row>
    <row r="7509" ht="30.0" customHeight="1">
      <c r="A7509" s="10" t="s">
        <v>3118</v>
      </c>
      <c r="B7509" s="10" t="s">
        <v>42</v>
      </c>
      <c r="C7509" s="10" t="s">
        <v>344</v>
      </c>
      <c r="D7509" s="10" t="s">
        <v>3119</v>
      </c>
      <c r="E7509" s="14">
        <v>0.03143</v>
      </c>
      <c r="F7509" s="15">
        <f>ROUND(17.99,3)</f>
        <v>17.99</v>
      </c>
      <c r="G7509" s="12">
        <f t="shared" si="1141"/>
        <v>0.57</v>
      </c>
    </row>
    <row r="7510" ht="30.0" customHeight="1">
      <c r="A7510" s="10" t="s">
        <v>3225</v>
      </c>
      <c r="B7510" s="10" t="s">
        <v>18</v>
      </c>
      <c r="C7510" s="10" t="s">
        <v>23</v>
      </c>
      <c r="D7510" s="10" t="s">
        <v>3226</v>
      </c>
      <c r="E7510" s="14">
        <v>0.28</v>
      </c>
      <c r="F7510" s="15">
        <f>F7512</f>
        <v>0.79</v>
      </c>
      <c r="G7510" s="12">
        <f t="shared" si="1141"/>
        <v>0.22</v>
      </c>
    </row>
    <row r="7511" ht="21.0" customHeight="1">
      <c r="A7511" s="10" t="s">
        <v>3227</v>
      </c>
      <c r="B7511" s="10" t="s">
        <v>112</v>
      </c>
      <c r="C7511" s="10" t="s">
        <v>231</v>
      </c>
      <c r="D7511" s="10" t="s">
        <v>3228</v>
      </c>
      <c r="E7511" s="14">
        <v>0.00417</v>
      </c>
      <c r="F7511" s="15">
        <f>ROUND(188.43,3)</f>
        <v>188.43</v>
      </c>
      <c r="G7511" s="12">
        <f t="shared" si="1141"/>
        <v>0.79</v>
      </c>
    </row>
    <row r="7512" ht="15.0" customHeight="1">
      <c r="A7512" s="11"/>
      <c r="B7512" s="11"/>
      <c r="C7512" s="11"/>
      <c r="D7512" s="10" t="s">
        <v>3225</v>
      </c>
      <c r="E7512" s="14">
        <v>0.28</v>
      </c>
      <c r="F7512" s="15">
        <f>ROUND((G7511),3)</f>
        <v>0.79</v>
      </c>
      <c r="G7512" s="12">
        <f t="shared" si="1141"/>
        <v>0.22</v>
      </c>
    </row>
    <row r="7513" ht="30.0" customHeight="1">
      <c r="A7513" s="10" t="s">
        <v>971</v>
      </c>
      <c r="B7513" s="10" t="s">
        <v>42</v>
      </c>
      <c r="C7513" s="10" t="s">
        <v>231</v>
      </c>
      <c r="D7513" s="10" t="s">
        <v>972</v>
      </c>
      <c r="E7513" s="14">
        <v>0.011</v>
      </c>
      <c r="F7513" s="15">
        <f>ROUND(4.92,3)</f>
        <v>4.92</v>
      </c>
      <c r="G7513" s="12">
        <f t="shared" si="1141"/>
        <v>0.05</v>
      </c>
    </row>
    <row r="7514" ht="21.0" customHeight="1">
      <c r="A7514" s="10" t="s">
        <v>967</v>
      </c>
      <c r="B7514" s="10" t="s">
        <v>42</v>
      </c>
      <c r="C7514" s="10" t="s">
        <v>325</v>
      </c>
      <c r="D7514" s="10" t="s">
        <v>968</v>
      </c>
      <c r="E7514" s="14">
        <v>0.00429</v>
      </c>
      <c r="F7514" s="15">
        <f>ROUND(6.49,3)</f>
        <v>6.49</v>
      </c>
      <c r="G7514" s="12">
        <f t="shared" si="1141"/>
        <v>0.03</v>
      </c>
    </row>
    <row r="7515" ht="30.0" customHeight="1">
      <c r="A7515" s="10" t="s">
        <v>3229</v>
      </c>
      <c r="B7515" s="10" t="s">
        <v>42</v>
      </c>
      <c r="C7515" s="10" t="s">
        <v>344</v>
      </c>
      <c r="D7515" s="10" t="s">
        <v>3230</v>
      </c>
      <c r="E7515" s="14">
        <v>0.54286</v>
      </c>
      <c r="F7515" s="15">
        <f>ROUND(0.24,3)</f>
        <v>0.24</v>
      </c>
      <c r="G7515" s="12">
        <f t="shared" si="1141"/>
        <v>0.13</v>
      </c>
    </row>
    <row r="7516" ht="21.0" customHeight="1">
      <c r="A7516" s="10" t="s">
        <v>348</v>
      </c>
      <c r="B7516" s="10" t="s">
        <v>42</v>
      </c>
      <c r="C7516" s="10" t="s">
        <v>226</v>
      </c>
      <c r="D7516" s="10" t="s">
        <v>349</v>
      </c>
      <c r="E7516" s="14">
        <v>0.005</v>
      </c>
      <c r="F7516" s="15">
        <f>ROUND(4.95,3)</f>
        <v>4.95</v>
      </c>
      <c r="G7516" s="12">
        <f t="shared" si="1141"/>
        <v>0.02</v>
      </c>
    </row>
    <row r="7517" ht="24.0" customHeight="1">
      <c r="A7517" s="10" t="s">
        <v>3209</v>
      </c>
      <c r="B7517" s="10" t="s">
        <v>26</v>
      </c>
      <c r="C7517" s="10" t="s">
        <v>23</v>
      </c>
      <c r="D7517" s="10" t="s">
        <v>3210</v>
      </c>
      <c r="E7517" s="14">
        <v>0.28</v>
      </c>
      <c r="F7517" s="15">
        <f>ROUND(24,3)</f>
        <v>24</v>
      </c>
      <c r="G7517" s="12">
        <f t="shared" si="1141"/>
        <v>6.72</v>
      </c>
    </row>
    <row r="7518" ht="24.0" customHeight="1">
      <c r="A7518" s="10" t="s">
        <v>3211</v>
      </c>
      <c r="B7518" s="10" t="s">
        <v>26</v>
      </c>
      <c r="C7518" s="10" t="s">
        <v>23</v>
      </c>
      <c r="D7518" s="10" t="s">
        <v>3212</v>
      </c>
      <c r="E7518" s="14">
        <v>0.28</v>
      </c>
      <c r="F7518" s="15">
        <f>ROUND(19,3)</f>
        <v>19</v>
      </c>
      <c r="G7518" s="12">
        <f t="shared" si="1141"/>
        <v>5.32</v>
      </c>
    </row>
    <row r="7519" ht="15.0" customHeight="1">
      <c r="A7519" s="10" t="s">
        <v>32</v>
      </c>
      <c r="B7519" s="10"/>
      <c r="C7519" s="10" t="s">
        <v>33</v>
      </c>
      <c r="D7519" s="10" t="s">
        <v>34</v>
      </c>
      <c r="E7519" s="14">
        <v>10.0</v>
      </c>
      <c r="F7519" s="15">
        <f>ROUND(12.04,3)</f>
        <v>12.04</v>
      </c>
      <c r="G7519" s="12">
        <f>ROUND((E7519*F7519)/100,2)</f>
        <v>1.2</v>
      </c>
    </row>
    <row r="7520" ht="15.0" customHeight="1">
      <c r="A7520" s="16"/>
      <c r="B7520" s="16"/>
      <c r="C7520" s="16"/>
      <c r="D7520" s="17" t="s">
        <v>3215</v>
      </c>
      <c r="E7520" s="16"/>
      <c r="F7520" s="18">
        <f>ROUND((G7506+G7507+G7508+G7509+G7510+G7513+G7514+G7515+G7516+G7517+G7518+G7519)*(1+G2/100),2)</f>
        <v>28.08</v>
      </c>
      <c r="G7520" s="16"/>
    </row>
    <row r="7521" ht="30.0" customHeight="1">
      <c r="A7521" s="19" t="s">
        <v>3231</v>
      </c>
      <c r="B7521" s="20" t="s">
        <v>18</v>
      </c>
      <c r="C7521" s="20" t="s">
        <v>351</v>
      </c>
      <c r="D7521" s="20" t="s">
        <v>3232</v>
      </c>
      <c r="E7521" s="21"/>
      <c r="F7521" s="22">
        <f>F7540</f>
        <v>30.3</v>
      </c>
      <c r="G7521" s="21"/>
    </row>
    <row r="7522" ht="76.5" customHeight="1">
      <c r="A7522" s="11"/>
      <c r="B7522" s="11"/>
      <c r="C7522" s="11"/>
      <c r="D7522" s="10" t="s">
        <v>3233</v>
      </c>
    </row>
    <row r="7523" ht="30.0" customHeight="1">
      <c r="A7523" s="10" t="s">
        <v>3234</v>
      </c>
      <c r="B7523" s="10" t="s">
        <v>42</v>
      </c>
      <c r="C7523" s="10" t="s">
        <v>231</v>
      </c>
      <c r="D7523" s="10" t="s">
        <v>3235</v>
      </c>
      <c r="E7523" s="14">
        <v>0.44286</v>
      </c>
      <c r="F7523" s="15">
        <f>ROUND(28.27,3)</f>
        <v>28.27</v>
      </c>
      <c r="G7523" s="12">
        <f t="shared" ref="G7523:G7538" si="1142">ROUND(E7523*F7523,2)</f>
        <v>12.52</v>
      </c>
    </row>
    <row r="7524" ht="21.0" customHeight="1">
      <c r="A7524" s="10" t="s">
        <v>3236</v>
      </c>
      <c r="B7524" s="10" t="s">
        <v>42</v>
      </c>
      <c r="C7524" s="10" t="s">
        <v>344</v>
      </c>
      <c r="D7524" s="10" t="s">
        <v>3237</v>
      </c>
      <c r="E7524" s="14">
        <v>0.25714</v>
      </c>
      <c r="F7524" s="15">
        <f>ROUND(5.42,3)</f>
        <v>5.42</v>
      </c>
      <c r="G7524" s="12">
        <f t="shared" si="1142"/>
        <v>1.39</v>
      </c>
    </row>
    <row r="7525" ht="21.0" customHeight="1">
      <c r="A7525" s="10" t="s">
        <v>3238</v>
      </c>
      <c r="B7525" s="10" t="s">
        <v>42</v>
      </c>
      <c r="C7525" s="10" t="s">
        <v>344</v>
      </c>
      <c r="D7525" s="10" t="s">
        <v>3239</v>
      </c>
      <c r="E7525" s="14">
        <v>0.54286</v>
      </c>
      <c r="F7525" s="15">
        <f>ROUND(2.07,3)</f>
        <v>2.07</v>
      </c>
      <c r="G7525" s="12">
        <f t="shared" si="1142"/>
        <v>1.12</v>
      </c>
    </row>
    <row r="7526" ht="30.0" customHeight="1">
      <c r="A7526" s="10" t="s">
        <v>3118</v>
      </c>
      <c r="B7526" s="10" t="s">
        <v>42</v>
      </c>
      <c r="C7526" s="10" t="s">
        <v>344</v>
      </c>
      <c r="D7526" s="10" t="s">
        <v>3119</v>
      </c>
      <c r="E7526" s="14">
        <v>0.03143</v>
      </c>
      <c r="F7526" s="15">
        <f>ROUND(17.99,3)</f>
        <v>17.99</v>
      </c>
      <c r="G7526" s="12">
        <f t="shared" si="1142"/>
        <v>0.57</v>
      </c>
    </row>
    <row r="7527" ht="30.0" customHeight="1">
      <c r="A7527" s="10" t="s">
        <v>3225</v>
      </c>
      <c r="B7527" s="10" t="s">
        <v>18</v>
      </c>
      <c r="C7527" s="10" t="s">
        <v>23</v>
      </c>
      <c r="D7527" s="10" t="s">
        <v>3226</v>
      </c>
      <c r="E7527" s="14">
        <v>0.28</v>
      </c>
      <c r="F7527" s="15">
        <f>F7529</f>
        <v>0.79</v>
      </c>
      <c r="G7527" s="12">
        <f t="shared" si="1142"/>
        <v>0.22</v>
      </c>
    </row>
    <row r="7528" ht="21.0" customHeight="1">
      <c r="A7528" s="10" t="s">
        <v>3227</v>
      </c>
      <c r="B7528" s="10" t="s">
        <v>112</v>
      </c>
      <c r="C7528" s="10" t="s">
        <v>231</v>
      </c>
      <c r="D7528" s="10" t="s">
        <v>3228</v>
      </c>
      <c r="E7528" s="14">
        <v>0.00417</v>
      </c>
      <c r="F7528" s="15">
        <f>ROUND(188.43,3)</f>
        <v>188.43</v>
      </c>
      <c r="G7528" s="12">
        <f t="shared" si="1142"/>
        <v>0.79</v>
      </c>
    </row>
    <row r="7529" ht="15.0" customHeight="1">
      <c r="A7529" s="11"/>
      <c r="B7529" s="11"/>
      <c r="C7529" s="11"/>
      <c r="D7529" s="10" t="s">
        <v>3225</v>
      </c>
      <c r="E7529" s="14">
        <v>0.28</v>
      </c>
      <c r="F7529" s="15">
        <f>ROUND((G7528),3)</f>
        <v>0.79</v>
      </c>
      <c r="G7529" s="12">
        <f t="shared" si="1142"/>
        <v>0.22</v>
      </c>
    </row>
    <row r="7530" ht="30.0" customHeight="1">
      <c r="A7530" s="10" t="s">
        <v>971</v>
      </c>
      <c r="B7530" s="10" t="s">
        <v>42</v>
      </c>
      <c r="C7530" s="10" t="s">
        <v>231</v>
      </c>
      <c r="D7530" s="10" t="s">
        <v>972</v>
      </c>
      <c r="E7530" s="14">
        <v>0.011</v>
      </c>
      <c r="F7530" s="15">
        <f>ROUND(4.92,3)</f>
        <v>4.92</v>
      </c>
      <c r="G7530" s="12">
        <f t="shared" si="1142"/>
        <v>0.05</v>
      </c>
    </row>
    <row r="7531" ht="21.0" customHeight="1">
      <c r="A7531" s="10" t="s">
        <v>967</v>
      </c>
      <c r="B7531" s="10" t="s">
        <v>42</v>
      </c>
      <c r="C7531" s="10" t="s">
        <v>325</v>
      </c>
      <c r="D7531" s="10" t="s">
        <v>968</v>
      </c>
      <c r="E7531" s="14">
        <v>0.00429</v>
      </c>
      <c r="F7531" s="15">
        <f>ROUND(6.49,3)</f>
        <v>6.49</v>
      </c>
      <c r="G7531" s="12">
        <f t="shared" si="1142"/>
        <v>0.03</v>
      </c>
    </row>
    <row r="7532" ht="30.0" customHeight="1">
      <c r="A7532" s="10" t="s">
        <v>3240</v>
      </c>
      <c r="B7532" s="10" t="s">
        <v>42</v>
      </c>
      <c r="C7532" s="10" t="s">
        <v>344</v>
      </c>
      <c r="D7532" s="10" t="s">
        <v>3241</v>
      </c>
      <c r="E7532" s="14">
        <v>0.54286</v>
      </c>
      <c r="F7532" s="15">
        <f>ROUND(0.95,3)</f>
        <v>0.95</v>
      </c>
      <c r="G7532" s="12">
        <f t="shared" si="1142"/>
        <v>0.52</v>
      </c>
    </row>
    <row r="7533" ht="30.0" customHeight="1">
      <c r="A7533" s="10" t="s">
        <v>3242</v>
      </c>
      <c r="B7533" s="10" t="s">
        <v>42</v>
      </c>
      <c r="C7533" s="10" t="s">
        <v>344</v>
      </c>
      <c r="D7533" s="10" t="s">
        <v>3243</v>
      </c>
      <c r="E7533" s="14">
        <v>0.00429</v>
      </c>
      <c r="F7533" s="15">
        <f>ROUND(24,3)</f>
        <v>24</v>
      </c>
      <c r="G7533" s="12">
        <f t="shared" si="1142"/>
        <v>0.1</v>
      </c>
    </row>
    <row r="7534" ht="30.0" customHeight="1">
      <c r="A7534" s="10" t="s">
        <v>3244</v>
      </c>
      <c r="B7534" s="10" t="s">
        <v>42</v>
      </c>
      <c r="C7534" s="10" t="s">
        <v>43</v>
      </c>
      <c r="D7534" s="10" t="s">
        <v>3245</v>
      </c>
      <c r="E7534" s="14">
        <v>0.00857</v>
      </c>
      <c r="F7534" s="15">
        <f>ROUND(2.9,3)</f>
        <v>2.9</v>
      </c>
      <c r="G7534" s="12">
        <f t="shared" si="1142"/>
        <v>0.02</v>
      </c>
    </row>
    <row r="7535" ht="30.0" customHeight="1">
      <c r="A7535" s="10" t="s">
        <v>3246</v>
      </c>
      <c r="B7535" s="10" t="s">
        <v>42</v>
      </c>
      <c r="C7535" s="10" t="s">
        <v>3247</v>
      </c>
      <c r="D7535" s="10" t="s">
        <v>3248</v>
      </c>
      <c r="E7535" s="14">
        <v>0.00857</v>
      </c>
      <c r="F7535" s="15">
        <f>ROUND(46.95,3)</f>
        <v>46.95</v>
      </c>
      <c r="G7535" s="12">
        <f t="shared" si="1142"/>
        <v>0.4</v>
      </c>
    </row>
    <row r="7536" ht="39.75" customHeight="1">
      <c r="A7536" s="10" t="s">
        <v>3249</v>
      </c>
      <c r="B7536" s="10" t="s">
        <v>42</v>
      </c>
      <c r="C7536" s="10" t="s">
        <v>231</v>
      </c>
      <c r="D7536" s="10" t="s">
        <v>3250</v>
      </c>
      <c r="E7536" s="14">
        <v>0.00286</v>
      </c>
      <c r="F7536" s="15">
        <f>ROUND(42.12,3)</f>
        <v>42.12</v>
      </c>
      <c r="G7536" s="12">
        <f t="shared" si="1142"/>
        <v>0.12</v>
      </c>
    </row>
    <row r="7537" ht="24.0" customHeight="1">
      <c r="A7537" s="10" t="s">
        <v>3209</v>
      </c>
      <c r="B7537" s="10" t="s">
        <v>26</v>
      </c>
      <c r="C7537" s="10" t="s">
        <v>23</v>
      </c>
      <c r="D7537" s="10" t="s">
        <v>3210</v>
      </c>
      <c r="E7537" s="14">
        <v>0.28</v>
      </c>
      <c r="F7537" s="15">
        <f>ROUND(24,3)</f>
        <v>24</v>
      </c>
      <c r="G7537" s="12">
        <f t="shared" si="1142"/>
        <v>6.72</v>
      </c>
    </row>
    <row r="7538" ht="24.0" customHeight="1">
      <c r="A7538" s="10" t="s">
        <v>3211</v>
      </c>
      <c r="B7538" s="10" t="s">
        <v>26</v>
      </c>
      <c r="C7538" s="10" t="s">
        <v>23</v>
      </c>
      <c r="D7538" s="10" t="s">
        <v>3212</v>
      </c>
      <c r="E7538" s="14">
        <v>0.28</v>
      </c>
      <c r="F7538" s="15">
        <f>ROUND(19,3)</f>
        <v>19</v>
      </c>
      <c r="G7538" s="12">
        <f t="shared" si="1142"/>
        <v>5.32</v>
      </c>
    </row>
    <row r="7539" ht="15.0" customHeight="1">
      <c r="A7539" s="10" t="s">
        <v>32</v>
      </c>
      <c r="B7539" s="10"/>
      <c r="C7539" s="10" t="s">
        <v>33</v>
      </c>
      <c r="D7539" s="10" t="s">
        <v>34</v>
      </c>
      <c r="E7539" s="14">
        <v>10.0</v>
      </c>
      <c r="F7539" s="15">
        <f>ROUND(12.04,3)</f>
        <v>12.04</v>
      </c>
      <c r="G7539" s="12">
        <f>ROUND((E7539*F7539)/100,2)</f>
        <v>1.2</v>
      </c>
    </row>
    <row r="7540" ht="15.0" customHeight="1">
      <c r="A7540" s="16"/>
      <c r="B7540" s="16"/>
      <c r="C7540" s="16"/>
      <c r="D7540" s="17" t="s">
        <v>3231</v>
      </c>
      <c r="E7540" s="16"/>
      <c r="F7540" s="18">
        <f>ROUND((G7523+G7524+G7525+G7526+G7527+G7530+G7531+G7532+G7533+G7534+G7535+G7536+G7537+G7538+G7539)*(1+G2/100),2)</f>
        <v>30.3</v>
      </c>
      <c r="G7540" s="16"/>
    </row>
    <row r="7541" ht="15.0" customHeight="1">
      <c r="A7541" s="26" t="s">
        <v>3251</v>
      </c>
      <c r="B7541" s="26" t="s">
        <v>10</v>
      </c>
      <c r="C7541" s="27"/>
      <c r="D7541" s="26" t="s">
        <v>3252</v>
      </c>
      <c r="E7541" s="27"/>
      <c r="F7541" s="27"/>
      <c r="G7541" s="27"/>
    </row>
    <row r="7542" ht="15.0" customHeight="1">
      <c r="A7542" s="13" t="s">
        <v>3253</v>
      </c>
      <c r="B7542" s="10" t="s">
        <v>18</v>
      </c>
      <c r="C7542" s="10" t="s">
        <v>295</v>
      </c>
      <c r="D7542" s="10" t="s">
        <v>3254</v>
      </c>
      <c r="E7542" s="11"/>
      <c r="F7542" s="12">
        <f>F7545</f>
        <v>396</v>
      </c>
      <c r="G7542" s="11"/>
    </row>
    <row r="7543" ht="30.0" customHeight="1">
      <c r="A7543" s="11"/>
      <c r="B7543" s="11"/>
      <c r="C7543" s="11"/>
      <c r="D7543" s="10" t="s">
        <v>3255</v>
      </c>
    </row>
    <row r="7544" ht="24.0" customHeight="1">
      <c r="A7544" s="10" t="s">
        <v>1186</v>
      </c>
      <c r="B7544" s="10" t="s">
        <v>26</v>
      </c>
      <c r="C7544" s="10" t="s">
        <v>23</v>
      </c>
      <c r="D7544" s="10" t="s">
        <v>1187</v>
      </c>
      <c r="E7544" s="14">
        <v>8.0</v>
      </c>
      <c r="F7544" s="15">
        <f>ROUND(49.5,3)</f>
        <v>49.5</v>
      </c>
      <c r="G7544" s="12">
        <f>ROUND(E7544*F7544,2)</f>
        <v>396</v>
      </c>
    </row>
    <row r="7545" ht="15.0" customHeight="1">
      <c r="A7545" s="16"/>
      <c r="B7545" s="16"/>
      <c r="C7545" s="16"/>
      <c r="D7545" s="17" t="s">
        <v>3253</v>
      </c>
      <c r="E7545" s="16"/>
      <c r="F7545" s="18">
        <f>ROUND((G7544)*(1+G2/100),2)</f>
        <v>396</v>
      </c>
      <c r="G7545" s="16"/>
    </row>
    <row r="7546" ht="21.0" customHeight="1">
      <c r="A7546" s="19" t="s">
        <v>3256</v>
      </c>
      <c r="B7546" s="20" t="s">
        <v>18</v>
      </c>
      <c r="C7546" s="20" t="s">
        <v>321</v>
      </c>
      <c r="D7546" s="20" t="s">
        <v>3257</v>
      </c>
      <c r="E7546" s="21"/>
      <c r="F7546" s="22">
        <f>F7550</f>
        <v>6.19</v>
      </c>
      <c r="G7546" s="21"/>
    </row>
    <row r="7547" ht="30.0" customHeight="1">
      <c r="A7547" s="11"/>
      <c r="B7547" s="11"/>
      <c r="C7547" s="11"/>
      <c r="D7547" s="10" t="s">
        <v>3258</v>
      </c>
    </row>
    <row r="7548" ht="30.0" customHeight="1">
      <c r="A7548" s="10" t="s">
        <v>3259</v>
      </c>
      <c r="B7548" s="10" t="s">
        <v>42</v>
      </c>
      <c r="C7548" s="10" t="s">
        <v>226</v>
      </c>
      <c r="D7548" s="10" t="s">
        <v>3260</v>
      </c>
      <c r="E7548" s="14">
        <v>0.044</v>
      </c>
      <c r="F7548" s="15">
        <f>ROUND(28.1,3)</f>
        <v>28.1</v>
      </c>
      <c r="G7548" s="12">
        <f t="shared" ref="G7548:G7549" si="1143">ROUND(E7548*F7548,2)</f>
        <v>1.24</v>
      </c>
    </row>
    <row r="7549" ht="24.0" customHeight="1">
      <c r="A7549" s="10" t="s">
        <v>1186</v>
      </c>
      <c r="B7549" s="10" t="s">
        <v>26</v>
      </c>
      <c r="C7549" s="10" t="s">
        <v>23</v>
      </c>
      <c r="D7549" s="10" t="s">
        <v>1187</v>
      </c>
      <c r="E7549" s="14">
        <v>0.1</v>
      </c>
      <c r="F7549" s="15">
        <f>ROUND(49.5,3)</f>
        <v>49.5</v>
      </c>
      <c r="G7549" s="12">
        <f t="shared" si="1143"/>
        <v>4.95</v>
      </c>
    </row>
    <row r="7550" ht="15.0" customHeight="1">
      <c r="A7550" s="16"/>
      <c r="B7550" s="16"/>
      <c r="C7550" s="16"/>
      <c r="D7550" s="17" t="s">
        <v>3256</v>
      </c>
      <c r="E7550" s="16"/>
      <c r="F7550" s="18">
        <f>ROUND((G7548+G7549)*(1+G2/100),2)</f>
        <v>6.19</v>
      </c>
      <c r="G7550" s="16"/>
    </row>
    <row r="7551" ht="15.0" customHeight="1">
      <c r="A7551" s="19" t="s">
        <v>3261</v>
      </c>
      <c r="B7551" s="20" t="s">
        <v>18</v>
      </c>
      <c r="C7551" s="20" t="s">
        <v>295</v>
      </c>
      <c r="D7551" s="20" t="s">
        <v>3262</v>
      </c>
      <c r="E7551" s="21"/>
      <c r="F7551" s="22">
        <f>F7558</f>
        <v>3.47</v>
      </c>
      <c r="G7551" s="21"/>
    </row>
    <row r="7552" ht="21.0" customHeight="1">
      <c r="A7552" s="11"/>
      <c r="B7552" s="11"/>
      <c r="C7552" s="11"/>
      <c r="D7552" s="10" t="s">
        <v>3263</v>
      </c>
    </row>
    <row r="7553" ht="21.0" customHeight="1">
      <c r="A7553" s="10" t="s">
        <v>3264</v>
      </c>
      <c r="B7553" s="10" t="s">
        <v>42</v>
      </c>
      <c r="C7553" s="10" t="s">
        <v>304</v>
      </c>
      <c r="D7553" s="10" t="s">
        <v>3265</v>
      </c>
      <c r="E7553" s="14">
        <v>0.001</v>
      </c>
      <c r="F7553" s="15">
        <f>ROUND(7.77,3)</f>
        <v>7.77</v>
      </c>
      <c r="G7553" s="12">
        <f t="shared" ref="G7553:G7557" si="1144">ROUND(E7553*F7553,2)</f>
        <v>0.01</v>
      </c>
    </row>
    <row r="7554" ht="24.0" customHeight="1">
      <c r="A7554" s="10" t="s">
        <v>1186</v>
      </c>
      <c r="B7554" s="10" t="s">
        <v>26</v>
      </c>
      <c r="C7554" s="10" t="s">
        <v>23</v>
      </c>
      <c r="D7554" s="10" t="s">
        <v>1187</v>
      </c>
      <c r="E7554" s="14">
        <v>0.05</v>
      </c>
      <c r="F7554" s="15">
        <f>ROUND(49.5,3)</f>
        <v>49.5</v>
      </c>
      <c r="G7554" s="12">
        <f t="shared" si="1144"/>
        <v>2.48</v>
      </c>
    </row>
    <row r="7555" ht="21.0" customHeight="1">
      <c r="A7555" s="10" t="s">
        <v>3266</v>
      </c>
      <c r="B7555" s="10" t="s">
        <v>42</v>
      </c>
      <c r="C7555" s="10" t="s">
        <v>304</v>
      </c>
      <c r="D7555" s="10" t="s">
        <v>3267</v>
      </c>
      <c r="E7555" s="14">
        <v>0.08</v>
      </c>
      <c r="F7555" s="15">
        <f>ROUND(2.4,3)</f>
        <v>2.4</v>
      </c>
      <c r="G7555" s="12">
        <f t="shared" si="1144"/>
        <v>0.19</v>
      </c>
    </row>
    <row r="7556" ht="21.0" customHeight="1">
      <c r="A7556" s="10" t="s">
        <v>3268</v>
      </c>
      <c r="B7556" s="10" t="s">
        <v>42</v>
      </c>
      <c r="C7556" s="10" t="s">
        <v>304</v>
      </c>
      <c r="D7556" s="10" t="s">
        <v>3269</v>
      </c>
      <c r="E7556" s="14">
        <v>0.1</v>
      </c>
      <c r="F7556" s="15">
        <f>ROUND(3.26,3)</f>
        <v>3.26</v>
      </c>
      <c r="G7556" s="12">
        <f t="shared" si="1144"/>
        <v>0.33</v>
      </c>
    </row>
    <row r="7557" ht="21.0" customHeight="1">
      <c r="A7557" s="10" t="s">
        <v>3270</v>
      </c>
      <c r="B7557" s="10" t="s">
        <v>42</v>
      </c>
      <c r="C7557" s="10" t="s">
        <v>304</v>
      </c>
      <c r="D7557" s="10" t="s">
        <v>3271</v>
      </c>
      <c r="E7557" s="14">
        <v>0.1</v>
      </c>
      <c r="F7557" s="15">
        <f>ROUND(4.55,3)</f>
        <v>4.55</v>
      </c>
      <c r="G7557" s="12">
        <f t="shared" si="1144"/>
        <v>0.46</v>
      </c>
    </row>
    <row r="7558" ht="15.0" customHeight="1">
      <c r="A7558" s="16"/>
      <c r="B7558" s="16"/>
      <c r="C7558" s="16"/>
      <c r="D7558" s="17" t="s">
        <v>3261</v>
      </c>
      <c r="E7558" s="16"/>
      <c r="F7558" s="18">
        <f>ROUND((G7553+G7554+G7555+G7556+G7557)*(1+G2/100),2)</f>
        <v>3.47</v>
      </c>
      <c r="G7558" s="16"/>
    </row>
    <row r="7559" ht="15.0" customHeight="1">
      <c r="A7559" s="19" t="s">
        <v>3272</v>
      </c>
      <c r="B7559" s="20" t="s">
        <v>18</v>
      </c>
      <c r="C7559" s="20" t="s">
        <v>295</v>
      </c>
      <c r="D7559" s="20" t="s">
        <v>3273</v>
      </c>
      <c r="E7559" s="21"/>
      <c r="F7559" s="22">
        <f>F7565</f>
        <v>271.92</v>
      </c>
      <c r="G7559" s="21"/>
    </row>
    <row r="7560" ht="21.0" customHeight="1">
      <c r="A7560" s="11"/>
      <c r="B7560" s="11"/>
      <c r="C7560" s="11"/>
      <c r="D7560" s="10" t="s">
        <v>3274</v>
      </c>
    </row>
    <row r="7561" ht="21.0" customHeight="1">
      <c r="A7561" s="10" t="s">
        <v>3275</v>
      </c>
      <c r="B7561" s="10" t="s">
        <v>42</v>
      </c>
      <c r="C7561" s="10" t="s">
        <v>351</v>
      </c>
      <c r="D7561" s="10" t="s">
        <v>3276</v>
      </c>
      <c r="E7561" s="14">
        <v>16.0</v>
      </c>
      <c r="F7561" s="15">
        <f>ROUND(2.84,3)</f>
        <v>2.84</v>
      </c>
      <c r="G7561" s="12">
        <f t="shared" ref="G7561:G7564" si="1145">ROUND(E7561*F7561,2)</f>
        <v>45.44</v>
      </c>
    </row>
    <row r="7562" ht="30.0" customHeight="1">
      <c r="A7562" s="10" t="s">
        <v>3277</v>
      </c>
      <c r="B7562" s="10" t="s">
        <v>42</v>
      </c>
      <c r="C7562" s="10" t="s">
        <v>304</v>
      </c>
      <c r="D7562" s="10" t="s">
        <v>3278</v>
      </c>
      <c r="E7562" s="14">
        <v>110.0</v>
      </c>
      <c r="F7562" s="15">
        <f>ROUND(0.15,3)</f>
        <v>0.15</v>
      </c>
      <c r="G7562" s="12">
        <f t="shared" si="1145"/>
        <v>16.5</v>
      </c>
    </row>
    <row r="7563" ht="21.0" customHeight="1">
      <c r="A7563" s="10" t="s">
        <v>3279</v>
      </c>
      <c r="B7563" s="10" t="s">
        <v>42</v>
      </c>
      <c r="C7563" s="10" t="s">
        <v>304</v>
      </c>
      <c r="D7563" s="10" t="s">
        <v>3280</v>
      </c>
      <c r="E7563" s="14">
        <v>2.0</v>
      </c>
      <c r="F7563" s="15">
        <f>ROUND(5.99,3)</f>
        <v>5.99</v>
      </c>
      <c r="G7563" s="12">
        <f t="shared" si="1145"/>
        <v>11.98</v>
      </c>
    </row>
    <row r="7564" ht="24.0" customHeight="1">
      <c r="A7564" s="10" t="s">
        <v>1186</v>
      </c>
      <c r="B7564" s="10" t="s">
        <v>26</v>
      </c>
      <c r="C7564" s="10" t="s">
        <v>23</v>
      </c>
      <c r="D7564" s="10" t="s">
        <v>1187</v>
      </c>
      <c r="E7564" s="14">
        <v>4.0</v>
      </c>
      <c r="F7564" s="15">
        <f>ROUND(49.5,3)</f>
        <v>49.5</v>
      </c>
      <c r="G7564" s="12">
        <f t="shared" si="1145"/>
        <v>198</v>
      </c>
    </row>
    <row r="7565" ht="15.0" customHeight="1">
      <c r="A7565" s="16"/>
      <c r="B7565" s="16"/>
      <c r="C7565" s="16"/>
      <c r="D7565" s="17" t="s">
        <v>3272</v>
      </c>
      <c r="E7565" s="16"/>
      <c r="F7565" s="18">
        <f>ROUND((G7561+G7562+G7563+G7564)*(1+G2/100),2)</f>
        <v>271.92</v>
      </c>
      <c r="G7565" s="16"/>
    </row>
    <row r="7566" ht="21.0" customHeight="1">
      <c r="A7566" s="19" t="s">
        <v>3281</v>
      </c>
      <c r="B7566" s="20" t="s">
        <v>18</v>
      </c>
      <c r="C7566" s="20" t="s">
        <v>222</v>
      </c>
      <c r="D7566" s="20" t="s">
        <v>3282</v>
      </c>
      <c r="E7566" s="21"/>
      <c r="F7566" s="22">
        <f>F7569</f>
        <v>792</v>
      </c>
      <c r="G7566" s="21"/>
    </row>
    <row r="7567" ht="48.75" customHeight="1">
      <c r="A7567" s="11"/>
      <c r="B7567" s="11"/>
      <c r="C7567" s="11"/>
      <c r="D7567" s="10" t="s">
        <v>3283</v>
      </c>
    </row>
    <row r="7568" ht="24.0" customHeight="1">
      <c r="A7568" s="10" t="s">
        <v>1186</v>
      </c>
      <c r="B7568" s="10" t="s">
        <v>26</v>
      </c>
      <c r="C7568" s="10" t="s">
        <v>23</v>
      </c>
      <c r="D7568" s="10" t="s">
        <v>1187</v>
      </c>
      <c r="E7568" s="14">
        <v>16.0</v>
      </c>
      <c r="F7568" s="15">
        <f>ROUND(49.5,3)</f>
        <v>49.5</v>
      </c>
      <c r="G7568" s="12">
        <f>ROUND(E7568*F7568,2)</f>
        <v>792</v>
      </c>
    </row>
    <row r="7569" ht="15.0" customHeight="1">
      <c r="A7569" s="16"/>
      <c r="B7569" s="16"/>
      <c r="C7569" s="16"/>
      <c r="D7569" s="17" t="s">
        <v>3281</v>
      </c>
      <c r="E7569" s="16"/>
      <c r="F7569" s="18">
        <f>ROUND((G7568)*(1+G2/100),2)</f>
        <v>792</v>
      </c>
      <c r="G7569" s="16"/>
    </row>
    <row r="7570" ht="21.0" customHeight="1">
      <c r="A7570" s="19" t="s">
        <v>3284</v>
      </c>
      <c r="B7570" s="20" t="s">
        <v>18</v>
      </c>
      <c r="C7570" s="20" t="s">
        <v>222</v>
      </c>
      <c r="D7570" s="20" t="s">
        <v>3285</v>
      </c>
      <c r="E7570" s="21"/>
      <c r="F7570" s="22">
        <f>F7578</f>
        <v>134.8</v>
      </c>
      <c r="G7570" s="21"/>
    </row>
    <row r="7571" ht="12.0" customHeight="1">
      <c r="A7571" s="11"/>
      <c r="B7571" s="11"/>
      <c r="C7571" s="11"/>
      <c r="D7571" s="10" t="s">
        <v>3285</v>
      </c>
    </row>
    <row r="7572" ht="21.0" customHeight="1">
      <c r="A7572" s="10" t="s">
        <v>3286</v>
      </c>
      <c r="B7572" s="10" t="s">
        <v>42</v>
      </c>
      <c r="C7572" s="10" t="s">
        <v>295</v>
      </c>
      <c r="D7572" s="10" t="s">
        <v>3287</v>
      </c>
      <c r="E7572" s="14">
        <v>1.0</v>
      </c>
      <c r="F7572" s="15">
        <f>ROUND(91,3)</f>
        <v>91</v>
      </c>
      <c r="G7572" s="12">
        <f t="shared" ref="G7572:G7577" si="1146">ROUND(E7572*F7572,2)</f>
        <v>91</v>
      </c>
    </row>
    <row r="7573" ht="21.0" customHeight="1">
      <c r="A7573" s="10" t="s">
        <v>22</v>
      </c>
      <c r="B7573" s="10" t="s">
        <v>18</v>
      </c>
      <c r="C7573" s="10" t="s">
        <v>23</v>
      </c>
      <c r="D7573" s="10" t="s">
        <v>24</v>
      </c>
      <c r="E7573" s="14">
        <v>1.0</v>
      </c>
      <c r="F7573" s="15">
        <f>F7577</f>
        <v>43.8</v>
      </c>
      <c r="G7573" s="12">
        <f t="shared" si="1146"/>
        <v>43.8</v>
      </c>
    </row>
    <row r="7574" ht="24.0" customHeight="1">
      <c r="A7574" s="10" t="s">
        <v>25</v>
      </c>
      <c r="B7574" s="10" t="s">
        <v>26</v>
      </c>
      <c r="C7574" s="10" t="s">
        <v>23</v>
      </c>
      <c r="D7574" s="10" t="s">
        <v>27</v>
      </c>
      <c r="E7574" s="14">
        <v>1.0</v>
      </c>
      <c r="F7574" s="15">
        <f>ROUND(21,3)</f>
        <v>21</v>
      </c>
      <c r="G7574" s="12">
        <f t="shared" si="1146"/>
        <v>21</v>
      </c>
    </row>
    <row r="7575" ht="24.0" customHeight="1">
      <c r="A7575" s="10" t="s">
        <v>28</v>
      </c>
      <c r="B7575" s="10" t="s">
        <v>26</v>
      </c>
      <c r="C7575" s="10" t="s">
        <v>23</v>
      </c>
      <c r="D7575" s="10" t="s">
        <v>29</v>
      </c>
      <c r="E7575" s="14">
        <v>1.0</v>
      </c>
      <c r="F7575" s="15">
        <f t="shared" ref="F7575:F7576" si="1147">ROUND(19,3)</f>
        <v>19</v>
      </c>
      <c r="G7575" s="12">
        <f t="shared" si="1146"/>
        <v>19</v>
      </c>
    </row>
    <row r="7576" ht="24.0" customHeight="1">
      <c r="A7576" s="10" t="s">
        <v>30</v>
      </c>
      <c r="B7576" s="10" t="s">
        <v>26</v>
      </c>
      <c r="C7576" s="10" t="s">
        <v>23</v>
      </c>
      <c r="D7576" s="10" t="s">
        <v>31</v>
      </c>
      <c r="E7576" s="14">
        <v>0.2</v>
      </c>
      <c r="F7576" s="15">
        <f t="shared" si="1147"/>
        <v>19</v>
      </c>
      <c r="G7576" s="12">
        <f t="shared" si="1146"/>
        <v>3.8</v>
      </c>
    </row>
    <row r="7577" ht="15.0" customHeight="1">
      <c r="A7577" s="11"/>
      <c r="B7577" s="11"/>
      <c r="C7577" s="11"/>
      <c r="D7577" s="10" t="s">
        <v>22</v>
      </c>
      <c r="E7577" s="14">
        <v>1.0</v>
      </c>
      <c r="F7577" s="15">
        <f>ROUND((G7574+G7575+G7576),3)</f>
        <v>43.8</v>
      </c>
      <c r="G7577" s="12">
        <f t="shared" si="1146"/>
        <v>43.8</v>
      </c>
    </row>
    <row r="7578" ht="15.0" customHeight="1">
      <c r="A7578" s="16"/>
      <c r="B7578" s="16"/>
      <c r="C7578" s="16"/>
      <c r="D7578" s="17" t="s">
        <v>3284</v>
      </c>
      <c r="E7578" s="16"/>
      <c r="F7578" s="18">
        <f>ROUND((G7572+G7573)*(1+G2/100),2)</f>
        <v>134.8</v>
      </c>
      <c r="G7578" s="16"/>
    </row>
    <row r="7579" ht="39.75" customHeight="1">
      <c r="A7579" s="19" t="s">
        <v>3288</v>
      </c>
      <c r="B7579" s="20" t="s">
        <v>18</v>
      </c>
      <c r="C7579" s="20" t="s">
        <v>351</v>
      </c>
      <c r="D7579" s="20" t="s">
        <v>3289</v>
      </c>
      <c r="E7579" s="21"/>
      <c r="F7579" s="22">
        <f>F7592</f>
        <v>14.26</v>
      </c>
      <c r="G7579" s="21"/>
    </row>
    <row r="7580" ht="21.0" customHeight="1">
      <c r="A7580" s="11"/>
      <c r="B7580" s="11"/>
      <c r="C7580" s="11"/>
      <c r="D7580" s="10" t="s">
        <v>3289</v>
      </c>
    </row>
    <row r="7581" ht="30.0" customHeight="1">
      <c r="A7581" s="10" t="s">
        <v>3118</v>
      </c>
      <c r="B7581" s="10" t="s">
        <v>42</v>
      </c>
      <c r="C7581" s="10" t="s">
        <v>344</v>
      </c>
      <c r="D7581" s="10" t="s">
        <v>3119</v>
      </c>
      <c r="E7581" s="14">
        <v>0.03143</v>
      </c>
      <c r="F7581" s="15">
        <f>ROUND(17.99,3)</f>
        <v>17.99</v>
      </c>
      <c r="G7581" s="12">
        <f t="shared" ref="G7581:G7590" si="1148">ROUND(E7581*F7581,2)</f>
        <v>0.57</v>
      </c>
    </row>
    <row r="7582" ht="30.0" customHeight="1">
      <c r="A7582" s="10" t="s">
        <v>3225</v>
      </c>
      <c r="B7582" s="10" t="s">
        <v>18</v>
      </c>
      <c r="C7582" s="10" t="s">
        <v>23</v>
      </c>
      <c r="D7582" s="10" t="s">
        <v>3226</v>
      </c>
      <c r="E7582" s="14">
        <v>0.28</v>
      </c>
      <c r="F7582" s="15">
        <f>F7584</f>
        <v>0.79</v>
      </c>
      <c r="G7582" s="12">
        <f t="shared" si="1148"/>
        <v>0.22</v>
      </c>
    </row>
    <row r="7583" ht="21.0" customHeight="1">
      <c r="A7583" s="10" t="s">
        <v>3227</v>
      </c>
      <c r="B7583" s="10" t="s">
        <v>112</v>
      </c>
      <c r="C7583" s="10" t="s">
        <v>231</v>
      </c>
      <c r="D7583" s="10" t="s">
        <v>3228</v>
      </c>
      <c r="E7583" s="14">
        <v>0.00417</v>
      </c>
      <c r="F7583" s="15">
        <f>ROUND(188.43,3)</f>
        <v>188.43</v>
      </c>
      <c r="G7583" s="12">
        <f t="shared" si="1148"/>
        <v>0.79</v>
      </c>
    </row>
    <row r="7584" ht="15.0" customHeight="1">
      <c r="A7584" s="11"/>
      <c r="B7584" s="11"/>
      <c r="C7584" s="11"/>
      <c r="D7584" s="10" t="s">
        <v>3225</v>
      </c>
      <c r="E7584" s="14">
        <v>0.28</v>
      </c>
      <c r="F7584" s="15">
        <f>ROUND((G7583),3)</f>
        <v>0.79</v>
      </c>
      <c r="G7584" s="12">
        <f t="shared" si="1148"/>
        <v>0.22</v>
      </c>
    </row>
    <row r="7585" ht="30.0" customHeight="1">
      <c r="A7585" s="10" t="s">
        <v>971</v>
      </c>
      <c r="B7585" s="10" t="s">
        <v>42</v>
      </c>
      <c r="C7585" s="10" t="s">
        <v>231</v>
      </c>
      <c r="D7585" s="10" t="s">
        <v>972</v>
      </c>
      <c r="E7585" s="14">
        <v>0.011</v>
      </c>
      <c r="F7585" s="15">
        <f>ROUND(4.92,3)</f>
        <v>4.92</v>
      </c>
      <c r="G7585" s="12">
        <f t="shared" si="1148"/>
        <v>0.05</v>
      </c>
    </row>
    <row r="7586" ht="21.0" customHeight="1">
      <c r="A7586" s="10" t="s">
        <v>967</v>
      </c>
      <c r="B7586" s="10" t="s">
        <v>42</v>
      </c>
      <c r="C7586" s="10" t="s">
        <v>325</v>
      </c>
      <c r="D7586" s="10" t="s">
        <v>968</v>
      </c>
      <c r="E7586" s="14">
        <v>0.00429</v>
      </c>
      <c r="F7586" s="15">
        <f>ROUND(6.49,3)</f>
        <v>6.49</v>
      </c>
      <c r="G7586" s="12">
        <f t="shared" si="1148"/>
        <v>0.03</v>
      </c>
    </row>
    <row r="7587" ht="30.0" customHeight="1">
      <c r="A7587" s="10" t="s">
        <v>3229</v>
      </c>
      <c r="B7587" s="10" t="s">
        <v>42</v>
      </c>
      <c r="C7587" s="10" t="s">
        <v>344</v>
      </c>
      <c r="D7587" s="10" t="s">
        <v>3230</v>
      </c>
      <c r="E7587" s="14">
        <v>0.54286</v>
      </c>
      <c r="F7587" s="15">
        <f>ROUND(0.24,3)</f>
        <v>0.24</v>
      </c>
      <c r="G7587" s="12">
        <f t="shared" si="1148"/>
        <v>0.13</v>
      </c>
    </row>
    <row r="7588" ht="21.0" customHeight="1">
      <c r="A7588" s="10" t="s">
        <v>348</v>
      </c>
      <c r="B7588" s="10" t="s">
        <v>42</v>
      </c>
      <c r="C7588" s="10" t="s">
        <v>226</v>
      </c>
      <c r="D7588" s="10" t="s">
        <v>349</v>
      </c>
      <c r="E7588" s="14">
        <v>0.005</v>
      </c>
      <c r="F7588" s="15">
        <f>ROUND(4.95,3)</f>
        <v>4.95</v>
      </c>
      <c r="G7588" s="12">
        <f t="shared" si="1148"/>
        <v>0.02</v>
      </c>
    </row>
    <row r="7589" ht="24.0" customHeight="1">
      <c r="A7589" s="10" t="s">
        <v>3209</v>
      </c>
      <c r="B7589" s="10" t="s">
        <v>26</v>
      </c>
      <c r="C7589" s="10" t="s">
        <v>23</v>
      </c>
      <c r="D7589" s="10" t="s">
        <v>3210</v>
      </c>
      <c r="E7589" s="14">
        <v>0.28</v>
      </c>
      <c r="F7589" s="15">
        <f>ROUND(24,3)</f>
        <v>24</v>
      </c>
      <c r="G7589" s="12">
        <f t="shared" si="1148"/>
        <v>6.72</v>
      </c>
    </row>
    <row r="7590" ht="24.0" customHeight="1">
      <c r="A7590" s="10" t="s">
        <v>3211</v>
      </c>
      <c r="B7590" s="10" t="s">
        <v>26</v>
      </c>
      <c r="C7590" s="10" t="s">
        <v>23</v>
      </c>
      <c r="D7590" s="10" t="s">
        <v>3212</v>
      </c>
      <c r="E7590" s="14">
        <v>0.28</v>
      </c>
      <c r="F7590" s="15">
        <f>ROUND(19,3)</f>
        <v>19</v>
      </c>
      <c r="G7590" s="12">
        <f t="shared" si="1148"/>
        <v>5.32</v>
      </c>
    </row>
    <row r="7591" ht="15.0" customHeight="1">
      <c r="A7591" s="10" t="s">
        <v>32</v>
      </c>
      <c r="B7591" s="10"/>
      <c r="C7591" s="10" t="s">
        <v>33</v>
      </c>
      <c r="D7591" s="10" t="s">
        <v>34</v>
      </c>
      <c r="E7591" s="14">
        <v>10.0</v>
      </c>
      <c r="F7591" s="15">
        <f>ROUND(12.04,3)</f>
        <v>12.04</v>
      </c>
      <c r="G7591" s="12">
        <f>ROUND((E7591*F7591)/100,2)</f>
        <v>1.2</v>
      </c>
    </row>
    <row r="7592" ht="15.0" customHeight="1">
      <c r="A7592" s="16"/>
      <c r="B7592" s="16"/>
      <c r="C7592" s="16"/>
      <c r="D7592" s="17" t="s">
        <v>3288</v>
      </c>
      <c r="E7592" s="16"/>
      <c r="F7592" s="18">
        <f>ROUND((G7581+G7582+G7585+G7586+G7587+G7588+G7589+G7590+G7591)*(1+G2/100),2)</f>
        <v>14.26</v>
      </c>
      <c r="G7592" s="16"/>
    </row>
    <row r="7593" ht="15.0" customHeight="1">
      <c r="A7593" s="23"/>
      <c r="B7593" s="23"/>
      <c r="C7593" s="23"/>
      <c r="D7593" s="24" t="s">
        <v>3251</v>
      </c>
      <c r="E7593" s="25"/>
      <c r="F7593" s="25"/>
      <c r="G7593" s="25"/>
    </row>
    <row r="7594" ht="15.0" customHeight="1">
      <c r="A7594" s="26" t="s">
        <v>3290</v>
      </c>
      <c r="B7594" s="26" t="s">
        <v>10</v>
      </c>
      <c r="C7594" s="27"/>
      <c r="D7594" s="26" t="s">
        <v>3291</v>
      </c>
      <c r="E7594" s="27"/>
      <c r="F7594" s="27"/>
      <c r="G7594" s="27"/>
    </row>
    <row r="7595" ht="15.0" customHeight="1">
      <c r="A7595" s="13" t="s">
        <v>3292</v>
      </c>
      <c r="B7595" s="10" t="s">
        <v>18</v>
      </c>
      <c r="C7595" s="10" t="s">
        <v>295</v>
      </c>
      <c r="D7595" s="10" t="s">
        <v>3293</v>
      </c>
      <c r="E7595" s="11"/>
      <c r="F7595" s="12">
        <f>F7599</f>
        <v>256.5</v>
      </c>
      <c r="G7595" s="11"/>
    </row>
    <row r="7596" ht="21.0" customHeight="1">
      <c r="A7596" s="11"/>
      <c r="B7596" s="11"/>
      <c r="C7596" s="11"/>
      <c r="D7596" s="10" t="s">
        <v>3294</v>
      </c>
    </row>
    <row r="7597" ht="21.0" customHeight="1">
      <c r="A7597" s="10" t="s">
        <v>3295</v>
      </c>
      <c r="B7597" s="10" t="s">
        <v>42</v>
      </c>
      <c r="C7597" s="10" t="s">
        <v>351</v>
      </c>
      <c r="D7597" s="10" t="s">
        <v>3296</v>
      </c>
      <c r="E7597" s="14">
        <v>120.0</v>
      </c>
      <c r="F7597" s="15">
        <f>ROUND(0.9,3)</f>
        <v>0.9</v>
      </c>
      <c r="G7597" s="12">
        <f t="shared" ref="G7597:G7598" si="1149">ROUND(E7597*F7597,2)</f>
        <v>108</v>
      </c>
    </row>
    <row r="7598" ht="24.0" customHeight="1">
      <c r="A7598" s="10" t="s">
        <v>1186</v>
      </c>
      <c r="B7598" s="10" t="s">
        <v>26</v>
      </c>
      <c r="C7598" s="10" t="s">
        <v>23</v>
      </c>
      <c r="D7598" s="10" t="s">
        <v>1187</v>
      </c>
      <c r="E7598" s="14">
        <v>3.0</v>
      </c>
      <c r="F7598" s="15">
        <f>ROUND(49.5,3)</f>
        <v>49.5</v>
      </c>
      <c r="G7598" s="12">
        <f t="shared" si="1149"/>
        <v>148.5</v>
      </c>
    </row>
    <row r="7599" ht="15.0" customHeight="1">
      <c r="A7599" s="16"/>
      <c r="B7599" s="16"/>
      <c r="C7599" s="16"/>
      <c r="D7599" s="17" t="s">
        <v>3292</v>
      </c>
      <c r="E7599" s="16"/>
      <c r="F7599" s="18">
        <f>ROUND((G7597+G7598)*(1+G2/100),2)</f>
        <v>256.5</v>
      </c>
      <c r="G7599" s="16"/>
    </row>
    <row r="7600" ht="15.0" customHeight="1">
      <c r="A7600" s="19" t="s">
        <v>3297</v>
      </c>
      <c r="B7600" s="20" t="s">
        <v>18</v>
      </c>
      <c r="C7600" s="20" t="s">
        <v>222</v>
      </c>
      <c r="D7600" s="20" t="s">
        <v>3298</v>
      </c>
      <c r="E7600" s="21"/>
      <c r="F7600" s="22">
        <f>F7606</f>
        <v>23.62</v>
      </c>
      <c r="G7600" s="21"/>
    </row>
    <row r="7601" ht="21.0" customHeight="1">
      <c r="A7601" s="11"/>
      <c r="B7601" s="11"/>
      <c r="C7601" s="11"/>
      <c r="D7601" s="10" t="s">
        <v>3263</v>
      </c>
    </row>
    <row r="7602" ht="21.0" customHeight="1">
      <c r="A7602" s="10" t="s">
        <v>3299</v>
      </c>
      <c r="B7602" s="10" t="s">
        <v>42</v>
      </c>
      <c r="C7602" s="10" t="s">
        <v>304</v>
      </c>
      <c r="D7602" s="10" t="s">
        <v>3300</v>
      </c>
      <c r="E7602" s="14">
        <v>1.0</v>
      </c>
      <c r="F7602" s="15">
        <f>ROUND(0.91,3)</f>
        <v>0.91</v>
      </c>
      <c r="G7602" s="12">
        <f t="shared" ref="G7602:G7605" si="1150">ROUND(E7602*F7602,2)</f>
        <v>0.91</v>
      </c>
    </row>
    <row r="7603" ht="21.0" customHeight="1">
      <c r="A7603" s="10" t="s">
        <v>3301</v>
      </c>
      <c r="B7603" s="10" t="s">
        <v>42</v>
      </c>
      <c r="C7603" s="10" t="s">
        <v>304</v>
      </c>
      <c r="D7603" s="10" t="s">
        <v>3302</v>
      </c>
      <c r="E7603" s="14">
        <v>1.0</v>
      </c>
      <c r="F7603" s="15">
        <f>ROUND(0.58,3)</f>
        <v>0.58</v>
      </c>
      <c r="G7603" s="12">
        <f t="shared" si="1150"/>
        <v>0.58</v>
      </c>
    </row>
    <row r="7604" ht="15.0" customHeight="1">
      <c r="A7604" s="10" t="s">
        <v>3303</v>
      </c>
      <c r="B7604" s="10" t="s">
        <v>42</v>
      </c>
      <c r="C7604" s="10" t="s">
        <v>304</v>
      </c>
      <c r="D7604" s="10" t="s">
        <v>3304</v>
      </c>
      <c r="E7604" s="14">
        <v>1.0</v>
      </c>
      <c r="F7604" s="15">
        <f>ROUND(1.68,3)</f>
        <v>1.68</v>
      </c>
      <c r="G7604" s="12">
        <f t="shared" si="1150"/>
        <v>1.68</v>
      </c>
    </row>
    <row r="7605" ht="21.0" customHeight="1">
      <c r="A7605" s="10" t="s">
        <v>3305</v>
      </c>
      <c r="B7605" s="10" t="s">
        <v>42</v>
      </c>
      <c r="C7605" s="10" t="s">
        <v>304</v>
      </c>
      <c r="D7605" s="10" t="s">
        <v>3306</v>
      </c>
      <c r="E7605" s="14">
        <v>1.0</v>
      </c>
      <c r="F7605" s="15">
        <f>ROUND(20.45,3)</f>
        <v>20.45</v>
      </c>
      <c r="G7605" s="12">
        <f t="shared" si="1150"/>
        <v>20.45</v>
      </c>
    </row>
    <row r="7606" ht="15.0" customHeight="1">
      <c r="A7606" s="16"/>
      <c r="B7606" s="16"/>
      <c r="C7606" s="16"/>
      <c r="D7606" s="17" t="s">
        <v>3297</v>
      </c>
      <c r="E7606" s="16"/>
      <c r="F7606" s="18">
        <f>ROUND((G7602+G7603+G7604+G7605)*(1+G2/100),2)</f>
        <v>23.62</v>
      </c>
      <c r="G7606" s="16"/>
    </row>
    <row r="7607" ht="15.0" customHeight="1">
      <c r="A7607" s="19" t="s">
        <v>3307</v>
      </c>
      <c r="B7607" s="20" t="s">
        <v>18</v>
      </c>
      <c r="C7607" s="20" t="s">
        <v>537</v>
      </c>
      <c r="D7607" s="20" t="s">
        <v>3308</v>
      </c>
      <c r="E7607" s="21"/>
      <c r="F7607" s="22">
        <f>F7616</f>
        <v>19.21</v>
      </c>
      <c r="G7607" s="21"/>
    </row>
    <row r="7608" ht="21.0" customHeight="1">
      <c r="A7608" s="11"/>
      <c r="B7608" s="11"/>
      <c r="C7608" s="11"/>
      <c r="D7608" s="10" t="s">
        <v>3309</v>
      </c>
    </row>
    <row r="7609" ht="21.0" customHeight="1">
      <c r="A7609" s="10" t="s">
        <v>3310</v>
      </c>
      <c r="B7609" s="10" t="s">
        <v>42</v>
      </c>
      <c r="C7609" s="10" t="s">
        <v>351</v>
      </c>
      <c r="D7609" s="10" t="s">
        <v>3311</v>
      </c>
      <c r="E7609" s="14">
        <v>1.05</v>
      </c>
      <c r="F7609" s="15">
        <f>ROUND(6,3)</f>
        <v>6</v>
      </c>
      <c r="G7609" s="12">
        <f t="shared" ref="G7609:G7615" si="1151">ROUND(E7609*F7609,2)</f>
        <v>6.3</v>
      </c>
    </row>
    <row r="7610" ht="21.0" customHeight="1">
      <c r="A7610" s="10" t="s">
        <v>3312</v>
      </c>
      <c r="B7610" s="10" t="s">
        <v>42</v>
      </c>
      <c r="C7610" s="10" t="s">
        <v>304</v>
      </c>
      <c r="D7610" s="10" t="s">
        <v>3313</v>
      </c>
      <c r="E7610" s="14">
        <v>1.0</v>
      </c>
      <c r="F7610" s="15">
        <f>ROUND(0.65,3)</f>
        <v>0.65</v>
      </c>
      <c r="G7610" s="12">
        <f t="shared" si="1151"/>
        <v>0.65</v>
      </c>
    </row>
    <row r="7611" ht="21.0" customHeight="1">
      <c r="A7611" s="10" t="s">
        <v>22</v>
      </c>
      <c r="B7611" s="10" t="s">
        <v>18</v>
      </c>
      <c r="C7611" s="10" t="s">
        <v>23</v>
      </c>
      <c r="D7611" s="10" t="s">
        <v>24</v>
      </c>
      <c r="E7611" s="14">
        <v>0.28</v>
      </c>
      <c r="F7611" s="15">
        <f>F7615</f>
        <v>43.8</v>
      </c>
      <c r="G7611" s="12">
        <f t="shared" si="1151"/>
        <v>12.26</v>
      </c>
    </row>
    <row r="7612" ht="24.0" customHeight="1">
      <c r="A7612" s="10" t="s">
        <v>25</v>
      </c>
      <c r="B7612" s="10" t="s">
        <v>26</v>
      </c>
      <c r="C7612" s="10" t="s">
        <v>23</v>
      </c>
      <c r="D7612" s="10" t="s">
        <v>27</v>
      </c>
      <c r="E7612" s="14">
        <v>1.0</v>
      </c>
      <c r="F7612" s="15">
        <f>ROUND(21,3)</f>
        <v>21</v>
      </c>
      <c r="G7612" s="12">
        <f t="shared" si="1151"/>
        <v>21</v>
      </c>
    </row>
    <row r="7613" ht="24.0" customHeight="1">
      <c r="A7613" s="10" t="s">
        <v>28</v>
      </c>
      <c r="B7613" s="10" t="s">
        <v>26</v>
      </c>
      <c r="C7613" s="10" t="s">
        <v>23</v>
      </c>
      <c r="D7613" s="10" t="s">
        <v>29</v>
      </c>
      <c r="E7613" s="14">
        <v>1.0</v>
      </c>
      <c r="F7613" s="15">
        <f t="shared" ref="F7613:F7614" si="1152">ROUND(19,3)</f>
        <v>19</v>
      </c>
      <c r="G7613" s="12">
        <f t="shared" si="1151"/>
        <v>19</v>
      </c>
    </row>
    <row r="7614" ht="24.0" customHeight="1">
      <c r="A7614" s="10" t="s">
        <v>30</v>
      </c>
      <c r="B7614" s="10" t="s">
        <v>26</v>
      </c>
      <c r="C7614" s="10" t="s">
        <v>23</v>
      </c>
      <c r="D7614" s="10" t="s">
        <v>31</v>
      </c>
      <c r="E7614" s="14">
        <v>0.2</v>
      </c>
      <c r="F7614" s="15">
        <f t="shared" si="1152"/>
        <v>19</v>
      </c>
      <c r="G7614" s="12">
        <f t="shared" si="1151"/>
        <v>3.8</v>
      </c>
    </row>
    <row r="7615" ht="15.0" customHeight="1">
      <c r="A7615" s="11"/>
      <c r="B7615" s="11"/>
      <c r="C7615" s="11"/>
      <c r="D7615" s="10" t="s">
        <v>22</v>
      </c>
      <c r="E7615" s="14">
        <v>0.28</v>
      </c>
      <c r="F7615" s="15">
        <f>ROUND((G7612+G7613+G7614),3)</f>
        <v>43.8</v>
      </c>
      <c r="G7615" s="12">
        <f t="shared" si="1151"/>
        <v>12.26</v>
      </c>
    </row>
    <row r="7616" ht="15.0" customHeight="1">
      <c r="A7616" s="16"/>
      <c r="B7616" s="16"/>
      <c r="C7616" s="16"/>
      <c r="D7616" s="17" t="s">
        <v>3307</v>
      </c>
      <c r="E7616" s="16"/>
      <c r="F7616" s="18">
        <f>ROUND((G7609+G7610+G7611)*(1+G2/100),2)</f>
        <v>19.21</v>
      </c>
      <c r="G7616" s="16"/>
    </row>
    <row r="7617" ht="15.0" customHeight="1">
      <c r="A7617" s="23"/>
      <c r="B7617" s="23"/>
      <c r="C7617" s="23"/>
      <c r="D7617" s="24" t="s">
        <v>3290</v>
      </c>
      <c r="E7617" s="25"/>
      <c r="F7617" s="25"/>
      <c r="G7617" s="25"/>
    </row>
    <row r="7618" ht="15.0" customHeight="1">
      <c r="A7618" s="23"/>
      <c r="B7618" s="23"/>
      <c r="C7618" s="23"/>
      <c r="D7618" s="32" t="s">
        <v>3213</v>
      </c>
      <c r="E7618" s="33"/>
      <c r="F7618" s="33"/>
      <c r="G7618" s="33"/>
    </row>
    <row r="7619" ht="15.0" customHeight="1">
      <c r="A7619" s="34" t="s">
        <v>3314</v>
      </c>
      <c r="B7619" s="34" t="s">
        <v>10</v>
      </c>
      <c r="C7619" s="35"/>
      <c r="D7619" s="34" t="s">
        <v>3315</v>
      </c>
      <c r="E7619" s="35"/>
      <c r="F7619" s="35"/>
      <c r="G7619" s="35"/>
    </row>
    <row r="7620" ht="21.0" customHeight="1">
      <c r="A7620" s="13" t="s">
        <v>3316</v>
      </c>
      <c r="B7620" s="10" t="s">
        <v>18</v>
      </c>
      <c r="C7620" s="10" t="s">
        <v>222</v>
      </c>
      <c r="D7620" s="10" t="s">
        <v>3317</v>
      </c>
      <c r="E7620" s="11"/>
      <c r="F7620" s="12">
        <f>F7627</f>
        <v>175.2</v>
      </c>
      <c r="G7620" s="11"/>
    </row>
    <row r="7621" ht="12.0" customHeight="1">
      <c r="A7621" s="11"/>
      <c r="B7621" s="11"/>
      <c r="C7621" s="11"/>
      <c r="D7621" s="10" t="s">
        <v>3318</v>
      </c>
    </row>
    <row r="7622" ht="21.0" customHeight="1">
      <c r="A7622" s="10" t="s">
        <v>22</v>
      </c>
      <c r="B7622" s="10" t="s">
        <v>18</v>
      </c>
      <c r="C7622" s="10" t="s">
        <v>23</v>
      </c>
      <c r="D7622" s="10" t="s">
        <v>24</v>
      </c>
      <c r="E7622" s="14">
        <v>4.0</v>
      </c>
      <c r="F7622" s="15">
        <f>F7626</f>
        <v>43.8</v>
      </c>
      <c r="G7622" s="12">
        <f t="shared" ref="G7622:G7626" si="1153">ROUND(E7622*F7622,2)</f>
        <v>175.2</v>
      </c>
    </row>
    <row r="7623" ht="24.0" customHeight="1">
      <c r="A7623" s="10" t="s">
        <v>25</v>
      </c>
      <c r="B7623" s="10" t="s">
        <v>26</v>
      </c>
      <c r="C7623" s="10" t="s">
        <v>23</v>
      </c>
      <c r="D7623" s="10" t="s">
        <v>27</v>
      </c>
      <c r="E7623" s="14">
        <v>1.0</v>
      </c>
      <c r="F7623" s="15">
        <f>ROUND(21,3)</f>
        <v>21</v>
      </c>
      <c r="G7623" s="12">
        <f t="shared" si="1153"/>
        <v>21</v>
      </c>
    </row>
    <row r="7624" ht="24.0" customHeight="1">
      <c r="A7624" s="10" t="s">
        <v>28</v>
      </c>
      <c r="B7624" s="10" t="s">
        <v>26</v>
      </c>
      <c r="C7624" s="10" t="s">
        <v>23</v>
      </c>
      <c r="D7624" s="10" t="s">
        <v>29</v>
      </c>
      <c r="E7624" s="14">
        <v>1.0</v>
      </c>
      <c r="F7624" s="15">
        <f t="shared" ref="F7624:F7625" si="1154">ROUND(19,3)</f>
        <v>19</v>
      </c>
      <c r="G7624" s="12">
        <f t="shared" si="1153"/>
        <v>19</v>
      </c>
    </row>
    <row r="7625" ht="24.0" customHeight="1">
      <c r="A7625" s="10" t="s">
        <v>30</v>
      </c>
      <c r="B7625" s="10" t="s">
        <v>26</v>
      </c>
      <c r="C7625" s="10" t="s">
        <v>23</v>
      </c>
      <c r="D7625" s="10" t="s">
        <v>31</v>
      </c>
      <c r="E7625" s="14">
        <v>0.2</v>
      </c>
      <c r="F7625" s="15">
        <f t="shared" si="1154"/>
        <v>19</v>
      </c>
      <c r="G7625" s="12">
        <f t="shared" si="1153"/>
        <v>3.8</v>
      </c>
    </row>
    <row r="7626" ht="15.0" customHeight="1">
      <c r="A7626" s="11"/>
      <c r="B7626" s="11"/>
      <c r="C7626" s="11"/>
      <c r="D7626" s="10" t="s">
        <v>22</v>
      </c>
      <c r="E7626" s="14">
        <v>4.0</v>
      </c>
      <c r="F7626" s="15">
        <f>ROUND((G7623+G7624+G7625),3)</f>
        <v>43.8</v>
      </c>
      <c r="G7626" s="12">
        <f t="shared" si="1153"/>
        <v>175.2</v>
      </c>
    </row>
    <row r="7627" ht="15.0" customHeight="1">
      <c r="A7627" s="16"/>
      <c r="B7627" s="16"/>
      <c r="C7627" s="16"/>
      <c r="D7627" s="17" t="s">
        <v>3316</v>
      </c>
      <c r="E7627" s="16"/>
      <c r="F7627" s="18">
        <f>ROUND((G7622)*(1+G2/100),2)</f>
        <v>175.2</v>
      </c>
      <c r="G7627" s="16"/>
    </row>
    <row r="7628" ht="15.0" customHeight="1">
      <c r="A7628" s="19" t="s">
        <v>3319</v>
      </c>
      <c r="B7628" s="20" t="s">
        <v>18</v>
      </c>
      <c r="C7628" s="20" t="s">
        <v>222</v>
      </c>
      <c r="D7628" s="20" t="s">
        <v>3320</v>
      </c>
      <c r="E7628" s="21"/>
      <c r="F7628" s="22">
        <f>F7637</f>
        <v>614.54</v>
      </c>
      <c r="G7628" s="21"/>
    </row>
    <row r="7629" ht="30.0" customHeight="1">
      <c r="A7629" s="11"/>
      <c r="B7629" s="11"/>
      <c r="C7629" s="11"/>
      <c r="D7629" s="10" t="s">
        <v>3321</v>
      </c>
    </row>
    <row r="7630" ht="30.0" customHeight="1">
      <c r="A7630" s="10" t="s">
        <v>3322</v>
      </c>
      <c r="B7630" s="10" t="s">
        <v>112</v>
      </c>
      <c r="C7630" s="10" t="s">
        <v>441</v>
      </c>
      <c r="D7630" s="10" t="s">
        <v>3323</v>
      </c>
      <c r="E7630" s="14">
        <v>3.0</v>
      </c>
      <c r="F7630" s="15">
        <f>ROUND(58.34,3)</f>
        <v>58.34</v>
      </c>
      <c r="G7630" s="12">
        <f t="shared" ref="G7630:G7636" si="1155">ROUND(E7630*F7630,2)</f>
        <v>175.02</v>
      </c>
    </row>
    <row r="7631" ht="21.0" customHeight="1">
      <c r="A7631" s="10" t="s">
        <v>3324</v>
      </c>
      <c r="B7631" s="10" t="s">
        <v>112</v>
      </c>
      <c r="C7631" s="10" t="s">
        <v>441</v>
      </c>
      <c r="D7631" s="10" t="s">
        <v>3325</v>
      </c>
      <c r="E7631" s="14">
        <v>3.0</v>
      </c>
      <c r="F7631" s="15">
        <f>ROUND(38.94,3)</f>
        <v>38.94</v>
      </c>
      <c r="G7631" s="12">
        <f t="shared" si="1155"/>
        <v>116.82</v>
      </c>
    </row>
    <row r="7632" ht="15.0" customHeight="1">
      <c r="A7632" s="10" t="s">
        <v>3326</v>
      </c>
      <c r="B7632" s="10" t="s">
        <v>112</v>
      </c>
      <c r="C7632" s="10" t="s">
        <v>304</v>
      </c>
      <c r="D7632" s="10" t="s">
        <v>3327</v>
      </c>
      <c r="E7632" s="14">
        <v>2.0</v>
      </c>
      <c r="F7632" s="15">
        <f>ROUND(2.9,3)</f>
        <v>2.9</v>
      </c>
      <c r="G7632" s="12">
        <f t="shared" si="1155"/>
        <v>5.8</v>
      </c>
    </row>
    <row r="7633" ht="30.0" customHeight="1">
      <c r="A7633" s="10" t="s">
        <v>3328</v>
      </c>
      <c r="B7633" s="10" t="s">
        <v>112</v>
      </c>
      <c r="C7633" s="10" t="s">
        <v>441</v>
      </c>
      <c r="D7633" s="10" t="s">
        <v>3329</v>
      </c>
      <c r="E7633" s="14">
        <v>3.0</v>
      </c>
      <c r="F7633" s="15">
        <f>ROUND(10.87,3)</f>
        <v>10.87</v>
      </c>
      <c r="G7633" s="12">
        <f t="shared" si="1155"/>
        <v>32.61</v>
      </c>
    </row>
    <row r="7634" ht="21.0" customHeight="1">
      <c r="A7634" s="10" t="s">
        <v>3330</v>
      </c>
      <c r="B7634" s="10" t="s">
        <v>112</v>
      </c>
      <c r="C7634" s="10" t="s">
        <v>441</v>
      </c>
      <c r="D7634" s="10" t="s">
        <v>3331</v>
      </c>
      <c r="E7634" s="14">
        <v>3.0</v>
      </c>
      <c r="F7634" s="15">
        <f>ROUND(7.68,3)</f>
        <v>7.68</v>
      </c>
      <c r="G7634" s="12">
        <f t="shared" si="1155"/>
        <v>23.04</v>
      </c>
    </row>
    <row r="7635" ht="24.0" customHeight="1">
      <c r="A7635" s="10" t="s">
        <v>3332</v>
      </c>
      <c r="B7635" s="10" t="s">
        <v>26</v>
      </c>
      <c r="C7635" s="10" t="s">
        <v>23</v>
      </c>
      <c r="D7635" s="10" t="s">
        <v>3333</v>
      </c>
      <c r="E7635" s="14">
        <v>1.75</v>
      </c>
      <c r="F7635" s="15">
        <f>ROUND(75,3)</f>
        <v>75</v>
      </c>
      <c r="G7635" s="12">
        <f t="shared" si="1155"/>
        <v>131.25</v>
      </c>
    </row>
    <row r="7636" ht="15.0" customHeight="1">
      <c r="A7636" s="10" t="s">
        <v>3334</v>
      </c>
      <c r="B7636" s="10" t="s">
        <v>112</v>
      </c>
      <c r="C7636" s="10" t="s">
        <v>304</v>
      </c>
      <c r="D7636" s="10" t="s">
        <v>3335</v>
      </c>
      <c r="E7636" s="14">
        <v>1.0</v>
      </c>
      <c r="F7636" s="15">
        <f>ROUND(130,3)</f>
        <v>130</v>
      </c>
      <c r="G7636" s="12">
        <f t="shared" si="1155"/>
        <v>130</v>
      </c>
    </row>
    <row r="7637" ht="15.0" customHeight="1">
      <c r="A7637" s="16"/>
      <c r="B7637" s="16"/>
      <c r="C7637" s="16"/>
      <c r="D7637" s="17" t="s">
        <v>3319</v>
      </c>
      <c r="E7637" s="16"/>
      <c r="F7637" s="18">
        <f>ROUND((G7630+G7631+G7632+G7633+G7634+G7635+G7636)*(1+G2/100),2)</f>
        <v>614.54</v>
      </c>
      <c r="G7637" s="16"/>
    </row>
    <row r="7638" ht="15.0" customHeight="1">
      <c r="A7638" s="19" t="s">
        <v>3336</v>
      </c>
      <c r="B7638" s="20" t="s">
        <v>18</v>
      </c>
      <c r="C7638" s="20" t="s">
        <v>222</v>
      </c>
      <c r="D7638" s="20" t="s">
        <v>3337</v>
      </c>
      <c r="E7638" s="21"/>
      <c r="F7638" s="22">
        <f>F7646</f>
        <v>54.69</v>
      </c>
      <c r="G7638" s="21"/>
    </row>
    <row r="7639" ht="21.0" customHeight="1">
      <c r="A7639" s="11"/>
      <c r="B7639" s="11"/>
      <c r="C7639" s="11"/>
      <c r="D7639" s="10" t="s">
        <v>3338</v>
      </c>
    </row>
    <row r="7640" ht="30.0" customHeight="1">
      <c r="A7640" s="10" t="s">
        <v>3339</v>
      </c>
      <c r="B7640" s="10" t="s">
        <v>42</v>
      </c>
      <c r="C7640" s="10" t="s">
        <v>304</v>
      </c>
      <c r="D7640" s="10" t="s">
        <v>3340</v>
      </c>
      <c r="E7640" s="14">
        <v>0.3</v>
      </c>
      <c r="F7640" s="15">
        <f>ROUND(18,3)</f>
        <v>18</v>
      </c>
      <c r="G7640" s="12">
        <f t="shared" ref="G7640:G7645" si="1156">ROUND(E7640*F7640,2)</f>
        <v>5.4</v>
      </c>
    </row>
    <row r="7641" ht="30.0" customHeight="1">
      <c r="A7641" s="10" t="s">
        <v>3341</v>
      </c>
      <c r="B7641" s="10" t="s">
        <v>42</v>
      </c>
      <c r="C7641" s="10" t="s">
        <v>304</v>
      </c>
      <c r="D7641" s="10" t="s">
        <v>3342</v>
      </c>
      <c r="E7641" s="14">
        <v>0.3</v>
      </c>
      <c r="F7641" s="15">
        <f>ROUND(12,3)</f>
        <v>12</v>
      </c>
      <c r="G7641" s="12">
        <f t="shared" si="1156"/>
        <v>3.6</v>
      </c>
    </row>
    <row r="7642" ht="30.0" customHeight="1">
      <c r="A7642" s="10" t="s">
        <v>3343</v>
      </c>
      <c r="B7642" s="10" t="s">
        <v>42</v>
      </c>
      <c r="C7642" s="10" t="s">
        <v>304</v>
      </c>
      <c r="D7642" s="10" t="s">
        <v>3344</v>
      </c>
      <c r="E7642" s="14">
        <v>0.3</v>
      </c>
      <c r="F7642" s="15">
        <f>ROUND(9.9,3)</f>
        <v>9.9</v>
      </c>
      <c r="G7642" s="12">
        <f t="shared" si="1156"/>
        <v>2.97</v>
      </c>
    </row>
    <row r="7643" ht="30.0" customHeight="1">
      <c r="A7643" s="10" t="s">
        <v>3345</v>
      </c>
      <c r="B7643" s="10" t="s">
        <v>42</v>
      </c>
      <c r="C7643" s="10" t="s">
        <v>304</v>
      </c>
      <c r="D7643" s="10" t="s">
        <v>3346</v>
      </c>
      <c r="E7643" s="14">
        <v>0.3</v>
      </c>
      <c r="F7643" s="15">
        <f>ROUND(7.5,3)</f>
        <v>7.5</v>
      </c>
      <c r="G7643" s="12">
        <f t="shared" si="1156"/>
        <v>2.25</v>
      </c>
    </row>
    <row r="7644" ht="39.75" customHeight="1">
      <c r="A7644" s="10" t="s">
        <v>3347</v>
      </c>
      <c r="B7644" s="10" t="s">
        <v>42</v>
      </c>
      <c r="C7644" s="10" t="s">
        <v>304</v>
      </c>
      <c r="D7644" s="10" t="s">
        <v>3348</v>
      </c>
      <c r="E7644" s="14">
        <v>0.3</v>
      </c>
      <c r="F7644" s="15">
        <f>ROUND(9.9,3)</f>
        <v>9.9</v>
      </c>
      <c r="G7644" s="12">
        <f t="shared" si="1156"/>
        <v>2.97</v>
      </c>
    </row>
    <row r="7645" ht="24.0" customHeight="1">
      <c r="A7645" s="10" t="s">
        <v>3332</v>
      </c>
      <c r="B7645" s="10" t="s">
        <v>26</v>
      </c>
      <c r="C7645" s="10" t="s">
        <v>23</v>
      </c>
      <c r="D7645" s="10" t="s">
        <v>3333</v>
      </c>
      <c r="E7645" s="14">
        <v>0.5</v>
      </c>
      <c r="F7645" s="15">
        <f>ROUND(75,3)</f>
        <v>75</v>
      </c>
      <c r="G7645" s="12">
        <f t="shared" si="1156"/>
        <v>37.5</v>
      </c>
    </row>
    <row r="7646" ht="15.0" customHeight="1">
      <c r="A7646" s="16"/>
      <c r="B7646" s="16"/>
      <c r="C7646" s="16"/>
      <c r="D7646" s="17" t="s">
        <v>3336</v>
      </c>
      <c r="E7646" s="16"/>
      <c r="F7646" s="18">
        <f>ROUND((G7640+G7641+G7642+G7643+G7644+G7645)*(1+G2/100),2)</f>
        <v>54.69</v>
      </c>
      <c r="G7646" s="16"/>
    </row>
    <row r="7647" ht="21.0" customHeight="1">
      <c r="A7647" s="19" t="s">
        <v>3349</v>
      </c>
      <c r="B7647" s="20" t="s">
        <v>18</v>
      </c>
      <c r="C7647" s="20" t="s">
        <v>222</v>
      </c>
      <c r="D7647" s="20" t="s">
        <v>3350</v>
      </c>
      <c r="E7647" s="21"/>
      <c r="F7647" s="22">
        <f>F7654</f>
        <v>56.64</v>
      </c>
      <c r="G7647" s="21"/>
    </row>
    <row r="7648" ht="39.75" customHeight="1">
      <c r="A7648" s="11"/>
      <c r="B7648" s="11"/>
      <c r="C7648" s="11"/>
      <c r="D7648" s="10" t="s">
        <v>3351</v>
      </c>
    </row>
    <row r="7649" ht="21.0" customHeight="1">
      <c r="A7649" s="10" t="s">
        <v>3352</v>
      </c>
      <c r="B7649" s="10" t="s">
        <v>42</v>
      </c>
      <c r="C7649" s="10" t="s">
        <v>304</v>
      </c>
      <c r="D7649" s="10" t="s">
        <v>3353</v>
      </c>
      <c r="E7649" s="14">
        <v>3.0</v>
      </c>
      <c r="F7649" s="15">
        <f>ROUND(8.99,3)</f>
        <v>8.99</v>
      </c>
      <c r="G7649" s="12">
        <f t="shared" ref="G7649:G7653" si="1157">ROUND(E7649*F7649,2)</f>
        <v>26.97</v>
      </c>
    </row>
    <row r="7650" ht="15.0" customHeight="1">
      <c r="A7650" s="10" t="s">
        <v>3354</v>
      </c>
      <c r="B7650" s="10" t="s">
        <v>42</v>
      </c>
      <c r="C7650" s="10" t="s">
        <v>304</v>
      </c>
      <c r="D7650" s="10" t="s">
        <v>3355</v>
      </c>
      <c r="E7650" s="14">
        <v>3.0</v>
      </c>
      <c r="F7650" s="15">
        <f>ROUND(2.21,3)</f>
        <v>2.21</v>
      </c>
      <c r="G7650" s="12">
        <f t="shared" si="1157"/>
        <v>6.63</v>
      </c>
    </row>
    <row r="7651" ht="15.0" customHeight="1">
      <c r="A7651" s="10" t="s">
        <v>3356</v>
      </c>
      <c r="B7651" s="10" t="s">
        <v>42</v>
      </c>
      <c r="C7651" s="10" t="s">
        <v>304</v>
      </c>
      <c r="D7651" s="10" t="s">
        <v>3357</v>
      </c>
      <c r="E7651" s="14">
        <v>3.0</v>
      </c>
      <c r="F7651" s="15">
        <f>ROUND(3.18,3)</f>
        <v>3.18</v>
      </c>
      <c r="G7651" s="12">
        <f t="shared" si="1157"/>
        <v>9.54</v>
      </c>
    </row>
    <row r="7652" ht="15.0" customHeight="1">
      <c r="A7652" s="10" t="s">
        <v>3358</v>
      </c>
      <c r="B7652" s="10" t="s">
        <v>42</v>
      </c>
      <c r="C7652" s="10" t="s">
        <v>304</v>
      </c>
      <c r="D7652" s="10" t="s">
        <v>3359</v>
      </c>
      <c r="E7652" s="14">
        <v>3.0</v>
      </c>
      <c r="F7652" s="15">
        <f>ROUND(1.5,3)</f>
        <v>1.5</v>
      </c>
      <c r="G7652" s="12">
        <f t="shared" si="1157"/>
        <v>4.5</v>
      </c>
    </row>
    <row r="7653" ht="21.0" customHeight="1">
      <c r="A7653" s="10" t="s">
        <v>3360</v>
      </c>
      <c r="B7653" s="10" t="s">
        <v>42</v>
      </c>
      <c r="C7653" s="10" t="s">
        <v>304</v>
      </c>
      <c r="D7653" s="10" t="s">
        <v>3361</v>
      </c>
      <c r="E7653" s="14">
        <v>3.0</v>
      </c>
      <c r="F7653" s="15">
        <f>ROUND(3,3)</f>
        <v>3</v>
      </c>
      <c r="G7653" s="12">
        <f t="shared" si="1157"/>
        <v>9</v>
      </c>
    </row>
    <row r="7654" ht="15.0" customHeight="1">
      <c r="A7654" s="16"/>
      <c r="B7654" s="16"/>
      <c r="C7654" s="16"/>
      <c r="D7654" s="17" t="s">
        <v>3349</v>
      </c>
      <c r="E7654" s="16"/>
      <c r="F7654" s="18">
        <f>ROUND((G7649+G7650+G7651+G7652+G7653)*(1+G2/100),2)</f>
        <v>56.64</v>
      </c>
      <c r="G7654" s="16"/>
    </row>
    <row r="7655" ht="15.0" customHeight="1">
      <c r="A7655" s="19" t="s">
        <v>3362</v>
      </c>
      <c r="B7655" s="20" t="s">
        <v>18</v>
      </c>
      <c r="C7655" s="20" t="s">
        <v>222</v>
      </c>
      <c r="D7655" s="20" t="s">
        <v>3363</v>
      </c>
      <c r="E7655" s="21"/>
      <c r="F7655" s="22">
        <f>F7659</f>
        <v>123</v>
      </c>
      <c r="G7655" s="21"/>
    </row>
    <row r="7656" ht="30.0" customHeight="1">
      <c r="A7656" s="11"/>
      <c r="B7656" s="11"/>
      <c r="C7656" s="11"/>
      <c r="D7656" s="10" t="s">
        <v>3364</v>
      </c>
    </row>
    <row r="7657" ht="21.0" customHeight="1">
      <c r="A7657" s="10" t="s">
        <v>3365</v>
      </c>
      <c r="B7657" s="10" t="s">
        <v>42</v>
      </c>
      <c r="C7657" s="10" t="s">
        <v>304</v>
      </c>
      <c r="D7657" s="10" t="s">
        <v>3366</v>
      </c>
      <c r="E7657" s="14">
        <v>1.0</v>
      </c>
      <c r="F7657" s="15">
        <f>ROUND(48,3)</f>
        <v>48</v>
      </c>
      <c r="G7657" s="12">
        <f t="shared" ref="G7657:G7658" si="1158">ROUND(E7657*F7657,2)</f>
        <v>48</v>
      </c>
    </row>
    <row r="7658" ht="24.0" customHeight="1">
      <c r="A7658" s="10" t="s">
        <v>3332</v>
      </c>
      <c r="B7658" s="10" t="s">
        <v>26</v>
      </c>
      <c r="C7658" s="10" t="s">
        <v>23</v>
      </c>
      <c r="D7658" s="10" t="s">
        <v>3333</v>
      </c>
      <c r="E7658" s="14">
        <v>1.0</v>
      </c>
      <c r="F7658" s="15">
        <f>ROUND(75,3)</f>
        <v>75</v>
      </c>
      <c r="G7658" s="12">
        <f t="shared" si="1158"/>
        <v>75</v>
      </c>
    </row>
    <row r="7659" ht="15.0" customHeight="1">
      <c r="A7659" s="16"/>
      <c r="B7659" s="16"/>
      <c r="C7659" s="16"/>
      <c r="D7659" s="17" t="s">
        <v>3362</v>
      </c>
      <c r="E7659" s="16"/>
      <c r="F7659" s="18">
        <f>ROUND((G7657+G7658)*(1+G2/100),2)</f>
        <v>123</v>
      </c>
      <c r="G7659" s="16"/>
    </row>
    <row r="7660" ht="21.0" customHeight="1">
      <c r="A7660" s="19" t="s">
        <v>3367</v>
      </c>
      <c r="B7660" s="20" t="s">
        <v>18</v>
      </c>
      <c r="C7660" s="20" t="s">
        <v>410</v>
      </c>
      <c r="D7660" s="20" t="s">
        <v>3368</v>
      </c>
      <c r="E7660" s="21"/>
      <c r="F7660" s="22">
        <f>F7663</f>
        <v>603.75</v>
      </c>
      <c r="G7660" s="21"/>
    </row>
    <row r="7661" ht="48.75" customHeight="1">
      <c r="A7661" s="11"/>
      <c r="B7661" s="11"/>
      <c r="C7661" s="11"/>
      <c r="D7661" s="10" t="s">
        <v>3369</v>
      </c>
    </row>
    <row r="7662" ht="24.0" customHeight="1">
      <c r="A7662" s="10" t="s">
        <v>3332</v>
      </c>
      <c r="B7662" s="10" t="s">
        <v>26</v>
      </c>
      <c r="C7662" s="10" t="s">
        <v>23</v>
      </c>
      <c r="D7662" s="10" t="s">
        <v>3333</v>
      </c>
      <c r="E7662" s="14">
        <v>8.05</v>
      </c>
      <c r="F7662" s="15">
        <f>ROUND(75,3)</f>
        <v>75</v>
      </c>
      <c r="G7662" s="12">
        <f>ROUND(E7662*F7662,2)</f>
        <v>603.75</v>
      </c>
    </row>
    <row r="7663" ht="15.0" customHeight="1">
      <c r="A7663" s="16"/>
      <c r="B7663" s="16"/>
      <c r="C7663" s="16"/>
      <c r="D7663" s="17" t="s">
        <v>3367</v>
      </c>
      <c r="E7663" s="16"/>
      <c r="F7663" s="18">
        <f>ROUND((G7662)*(1+G2/100),2)</f>
        <v>603.75</v>
      </c>
      <c r="G7663" s="16"/>
    </row>
    <row r="7664" ht="15.0" customHeight="1">
      <c r="A7664" s="19" t="s">
        <v>3370</v>
      </c>
      <c r="B7664" s="20" t="s">
        <v>18</v>
      </c>
      <c r="C7664" s="20" t="s">
        <v>410</v>
      </c>
      <c r="D7664" s="20" t="s">
        <v>3371</v>
      </c>
      <c r="E7664" s="21"/>
      <c r="F7664" s="22">
        <f>F7670</f>
        <v>138.6</v>
      </c>
      <c r="G7664" s="21"/>
    </row>
    <row r="7665" ht="21.0" customHeight="1">
      <c r="A7665" s="11"/>
      <c r="B7665" s="11"/>
      <c r="C7665" s="11"/>
      <c r="D7665" s="10" t="s">
        <v>3372</v>
      </c>
    </row>
    <row r="7666" ht="21.0" customHeight="1">
      <c r="A7666" s="10" t="s">
        <v>3373</v>
      </c>
      <c r="B7666" s="10" t="s">
        <v>112</v>
      </c>
      <c r="C7666" s="10" t="s">
        <v>304</v>
      </c>
      <c r="D7666" s="10" t="s">
        <v>3374</v>
      </c>
      <c r="E7666" s="14">
        <v>1.0</v>
      </c>
      <c r="F7666" s="15">
        <f>ROUND(50,3)</f>
        <v>50</v>
      </c>
      <c r="G7666" s="12">
        <f t="shared" ref="G7666:G7669" si="1159">ROUND(E7666*F7666,2)</f>
        <v>50</v>
      </c>
    </row>
    <row r="7667" ht="21.0" customHeight="1">
      <c r="A7667" s="10" t="s">
        <v>3375</v>
      </c>
      <c r="B7667" s="10" t="s">
        <v>42</v>
      </c>
      <c r="C7667" s="10" t="s">
        <v>304</v>
      </c>
      <c r="D7667" s="10" t="s">
        <v>3376</v>
      </c>
      <c r="E7667" s="14">
        <v>0.1</v>
      </c>
      <c r="F7667" s="15">
        <f>ROUND(98,3)</f>
        <v>98</v>
      </c>
      <c r="G7667" s="12">
        <f t="shared" si="1159"/>
        <v>9.8</v>
      </c>
    </row>
    <row r="7668" ht="21.0" customHeight="1">
      <c r="A7668" s="10" t="s">
        <v>3377</v>
      </c>
      <c r="B7668" s="10" t="s">
        <v>42</v>
      </c>
      <c r="C7668" s="10" t="s">
        <v>304</v>
      </c>
      <c r="D7668" s="10" t="s">
        <v>3378</v>
      </c>
      <c r="E7668" s="14">
        <v>0.1</v>
      </c>
      <c r="F7668" s="15">
        <f>ROUND(38,3)</f>
        <v>38</v>
      </c>
      <c r="G7668" s="12">
        <f t="shared" si="1159"/>
        <v>3.8</v>
      </c>
    </row>
    <row r="7669" ht="24.0" customHeight="1">
      <c r="A7669" s="10" t="s">
        <v>3332</v>
      </c>
      <c r="B7669" s="10" t="s">
        <v>26</v>
      </c>
      <c r="C7669" s="10" t="s">
        <v>23</v>
      </c>
      <c r="D7669" s="10" t="s">
        <v>3333</v>
      </c>
      <c r="E7669" s="14">
        <v>1.0</v>
      </c>
      <c r="F7669" s="15">
        <f>ROUND(75,3)</f>
        <v>75</v>
      </c>
      <c r="G7669" s="12">
        <f t="shared" si="1159"/>
        <v>75</v>
      </c>
    </row>
    <row r="7670" ht="15.0" customHeight="1">
      <c r="A7670" s="16"/>
      <c r="B7670" s="16"/>
      <c r="C7670" s="16"/>
      <c r="D7670" s="17" t="s">
        <v>3370</v>
      </c>
      <c r="E7670" s="16"/>
      <c r="F7670" s="18">
        <f>ROUND((G7666+G7667+G7668+G7669)*(1+G2/100),2)</f>
        <v>138.6</v>
      </c>
      <c r="G7670" s="16"/>
    </row>
    <row r="7671" ht="21.0" customHeight="1">
      <c r="A7671" s="19" t="s">
        <v>3379</v>
      </c>
      <c r="B7671" s="20" t="s">
        <v>18</v>
      </c>
      <c r="C7671" s="20" t="s">
        <v>222</v>
      </c>
      <c r="D7671" s="20" t="s">
        <v>3380</v>
      </c>
      <c r="E7671" s="21"/>
      <c r="F7671" s="22">
        <f>F7678</f>
        <v>187.05</v>
      </c>
      <c r="G7671" s="21"/>
    </row>
    <row r="7672" ht="30.0" customHeight="1">
      <c r="A7672" s="11"/>
      <c r="B7672" s="11"/>
      <c r="C7672" s="11"/>
      <c r="D7672" s="10" t="s">
        <v>3381</v>
      </c>
    </row>
    <row r="7673" ht="30.0" customHeight="1">
      <c r="A7673" s="10" t="s">
        <v>3382</v>
      </c>
      <c r="B7673" s="10" t="s">
        <v>42</v>
      </c>
      <c r="C7673" s="10" t="s">
        <v>304</v>
      </c>
      <c r="D7673" s="10" t="s">
        <v>3383</v>
      </c>
      <c r="E7673" s="14">
        <v>0.5</v>
      </c>
      <c r="F7673" s="15">
        <f t="shared" ref="F7673:F7674" si="1160">ROUND(12,3)</f>
        <v>12</v>
      </c>
      <c r="G7673" s="12">
        <f t="shared" ref="G7673:G7677" si="1161">ROUND(E7673*F7673,2)</f>
        <v>6</v>
      </c>
    </row>
    <row r="7674" ht="21.0" customHeight="1">
      <c r="A7674" s="10" t="s">
        <v>3384</v>
      </c>
      <c r="B7674" s="10" t="s">
        <v>42</v>
      </c>
      <c r="C7674" s="10" t="s">
        <v>304</v>
      </c>
      <c r="D7674" s="10" t="s">
        <v>3385</v>
      </c>
      <c r="E7674" s="14">
        <v>0.5</v>
      </c>
      <c r="F7674" s="15">
        <f t="shared" si="1160"/>
        <v>12</v>
      </c>
      <c r="G7674" s="12">
        <f t="shared" si="1161"/>
        <v>6</v>
      </c>
    </row>
    <row r="7675" ht="21.0" customHeight="1">
      <c r="A7675" s="10" t="s">
        <v>3386</v>
      </c>
      <c r="B7675" s="10" t="s">
        <v>42</v>
      </c>
      <c r="C7675" s="10" t="s">
        <v>304</v>
      </c>
      <c r="D7675" s="10" t="s">
        <v>3387</v>
      </c>
      <c r="E7675" s="14">
        <v>0.5</v>
      </c>
      <c r="F7675" s="15">
        <f>ROUND(9.9,3)</f>
        <v>9.9</v>
      </c>
      <c r="G7675" s="12">
        <f t="shared" si="1161"/>
        <v>4.95</v>
      </c>
    </row>
    <row r="7676" ht="21.0" customHeight="1">
      <c r="A7676" s="10" t="s">
        <v>3388</v>
      </c>
      <c r="B7676" s="10" t="s">
        <v>42</v>
      </c>
      <c r="C7676" s="10" t="s">
        <v>304</v>
      </c>
      <c r="D7676" s="10" t="s">
        <v>3389</v>
      </c>
      <c r="E7676" s="14">
        <v>0.3</v>
      </c>
      <c r="F7676" s="15">
        <f>ROUND(67,3)</f>
        <v>67</v>
      </c>
      <c r="G7676" s="12">
        <f t="shared" si="1161"/>
        <v>20.1</v>
      </c>
    </row>
    <row r="7677" ht="24.0" customHeight="1">
      <c r="A7677" s="10" t="s">
        <v>3332</v>
      </c>
      <c r="B7677" s="10" t="s">
        <v>26</v>
      </c>
      <c r="C7677" s="10" t="s">
        <v>23</v>
      </c>
      <c r="D7677" s="10" t="s">
        <v>3333</v>
      </c>
      <c r="E7677" s="14">
        <v>2.0</v>
      </c>
      <c r="F7677" s="15">
        <f>ROUND(75,3)</f>
        <v>75</v>
      </c>
      <c r="G7677" s="12">
        <f t="shared" si="1161"/>
        <v>150</v>
      </c>
    </row>
    <row r="7678" ht="15.0" customHeight="1">
      <c r="A7678" s="16"/>
      <c r="B7678" s="16"/>
      <c r="C7678" s="16"/>
      <c r="D7678" s="17" t="s">
        <v>3379</v>
      </c>
      <c r="E7678" s="16"/>
      <c r="F7678" s="18">
        <f>ROUND((G7673+G7674+G7675+G7676+G7677)*(1+G2/100),2)</f>
        <v>187.05</v>
      </c>
      <c r="G7678" s="16"/>
    </row>
    <row r="7679" ht="21.0" customHeight="1">
      <c r="A7679" s="19" t="s">
        <v>3390</v>
      </c>
      <c r="B7679" s="20" t="s">
        <v>18</v>
      </c>
      <c r="C7679" s="20" t="s">
        <v>295</v>
      </c>
      <c r="D7679" s="20" t="s">
        <v>3391</v>
      </c>
      <c r="E7679" s="21"/>
      <c r="F7679" s="22">
        <f>F7682</f>
        <v>337.54</v>
      </c>
      <c r="G7679" s="21"/>
    </row>
    <row r="7680" ht="57.75" customHeight="1">
      <c r="A7680" s="11"/>
      <c r="B7680" s="11"/>
      <c r="C7680" s="11"/>
      <c r="D7680" s="10" t="s">
        <v>3392</v>
      </c>
    </row>
    <row r="7681" ht="21.0" customHeight="1">
      <c r="A7681" s="10" t="s">
        <v>3393</v>
      </c>
      <c r="B7681" s="10" t="s">
        <v>42</v>
      </c>
      <c r="C7681" s="10" t="s">
        <v>485</v>
      </c>
      <c r="D7681" s="10" t="s">
        <v>3394</v>
      </c>
      <c r="E7681" s="14">
        <v>1.0</v>
      </c>
      <c r="F7681" s="15">
        <f>ROUND(337.54,3)</f>
        <v>337.54</v>
      </c>
      <c r="G7681" s="12">
        <f>ROUND(E7681*F7681,2)</f>
        <v>337.54</v>
      </c>
    </row>
    <row r="7682" ht="15.0" customHeight="1">
      <c r="A7682" s="16"/>
      <c r="B7682" s="16"/>
      <c r="C7682" s="16"/>
      <c r="D7682" s="17" t="s">
        <v>3390</v>
      </c>
      <c r="E7682" s="16"/>
      <c r="F7682" s="18">
        <f>ROUND((G7681)*(1+G2/100),2)</f>
        <v>337.54</v>
      </c>
      <c r="G7682" s="16"/>
    </row>
    <row r="7683" ht="21.0" customHeight="1">
      <c r="A7683" s="19" t="s">
        <v>3395</v>
      </c>
      <c r="B7683" s="20" t="s">
        <v>18</v>
      </c>
      <c r="C7683" s="20" t="s">
        <v>222</v>
      </c>
      <c r="D7683" s="20" t="s">
        <v>3396</v>
      </c>
      <c r="E7683" s="21"/>
      <c r="F7683" s="22">
        <f>F7694</f>
        <v>577.76</v>
      </c>
      <c r="G7683" s="21"/>
    </row>
    <row r="7684" ht="67.5" customHeight="1">
      <c r="A7684" s="11"/>
      <c r="B7684" s="11"/>
      <c r="C7684" s="11"/>
      <c r="D7684" s="10" t="s">
        <v>3397</v>
      </c>
    </row>
    <row r="7685" ht="21.0" customHeight="1">
      <c r="A7685" s="10" t="s">
        <v>3398</v>
      </c>
      <c r="B7685" s="10" t="s">
        <v>42</v>
      </c>
      <c r="C7685" s="10" t="s">
        <v>304</v>
      </c>
      <c r="D7685" s="10" t="s">
        <v>3399</v>
      </c>
      <c r="E7685" s="14">
        <v>0.0</v>
      </c>
      <c r="F7685" s="15">
        <f>ROUND(12,3)</f>
        <v>12</v>
      </c>
      <c r="G7685" s="12">
        <f t="shared" ref="G7685:G7693" si="1162">ROUND(E7685*F7685,2)</f>
        <v>0</v>
      </c>
    </row>
    <row r="7686" ht="21.0" customHeight="1">
      <c r="A7686" s="10" t="s">
        <v>3400</v>
      </c>
      <c r="B7686" s="10" t="s">
        <v>42</v>
      </c>
      <c r="C7686" s="10" t="s">
        <v>304</v>
      </c>
      <c r="D7686" s="10" t="s">
        <v>3401</v>
      </c>
      <c r="E7686" s="14">
        <v>0.0</v>
      </c>
      <c r="F7686" s="15">
        <f>ROUND(19.9,3)</f>
        <v>19.9</v>
      </c>
      <c r="G7686" s="12">
        <f t="shared" si="1162"/>
        <v>0</v>
      </c>
    </row>
    <row r="7687" ht="21.0" customHeight="1">
      <c r="A7687" s="10" t="s">
        <v>3402</v>
      </c>
      <c r="B7687" s="10" t="s">
        <v>42</v>
      </c>
      <c r="C7687" s="10" t="s">
        <v>304</v>
      </c>
      <c r="D7687" s="10" t="s">
        <v>3403</v>
      </c>
      <c r="E7687" s="14">
        <v>1.0</v>
      </c>
      <c r="F7687" s="15">
        <f>ROUND(20,3)</f>
        <v>20</v>
      </c>
      <c r="G7687" s="12">
        <f t="shared" si="1162"/>
        <v>20</v>
      </c>
    </row>
    <row r="7688" ht="21.0" customHeight="1">
      <c r="A7688" s="10" t="s">
        <v>3404</v>
      </c>
      <c r="B7688" s="10" t="s">
        <v>42</v>
      </c>
      <c r="C7688" s="10" t="s">
        <v>304</v>
      </c>
      <c r="D7688" s="10" t="s">
        <v>3405</v>
      </c>
      <c r="E7688" s="14">
        <v>0.0</v>
      </c>
      <c r="F7688" s="15">
        <f>ROUND(22.5,3)</f>
        <v>22.5</v>
      </c>
      <c r="G7688" s="12">
        <f t="shared" si="1162"/>
        <v>0</v>
      </c>
    </row>
    <row r="7689" ht="15.0" customHeight="1">
      <c r="A7689" s="10" t="s">
        <v>3406</v>
      </c>
      <c r="B7689" s="10" t="s">
        <v>42</v>
      </c>
      <c r="C7689" s="10" t="s">
        <v>304</v>
      </c>
      <c r="D7689" s="10" t="s">
        <v>3407</v>
      </c>
      <c r="E7689" s="14">
        <v>1.0</v>
      </c>
      <c r="F7689" s="15">
        <f>ROUND(20,3)</f>
        <v>20</v>
      </c>
      <c r="G7689" s="12">
        <f t="shared" si="1162"/>
        <v>20</v>
      </c>
    </row>
    <row r="7690" ht="30.0" customHeight="1">
      <c r="A7690" s="10" t="s">
        <v>3408</v>
      </c>
      <c r="B7690" s="10" t="s">
        <v>112</v>
      </c>
      <c r="C7690" s="10" t="s">
        <v>304</v>
      </c>
      <c r="D7690" s="10" t="s">
        <v>3409</v>
      </c>
      <c r="E7690" s="14">
        <v>1.0</v>
      </c>
      <c r="F7690" s="15">
        <f>ROUND(260,3)</f>
        <v>260</v>
      </c>
      <c r="G7690" s="12">
        <f t="shared" si="1162"/>
        <v>260</v>
      </c>
    </row>
    <row r="7691" ht="21.0" customHeight="1">
      <c r="A7691" s="10" t="s">
        <v>3410</v>
      </c>
      <c r="B7691" s="10" t="s">
        <v>42</v>
      </c>
      <c r="C7691" s="10" t="s">
        <v>295</v>
      </c>
      <c r="D7691" s="10" t="s">
        <v>3411</v>
      </c>
      <c r="E7691" s="14">
        <v>1.0</v>
      </c>
      <c r="F7691" s="15">
        <f>ROUND(11.52,3)</f>
        <v>11.52</v>
      </c>
      <c r="G7691" s="12">
        <f t="shared" si="1162"/>
        <v>11.52</v>
      </c>
    </row>
    <row r="7692" ht="15.0" customHeight="1">
      <c r="A7692" s="10" t="s">
        <v>3412</v>
      </c>
      <c r="B7692" s="10" t="s">
        <v>42</v>
      </c>
      <c r="C7692" s="10" t="s">
        <v>295</v>
      </c>
      <c r="D7692" s="10" t="s">
        <v>3413</v>
      </c>
      <c r="E7692" s="14">
        <v>1.0</v>
      </c>
      <c r="F7692" s="15">
        <f>ROUND(6.24,3)</f>
        <v>6.24</v>
      </c>
      <c r="G7692" s="12">
        <f t="shared" si="1162"/>
        <v>6.24</v>
      </c>
    </row>
    <row r="7693" ht="21.0" customHeight="1">
      <c r="A7693" s="10" t="s">
        <v>3414</v>
      </c>
      <c r="B7693" s="10" t="s">
        <v>112</v>
      </c>
      <c r="C7693" s="10" t="s">
        <v>304</v>
      </c>
      <c r="D7693" s="10" t="s">
        <v>3415</v>
      </c>
      <c r="E7693" s="14">
        <v>1.0</v>
      </c>
      <c r="F7693" s="15">
        <f>ROUND(260,3)</f>
        <v>260</v>
      </c>
      <c r="G7693" s="12">
        <f t="shared" si="1162"/>
        <v>260</v>
      </c>
    </row>
    <row r="7694" ht="15.0" customHeight="1">
      <c r="A7694" s="16"/>
      <c r="B7694" s="16"/>
      <c r="C7694" s="16"/>
      <c r="D7694" s="17" t="s">
        <v>3395</v>
      </c>
      <c r="E7694" s="16"/>
      <c r="F7694" s="18">
        <f>ROUND((G7685+G7686+G7687+G7688+G7689+G7690+G7691+G7692+G7693)*(1+G2/100),2)</f>
        <v>577.76</v>
      </c>
      <c r="G7694" s="16"/>
    </row>
    <row r="7695" ht="21.0" customHeight="1">
      <c r="A7695" s="19" t="s">
        <v>3416</v>
      </c>
      <c r="B7695" s="20" t="s">
        <v>18</v>
      </c>
      <c r="C7695" s="20" t="s">
        <v>251</v>
      </c>
      <c r="D7695" s="20" t="s">
        <v>3417</v>
      </c>
      <c r="E7695" s="21"/>
      <c r="F7695" s="22">
        <f>F7700</f>
        <v>45</v>
      </c>
      <c r="G7695" s="21"/>
    </row>
    <row r="7696" ht="48.75" customHeight="1">
      <c r="A7696" s="11"/>
      <c r="B7696" s="11"/>
      <c r="C7696" s="11"/>
      <c r="D7696" s="10" t="s">
        <v>3418</v>
      </c>
    </row>
    <row r="7697" ht="21.0" customHeight="1">
      <c r="A7697" s="10" t="s">
        <v>3419</v>
      </c>
      <c r="B7697" s="10" t="s">
        <v>18</v>
      </c>
      <c r="C7697" s="10" t="s">
        <v>251</v>
      </c>
      <c r="D7697" s="10" t="s">
        <v>3420</v>
      </c>
      <c r="E7697" s="14">
        <v>1.0</v>
      </c>
      <c r="F7697" s="15">
        <f>F7699</f>
        <v>45</v>
      </c>
      <c r="G7697" s="12">
        <f t="shared" ref="G7697:G7699" si="1163">ROUND(E7697*F7697,2)</f>
        <v>45</v>
      </c>
    </row>
    <row r="7698" ht="24.0" customHeight="1">
      <c r="A7698" s="10" t="s">
        <v>3332</v>
      </c>
      <c r="B7698" s="10" t="s">
        <v>26</v>
      </c>
      <c r="C7698" s="10" t="s">
        <v>23</v>
      </c>
      <c r="D7698" s="10" t="s">
        <v>3333</v>
      </c>
      <c r="E7698" s="14">
        <v>0.6</v>
      </c>
      <c r="F7698" s="15">
        <f>ROUND(75,3)</f>
        <v>75</v>
      </c>
      <c r="G7698" s="12">
        <f t="shared" si="1163"/>
        <v>45</v>
      </c>
    </row>
    <row r="7699" ht="15.0" customHeight="1">
      <c r="A7699" s="11"/>
      <c r="B7699" s="11"/>
      <c r="C7699" s="11"/>
      <c r="D7699" s="10" t="s">
        <v>3419</v>
      </c>
      <c r="E7699" s="14">
        <v>1.0</v>
      </c>
      <c r="F7699" s="15">
        <f>ROUND((G7698),3)</f>
        <v>45</v>
      </c>
      <c r="G7699" s="12">
        <f t="shared" si="1163"/>
        <v>45</v>
      </c>
    </row>
    <row r="7700" ht="15.0" customHeight="1">
      <c r="A7700" s="16"/>
      <c r="B7700" s="16"/>
      <c r="C7700" s="16"/>
      <c r="D7700" s="17" t="s">
        <v>3416</v>
      </c>
      <c r="E7700" s="16"/>
      <c r="F7700" s="18">
        <f>ROUND((G7697)*(1+G2/100),2)</f>
        <v>45</v>
      </c>
      <c r="G7700" s="16"/>
    </row>
    <row r="7701" ht="21.0" customHeight="1">
      <c r="A7701" s="19" t="s">
        <v>606</v>
      </c>
      <c r="B7701" s="20" t="s">
        <v>18</v>
      </c>
      <c r="C7701" s="20" t="s">
        <v>607</v>
      </c>
      <c r="D7701" s="20" t="s">
        <v>608</v>
      </c>
      <c r="E7701" s="21"/>
      <c r="F7701" s="22">
        <f>F7706</f>
        <v>450</v>
      </c>
      <c r="G7701" s="21"/>
    </row>
    <row r="7702" ht="12.0" customHeight="1">
      <c r="A7702" s="11"/>
      <c r="B7702" s="11"/>
      <c r="C7702" s="11"/>
      <c r="D7702" s="10" t="s">
        <v>609</v>
      </c>
    </row>
    <row r="7703" ht="30.0" customHeight="1">
      <c r="A7703" s="10" t="s">
        <v>610</v>
      </c>
      <c r="B7703" s="10" t="s">
        <v>112</v>
      </c>
      <c r="C7703" s="10" t="s">
        <v>23</v>
      </c>
      <c r="D7703" s="10" t="s">
        <v>611</v>
      </c>
      <c r="E7703" s="14">
        <v>1.0</v>
      </c>
      <c r="F7703" s="15">
        <f>ROUND(150,3)</f>
        <v>150</v>
      </c>
      <c r="G7703" s="12">
        <f t="shared" ref="G7703:G7705" si="1164">ROUND(E7703*F7703,2)</f>
        <v>150</v>
      </c>
    </row>
    <row r="7704" ht="15.0" customHeight="1">
      <c r="A7704" s="10" t="s">
        <v>612</v>
      </c>
      <c r="B7704" s="10" t="s">
        <v>112</v>
      </c>
      <c r="C7704" s="10" t="s">
        <v>23</v>
      </c>
      <c r="D7704" s="10" t="s">
        <v>613</v>
      </c>
      <c r="E7704" s="14">
        <v>3.0</v>
      </c>
      <c r="F7704" s="15">
        <f>ROUND(50,3)</f>
        <v>50</v>
      </c>
      <c r="G7704" s="12">
        <f t="shared" si="1164"/>
        <v>150</v>
      </c>
    </row>
    <row r="7705" ht="24.0" customHeight="1">
      <c r="A7705" s="10" t="s">
        <v>614</v>
      </c>
      <c r="B7705" s="10" t="s">
        <v>473</v>
      </c>
      <c r="C7705" s="10" t="s">
        <v>485</v>
      </c>
      <c r="D7705" s="10" t="s">
        <v>615</v>
      </c>
      <c r="E7705" s="14">
        <v>1.0</v>
      </c>
      <c r="F7705" s="15">
        <f>ROUND(150,3)</f>
        <v>150</v>
      </c>
      <c r="G7705" s="12">
        <f t="shared" si="1164"/>
        <v>150</v>
      </c>
    </row>
    <row r="7706" ht="15.0" customHeight="1">
      <c r="A7706" s="16"/>
      <c r="B7706" s="16"/>
      <c r="C7706" s="16"/>
      <c r="D7706" s="17" t="s">
        <v>606</v>
      </c>
      <c r="E7706" s="16"/>
      <c r="F7706" s="18">
        <f>ROUND((G7703+G7704+G7705)*(1+G2/100),2)</f>
        <v>450</v>
      </c>
      <c r="G7706" s="16"/>
    </row>
    <row r="7707" ht="15.0" customHeight="1">
      <c r="A7707" s="19" t="s">
        <v>3421</v>
      </c>
      <c r="B7707" s="20" t="s">
        <v>18</v>
      </c>
      <c r="C7707" s="20" t="s">
        <v>222</v>
      </c>
      <c r="D7707" s="20" t="s">
        <v>3422</v>
      </c>
      <c r="E7707" s="21"/>
      <c r="F7707" s="22">
        <f>F7710</f>
        <v>500</v>
      </c>
      <c r="G7707" s="21"/>
    </row>
    <row r="7708" ht="39.75" customHeight="1">
      <c r="A7708" s="11"/>
      <c r="B7708" s="11"/>
      <c r="C7708" s="11"/>
      <c r="D7708" s="10" t="s">
        <v>3423</v>
      </c>
    </row>
    <row r="7709" ht="24.0" customHeight="1">
      <c r="A7709" s="10" t="s">
        <v>3424</v>
      </c>
      <c r="B7709" s="10" t="s">
        <v>473</v>
      </c>
      <c r="C7709" s="10" t="s">
        <v>485</v>
      </c>
      <c r="D7709" s="10" t="s">
        <v>3425</v>
      </c>
      <c r="E7709" s="14">
        <v>1.0</v>
      </c>
      <c r="F7709" s="15">
        <f>ROUND(500,3)</f>
        <v>500</v>
      </c>
      <c r="G7709" s="12">
        <f>ROUND(E7709*F7709,2)</f>
        <v>500</v>
      </c>
    </row>
    <row r="7710" ht="15.0" customHeight="1">
      <c r="A7710" s="16"/>
      <c r="B7710" s="16"/>
      <c r="C7710" s="16"/>
      <c r="D7710" s="17" t="s">
        <v>3421</v>
      </c>
      <c r="E7710" s="16"/>
      <c r="F7710" s="18">
        <f>ROUND((G7709)*(1+G2/100),2)</f>
        <v>500</v>
      </c>
      <c r="G7710" s="16"/>
    </row>
    <row r="7711" ht="15.0" customHeight="1">
      <c r="A7711" s="23"/>
      <c r="B7711" s="23"/>
      <c r="C7711" s="23"/>
      <c r="D7711" s="32" t="s">
        <v>3314</v>
      </c>
      <c r="E7711" s="33"/>
      <c r="F7711" s="33"/>
      <c r="G7711" s="33"/>
    </row>
    <row r="7712" ht="15.0" customHeight="1">
      <c r="A7712" s="34" t="s">
        <v>3426</v>
      </c>
      <c r="B7712" s="34" t="s">
        <v>10</v>
      </c>
      <c r="C7712" s="35"/>
      <c r="D7712" s="34" t="s">
        <v>3427</v>
      </c>
      <c r="E7712" s="35"/>
      <c r="F7712" s="35"/>
      <c r="G7712" s="35"/>
    </row>
    <row r="7713" ht="21.0" customHeight="1">
      <c r="A7713" s="13" t="s">
        <v>3428</v>
      </c>
      <c r="B7713" s="10" t="s">
        <v>18</v>
      </c>
      <c r="C7713" s="10" t="s">
        <v>321</v>
      </c>
      <c r="D7713" s="10" t="s">
        <v>3429</v>
      </c>
      <c r="E7713" s="11"/>
      <c r="F7713" s="12">
        <f>F7721</f>
        <v>25.27</v>
      </c>
      <c r="G7713" s="11"/>
    </row>
    <row r="7714" ht="21.0" customHeight="1">
      <c r="A7714" s="11"/>
      <c r="B7714" s="11"/>
      <c r="C7714" s="11"/>
      <c r="D7714" s="10" t="s">
        <v>3430</v>
      </c>
    </row>
    <row r="7715" ht="21.0" customHeight="1">
      <c r="A7715" s="10" t="s">
        <v>22</v>
      </c>
      <c r="B7715" s="10" t="s">
        <v>18</v>
      </c>
      <c r="C7715" s="10" t="s">
        <v>23</v>
      </c>
      <c r="D7715" s="10" t="s">
        <v>24</v>
      </c>
      <c r="E7715" s="14">
        <v>0.56</v>
      </c>
      <c r="F7715" s="15">
        <f>F7719</f>
        <v>43.8</v>
      </c>
      <c r="G7715" s="12">
        <f t="shared" ref="G7715:G7719" si="1165">ROUND(E7715*F7715,2)</f>
        <v>24.53</v>
      </c>
    </row>
    <row r="7716" ht="24.0" customHeight="1">
      <c r="A7716" s="10" t="s">
        <v>25</v>
      </c>
      <c r="B7716" s="10" t="s">
        <v>26</v>
      </c>
      <c r="C7716" s="10" t="s">
        <v>23</v>
      </c>
      <c r="D7716" s="10" t="s">
        <v>27</v>
      </c>
      <c r="E7716" s="14">
        <v>1.0</v>
      </c>
      <c r="F7716" s="15">
        <f>ROUND(21,3)</f>
        <v>21</v>
      </c>
      <c r="G7716" s="12">
        <f t="shared" si="1165"/>
        <v>21</v>
      </c>
    </row>
    <row r="7717" ht="24.0" customHeight="1">
      <c r="A7717" s="10" t="s">
        <v>28</v>
      </c>
      <c r="B7717" s="10" t="s">
        <v>26</v>
      </c>
      <c r="C7717" s="10" t="s">
        <v>23</v>
      </c>
      <c r="D7717" s="10" t="s">
        <v>29</v>
      </c>
      <c r="E7717" s="14">
        <v>1.0</v>
      </c>
      <c r="F7717" s="15">
        <f t="shared" ref="F7717:F7718" si="1166">ROUND(19,3)</f>
        <v>19</v>
      </c>
      <c r="G7717" s="12">
        <f t="shared" si="1165"/>
        <v>19</v>
      </c>
    </row>
    <row r="7718" ht="24.0" customHeight="1">
      <c r="A7718" s="10" t="s">
        <v>30</v>
      </c>
      <c r="B7718" s="10" t="s">
        <v>26</v>
      </c>
      <c r="C7718" s="10" t="s">
        <v>23</v>
      </c>
      <c r="D7718" s="10" t="s">
        <v>31</v>
      </c>
      <c r="E7718" s="14">
        <v>0.2</v>
      </c>
      <c r="F7718" s="15">
        <f t="shared" si="1166"/>
        <v>19</v>
      </c>
      <c r="G7718" s="12">
        <f t="shared" si="1165"/>
        <v>3.8</v>
      </c>
    </row>
    <row r="7719" ht="15.0" customHeight="1">
      <c r="A7719" s="11"/>
      <c r="B7719" s="11"/>
      <c r="C7719" s="11"/>
      <c r="D7719" s="10" t="s">
        <v>22</v>
      </c>
      <c r="E7719" s="14">
        <v>0.56</v>
      </c>
      <c r="F7719" s="15">
        <f>ROUND((G7716+G7717+G7718),3)</f>
        <v>43.8</v>
      </c>
      <c r="G7719" s="12">
        <f t="shared" si="1165"/>
        <v>24.53</v>
      </c>
    </row>
    <row r="7720" ht="15.0" customHeight="1">
      <c r="A7720" s="10" t="s">
        <v>32</v>
      </c>
      <c r="B7720" s="10"/>
      <c r="C7720" s="10" t="s">
        <v>33</v>
      </c>
      <c r="D7720" s="10" t="s">
        <v>34</v>
      </c>
      <c r="E7720" s="14">
        <v>3.0</v>
      </c>
      <c r="F7720" s="15">
        <f>ROUND(24.53,3)</f>
        <v>24.53</v>
      </c>
      <c r="G7720" s="12">
        <f>ROUND((E7720*F7720)/100,2)</f>
        <v>0.74</v>
      </c>
    </row>
    <row r="7721" ht="15.0" customHeight="1">
      <c r="A7721" s="16"/>
      <c r="B7721" s="16"/>
      <c r="C7721" s="16"/>
      <c r="D7721" s="17" t="s">
        <v>3428</v>
      </c>
      <c r="E7721" s="16"/>
      <c r="F7721" s="18">
        <f>ROUND((G7715+G7720)*(1+G2/100),2)</f>
        <v>25.27</v>
      </c>
      <c r="G7721" s="16"/>
    </row>
    <row r="7722" ht="21.0" customHeight="1">
      <c r="A7722" s="19" t="s">
        <v>936</v>
      </c>
      <c r="B7722" s="20" t="s">
        <v>18</v>
      </c>
      <c r="C7722" s="20" t="s">
        <v>321</v>
      </c>
      <c r="D7722" s="20" t="s">
        <v>937</v>
      </c>
      <c r="E7722" s="21"/>
      <c r="F7722" s="22">
        <f>F7730</f>
        <v>18.05</v>
      </c>
      <c r="G7722" s="21"/>
    </row>
    <row r="7723" ht="30.0" customHeight="1">
      <c r="A7723" s="11"/>
      <c r="B7723" s="11"/>
      <c r="C7723" s="11"/>
      <c r="D7723" s="10" t="s">
        <v>938</v>
      </c>
    </row>
    <row r="7724" ht="21.0" customHeight="1">
      <c r="A7724" s="10" t="s">
        <v>22</v>
      </c>
      <c r="B7724" s="10" t="s">
        <v>18</v>
      </c>
      <c r="C7724" s="10" t="s">
        <v>23</v>
      </c>
      <c r="D7724" s="10" t="s">
        <v>24</v>
      </c>
      <c r="E7724" s="14">
        <v>0.4</v>
      </c>
      <c r="F7724" s="15">
        <f>F7728</f>
        <v>43.8</v>
      </c>
      <c r="G7724" s="12">
        <f t="shared" ref="G7724:G7728" si="1167">ROUND(E7724*F7724,2)</f>
        <v>17.52</v>
      </c>
    </row>
    <row r="7725" ht="24.0" customHeight="1">
      <c r="A7725" s="10" t="s">
        <v>25</v>
      </c>
      <c r="B7725" s="10" t="s">
        <v>26</v>
      </c>
      <c r="C7725" s="10" t="s">
        <v>23</v>
      </c>
      <c r="D7725" s="10" t="s">
        <v>27</v>
      </c>
      <c r="E7725" s="14">
        <v>1.0</v>
      </c>
      <c r="F7725" s="15">
        <f>ROUND(21,3)</f>
        <v>21</v>
      </c>
      <c r="G7725" s="12">
        <f t="shared" si="1167"/>
        <v>21</v>
      </c>
    </row>
    <row r="7726" ht="24.0" customHeight="1">
      <c r="A7726" s="10" t="s">
        <v>28</v>
      </c>
      <c r="B7726" s="10" t="s">
        <v>26</v>
      </c>
      <c r="C7726" s="10" t="s">
        <v>23</v>
      </c>
      <c r="D7726" s="10" t="s">
        <v>29</v>
      </c>
      <c r="E7726" s="14">
        <v>1.0</v>
      </c>
      <c r="F7726" s="15">
        <f t="shared" ref="F7726:F7727" si="1168">ROUND(19,3)</f>
        <v>19</v>
      </c>
      <c r="G7726" s="12">
        <f t="shared" si="1167"/>
        <v>19</v>
      </c>
    </row>
    <row r="7727" ht="24.0" customHeight="1">
      <c r="A7727" s="10" t="s">
        <v>30</v>
      </c>
      <c r="B7727" s="10" t="s">
        <v>26</v>
      </c>
      <c r="C7727" s="10" t="s">
        <v>23</v>
      </c>
      <c r="D7727" s="10" t="s">
        <v>31</v>
      </c>
      <c r="E7727" s="14">
        <v>0.2</v>
      </c>
      <c r="F7727" s="15">
        <f t="shared" si="1168"/>
        <v>19</v>
      </c>
      <c r="G7727" s="12">
        <f t="shared" si="1167"/>
        <v>3.8</v>
      </c>
    </row>
    <row r="7728" ht="15.0" customHeight="1">
      <c r="A7728" s="11"/>
      <c r="B7728" s="11"/>
      <c r="C7728" s="11"/>
      <c r="D7728" s="10" t="s">
        <v>22</v>
      </c>
      <c r="E7728" s="14">
        <v>0.4</v>
      </c>
      <c r="F7728" s="15">
        <f>ROUND((G7725+G7726+G7727),3)</f>
        <v>43.8</v>
      </c>
      <c r="G7728" s="12">
        <f t="shared" si="1167"/>
        <v>17.52</v>
      </c>
    </row>
    <row r="7729" ht="15.0" customHeight="1">
      <c r="A7729" s="10" t="s">
        <v>32</v>
      </c>
      <c r="B7729" s="10"/>
      <c r="C7729" s="10" t="s">
        <v>33</v>
      </c>
      <c r="D7729" s="10" t="s">
        <v>34</v>
      </c>
      <c r="E7729" s="14">
        <v>3.0</v>
      </c>
      <c r="F7729" s="15">
        <f>ROUND(17.52,3)</f>
        <v>17.52</v>
      </c>
      <c r="G7729" s="12">
        <f>ROUND((E7729*F7729)/100,2)</f>
        <v>0.53</v>
      </c>
    </row>
    <row r="7730" ht="15.0" customHeight="1">
      <c r="A7730" s="16"/>
      <c r="B7730" s="16"/>
      <c r="C7730" s="16"/>
      <c r="D7730" s="17" t="s">
        <v>936</v>
      </c>
      <c r="E7730" s="16"/>
      <c r="F7730" s="18">
        <f>ROUND((G7724+G7729)*(1+G2/100),2)</f>
        <v>18.05</v>
      </c>
      <c r="G7730" s="16"/>
    </row>
    <row r="7731" ht="21.0" customHeight="1">
      <c r="A7731" s="19" t="s">
        <v>939</v>
      </c>
      <c r="B7731" s="20" t="s">
        <v>18</v>
      </c>
      <c r="C7731" s="20" t="s">
        <v>321</v>
      </c>
      <c r="D7731" s="20" t="s">
        <v>940</v>
      </c>
      <c r="E7731" s="21"/>
      <c r="F7731" s="22">
        <f>F7739</f>
        <v>30.59</v>
      </c>
      <c r="G7731" s="21"/>
    </row>
    <row r="7732" ht="39.75" customHeight="1">
      <c r="A7732" s="11"/>
      <c r="B7732" s="11"/>
      <c r="C7732" s="11"/>
      <c r="D7732" s="10" t="s">
        <v>941</v>
      </c>
    </row>
    <row r="7733" ht="24.0" customHeight="1">
      <c r="A7733" s="10" t="s">
        <v>286</v>
      </c>
      <c r="B7733" s="10" t="s">
        <v>18</v>
      </c>
      <c r="C7733" s="10" t="s">
        <v>23</v>
      </c>
      <c r="D7733" s="10" t="s">
        <v>287</v>
      </c>
      <c r="E7733" s="14">
        <v>0.6</v>
      </c>
      <c r="F7733" s="15">
        <f>F7737</f>
        <v>49.5</v>
      </c>
      <c r="G7733" s="12">
        <f t="shared" ref="G7733:G7737" si="1169">ROUND(E7733*F7733,2)</f>
        <v>29.7</v>
      </c>
    </row>
    <row r="7734" ht="24.0" customHeight="1">
      <c r="A7734" s="10" t="s">
        <v>288</v>
      </c>
      <c r="B7734" s="10" t="s">
        <v>26</v>
      </c>
      <c r="C7734" s="10" t="s">
        <v>23</v>
      </c>
      <c r="D7734" s="10" t="s">
        <v>289</v>
      </c>
      <c r="E7734" s="14">
        <v>1.0</v>
      </c>
      <c r="F7734" s="15">
        <f>ROUND(21,3)</f>
        <v>21</v>
      </c>
      <c r="G7734" s="12">
        <f t="shared" si="1169"/>
        <v>21</v>
      </c>
    </row>
    <row r="7735" ht="24.0" customHeight="1">
      <c r="A7735" s="10" t="s">
        <v>290</v>
      </c>
      <c r="B7735" s="10" t="s">
        <v>26</v>
      </c>
      <c r="C7735" s="10" t="s">
        <v>23</v>
      </c>
      <c r="D7735" s="10" t="s">
        <v>291</v>
      </c>
      <c r="E7735" s="14">
        <v>1.0</v>
      </c>
      <c r="F7735" s="15">
        <f t="shared" ref="F7735:F7736" si="1170">ROUND(19,3)</f>
        <v>19</v>
      </c>
      <c r="G7735" s="12">
        <f t="shared" si="1169"/>
        <v>19</v>
      </c>
    </row>
    <row r="7736" ht="24.0" customHeight="1">
      <c r="A7736" s="10" t="s">
        <v>292</v>
      </c>
      <c r="B7736" s="10" t="s">
        <v>26</v>
      </c>
      <c r="C7736" s="10" t="s">
        <v>23</v>
      </c>
      <c r="D7736" s="10" t="s">
        <v>293</v>
      </c>
      <c r="E7736" s="14">
        <v>0.5</v>
      </c>
      <c r="F7736" s="15">
        <f t="shared" si="1170"/>
        <v>19</v>
      </c>
      <c r="G7736" s="12">
        <f t="shared" si="1169"/>
        <v>9.5</v>
      </c>
    </row>
    <row r="7737" ht="15.0" customHeight="1">
      <c r="A7737" s="11"/>
      <c r="B7737" s="11"/>
      <c r="C7737" s="11"/>
      <c r="D7737" s="10" t="s">
        <v>286</v>
      </c>
      <c r="E7737" s="14">
        <v>0.6</v>
      </c>
      <c r="F7737" s="15">
        <f>ROUND((G7734+G7735+G7736),3)</f>
        <v>49.5</v>
      </c>
      <c r="G7737" s="12">
        <f t="shared" si="1169"/>
        <v>29.7</v>
      </c>
    </row>
    <row r="7738" ht="15.0" customHeight="1">
      <c r="A7738" s="10" t="s">
        <v>32</v>
      </c>
      <c r="B7738" s="10"/>
      <c r="C7738" s="10" t="s">
        <v>33</v>
      </c>
      <c r="D7738" s="10" t="s">
        <v>34</v>
      </c>
      <c r="E7738" s="14">
        <v>3.0</v>
      </c>
      <c r="F7738" s="15">
        <f>ROUND(29.7,3)</f>
        <v>29.7</v>
      </c>
      <c r="G7738" s="12">
        <f>ROUND((E7738*F7738)/100,2)</f>
        <v>0.89</v>
      </c>
    </row>
    <row r="7739" ht="15.0" customHeight="1">
      <c r="A7739" s="16"/>
      <c r="B7739" s="16"/>
      <c r="C7739" s="16"/>
      <c r="D7739" s="17" t="s">
        <v>939</v>
      </c>
      <c r="E7739" s="16"/>
      <c r="F7739" s="18">
        <f>ROUND((G7733+G7738)*(1+G2/100),2)</f>
        <v>30.59</v>
      </c>
      <c r="G7739" s="16"/>
    </row>
    <row r="7740" ht="30.0" customHeight="1">
      <c r="A7740" s="19" t="s">
        <v>3431</v>
      </c>
      <c r="B7740" s="20" t="s">
        <v>18</v>
      </c>
      <c r="C7740" s="20" t="s">
        <v>321</v>
      </c>
      <c r="D7740" s="20" t="s">
        <v>3432</v>
      </c>
      <c r="E7740" s="21"/>
      <c r="F7740" s="22">
        <f>F7759</f>
        <v>37.32</v>
      </c>
      <c r="G7740" s="21"/>
    </row>
    <row r="7741" ht="39.75" customHeight="1">
      <c r="A7741" s="11"/>
      <c r="B7741" s="11"/>
      <c r="C7741" s="11"/>
      <c r="D7741" s="10" t="s">
        <v>3433</v>
      </c>
    </row>
    <row r="7742" ht="30.0" customHeight="1">
      <c r="A7742" s="10" t="s">
        <v>3434</v>
      </c>
      <c r="B7742" s="10" t="s">
        <v>42</v>
      </c>
      <c r="C7742" s="10" t="s">
        <v>344</v>
      </c>
      <c r="D7742" s="10" t="s">
        <v>3435</v>
      </c>
      <c r="E7742" s="14">
        <v>0.36667</v>
      </c>
      <c r="F7742" s="15">
        <f>ROUND(10.74,3)</f>
        <v>10.74</v>
      </c>
      <c r="G7742" s="12">
        <f t="shared" ref="G7742:G7757" si="1171">ROUND(E7742*F7742,2)</f>
        <v>3.94</v>
      </c>
    </row>
    <row r="7743" ht="30.0" customHeight="1">
      <c r="A7743" s="10" t="s">
        <v>3436</v>
      </c>
      <c r="B7743" s="10" t="s">
        <v>42</v>
      </c>
      <c r="C7743" s="10" t="s">
        <v>344</v>
      </c>
      <c r="D7743" s="10" t="s">
        <v>3437</v>
      </c>
      <c r="E7743" s="14">
        <v>0.33333</v>
      </c>
      <c r="F7743" s="15">
        <f>ROUND(11.05,3)</f>
        <v>11.05</v>
      </c>
      <c r="G7743" s="12">
        <f t="shared" si="1171"/>
        <v>3.68</v>
      </c>
    </row>
    <row r="7744" ht="21.0" customHeight="1">
      <c r="A7744" s="10" t="s">
        <v>3438</v>
      </c>
      <c r="B7744" s="10" t="s">
        <v>42</v>
      </c>
      <c r="C7744" s="10" t="s">
        <v>344</v>
      </c>
      <c r="D7744" s="10" t="s">
        <v>3439</v>
      </c>
      <c r="E7744" s="14">
        <v>0.33333</v>
      </c>
      <c r="F7744" s="15">
        <f>ROUND(1.29,3)</f>
        <v>1.29</v>
      </c>
      <c r="G7744" s="12">
        <f t="shared" si="1171"/>
        <v>0.43</v>
      </c>
    </row>
    <row r="7745" ht="30.0" customHeight="1">
      <c r="A7745" s="10" t="s">
        <v>465</v>
      </c>
      <c r="B7745" s="10" t="s">
        <v>42</v>
      </c>
      <c r="C7745" s="10" t="s">
        <v>43</v>
      </c>
      <c r="D7745" s="10" t="s">
        <v>466</v>
      </c>
      <c r="E7745" s="14">
        <v>0.21</v>
      </c>
      <c r="F7745" s="15">
        <f>ROUND(4.58,3)</f>
        <v>4.58</v>
      </c>
      <c r="G7745" s="12">
        <f t="shared" si="1171"/>
        <v>0.96</v>
      </c>
    </row>
    <row r="7746" ht="30.0" customHeight="1">
      <c r="A7746" s="10" t="s">
        <v>467</v>
      </c>
      <c r="B7746" s="10" t="s">
        <v>42</v>
      </c>
      <c r="C7746" s="10" t="s">
        <v>43</v>
      </c>
      <c r="D7746" s="10" t="s">
        <v>468</v>
      </c>
      <c r="E7746" s="14">
        <v>0.053</v>
      </c>
      <c r="F7746" s="15">
        <f>ROUND(6.09,3)</f>
        <v>6.09</v>
      </c>
      <c r="G7746" s="12">
        <f t="shared" si="1171"/>
        <v>0.32</v>
      </c>
    </row>
    <row r="7747" ht="30.0" customHeight="1">
      <c r="A7747" s="10" t="s">
        <v>3440</v>
      </c>
      <c r="B7747" s="10" t="s">
        <v>42</v>
      </c>
      <c r="C7747" s="10" t="s">
        <v>344</v>
      </c>
      <c r="D7747" s="10" t="s">
        <v>3441</v>
      </c>
      <c r="E7747" s="14">
        <v>0.66667</v>
      </c>
      <c r="F7747" s="15">
        <f>ROUND(1.63,3)</f>
        <v>1.63</v>
      </c>
      <c r="G7747" s="12">
        <f t="shared" si="1171"/>
        <v>1.09</v>
      </c>
    </row>
    <row r="7748" ht="39.75" customHeight="1">
      <c r="A7748" s="10" t="s">
        <v>1340</v>
      </c>
      <c r="B7748" s="10" t="s">
        <v>42</v>
      </c>
      <c r="C7748" s="10" t="s">
        <v>1245</v>
      </c>
      <c r="D7748" s="10" t="s">
        <v>1341</v>
      </c>
      <c r="E7748" s="14">
        <v>0.05632</v>
      </c>
      <c r="F7748" s="15">
        <f>ROUND(7.37,3)</f>
        <v>7.37</v>
      </c>
      <c r="G7748" s="12">
        <f t="shared" si="1171"/>
        <v>0.42</v>
      </c>
    </row>
    <row r="7749" ht="30.0" customHeight="1">
      <c r="A7749" s="10" t="s">
        <v>1378</v>
      </c>
      <c r="B7749" s="10" t="s">
        <v>42</v>
      </c>
      <c r="C7749" s="10" t="s">
        <v>330</v>
      </c>
      <c r="D7749" s="10" t="s">
        <v>1379</v>
      </c>
      <c r="E7749" s="14">
        <v>0.03333</v>
      </c>
      <c r="F7749" s="15">
        <f>ROUND(6.14,3)</f>
        <v>6.14</v>
      </c>
      <c r="G7749" s="12">
        <f t="shared" si="1171"/>
        <v>0.2</v>
      </c>
    </row>
    <row r="7750" ht="30.0" customHeight="1">
      <c r="A7750" s="10" t="s">
        <v>1745</v>
      </c>
      <c r="B7750" s="10" t="s">
        <v>42</v>
      </c>
      <c r="C7750" s="10" t="s">
        <v>330</v>
      </c>
      <c r="D7750" s="10" t="s">
        <v>1746</v>
      </c>
      <c r="E7750" s="14">
        <v>0.08333</v>
      </c>
      <c r="F7750" s="15">
        <f>ROUND(7.93,3)</f>
        <v>7.93</v>
      </c>
      <c r="G7750" s="12">
        <f t="shared" si="1171"/>
        <v>0.66</v>
      </c>
    </row>
    <row r="7751" ht="21.0" customHeight="1">
      <c r="A7751" s="10" t="s">
        <v>969</v>
      </c>
      <c r="B7751" s="10" t="s">
        <v>112</v>
      </c>
      <c r="C7751" s="10" t="s">
        <v>23</v>
      </c>
      <c r="D7751" s="10" t="s">
        <v>970</v>
      </c>
      <c r="E7751" s="14">
        <v>0.3</v>
      </c>
      <c r="F7751" s="15">
        <f>ROUND(2,3)</f>
        <v>2</v>
      </c>
      <c r="G7751" s="12">
        <f t="shared" si="1171"/>
        <v>0.6</v>
      </c>
    </row>
    <row r="7752" ht="30.0" customHeight="1">
      <c r="A7752" s="10" t="s">
        <v>971</v>
      </c>
      <c r="B7752" s="10" t="s">
        <v>42</v>
      </c>
      <c r="C7752" s="10" t="s">
        <v>231</v>
      </c>
      <c r="D7752" s="10" t="s">
        <v>972</v>
      </c>
      <c r="E7752" s="14">
        <v>0.1</v>
      </c>
      <c r="F7752" s="15">
        <f>ROUND(4.92,3)</f>
        <v>4.92</v>
      </c>
      <c r="G7752" s="12">
        <f t="shared" si="1171"/>
        <v>0.49</v>
      </c>
    </row>
    <row r="7753" ht="21.0" customHeight="1">
      <c r="A7753" s="10" t="s">
        <v>22</v>
      </c>
      <c r="B7753" s="10" t="s">
        <v>18</v>
      </c>
      <c r="C7753" s="10" t="s">
        <v>23</v>
      </c>
      <c r="D7753" s="10" t="s">
        <v>24</v>
      </c>
      <c r="E7753" s="14">
        <v>0.53333</v>
      </c>
      <c r="F7753" s="15">
        <f>F7757</f>
        <v>43.8</v>
      </c>
      <c r="G7753" s="12">
        <f t="shared" si="1171"/>
        <v>23.36</v>
      </c>
    </row>
    <row r="7754" ht="24.0" customHeight="1">
      <c r="A7754" s="10" t="s">
        <v>25</v>
      </c>
      <c r="B7754" s="10" t="s">
        <v>26</v>
      </c>
      <c r="C7754" s="10" t="s">
        <v>23</v>
      </c>
      <c r="D7754" s="10" t="s">
        <v>27</v>
      </c>
      <c r="E7754" s="14">
        <v>1.0</v>
      </c>
      <c r="F7754" s="15">
        <f>ROUND(21,3)</f>
        <v>21</v>
      </c>
      <c r="G7754" s="12">
        <f t="shared" si="1171"/>
        <v>21</v>
      </c>
    </row>
    <row r="7755" ht="24.0" customHeight="1">
      <c r="A7755" s="10" t="s">
        <v>28</v>
      </c>
      <c r="B7755" s="10" t="s">
        <v>26</v>
      </c>
      <c r="C7755" s="10" t="s">
        <v>23</v>
      </c>
      <c r="D7755" s="10" t="s">
        <v>29</v>
      </c>
      <c r="E7755" s="14">
        <v>1.0</v>
      </c>
      <c r="F7755" s="15">
        <f t="shared" ref="F7755:F7756" si="1172">ROUND(19,3)</f>
        <v>19</v>
      </c>
      <c r="G7755" s="12">
        <f t="shared" si="1171"/>
        <v>19</v>
      </c>
    </row>
    <row r="7756" ht="24.0" customHeight="1">
      <c r="A7756" s="10" t="s">
        <v>30</v>
      </c>
      <c r="B7756" s="10" t="s">
        <v>26</v>
      </c>
      <c r="C7756" s="10" t="s">
        <v>23</v>
      </c>
      <c r="D7756" s="10" t="s">
        <v>31</v>
      </c>
      <c r="E7756" s="14">
        <v>0.2</v>
      </c>
      <c r="F7756" s="15">
        <f t="shared" si="1172"/>
        <v>19</v>
      </c>
      <c r="G7756" s="12">
        <f t="shared" si="1171"/>
        <v>3.8</v>
      </c>
    </row>
    <row r="7757" ht="15.0" customHeight="1">
      <c r="A7757" s="11"/>
      <c r="B7757" s="11"/>
      <c r="C7757" s="11"/>
      <c r="D7757" s="10" t="s">
        <v>22</v>
      </c>
      <c r="E7757" s="14">
        <v>0.53333</v>
      </c>
      <c r="F7757" s="15">
        <f>ROUND((G7754+G7755+G7756),3)</f>
        <v>43.8</v>
      </c>
      <c r="G7757" s="12">
        <f t="shared" si="1171"/>
        <v>23.36</v>
      </c>
    </row>
    <row r="7758" ht="15.0" customHeight="1">
      <c r="A7758" s="10" t="s">
        <v>32</v>
      </c>
      <c r="B7758" s="10"/>
      <c r="C7758" s="10" t="s">
        <v>33</v>
      </c>
      <c r="D7758" s="10" t="s">
        <v>34</v>
      </c>
      <c r="E7758" s="14">
        <v>5.0</v>
      </c>
      <c r="F7758" s="15">
        <f>ROUND(23.36,3)</f>
        <v>23.36</v>
      </c>
      <c r="G7758" s="12">
        <f>ROUND((E7758*F7758)/100,2)</f>
        <v>1.17</v>
      </c>
    </row>
    <row r="7759" ht="15.0" customHeight="1">
      <c r="A7759" s="16"/>
      <c r="B7759" s="16"/>
      <c r="C7759" s="16"/>
      <c r="D7759" s="17" t="s">
        <v>3431</v>
      </c>
      <c r="E7759" s="16"/>
      <c r="F7759" s="18">
        <f>ROUND((G7742+G7743+G7744+G7745+G7746+G7747+G7748+G7749+G7750+G7751+G7752+G7753+G7758)*(1+G2/100),2)</f>
        <v>37.32</v>
      </c>
      <c r="G7759" s="16"/>
    </row>
    <row r="7760" ht="39.75" customHeight="1">
      <c r="A7760" s="19" t="s">
        <v>3442</v>
      </c>
      <c r="B7760" s="20" t="s">
        <v>18</v>
      </c>
      <c r="C7760" s="20" t="s">
        <v>321</v>
      </c>
      <c r="D7760" s="20" t="s">
        <v>3443</v>
      </c>
      <c r="E7760" s="21"/>
      <c r="F7760" s="22">
        <f>F7779</f>
        <v>58.28</v>
      </c>
      <c r="G7760" s="21"/>
    </row>
    <row r="7761" ht="39.75" customHeight="1">
      <c r="A7761" s="11"/>
      <c r="B7761" s="11"/>
      <c r="C7761" s="11"/>
      <c r="D7761" s="10" t="s">
        <v>3444</v>
      </c>
    </row>
    <row r="7762" ht="30.0" customHeight="1">
      <c r="A7762" s="10" t="s">
        <v>3434</v>
      </c>
      <c r="B7762" s="10" t="s">
        <v>42</v>
      </c>
      <c r="C7762" s="10" t="s">
        <v>344</v>
      </c>
      <c r="D7762" s="10" t="s">
        <v>3435</v>
      </c>
      <c r="E7762" s="14">
        <v>0.36667</v>
      </c>
      <c r="F7762" s="15">
        <f>ROUND(10.74,3)</f>
        <v>10.74</v>
      </c>
      <c r="G7762" s="12">
        <f t="shared" ref="G7762:G7777" si="1173">ROUND(E7762*F7762,2)</f>
        <v>3.94</v>
      </c>
    </row>
    <row r="7763" ht="30.0" customHeight="1">
      <c r="A7763" s="10" t="s">
        <v>3436</v>
      </c>
      <c r="B7763" s="10" t="s">
        <v>42</v>
      </c>
      <c r="C7763" s="10" t="s">
        <v>344</v>
      </c>
      <c r="D7763" s="10" t="s">
        <v>3437</v>
      </c>
      <c r="E7763" s="14">
        <v>0.3</v>
      </c>
      <c r="F7763" s="15">
        <f>ROUND(11.05,3)</f>
        <v>11.05</v>
      </c>
      <c r="G7763" s="12">
        <f t="shared" si="1173"/>
        <v>3.32</v>
      </c>
    </row>
    <row r="7764" ht="21.0" customHeight="1">
      <c r="A7764" s="10" t="s">
        <v>3438</v>
      </c>
      <c r="B7764" s="10" t="s">
        <v>42</v>
      </c>
      <c r="C7764" s="10" t="s">
        <v>344</v>
      </c>
      <c r="D7764" s="10" t="s">
        <v>3439</v>
      </c>
      <c r="E7764" s="14">
        <v>0.3</v>
      </c>
      <c r="F7764" s="15">
        <f>ROUND(1.29,3)</f>
        <v>1.29</v>
      </c>
      <c r="G7764" s="12">
        <f t="shared" si="1173"/>
        <v>0.39</v>
      </c>
    </row>
    <row r="7765" ht="30.0" customHeight="1">
      <c r="A7765" s="10" t="s">
        <v>465</v>
      </c>
      <c r="B7765" s="10" t="s">
        <v>42</v>
      </c>
      <c r="C7765" s="10" t="s">
        <v>43</v>
      </c>
      <c r="D7765" s="10" t="s">
        <v>466</v>
      </c>
      <c r="E7765" s="14">
        <v>0.21</v>
      </c>
      <c r="F7765" s="15">
        <f>ROUND(4.58,3)</f>
        <v>4.58</v>
      </c>
      <c r="G7765" s="12">
        <f t="shared" si="1173"/>
        <v>0.96</v>
      </c>
    </row>
    <row r="7766" ht="30.0" customHeight="1">
      <c r="A7766" s="10" t="s">
        <v>467</v>
      </c>
      <c r="B7766" s="10" t="s">
        <v>42</v>
      </c>
      <c r="C7766" s="10" t="s">
        <v>43</v>
      </c>
      <c r="D7766" s="10" t="s">
        <v>468</v>
      </c>
      <c r="E7766" s="14">
        <v>0.053</v>
      </c>
      <c r="F7766" s="15">
        <f>ROUND(6.09,3)</f>
        <v>6.09</v>
      </c>
      <c r="G7766" s="12">
        <f t="shared" si="1173"/>
        <v>0.32</v>
      </c>
    </row>
    <row r="7767" ht="30.0" customHeight="1">
      <c r="A7767" s="10" t="s">
        <v>3440</v>
      </c>
      <c r="B7767" s="10" t="s">
        <v>42</v>
      </c>
      <c r="C7767" s="10" t="s">
        <v>344</v>
      </c>
      <c r="D7767" s="10" t="s">
        <v>3441</v>
      </c>
      <c r="E7767" s="14">
        <v>0.66667</v>
      </c>
      <c r="F7767" s="15">
        <f>ROUND(1.63,3)</f>
        <v>1.63</v>
      </c>
      <c r="G7767" s="12">
        <f t="shared" si="1173"/>
        <v>1.09</v>
      </c>
    </row>
    <row r="7768" ht="39.75" customHeight="1">
      <c r="A7768" s="10" t="s">
        <v>1340</v>
      </c>
      <c r="B7768" s="10" t="s">
        <v>42</v>
      </c>
      <c r="C7768" s="10" t="s">
        <v>1245</v>
      </c>
      <c r="D7768" s="10" t="s">
        <v>1341</v>
      </c>
      <c r="E7768" s="14">
        <v>0.05632</v>
      </c>
      <c r="F7768" s="15">
        <f>ROUND(7.37,3)</f>
        <v>7.37</v>
      </c>
      <c r="G7768" s="12">
        <f t="shared" si="1173"/>
        <v>0.42</v>
      </c>
    </row>
    <row r="7769" ht="30.0" customHeight="1">
      <c r="A7769" s="10" t="s">
        <v>1378</v>
      </c>
      <c r="B7769" s="10" t="s">
        <v>42</v>
      </c>
      <c r="C7769" s="10" t="s">
        <v>330</v>
      </c>
      <c r="D7769" s="10" t="s">
        <v>1379</v>
      </c>
      <c r="E7769" s="14">
        <v>0.03333</v>
      </c>
      <c r="F7769" s="15">
        <f>ROUND(6.14,3)</f>
        <v>6.14</v>
      </c>
      <c r="G7769" s="12">
        <f t="shared" si="1173"/>
        <v>0.2</v>
      </c>
    </row>
    <row r="7770" ht="30.0" customHeight="1">
      <c r="A7770" s="10" t="s">
        <v>1745</v>
      </c>
      <c r="B7770" s="10" t="s">
        <v>42</v>
      </c>
      <c r="C7770" s="10" t="s">
        <v>330</v>
      </c>
      <c r="D7770" s="10" t="s">
        <v>1746</v>
      </c>
      <c r="E7770" s="14">
        <v>0.08333</v>
      </c>
      <c r="F7770" s="15">
        <f>ROUND(7.93,3)</f>
        <v>7.93</v>
      </c>
      <c r="G7770" s="12">
        <f t="shared" si="1173"/>
        <v>0.66</v>
      </c>
    </row>
    <row r="7771" ht="21.0" customHeight="1">
      <c r="A7771" s="10" t="s">
        <v>969</v>
      </c>
      <c r="B7771" s="10" t="s">
        <v>112</v>
      </c>
      <c r="C7771" s="10" t="s">
        <v>23</v>
      </c>
      <c r="D7771" s="10" t="s">
        <v>970</v>
      </c>
      <c r="E7771" s="14">
        <v>0.3</v>
      </c>
      <c r="F7771" s="15">
        <f>ROUND(2,3)</f>
        <v>2</v>
      </c>
      <c r="G7771" s="12">
        <f t="shared" si="1173"/>
        <v>0.6</v>
      </c>
    </row>
    <row r="7772" ht="30.0" customHeight="1">
      <c r="A7772" s="10" t="s">
        <v>971</v>
      </c>
      <c r="B7772" s="10" t="s">
        <v>42</v>
      </c>
      <c r="C7772" s="10" t="s">
        <v>231</v>
      </c>
      <c r="D7772" s="10" t="s">
        <v>972</v>
      </c>
      <c r="E7772" s="14">
        <v>0.1</v>
      </c>
      <c r="F7772" s="15">
        <f>ROUND(4.92,3)</f>
        <v>4.92</v>
      </c>
      <c r="G7772" s="12">
        <f t="shared" si="1173"/>
        <v>0.49</v>
      </c>
    </row>
    <row r="7773" ht="24.0" customHeight="1">
      <c r="A7773" s="10" t="s">
        <v>286</v>
      </c>
      <c r="B7773" s="10" t="s">
        <v>18</v>
      </c>
      <c r="C7773" s="10" t="s">
        <v>23</v>
      </c>
      <c r="D7773" s="10" t="s">
        <v>287</v>
      </c>
      <c r="E7773" s="14">
        <v>0.9</v>
      </c>
      <c r="F7773" s="15">
        <f>F7777</f>
        <v>49.5</v>
      </c>
      <c r="G7773" s="12">
        <f t="shared" si="1173"/>
        <v>44.55</v>
      </c>
    </row>
    <row r="7774" ht="24.0" customHeight="1">
      <c r="A7774" s="10" t="s">
        <v>288</v>
      </c>
      <c r="B7774" s="10" t="s">
        <v>26</v>
      </c>
      <c r="C7774" s="10" t="s">
        <v>23</v>
      </c>
      <c r="D7774" s="10" t="s">
        <v>289</v>
      </c>
      <c r="E7774" s="14">
        <v>1.0</v>
      </c>
      <c r="F7774" s="15">
        <f>ROUND(21,3)</f>
        <v>21</v>
      </c>
      <c r="G7774" s="12">
        <f t="shared" si="1173"/>
        <v>21</v>
      </c>
    </row>
    <row r="7775" ht="24.0" customHeight="1">
      <c r="A7775" s="10" t="s">
        <v>290</v>
      </c>
      <c r="B7775" s="10" t="s">
        <v>26</v>
      </c>
      <c r="C7775" s="10" t="s">
        <v>23</v>
      </c>
      <c r="D7775" s="10" t="s">
        <v>291</v>
      </c>
      <c r="E7775" s="14">
        <v>1.0</v>
      </c>
      <c r="F7775" s="15">
        <f t="shared" ref="F7775:F7776" si="1174">ROUND(19,3)</f>
        <v>19</v>
      </c>
      <c r="G7775" s="12">
        <f t="shared" si="1173"/>
        <v>19</v>
      </c>
    </row>
    <row r="7776" ht="24.0" customHeight="1">
      <c r="A7776" s="10" t="s">
        <v>292</v>
      </c>
      <c r="B7776" s="10" t="s">
        <v>26</v>
      </c>
      <c r="C7776" s="10" t="s">
        <v>23</v>
      </c>
      <c r="D7776" s="10" t="s">
        <v>293</v>
      </c>
      <c r="E7776" s="14">
        <v>0.5</v>
      </c>
      <c r="F7776" s="15">
        <f t="shared" si="1174"/>
        <v>19</v>
      </c>
      <c r="G7776" s="12">
        <f t="shared" si="1173"/>
        <v>9.5</v>
      </c>
    </row>
    <row r="7777" ht="15.0" customHeight="1">
      <c r="A7777" s="11"/>
      <c r="B7777" s="11"/>
      <c r="C7777" s="11"/>
      <c r="D7777" s="10" t="s">
        <v>286</v>
      </c>
      <c r="E7777" s="14">
        <v>0.9</v>
      </c>
      <c r="F7777" s="15">
        <f>ROUND((G7774+G7775+G7776),3)</f>
        <v>49.5</v>
      </c>
      <c r="G7777" s="12">
        <f t="shared" si="1173"/>
        <v>44.55</v>
      </c>
    </row>
    <row r="7778" ht="15.0" customHeight="1">
      <c r="A7778" s="10" t="s">
        <v>32</v>
      </c>
      <c r="B7778" s="10"/>
      <c r="C7778" s="10" t="s">
        <v>33</v>
      </c>
      <c r="D7778" s="10" t="s">
        <v>34</v>
      </c>
      <c r="E7778" s="14">
        <v>3.0</v>
      </c>
      <c r="F7778" s="15">
        <f>ROUND(44.55,3)</f>
        <v>44.55</v>
      </c>
      <c r="G7778" s="12">
        <f>ROUND((E7778*F7778)/100,2)</f>
        <v>1.34</v>
      </c>
    </row>
    <row r="7779" ht="15.0" customHeight="1">
      <c r="A7779" s="16"/>
      <c r="B7779" s="16"/>
      <c r="C7779" s="16"/>
      <c r="D7779" s="17" t="s">
        <v>3442</v>
      </c>
      <c r="E7779" s="16"/>
      <c r="F7779" s="18">
        <f>ROUND((G7762+G7763+G7764+G7765+G7766+G7767+G7768+G7769+G7770+G7771+G7772+G7773+G7778)*(1+G2/100),2)</f>
        <v>58.28</v>
      </c>
      <c r="G7779" s="16"/>
    </row>
    <row r="7780" ht="30.0" customHeight="1">
      <c r="A7780" s="19" t="s">
        <v>3445</v>
      </c>
      <c r="B7780" s="20" t="s">
        <v>18</v>
      </c>
      <c r="C7780" s="20" t="s">
        <v>321</v>
      </c>
      <c r="D7780" s="20" t="s">
        <v>3446</v>
      </c>
      <c r="E7780" s="21"/>
      <c r="F7780" s="22">
        <f>F7799</f>
        <v>44.04</v>
      </c>
      <c r="G7780" s="21"/>
    </row>
    <row r="7781" ht="39.75" customHeight="1">
      <c r="A7781" s="11"/>
      <c r="B7781" s="11"/>
      <c r="C7781" s="11"/>
      <c r="D7781" s="10" t="s">
        <v>3447</v>
      </c>
    </row>
    <row r="7782" ht="30.0" customHeight="1">
      <c r="A7782" s="10" t="s">
        <v>3448</v>
      </c>
      <c r="B7782" s="10" t="s">
        <v>42</v>
      </c>
      <c r="C7782" s="10" t="s">
        <v>344</v>
      </c>
      <c r="D7782" s="10" t="s">
        <v>3449</v>
      </c>
      <c r="E7782" s="14">
        <v>0.36667</v>
      </c>
      <c r="F7782" s="15">
        <f>ROUND(12.75,3)</f>
        <v>12.75</v>
      </c>
      <c r="G7782" s="12">
        <f t="shared" ref="G7782:G7797" si="1175">ROUND(E7782*F7782,2)</f>
        <v>4.68</v>
      </c>
    </row>
    <row r="7783" ht="30.0" customHeight="1">
      <c r="A7783" s="10" t="s">
        <v>3436</v>
      </c>
      <c r="B7783" s="10" t="s">
        <v>42</v>
      </c>
      <c r="C7783" s="10" t="s">
        <v>344</v>
      </c>
      <c r="D7783" s="10" t="s">
        <v>3437</v>
      </c>
      <c r="E7783" s="14">
        <v>0.3</v>
      </c>
      <c r="F7783" s="15">
        <f>ROUND(11.05,3)</f>
        <v>11.05</v>
      </c>
      <c r="G7783" s="12">
        <f t="shared" si="1175"/>
        <v>3.32</v>
      </c>
    </row>
    <row r="7784" ht="21.0" customHeight="1">
      <c r="A7784" s="10" t="s">
        <v>3450</v>
      </c>
      <c r="B7784" s="10" t="s">
        <v>42</v>
      </c>
      <c r="C7784" s="10" t="s">
        <v>344</v>
      </c>
      <c r="D7784" s="10" t="s">
        <v>3451</v>
      </c>
      <c r="E7784" s="14">
        <v>0.3</v>
      </c>
      <c r="F7784" s="15">
        <f>ROUND(1.59,3)</f>
        <v>1.59</v>
      </c>
      <c r="G7784" s="12">
        <f t="shared" si="1175"/>
        <v>0.48</v>
      </c>
    </row>
    <row r="7785" ht="30.0" customHeight="1">
      <c r="A7785" s="10" t="s">
        <v>465</v>
      </c>
      <c r="B7785" s="10" t="s">
        <v>42</v>
      </c>
      <c r="C7785" s="10" t="s">
        <v>43</v>
      </c>
      <c r="D7785" s="10" t="s">
        <v>466</v>
      </c>
      <c r="E7785" s="14">
        <v>0.34666</v>
      </c>
      <c r="F7785" s="15">
        <f>ROUND(4.58,3)</f>
        <v>4.58</v>
      </c>
      <c r="G7785" s="12">
        <f t="shared" si="1175"/>
        <v>1.59</v>
      </c>
    </row>
    <row r="7786" ht="30.0" customHeight="1">
      <c r="A7786" s="10" t="s">
        <v>467</v>
      </c>
      <c r="B7786" s="10" t="s">
        <v>42</v>
      </c>
      <c r="C7786" s="10" t="s">
        <v>43</v>
      </c>
      <c r="D7786" s="10" t="s">
        <v>468</v>
      </c>
      <c r="E7786" s="14">
        <v>0.06</v>
      </c>
      <c r="F7786" s="15">
        <f>ROUND(6.09,3)</f>
        <v>6.09</v>
      </c>
      <c r="G7786" s="12">
        <f t="shared" si="1175"/>
        <v>0.37</v>
      </c>
    </row>
    <row r="7787" ht="30.0" customHeight="1">
      <c r="A7787" s="10" t="s">
        <v>3452</v>
      </c>
      <c r="B7787" s="10" t="s">
        <v>42</v>
      </c>
      <c r="C7787" s="10" t="s">
        <v>344</v>
      </c>
      <c r="D7787" s="10" t="s">
        <v>3453</v>
      </c>
      <c r="E7787" s="14">
        <v>0.66667</v>
      </c>
      <c r="F7787" s="15">
        <f>ROUND(1.73,3)</f>
        <v>1.73</v>
      </c>
      <c r="G7787" s="12">
        <f t="shared" si="1175"/>
        <v>1.15</v>
      </c>
    </row>
    <row r="7788" ht="39.75" customHeight="1">
      <c r="A7788" s="10" t="s">
        <v>1340</v>
      </c>
      <c r="B7788" s="10" t="s">
        <v>42</v>
      </c>
      <c r="C7788" s="10" t="s">
        <v>1245</v>
      </c>
      <c r="D7788" s="10" t="s">
        <v>1341</v>
      </c>
      <c r="E7788" s="14">
        <v>0.05632</v>
      </c>
      <c r="F7788" s="15">
        <f>ROUND(7.37,3)</f>
        <v>7.37</v>
      </c>
      <c r="G7788" s="12">
        <f t="shared" si="1175"/>
        <v>0.42</v>
      </c>
    </row>
    <row r="7789" ht="30.0" customHeight="1">
      <c r="A7789" s="10" t="s">
        <v>1378</v>
      </c>
      <c r="B7789" s="10" t="s">
        <v>42</v>
      </c>
      <c r="C7789" s="10" t="s">
        <v>330</v>
      </c>
      <c r="D7789" s="10" t="s">
        <v>1379</v>
      </c>
      <c r="E7789" s="14">
        <v>0.03333</v>
      </c>
      <c r="F7789" s="15">
        <f>ROUND(6.14,3)</f>
        <v>6.14</v>
      </c>
      <c r="G7789" s="12">
        <f t="shared" si="1175"/>
        <v>0.2</v>
      </c>
    </row>
    <row r="7790" ht="30.0" customHeight="1">
      <c r="A7790" s="10" t="s">
        <v>1745</v>
      </c>
      <c r="B7790" s="10" t="s">
        <v>42</v>
      </c>
      <c r="C7790" s="10" t="s">
        <v>330</v>
      </c>
      <c r="D7790" s="10" t="s">
        <v>1746</v>
      </c>
      <c r="E7790" s="14">
        <v>0.08333</v>
      </c>
      <c r="F7790" s="15">
        <f>ROUND(7.93,3)</f>
        <v>7.93</v>
      </c>
      <c r="G7790" s="12">
        <f t="shared" si="1175"/>
        <v>0.66</v>
      </c>
    </row>
    <row r="7791" ht="21.0" customHeight="1">
      <c r="A7791" s="10" t="s">
        <v>969</v>
      </c>
      <c r="B7791" s="10" t="s">
        <v>112</v>
      </c>
      <c r="C7791" s="10" t="s">
        <v>23</v>
      </c>
      <c r="D7791" s="10" t="s">
        <v>970</v>
      </c>
      <c r="E7791" s="14">
        <v>0.3</v>
      </c>
      <c r="F7791" s="15">
        <f>ROUND(2,3)</f>
        <v>2</v>
      </c>
      <c r="G7791" s="12">
        <f t="shared" si="1175"/>
        <v>0.6</v>
      </c>
    </row>
    <row r="7792" ht="30.0" customHeight="1">
      <c r="A7792" s="10" t="s">
        <v>971</v>
      </c>
      <c r="B7792" s="10" t="s">
        <v>42</v>
      </c>
      <c r="C7792" s="10" t="s">
        <v>231</v>
      </c>
      <c r="D7792" s="10" t="s">
        <v>972</v>
      </c>
      <c r="E7792" s="14">
        <v>0.1</v>
      </c>
      <c r="F7792" s="15">
        <f>ROUND(4.92,3)</f>
        <v>4.92</v>
      </c>
      <c r="G7792" s="12">
        <f t="shared" si="1175"/>
        <v>0.49</v>
      </c>
    </row>
    <row r="7793" ht="21.0" customHeight="1">
      <c r="A7793" s="10" t="s">
        <v>22</v>
      </c>
      <c r="B7793" s="10" t="s">
        <v>18</v>
      </c>
      <c r="C7793" s="10" t="s">
        <v>23</v>
      </c>
      <c r="D7793" s="10" t="s">
        <v>24</v>
      </c>
      <c r="E7793" s="14">
        <v>0.66667</v>
      </c>
      <c r="F7793" s="15">
        <f>F7797</f>
        <v>43.8</v>
      </c>
      <c r="G7793" s="12">
        <f t="shared" si="1175"/>
        <v>29.2</v>
      </c>
    </row>
    <row r="7794" ht="24.0" customHeight="1">
      <c r="A7794" s="10" t="s">
        <v>25</v>
      </c>
      <c r="B7794" s="10" t="s">
        <v>26</v>
      </c>
      <c r="C7794" s="10" t="s">
        <v>23</v>
      </c>
      <c r="D7794" s="10" t="s">
        <v>27</v>
      </c>
      <c r="E7794" s="14">
        <v>1.0</v>
      </c>
      <c r="F7794" s="15">
        <f>ROUND(21,3)</f>
        <v>21</v>
      </c>
      <c r="G7794" s="12">
        <f t="shared" si="1175"/>
        <v>21</v>
      </c>
    </row>
    <row r="7795" ht="24.0" customHeight="1">
      <c r="A7795" s="10" t="s">
        <v>28</v>
      </c>
      <c r="B7795" s="10" t="s">
        <v>26</v>
      </c>
      <c r="C7795" s="10" t="s">
        <v>23</v>
      </c>
      <c r="D7795" s="10" t="s">
        <v>29</v>
      </c>
      <c r="E7795" s="14">
        <v>1.0</v>
      </c>
      <c r="F7795" s="15">
        <f t="shared" ref="F7795:F7796" si="1176">ROUND(19,3)</f>
        <v>19</v>
      </c>
      <c r="G7795" s="12">
        <f t="shared" si="1175"/>
        <v>19</v>
      </c>
    </row>
    <row r="7796" ht="24.0" customHeight="1">
      <c r="A7796" s="10" t="s">
        <v>30</v>
      </c>
      <c r="B7796" s="10" t="s">
        <v>26</v>
      </c>
      <c r="C7796" s="10" t="s">
        <v>23</v>
      </c>
      <c r="D7796" s="10" t="s">
        <v>31</v>
      </c>
      <c r="E7796" s="14">
        <v>0.2</v>
      </c>
      <c r="F7796" s="15">
        <f t="shared" si="1176"/>
        <v>19</v>
      </c>
      <c r="G7796" s="12">
        <f t="shared" si="1175"/>
        <v>3.8</v>
      </c>
    </row>
    <row r="7797" ht="15.0" customHeight="1">
      <c r="A7797" s="11"/>
      <c r="B7797" s="11"/>
      <c r="C7797" s="11"/>
      <c r="D7797" s="10" t="s">
        <v>22</v>
      </c>
      <c r="E7797" s="14">
        <v>0.66667</v>
      </c>
      <c r="F7797" s="15">
        <f>ROUND((G7794+G7795+G7796),3)</f>
        <v>43.8</v>
      </c>
      <c r="G7797" s="12">
        <f t="shared" si="1175"/>
        <v>29.2</v>
      </c>
    </row>
    <row r="7798" ht="15.0" customHeight="1">
      <c r="A7798" s="10" t="s">
        <v>32</v>
      </c>
      <c r="B7798" s="10"/>
      <c r="C7798" s="10" t="s">
        <v>33</v>
      </c>
      <c r="D7798" s="10" t="s">
        <v>34</v>
      </c>
      <c r="E7798" s="14">
        <v>3.0</v>
      </c>
      <c r="F7798" s="15">
        <f>ROUND(29.2,3)</f>
        <v>29.2</v>
      </c>
      <c r="G7798" s="12">
        <f>ROUND((E7798*F7798)/100,2)</f>
        <v>0.88</v>
      </c>
    </row>
    <row r="7799" ht="15.0" customHeight="1">
      <c r="A7799" s="16"/>
      <c r="B7799" s="16"/>
      <c r="C7799" s="16"/>
      <c r="D7799" s="17" t="s">
        <v>3445</v>
      </c>
      <c r="E7799" s="16"/>
      <c r="F7799" s="18">
        <f>ROUND((G7782+G7783+G7784+G7785+G7786+G7787+G7788+G7789+G7790+G7791+G7792+G7793+G7798)*(1+G2/100),2)</f>
        <v>44.04</v>
      </c>
      <c r="G7799" s="16"/>
    </row>
    <row r="7800" ht="39.75" customHeight="1">
      <c r="A7800" s="19" t="s">
        <v>3454</v>
      </c>
      <c r="B7800" s="20" t="s">
        <v>18</v>
      </c>
      <c r="C7800" s="20" t="s">
        <v>321</v>
      </c>
      <c r="D7800" s="20" t="s">
        <v>3455</v>
      </c>
      <c r="E7800" s="21"/>
      <c r="F7800" s="22">
        <f>F7819</f>
        <v>64.95</v>
      </c>
      <c r="G7800" s="21"/>
    </row>
    <row r="7801" ht="39.75" customHeight="1">
      <c r="A7801" s="11"/>
      <c r="B7801" s="11"/>
      <c r="C7801" s="11"/>
      <c r="D7801" s="10" t="s">
        <v>3456</v>
      </c>
    </row>
    <row r="7802" ht="30.0" customHeight="1">
      <c r="A7802" s="10" t="s">
        <v>3448</v>
      </c>
      <c r="B7802" s="10" t="s">
        <v>42</v>
      </c>
      <c r="C7802" s="10" t="s">
        <v>344</v>
      </c>
      <c r="D7802" s="10" t="s">
        <v>3449</v>
      </c>
      <c r="E7802" s="14">
        <v>0.36667</v>
      </c>
      <c r="F7802" s="15">
        <f>ROUND(12.75,3)</f>
        <v>12.75</v>
      </c>
      <c r="G7802" s="12">
        <f t="shared" ref="G7802:G7817" si="1177">ROUND(E7802*F7802,2)</f>
        <v>4.68</v>
      </c>
    </row>
    <row r="7803" ht="30.0" customHeight="1">
      <c r="A7803" s="10" t="s">
        <v>3436</v>
      </c>
      <c r="B7803" s="10" t="s">
        <v>42</v>
      </c>
      <c r="C7803" s="10" t="s">
        <v>344</v>
      </c>
      <c r="D7803" s="10" t="s">
        <v>3437</v>
      </c>
      <c r="E7803" s="14">
        <v>0.3</v>
      </c>
      <c r="F7803" s="15">
        <f>ROUND(11.05,3)</f>
        <v>11.05</v>
      </c>
      <c r="G7803" s="12">
        <f t="shared" si="1177"/>
        <v>3.32</v>
      </c>
    </row>
    <row r="7804" ht="21.0" customHeight="1">
      <c r="A7804" s="10" t="s">
        <v>3450</v>
      </c>
      <c r="B7804" s="10" t="s">
        <v>42</v>
      </c>
      <c r="C7804" s="10" t="s">
        <v>344</v>
      </c>
      <c r="D7804" s="10" t="s">
        <v>3451</v>
      </c>
      <c r="E7804" s="14">
        <v>0.3</v>
      </c>
      <c r="F7804" s="15">
        <f>ROUND(1.59,3)</f>
        <v>1.59</v>
      </c>
      <c r="G7804" s="12">
        <f t="shared" si="1177"/>
        <v>0.48</v>
      </c>
    </row>
    <row r="7805" ht="30.0" customHeight="1">
      <c r="A7805" s="10" t="s">
        <v>465</v>
      </c>
      <c r="B7805" s="10" t="s">
        <v>42</v>
      </c>
      <c r="C7805" s="10" t="s">
        <v>43</v>
      </c>
      <c r="D7805" s="10" t="s">
        <v>466</v>
      </c>
      <c r="E7805" s="14">
        <v>0.34666</v>
      </c>
      <c r="F7805" s="15">
        <f>ROUND(4.58,3)</f>
        <v>4.58</v>
      </c>
      <c r="G7805" s="12">
        <f t="shared" si="1177"/>
        <v>1.59</v>
      </c>
    </row>
    <row r="7806" ht="30.0" customHeight="1">
      <c r="A7806" s="10" t="s">
        <v>467</v>
      </c>
      <c r="B7806" s="10" t="s">
        <v>42</v>
      </c>
      <c r="C7806" s="10" t="s">
        <v>43</v>
      </c>
      <c r="D7806" s="10" t="s">
        <v>468</v>
      </c>
      <c r="E7806" s="14">
        <v>0.06</v>
      </c>
      <c r="F7806" s="15">
        <f>ROUND(6.09,3)</f>
        <v>6.09</v>
      </c>
      <c r="G7806" s="12">
        <f t="shared" si="1177"/>
        <v>0.37</v>
      </c>
    </row>
    <row r="7807" ht="30.0" customHeight="1">
      <c r="A7807" s="10" t="s">
        <v>3452</v>
      </c>
      <c r="B7807" s="10" t="s">
        <v>42</v>
      </c>
      <c r="C7807" s="10" t="s">
        <v>344</v>
      </c>
      <c r="D7807" s="10" t="s">
        <v>3453</v>
      </c>
      <c r="E7807" s="14">
        <v>0.66667</v>
      </c>
      <c r="F7807" s="15">
        <f>ROUND(1.73,3)</f>
        <v>1.73</v>
      </c>
      <c r="G7807" s="12">
        <f t="shared" si="1177"/>
        <v>1.15</v>
      </c>
    </row>
    <row r="7808" ht="39.75" customHeight="1">
      <c r="A7808" s="10" t="s">
        <v>1340</v>
      </c>
      <c r="B7808" s="10" t="s">
        <v>42</v>
      </c>
      <c r="C7808" s="10" t="s">
        <v>1245</v>
      </c>
      <c r="D7808" s="10" t="s">
        <v>1341</v>
      </c>
      <c r="E7808" s="14">
        <v>0.05632</v>
      </c>
      <c r="F7808" s="15">
        <f>ROUND(7.37,3)</f>
        <v>7.37</v>
      </c>
      <c r="G7808" s="12">
        <f t="shared" si="1177"/>
        <v>0.42</v>
      </c>
    </row>
    <row r="7809" ht="30.0" customHeight="1">
      <c r="A7809" s="10" t="s">
        <v>1378</v>
      </c>
      <c r="B7809" s="10" t="s">
        <v>42</v>
      </c>
      <c r="C7809" s="10" t="s">
        <v>330</v>
      </c>
      <c r="D7809" s="10" t="s">
        <v>1379</v>
      </c>
      <c r="E7809" s="14">
        <v>0.03333</v>
      </c>
      <c r="F7809" s="15">
        <f>ROUND(6.14,3)</f>
        <v>6.14</v>
      </c>
      <c r="G7809" s="12">
        <f t="shared" si="1177"/>
        <v>0.2</v>
      </c>
    </row>
    <row r="7810" ht="30.0" customHeight="1">
      <c r="A7810" s="10" t="s">
        <v>1745</v>
      </c>
      <c r="B7810" s="10" t="s">
        <v>42</v>
      </c>
      <c r="C7810" s="10" t="s">
        <v>330</v>
      </c>
      <c r="D7810" s="10" t="s">
        <v>1746</v>
      </c>
      <c r="E7810" s="14">
        <v>0.08333</v>
      </c>
      <c r="F7810" s="15">
        <f>ROUND(7.93,3)</f>
        <v>7.93</v>
      </c>
      <c r="G7810" s="12">
        <f t="shared" si="1177"/>
        <v>0.66</v>
      </c>
    </row>
    <row r="7811" ht="21.0" customHeight="1">
      <c r="A7811" s="10" t="s">
        <v>969</v>
      </c>
      <c r="B7811" s="10" t="s">
        <v>112</v>
      </c>
      <c r="C7811" s="10" t="s">
        <v>23</v>
      </c>
      <c r="D7811" s="10" t="s">
        <v>970</v>
      </c>
      <c r="E7811" s="14">
        <v>0.3</v>
      </c>
      <c r="F7811" s="15">
        <f>ROUND(2,3)</f>
        <v>2</v>
      </c>
      <c r="G7811" s="12">
        <f t="shared" si="1177"/>
        <v>0.6</v>
      </c>
    </row>
    <row r="7812" ht="30.0" customHeight="1">
      <c r="A7812" s="10" t="s">
        <v>971</v>
      </c>
      <c r="B7812" s="10" t="s">
        <v>42</v>
      </c>
      <c r="C7812" s="10" t="s">
        <v>231</v>
      </c>
      <c r="D7812" s="10" t="s">
        <v>972</v>
      </c>
      <c r="E7812" s="14">
        <v>0.1</v>
      </c>
      <c r="F7812" s="15">
        <f>ROUND(4.92,3)</f>
        <v>4.92</v>
      </c>
      <c r="G7812" s="12">
        <f t="shared" si="1177"/>
        <v>0.49</v>
      </c>
    </row>
    <row r="7813" ht="24.0" customHeight="1">
      <c r="A7813" s="10" t="s">
        <v>286</v>
      </c>
      <c r="B7813" s="10" t="s">
        <v>18</v>
      </c>
      <c r="C7813" s="10" t="s">
        <v>23</v>
      </c>
      <c r="D7813" s="10" t="s">
        <v>287</v>
      </c>
      <c r="E7813" s="14">
        <v>1.0</v>
      </c>
      <c r="F7813" s="15">
        <f>F7817</f>
        <v>49.5</v>
      </c>
      <c r="G7813" s="12">
        <f t="shared" si="1177"/>
        <v>49.5</v>
      </c>
    </row>
    <row r="7814" ht="24.0" customHeight="1">
      <c r="A7814" s="10" t="s">
        <v>288</v>
      </c>
      <c r="B7814" s="10" t="s">
        <v>26</v>
      </c>
      <c r="C7814" s="10" t="s">
        <v>23</v>
      </c>
      <c r="D7814" s="10" t="s">
        <v>289</v>
      </c>
      <c r="E7814" s="14">
        <v>1.0</v>
      </c>
      <c r="F7814" s="15">
        <f>ROUND(21,3)</f>
        <v>21</v>
      </c>
      <c r="G7814" s="12">
        <f t="shared" si="1177"/>
        <v>21</v>
      </c>
    </row>
    <row r="7815" ht="24.0" customHeight="1">
      <c r="A7815" s="10" t="s">
        <v>290</v>
      </c>
      <c r="B7815" s="10" t="s">
        <v>26</v>
      </c>
      <c r="C7815" s="10" t="s">
        <v>23</v>
      </c>
      <c r="D7815" s="10" t="s">
        <v>291</v>
      </c>
      <c r="E7815" s="14">
        <v>1.0</v>
      </c>
      <c r="F7815" s="15">
        <f t="shared" ref="F7815:F7816" si="1178">ROUND(19,3)</f>
        <v>19</v>
      </c>
      <c r="G7815" s="12">
        <f t="shared" si="1177"/>
        <v>19</v>
      </c>
    </row>
    <row r="7816" ht="24.0" customHeight="1">
      <c r="A7816" s="10" t="s">
        <v>292</v>
      </c>
      <c r="B7816" s="10" t="s">
        <v>26</v>
      </c>
      <c r="C7816" s="10" t="s">
        <v>23</v>
      </c>
      <c r="D7816" s="10" t="s">
        <v>293</v>
      </c>
      <c r="E7816" s="14">
        <v>0.5</v>
      </c>
      <c r="F7816" s="15">
        <f t="shared" si="1178"/>
        <v>19</v>
      </c>
      <c r="G7816" s="12">
        <f t="shared" si="1177"/>
        <v>9.5</v>
      </c>
    </row>
    <row r="7817" ht="15.0" customHeight="1">
      <c r="A7817" s="11"/>
      <c r="B7817" s="11"/>
      <c r="C7817" s="11"/>
      <c r="D7817" s="10" t="s">
        <v>286</v>
      </c>
      <c r="E7817" s="14">
        <v>1.0</v>
      </c>
      <c r="F7817" s="15">
        <f>ROUND((G7814+G7815+G7816),3)</f>
        <v>49.5</v>
      </c>
      <c r="G7817" s="12">
        <f t="shared" si="1177"/>
        <v>49.5</v>
      </c>
    </row>
    <row r="7818" ht="15.0" customHeight="1">
      <c r="A7818" s="10" t="s">
        <v>32</v>
      </c>
      <c r="B7818" s="10"/>
      <c r="C7818" s="10" t="s">
        <v>33</v>
      </c>
      <c r="D7818" s="10" t="s">
        <v>34</v>
      </c>
      <c r="E7818" s="14">
        <v>3.0</v>
      </c>
      <c r="F7818" s="15">
        <f>ROUND(49.5,3)</f>
        <v>49.5</v>
      </c>
      <c r="G7818" s="12">
        <f>ROUND((E7818*F7818)/100,2)</f>
        <v>1.49</v>
      </c>
    </row>
    <row r="7819" ht="15.0" customHeight="1">
      <c r="A7819" s="16"/>
      <c r="B7819" s="16"/>
      <c r="C7819" s="16"/>
      <c r="D7819" s="17" t="s">
        <v>3454</v>
      </c>
      <c r="E7819" s="16"/>
      <c r="F7819" s="18">
        <f>ROUND((G7802+G7803+G7804+G7805+G7806+G7807+G7808+G7809+G7810+G7811+G7812+G7813+G7818)*(1+G2/100),2)</f>
        <v>64.95</v>
      </c>
      <c r="G7819" s="16"/>
    </row>
    <row r="7820" ht="30.0" customHeight="1">
      <c r="A7820" s="19" t="s">
        <v>3457</v>
      </c>
      <c r="B7820" s="20" t="s">
        <v>18</v>
      </c>
      <c r="C7820" s="20" t="s">
        <v>321</v>
      </c>
      <c r="D7820" s="20" t="s">
        <v>3458</v>
      </c>
      <c r="E7820" s="21"/>
      <c r="F7820" s="22">
        <f>F7843</f>
        <v>87.95</v>
      </c>
      <c r="G7820" s="21"/>
    </row>
    <row r="7821" ht="39.75" customHeight="1">
      <c r="A7821" s="11"/>
      <c r="B7821" s="11"/>
      <c r="C7821" s="11"/>
      <c r="D7821" s="10" t="s">
        <v>3459</v>
      </c>
    </row>
    <row r="7822" ht="30.0" customHeight="1">
      <c r="A7822" s="10" t="s">
        <v>3460</v>
      </c>
      <c r="B7822" s="10" t="s">
        <v>42</v>
      </c>
      <c r="C7822" s="10" t="s">
        <v>344</v>
      </c>
      <c r="D7822" s="10" t="s">
        <v>3461</v>
      </c>
      <c r="E7822" s="14">
        <v>0.36667</v>
      </c>
      <c r="F7822" s="15">
        <f>ROUND(45.35,3)</f>
        <v>45.35</v>
      </c>
      <c r="G7822" s="12">
        <f t="shared" ref="G7822:G7841" si="1179">ROUND(E7822*F7822,2)</f>
        <v>16.63</v>
      </c>
    </row>
    <row r="7823" ht="21.0" customHeight="1">
      <c r="A7823" s="10" t="s">
        <v>3462</v>
      </c>
      <c r="B7823" s="10" t="s">
        <v>42</v>
      </c>
      <c r="C7823" s="10" t="s">
        <v>344</v>
      </c>
      <c r="D7823" s="10" t="s">
        <v>3463</v>
      </c>
      <c r="E7823" s="14">
        <v>0.33333</v>
      </c>
      <c r="F7823" s="15">
        <f>ROUND(42.79,3)</f>
        <v>42.79</v>
      </c>
      <c r="G7823" s="12">
        <f t="shared" si="1179"/>
        <v>14.26</v>
      </c>
    </row>
    <row r="7824" ht="21.0" customHeight="1">
      <c r="A7824" s="10" t="s">
        <v>3464</v>
      </c>
      <c r="B7824" s="10" t="s">
        <v>42</v>
      </c>
      <c r="C7824" s="10" t="s">
        <v>344</v>
      </c>
      <c r="D7824" s="10" t="s">
        <v>3465</v>
      </c>
      <c r="E7824" s="14">
        <v>0.33333</v>
      </c>
      <c r="F7824" s="15">
        <f>ROUND(8.58,3)</f>
        <v>8.58</v>
      </c>
      <c r="G7824" s="12">
        <f t="shared" si="1179"/>
        <v>2.86</v>
      </c>
    </row>
    <row r="7825" ht="21.0" customHeight="1">
      <c r="A7825" s="10" t="s">
        <v>3466</v>
      </c>
      <c r="B7825" s="10" t="s">
        <v>42</v>
      </c>
      <c r="C7825" s="10" t="s">
        <v>344</v>
      </c>
      <c r="D7825" s="10" t="s">
        <v>3467</v>
      </c>
      <c r="E7825" s="14">
        <v>0.33333</v>
      </c>
      <c r="F7825" s="15">
        <f>ROUND(8.84,3)</f>
        <v>8.84</v>
      </c>
      <c r="G7825" s="12">
        <f t="shared" si="1179"/>
        <v>2.95</v>
      </c>
    </row>
    <row r="7826" ht="21.0" customHeight="1">
      <c r="A7826" s="10" t="s">
        <v>3468</v>
      </c>
      <c r="B7826" s="10" t="s">
        <v>42</v>
      </c>
      <c r="C7826" s="10" t="s">
        <v>344</v>
      </c>
      <c r="D7826" s="10" t="s">
        <v>3469</v>
      </c>
      <c r="E7826" s="14">
        <v>0.11111</v>
      </c>
      <c r="F7826" s="15">
        <f>ROUND(16.74,3)</f>
        <v>16.74</v>
      </c>
      <c r="G7826" s="12">
        <f t="shared" si="1179"/>
        <v>1.86</v>
      </c>
    </row>
    <row r="7827" ht="30.0" customHeight="1">
      <c r="A7827" s="10" t="s">
        <v>3470</v>
      </c>
      <c r="B7827" s="10" t="s">
        <v>42</v>
      </c>
      <c r="C7827" s="10" t="s">
        <v>344</v>
      </c>
      <c r="D7827" s="10" t="s">
        <v>3471</v>
      </c>
      <c r="E7827" s="14">
        <v>0.66667</v>
      </c>
      <c r="F7827" s="15">
        <f>ROUND(3.49,3)</f>
        <v>3.49</v>
      </c>
      <c r="G7827" s="12">
        <f t="shared" si="1179"/>
        <v>2.33</v>
      </c>
    </row>
    <row r="7828" ht="39.75" customHeight="1">
      <c r="A7828" s="10" t="s">
        <v>3472</v>
      </c>
      <c r="B7828" s="10" t="s">
        <v>42</v>
      </c>
      <c r="C7828" s="10" t="s">
        <v>344</v>
      </c>
      <c r="D7828" s="10" t="s">
        <v>3473</v>
      </c>
      <c r="E7828" s="14">
        <v>0.06667</v>
      </c>
      <c r="F7828" s="15">
        <f>ROUND(19.71,3)</f>
        <v>19.71</v>
      </c>
      <c r="G7828" s="12">
        <f t="shared" si="1179"/>
        <v>1.31</v>
      </c>
    </row>
    <row r="7829" ht="30.0" customHeight="1">
      <c r="A7829" s="10" t="s">
        <v>3474</v>
      </c>
      <c r="B7829" s="10" t="s">
        <v>42</v>
      </c>
      <c r="C7829" s="10" t="s">
        <v>344</v>
      </c>
      <c r="D7829" s="10" t="s">
        <v>3475</v>
      </c>
      <c r="E7829" s="14">
        <v>0.66667</v>
      </c>
      <c r="F7829" s="15">
        <f>ROUND(3.27,3)</f>
        <v>3.27</v>
      </c>
      <c r="G7829" s="12">
        <f t="shared" si="1179"/>
        <v>2.18</v>
      </c>
    </row>
    <row r="7830" ht="30.0" customHeight="1">
      <c r="A7830" s="10" t="s">
        <v>465</v>
      </c>
      <c r="B7830" s="10" t="s">
        <v>42</v>
      </c>
      <c r="C7830" s="10" t="s">
        <v>43</v>
      </c>
      <c r="D7830" s="10" t="s">
        <v>466</v>
      </c>
      <c r="E7830" s="14">
        <v>0.11</v>
      </c>
      <c r="F7830" s="15">
        <f>ROUND(4.58,3)</f>
        <v>4.58</v>
      </c>
      <c r="G7830" s="12">
        <f t="shared" si="1179"/>
        <v>0.5</v>
      </c>
    </row>
    <row r="7831" ht="30.0" customHeight="1">
      <c r="A7831" s="10" t="s">
        <v>467</v>
      </c>
      <c r="B7831" s="10" t="s">
        <v>42</v>
      </c>
      <c r="C7831" s="10" t="s">
        <v>43</v>
      </c>
      <c r="D7831" s="10" t="s">
        <v>468</v>
      </c>
      <c r="E7831" s="14">
        <v>0.15</v>
      </c>
      <c r="F7831" s="15">
        <f>ROUND(6.09,3)</f>
        <v>6.09</v>
      </c>
      <c r="G7831" s="12">
        <f t="shared" si="1179"/>
        <v>0.91</v>
      </c>
    </row>
    <row r="7832" ht="39.75" customHeight="1">
      <c r="A7832" s="10" t="s">
        <v>1340</v>
      </c>
      <c r="B7832" s="10" t="s">
        <v>42</v>
      </c>
      <c r="C7832" s="10" t="s">
        <v>1245</v>
      </c>
      <c r="D7832" s="10" t="s">
        <v>1341</v>
      </c>
      <c r="E7832" s="14">
        <v>0.125</v>
      </c>
      <c r="F7832" s="15">
        <f>ROUND(7.37,3)</f>
        <v>7.37</v>
      </c>
      <c r="G7832" s="12">
        <f t="shared" si="1179"/>
        <v>0.92</v>
      </c>
    </row>
    <row r="7833" ht="30.0" customHeight="1">
      <c r="A7833" s="10" t="s">
        <v>1378</v>
      </c>
      <c r="B7833" s="10" t="s">
        <v>42</v>
      </c>
      <c r="C7833" s="10" t="s">
        <v>330</v>
      </c>
      <c r="D7833" s="10" t="s">
        <v>1379</v>
      </c>
      <c r="E7833" s="14">
        <v>0.0665</v>
      </c>
      <c r="F7833" s="15">
        <f>ROUND(6.14,3)</f>
        <v>6.14</v>
      </c>
      <c r="G7833" s="12">
        <f t="shared" si="1179"/>
        <v>0.41</v>
      </c>
    </row>
    <row r="7834" ht="30.0" customHeight="1">
      <c r="A7834" s="10" t="s">
        <v>1745</v>
      </c>
      <c r="B7834" s="10" t="s">
        <v>42</v>
      </c>
      <c r="C7834" s="10" t="s">
        <v>330</v>
      </c>
      <c r="D7834" s="10" t="s">
        <v>1746</v>
      </c>
      <c r="E7834" s="14">
        <v>0.16625</v>
      </c>
      <c r="F7834" s="15">
        <f>ROUND(7.93,3)</f>
        <v>7.93</v>
      </c>
      <c r="G7834" s="12">
        <f t="shared" si="1179"/>
        <v>1.32</v>
      </c>
    </row>
    <row r="7835" ht="21.0" customHeight="1">
      <c r="A7835" s="10" t="s">
        <v>969</v>
      </c>
      <c r="B7835" s="10" t="s">
        <v>112</v>
      </c>
      <c r="C7835" s="10" t="s">
        <v>23</v>
      </c>
      <c r="D7835" s="10" t="s">
        <v>970</v>
      </c>
      <c r="E7835" s="14">
        <v>0.5</v>
      </c>
      <c r="F7835" s="15">
        <f>ROUND(2,3)</f>
        <v>2</v>
      </c>
      <c r="G7835" s="12">
        <f t="shared" si="1179"/>
        <v>1</v>
      </c>
    </row>
    <row r="7836" ht="30.0" customHeight="1">
      <c r="A7836" s="10" t="s">
        <v>971</v>
      </c>
      <c r="B7836" s="10" t="s">
        <v>42</v>
      </c>
      <c r="C7836" s="10" t="s">
        <v>231</v>
      </c>
      <c r="D7836" s="10" t="s">
        <v>972</v>
      </c>
      <c r="E7836" s="14">
        <v>0.033</v>
      </c>
      <c r="F7836" s="15">
        <f>ROUND(4.92,3)</f>
        <v>4.92</v>
      </c>
      <c r="G7836" s="12">
        <f t="shared" si="1179"/>
        <v>0.16</v>
      </c>
    </row>
    <row r="7837" ht="21.0" customHeight="1">
      <c r="A7837" s="10" t="s">
        <v>22</v>
      </c>
      <c r="B7837" s="10" t="s">
        <v>18</v>
      </c>
      <c r="C7837" s="10" t="s">
        <v>23</v>
      </c>
      <c r="D7837" s="10" t="s">
        <v>24</v>
      </c>
      <c r="E7837" s="14">
        <v>0.85</v>
      </c>
      <c r="F7837" s="15">
        <f>F7841</f>
        <v>43.8</v>
      </c>
      <c r="G7837" s="12">
        <f t="shared" si="1179"/>
        <v>37.23</v>
      </c>
    </row>
    <row r="7838" ht="24.0" customHeight="1">
      <c r="A7838" s="10" t="s">
        <v>25</v>
      </c>
      <c r="B7838" s="10" t="s">
        <v>26</v>
      </c>
      <c r="C7838" s="10" t="s">
        <v>23</v>
      </c>
      <c r="D7838" s="10" t="s">
        <v>27</v>
      </c>
      <c r="E7838" s="14">
        <v>1.0</v>
      </c>
      <c r="F7838" s="15">
        <f>ROUND(21,3)</f>
        <v>21</v>
      </c>
      <c r="G7838" s="12">
        <f t="shared" si="1179"/>
        <v>21</v>
      </c>
    </row>
    <row r="7839" ht="24.0" customHeight="1">
      <c r="A7839" s="10" t="s">
        <v>28</v>
      </c>
      <c r="B7839" s="10" t="s">
        <v>26</v>
      </c>
      <c r="C7839" s="10" t="s">
        <v>23</v>
      </c>
      <c r="D7839" s="10" t="s">
        <v>29</v>
      </c>
      <c r="E7839" s="14">
        <v>1.0</v>
      </c>
      <c r="F7839" s="15">
        <f t="shared" ref="F7839:F7840" si="1180">ROUND(19,3)</f>
        <v>19</v>
      </c>
      <c r="G7839" s="12">
        <f t="shared" si="1179"/>
        <v>19</v>
      </c>
    </row>
    <row r="7840" ht="24.0" customHeight="1">
      <c r="A7840" s="10" t="s">
        <v>30</v>
      </c>
      <c r="B7840" s="10" t="s">
        <v>26</v>
      </c>
      <c r="C7840" s="10" t="s">
        <v>23</v>
      </c>
      <c r="D7840" s="10" t="s">
        <v>31</v>
      </c>
      <c r="E7840" s="14">
        <v>0.2</v>
      </c>
      <c r="F7840" s="15">
        <f t="shared" si="1180"/>
        <v>19</v>
      </c>
      <c r="G7840" s="12">
        <f t="shared" si="1179"/>
        <v>3.8</v>
      </c>
    </row>
    <row r="7841" ht="15.0" customHeight="1">
      <c r="A7841" s="11"/>
      <c r="B7841" s="11"/>
      <c r="C7841" s="11"/>
      <c r="D7841" s="10" t="s">
        <v>22</v>
      </c>
      <c r="E7841" s="14">
        <v>0.85</v>
      </c>
      <c r="F7841" s="15">
        <f>ROUND((G7838+G7839+G7840),3)</f>
        <v>43.8</v>
      </c>
      <c r="G7841" s="12">
        <f t="shared" si="1179"/>
        <v>37.23</v>
      </c>
    </row>
    <row r="7842" ht="15.0" customHeight="1">
      <c r="A7842" s="10" t="s">
        <v>32</v>
      </c>
      <c r="B7842" s="10"/>
      <c r="C7842" s="10" t="s">
        <v>33</v>
      </c>
      <c r="D7842" s="10" t="s">
        <v>34</v>
      </c>
      <c r="E7842" s="14">
        <v>3.0</v>
      </c>
      <c r="F7842" s="15">
        <f>ROUND(37.23,3)</f>
        <v>37.23</v>
      </c>
      <c r="G7842" s="12">
        <f>ROUND((E7842*F7842)/100,2)</f>
        <v>1.12</v>
      </c>
    </row>
    <row r="7843" ht="15.0" customHeight="1">
      <c r="A7843" s="16"/>
      <c r="B7843" s="16"/>
      <c r="C7843" s="16"/>
      <c r="D7843" s="17" t="s">
        <v>3457</v>
      </c>
      <c r="E7843" s="16"/>
      <c r="F7843" s="18">
        <f>ROUND((G7822+G7823+G7824+G7825+G7826+G7827+G7828+G7829+G7830+G7831+G7832+G7833+G7834+G7835+G7836+G7837+G7842)*(1+G2/100),2)</f>
        <v>87.95</v>
      </c>
      <c r="G7843" s="16"/>
    </row>
    <row r="7844" ht="39.75" customHeight="1">
      <c r="A7844" s="19" t="s">
        <v>3476</v>
      </c>
      <c r="B7844" s="20" t="s">
        <v>18</v>
      </c>
      <c r="C7844" s="20" t="s">
        <v>321</v>
      </c>
      <c r="D7844" s="20" t="s">
        <v>3477</v>
      </c>
      <c r="E7844" s="21"/>
      <c r="F7844" s="22">
        <f>F7867</f>
        <v>114.6</v>
      </c>
      <c r="G7844" s="21"/>
    </row>
    <row r="7845" ht="39.75" customHeight="1">
      <c r="A7845" s="11"/>
      <c r="B7845" s="11"/>
      <c r="C7845" s="11"/>
      <c r="D7845" s="10" t="s">
        <v>3478</v>
      </c>
    </row>
    <row r="7846" ht="30.0" customHeight="1">
      <c r="A7846" s="10" t="s">
        <v>3460</v>
      </c>
      <c r="B7846" s="10" t="s">
        <v>42</v>
      </c>
      <c r="C7846" s="10" t="s">
        <v>344</v>
      </c>
      <c r="D7846" s="10" t="s">
        <v>3461</v>
      </c>
      <c r="E7846" s="14">
        <v>0.36667</v>
      </c>
      <c r="F7846" s="15">
        <f>ROUND(45.35,3)</f>
        <v>45.35</v>
      </c>
      <c r="G7846" s="12">
        <f t="shared" ref="G7846:G7865" si="1181">ROUND(E7846*F7846,2)</f>
        <v>16.63</v>
      </c>
    </row>
    <row r="7847" ht="21.0" customHeight="1">
      <c r="A7847" s="10" t="s">
        <v>3462</v>
      </c>
      <c r="B7847" s="10" t="s">
        <v>42</v>
      </c>
      <c r="C7847" s="10" t="s">
        <v>344</v>
      </c>
      <c r="D7847" s="10" t="s">
        <v>3463</v>
      </c>
      <c r="E7847" s="14">
        <v>0.33333</v>
      </c>
      <c r="F7847" s="15">
        <f>ROUND(42.79,3)</f>
        <v>42.79</v>
      </c>
      <c r="G7847" s="12">
        <f t="shared" si="1181"/>
        <v>14.26</v>
      </c>
    </row>
    <row r="7848" ht="30.0" customHeight="1">
      <c r="A7848" s="10" t="s">
        <v>971</v>
      </c>
      <c r="B7848" s="10" t="s">
        <v>42</v>
      </c>
      <c r="C7848" s="10" t="s">
        <v>231</v>
      </c>
      <c r="D7848" s="10" t="s">
        <v>972</v>
      </c>
      <c r="E7848" s="14">
        <v>0.033</v>
      </c>
      <c r="F7848" s="15">
        <f>ROUND(4.92,3)</f>
        <v>4.92</v>
      </c>
      <c r="G7848" s="12">
        <f t="shared" si="1181"/>
        <v>0.16</v>
      </c>
    </row>
    <row r="7849" ht="21.0" customHeight="1">
      <c r="A7849" s="10" t="s">
        <v>3464</v>
      </c>
      <c r="B7849" s="10" t="s">
        <v>42</v>
      </c>
      <c r="C7849" s="10" t="s">
        <v>344</v>
      </c>
      <c r="D7849" s="10" t="s">
        <v>3465</v>
      </c>
      <c r="E7849" s="14">
        <v>0.33333</v>
      </c>
      <c r="F7849" s="15">
        <f>ROUND(8.58,3)</f>
        <v>8.58</v>
      </c>
      <c r="G7849" s="12">
        <f t="shared" si="1181"/>
        <v>2.86</v>
      </c>
    </row>
    <row r="7850" ht="21.0" customHeight="1">
      <c r="A7850" s="10" t="s">
        <v>3466</v>
      </c>
      <c r="B7850" s="10" t="s">
        <v>42</v>
      </c>
      <c r="C7850" s="10" t="s">
        <v>344</v>
      </c>
      <c r="D7850" s="10" t="s">
        <v>3467</v>
      </c>
      <c r="E7850" s="14">
        <v>0.33333</v>
      </c>
      <c r="F7850" s="15">
        <f>ROUND(8.84,3)</f>
        <v>8.84</v>
      </c>
      <c r="G7850" s="12">
        <f t="shared" si="1181"/>
        <v>2.95</v>
      </c>
    </row>
    <row r="7851" ht="21.0" customHeight="1">
      <c r="A7851" s="10" t="s">
        <v>3468</v>
      </c>
      <c r="B7851" s="10" t="s">
        <v>42</v>
      </c>
      <c r="C7851" s="10" t="s">
        <v>344</v>
      </c>
      <c r="D7851" s="10" t="s">
        <v>3469</v>
      </c>
      <c r="E7851" s="14">
        <v>0.11111</v>
      </c>
      <c r="F7851" s="15">
        <f>ROUND(16.74,3)</f>
        <v>16.74</v>
      </c>
      <c r="G7851" s="12">
        <f t="shared" si="1181"/>
        <v>1.86</v>
      </c>
    </row>
    <row r="7852" ht="30.0" customHeight="1">
      <c r="A7852" s="10" t="s">
        <v>3470</v>
      </c>
      <c r="B7852" s="10" t="s">
        <v>42</v>
      </c>
      <c r="C7852" s="10" t="s">
        <v>344</v>
      </c>
      <c r="D7852" s="10" t="s">
        <v>3471</v>
      </c>
      <c r="E7852" s="14">
        <v>0.66667</v>
      </c>
      <c r="F7852" s="15">
        <f>ROUND(3.49,3)</f>
        <v>3.49</v>
      </c>
      <c r="G7852" s="12">
        <f t="shared" si="1181"/>
        <v>2.33</v>
      </c>
    </row>
    <row r="7853" ht="39.75" customHeight="1">
      <c r="A7853" s="10" t="s">
        <v>3472</v>
      </c>
      <c r="B7853" s="10" t="s">
        <v>42</v>
      </c>
      <c r="C7853" s="10" t="s">
        <v>344</v>
      </c>
      <c r="D7853" s="10" t="s">
        <v>3473</v>
      </c>
      <c r="E7853" s="14">
        <v>0.06667</v>
      </c>
      <c r="F7853" s="15">
        <f>ROUND(19.71,3)</f>
        <v>19.71</v>
      </c>
      <c r="G7853" s="12">
        <f t="shared" si="1181"/>
        <v>1.31</v>
      </c>
    </row>
    <row r="7854" ht="30.0" customHeight="1">
      <c r="A7854" s="10" t="s">
        <v>3474</v>
      </c>
      <c r="B7854" s="10" t="s">
        <v>42</v>
      </c>
      <c r="C7854" s="10" t="s">
        <v>344</v>
      </c>
      <c r="D7854" s="10" t="s">
        <v>3475</v>
      </c>
      <c r="E7854" s="14">
        <v>0.66667</v>
      </c>
      <c r="F7854" s="15">
        <f>ROUND(3.27,3)</f>
        <v>3.27</v>
      </c>
      <c r="G7854" s="12">
        <f t="shared" si="1181"/>
        <v>2.18</v>
      </c>
    </row>
    <row r="7855" ht="30.0" customHeight="1">
      <c r="A7855" s="10" t="s">
        <v>465</v>
      </c>
      <c r="B7855" s="10" t="s">
        <v>42</v>
      </c>
      <c r="C7855" s="10" t="s">
        <v>43</v>
      </c>
      <c r="D7855" s="10" t="s">
        <v>466</v>
      </c>
      <c r="E7855" s="14">
        <v>0.11</v>
      </c>
      <c r="F7855" s="15">
        <f>ROUND(4.58,3)</f>
        <v>4.58</v>
      </c>
      <c r="G7855" s="12">
        <f t="shared" si="1181"/>
        <v>0.5</v>
      </c>
    </row>
    <row r="7856" ht="30.0" customHeight="1">
      <c r="A7856" s="10" t="s">
        <v>467</v>
      </c>
      <c r="B7856" s="10" t="s">
        <v>42</v>
      </c>
      <c r="C7856" s="10" t="s">
        <v>43</v>
      </c>
      <c r="D7856" s="10" t="s">
        <v>468</v>
      </c>
      <c r="E7856" s="14">
        <v>0.15</v>
      </c>
      <c r="F7856" s="15">
        <f>ROUND(6.09,3)</f>
        <v>6.09</v>
      </c>
      <c r="G7856" s="12">
        <f t="shared" si="1181"/>
        <v>0.91</v>
      </c>
    </row>
    <row r="7857" ht="39.75" customHeight="1">
      <c r="A7857" s="10" t="s">
        <v>1340</v>
      </c>
      <c r="B7857" s="10" t="s">
        <v>42</v>
      </c>
      <c r="C7857" s="10" t="s">
        <v>1245</v>
      </c>
      <c r="D7857" s="10" t="s">
        <v>1341</v>
      </c>
      <c r="E7857" s="14">
        <v>0.125</v>
      </c>
      <c r="F7857" s="15">
        <f>ROUND(7.37,3)</f>
        <v>7.37</v>
      </c>
      <c r="G7857" s="12">
        <f t="shared" si="1181"/>
        <v>0.92</v>
      </c>
    </row>
    <row r="7858" ht="30.0" customHeight="1">
      <c r="A7858" s="10" t="s">
        <v>1378</v>
      </c>
      <c r="B7858" s="10" t="s">
        <v>42</v>
      </c>
      <c r="C7858" s="10" t="s">
        <v>330</v>
      </c>
      <c r="D7858" s="10" t="s">
        <v>1379</v>
      </c>
      <c r="E7858" s="14">
        <v>0.0665</v>
      </c>
      <c r="F7858" s="15">
        <f>ROUND(6.14,3)</f>
        <v>6.14</v>
      </c>
      <c r="G7858" s="12">
        <f t="shared" si="1181"/>
        <v>0.41</v>
      </c>
    </row>
    <row r="7859" ht="30.0" customHeight="1">
      <c r="A7859" s="10" t="s">
        <v>1745</v>
      </c>
      <c r="B7859" s="10" t="s">
        <v>42</v>
      </c>
      <c r="C7859" s="10" t="s">
        <v>330</v>
      </c>
      <c r="D7859" s="10" t="s">
        <v>1746</v>
      </c>
      <c r="E7859" s="14">
        <v>0.16625</v>
      </c>
      <c r="F7859" s="15">
        <f>ROUND(7.93,3)</f>
        <v>7.93</v>
      </c>
      <c r="G7859" s="12">
        <f t="shared" si="1181"/>
        <v>1.32</v>
      </c>
    </row>
    <row r="7860" ht="21.0" customHeight="1">
      <c r="A7860" s="10" t="s">
        <v>969</v>
      </c>
      <c r="B7860" s="10" t="s">
        <v>112</v>
      </c>
      <c r="C7860" s="10" t="s">
        <v>23</v>
      </c>
      <c r="D7860" s="10" t="s">
        <v>970</v>
      </c>
      <c r="E7860" s="14">
        <v>0.5</v>
      </c>
      <c r="F7860" s="15">
        <f>ROUND(2,3)</f>
        <v>2</v>
      </c>
      <c r="G7860" s="12">
        <f t="shared" si="1181"/>
        <v>1</v>
      </c>
    </row>
    <row r="7861" ht="24.0" customHeight="1">
      <c r="A7861" s="10" t="s">
        <v>286</v>
      </c>
      <c r="B7861" s="10" t="s">
        <v>18</v>
      </c>
      <c r="C7861" s="10" t="s">
        <v>23</v>
      </c>
      <c r="D7861" s="10" t="s">
        <v>287</v>
      </c>
      <c r="E7861" s="14">
        <v>1.275</v>
      </c>
      <c r="F7861" s="15">
        <f>F7865</f>
        <v>49.5</v>
      </c>
      <c r="G7861" s="12">
        <f t="shared" si="1181"/>
        <v>63.11</v>
      </c>
    </row>
    <row r="7862" ht="24.0" customHeight="1">
      <c r="A7862" s="10" t="s">
        <v>288</v>
      </c>
      <c r="B7862" s="10" t="s">
        <v>26</v>
      </c>
      <c r="C7862" s="10" t="s">
        <v>23</v>
      </c>
      <c r="D7862" s="10" t="s">
        <v>289</v>
      </c>
      <c r="E7862" s="14">
        <v>1.0</v>
      </c>
      <c r="F7862" s="15">
        <f>ROUND(21,3)</f>
        <v>21</v>
      </c>
      <c r="G7862" s="12">
        <f t="shared" si="1181"/>
        <v>21</v>
      </c>
    </row>
    <row r="7863" ht="24.0" customHeight="1">
      <c r="A7863" s="10" t="s">
        <v>290</v>
      </c>
      <c r="B7863" s="10" t="s">
        <v>26</v>
      </c>
      <c r="C7863" s="10" t="s">
        <v>23</v>
      </c>
      <c r="D7863" s="10" t="s">
        <v>291</v>
      </c>
      <c r="E7863" s="14">
        <v>1.0</v>
      </c>
      <c r="F7863" s="15">
        <f t="shared" ref="F7863:F7864" si="1182">ROUND(19,3)</f>
        <v>19</v>
      </c>
      <c r="G7863" s="12">
        <f t="shared" si="1181"/>
        <v>19</v>
      </c>
    </row>
    <row r="7864" ht="24.0" customHeight="1">
      <c r="A7864" s="10" t="s">
        <v>292</v>
      </c>
      <c r="B7864" s="10" t="s">
        <v>26</v>
      </c>
      <c r="C7864" s="10" t="s">
        <v>23</v>
      </c>
      <c r="D7864" s="10" t="s">
        <v>293</v>
      </c>
      <c r="E7864" s="14">
        <v>0.5</v>
      </c>
      <c r="F7864" s="15">
        <f t="shared" si="1182"/>
        <v>19</v>
      </c>
      <c r="G7864" s="12">
        <f t="shared" si="1181"/>
        <v>9.5</v>
      </c>
    </row>
    <row r="7865" ht="15.0" customHeight="1">
      <c r="A7865" s="11"/>
      <c r="B7865" s="11"/>
      <c r="C7865" s="11"/>
      <c r="D7865" s="10" t="s">
        <v>286</v>
      </c>
      <c r="E7865" s="14">
        <v>1.275</v>
      </c>
      <c r="F7865" s="15">
        <f>ROUND((G7862+G7863+G7864),3)</f>
        <v>49.5</v>
      </c>
      <c r="G7865" s="12">
        <f t="shared" si="1181"/>
        <v>63.11</v>
      </c>
    </row>
    <row r="7866" ht="15.0" customHeight="1">
      <c r="A7866" s="10" t="s">
        <v>32</v>
      </c>
      <c r="B7866" s="10"/>
      <c r="C7866" s="10" t="s">
        <v>33</v>
      </c>
      <c r="D7866" s="10" t="s">
        <v>34</v>
      </c>
      <c r="E7866" s="14">
        <v>3.0</v>
      </c>
      <c r="F7866" s="15">
        <f>ROUND(63.11,3)</f>
        <v>63.11</v>
      </c>
      <c r="G7866" s="12">
        <f>ROUND((E7866*F7866)/100,2)</f>
        <v>1.89</v>
      </c>
    </row>
    <row r="7867" ht="15.0" customHeight="1">
      <c r="A7867" s="16"/>
      <c r="B7867" s="16"/>
      <c r="C7867" s="16"/>
      <c r="D7867" s="17" t="s">
        <v>3476</v>
      </c>
      <c r="E7867" s="16"/>
      <c r="F7867" s="18">
        <f>ROUND((G7846+G7847+G7848+G7849+G7850+G7851+G7852+G7853+G7854+G7855+G7856+G7857+G7858+G7859+G7860+G7861+G7866)*(1+G2/100),2)</f>
        <v>114.6</v>
      </c>
      <c r="G7867" s="16"/>
    </row>
    <row r="7868" ht="30.0" customHeight="1">
      <c r="A7868" s="19" t="s">
        <v>3479</v>
      </c>
      <c r="B7868" s="20" t="s">
        <v>18</v>
      </c>
      <c r="C7868" s="20" t="s">
        <v>321</v>
      </c>
      <c r="D7868" s="20" t="s">
        <v>3480</v>
      </c>
      <c r="E7868" s="21"/>
      <c r="F7868" s="22">
        <f>F7891</f>
        <v>227.79</v>
      </c>
      <c r="G7868" s="21"/>
    </row>
    <row r="7869" ht="39.75" customHeight="1">
      <c r="A7869" s="11"/>
      <c r="B7869" s="11"/>
      <c r="C7869" s="11"/>
      <c r="D7869" s="10" t="s">
        <v>3481</v>
      </c>
    </row>
    <row r="7870" ht="30.0" customHeight="1">
      <c r="A7870" s="10" t="s">
        <v>3482</v>
      </c>
      <c r="B7870" s="10" t="s">
        <v>42</v>
      </c>
      <c r="C7870" s="10" t="s">
        <v>344</v>
      </c>
      <c r="D7870" s="10" t="s">
        <v>3483</v>
      </c>
      <c r="E7870" s="14">
        <v>0.36667</v>
      </c>
      <c r="F7870" s="15">
        <f>ROUND(115.26,3)</f>
        <v>115.26</v>
      </c>
      <c r="G7870" s="12">
        <f t="shared" ref="G7870:G7889" si="1183">ROUND(E7870*F7870,2)</f>
        <v>42.26</v>
      </c>
    </row>
    <row r="7871" ht="21.0" customHeight="1">
      <c r="A7871" s="10" t="s">
        <v>3484</v>
      </c>
      <c r="B7871" s="10" t="s">
        <v>42</v>
      </c>
      <c r="C7871" s="10" t="s">
        <v>344</v>
      </c>
      <c r="D7871" s="10" t="s">
        <v>3485</v>
      </c>
      <c r="E7871" s="14">
        <v>0.33333</v>
      </c>
      <c r="F7871" s="15">
        <f>ROUND(270.87,3)</f>
        <v>270.87</v>
      </c>
      <c r="G7871" s="12">
        <f t="shared" si="1183"/>
        <v>90.29</v>
      </c>
    </row>
    <row r="7872" ht="21.0" customHeight="1">
      <c r="A7872" s="10" t="s">
        <v>3486</v>
      </c>
      <c r="B7872" s="10" t="s">
        <v>42</v>
      </c>
      <c r="C7872" s="10" t="s">
        <v>344</v>
      </c>
      <c r="D7872" s="10" t="s">
        <v>3487</v>
      </c>
      <c r="E7872" s="14">
        <v>0.33333</v>
      </c>
      <c r="F7872" s="15">
        <f>ROUND(29.95,3)</f>
        <v>29.95</v>
      </c>
      <c r="G7872" s="12">
        <f t="shared" si="1183"/>
        <v>9.98</v>
      </c>
    </row>
    <row r="7873" ht="21.0" customHeight="1">
      <c r="A7873" s="10" t="s">
        <v>3488</v>
      </c>
      <c r="B7873" s="10" t="s">
        <v>42</v>
      </c>
      <c r="C7873" s="10" t="s">
        <v>344</v>
      </c>
      <c r="D7873" s="10" t="s">
        <v>3489</v>
      </c>
      <c r="E7873" s="14">
        <v>0.33333</v>
      </c>
      <c r="F7873" s="15">
        <f>ROUND(42.08,3)</f>
        <v>42.08</v>
      </c>
      <c r="G7873" s="12">
        <f t="shared" si="1183"/>
        <v>14.03</v>
      </c>
    </row>
    <row r="7874" ht="21.0" customHeight="1">
      <c r="A7874" s="10" t="s">
        <v>3490</v>
      </c>
      <c r="B7874" s="10" t="s">
        <v>42</v>
      </c>
      <c r="C7874" s="10" t="s">
        <v>344</v>
      </c>
      <c r="D7874" s="10" t="s">
        <v>3491</v>
      </c>
      <c r="E7874" s="14">
        <v>0.11111</v>
      </c>
      <c r="F7874" s="15">
        <f>ROUND(36.78,3)</f>
        <v>36.78</v>
      </c>
      <c r="G7874" s="12">
        <f t="shared" si="1183"/>
        <v>4.09</v>
      </c>
    </row>
    <row r="7875" ht="30.0" customHeight="1">
      <c r="A7875" s="10" t="s">
        <v>3492</v>
      </c>
      <c r="B7875" s="10" t="s">
        <v>42</v>
      </c>
      <c r="C7875" s="10" t="s">
        <v>344</v>
      </c>
      <c r="D7875" s="10" t="s">
        <v>3493</v>
      </c>
      <c r="E7875" s="14">
        <v>0.66667</v>
      </c>
      <c r="F7875" s="15">
        <f>ROUND(4.84,3)</f>
        <v>4.84</v>
      </c>
      <c r="G7875" s="12">
        <f t="shared" si="1183"/>
        <v>3.23</v>
      </c>
    </row>
    <row r="7876" ht="39.75" customHeight="1">
      <c r="A7876" s="10" t="s">
        <v>3472</v>
      </c>
      <c r="B7876" s="10" t="s">
        <v>42</v>
      </c>
      <c r="C7876" s="10" t="s">
        <v>344</v>
      </c>
      <c r="D7876" s="10" t="s">
        <v>3473</v>
      </c>
      <c r="E7876" s="14">
        <v>0.06667</v>
      </c>
      <c r="F7876" s="15">
        <f>ROUND(19.71,3)</f>
        <v>19.71</v>
      </c>
      <c r="G7876" s="12">
        <f t="shared" si="1183"/>
        <v>1.31</v>
      </c>
    </row>
    <row r="7877" ht="30.0" customHeight="1">
      <c r="A7877" s="10" t="s">
        <v>3474</v>
      </c>
      <c r="B7877" s="10" t="s">
        <v>42</v>
      </c>
      <c r="C7877" s="10" t="s">
        <v>344</v>
      </c>
      <c r="D7877" s="10" t="s">
        <v>3475</v>
      </c>
      <c r="E7877" s="14">
        <v>0.66667</v>
      </c>
      <c r="F7877" s="15">
        <f>ROUND(3.27,3)</f>
        <v>3.27</v>
      </c>
      <c r="G7877" s="12">
        <f t="shared" si="1183"/>
        <v>2.18</v>
      </c>
    </row>
    <row r="7878" ht="30.0" customHeight="1">
      <c r="A7878" s="10" t="s">
        <v>465</v>
      </c>
      <c r="B7878" s="10" t="s">
        <v>42</v>
      </c>
      <c r="C7878" s="10" t="s">
        <v>43</v>
      </c>
      <c r="D7878" s="10" t="s">
        <v>466</v>
      </c>
      <c r="E7878" s="14">
        <v>0.16</v>
      </c>
      <c r="F7878" s="15">
        <f>ROUND(4.58,3)</f>
        <v>4.58</v>
      </c>
      <c r="G7878" s="12">
        <f t="shared" si="1183"/>
        <v>0.73</v>
      </c>
    </row>
    <row r="7879" ht="30.0" customHeight="1">
      <c r="A7879" s="10" t="s">
        <v>467</v>
      </c>
      <c r="B7879" s="10" t="s">
        <v>42</v>
      </c>
      <c r="C7879" s="10" t="s">
        <v>43</v>
      </c>
      <c r="D7879" s="10" t="s">
        <v>468</v>
      </c>
      <c r="E7879" s="14">
        <v>0.286</v>
      </c>
      <c r="F7879" s="15">
        <f>ROUND(6.09,3)</f>
        <v>6.09</v>
      </c>
      <c r="G7879" s="12">
        <f t="shared" si="1183"/>
        <v>1.74</v>
      </c>
    </row>
    <row r="7880" ht="39.75" customHeight="1">
      <c r="A7880" s="10" t="s">
        <v>1340</v>
      </c>
      <c r="B7880" s="10" t="s">
        <v>42</v>
      </c>
      <c r="C7880" s="10" t="s">
        <v>1245</v>
      </c>
      <c r="D7880" s="10" t="s">
        <v>1341</v>
      </c>
      <c r="E7880" s="14">
        <v>0.125</v>
      </c>
      <c r="F7880" s="15">
        <f>ROUND(7.37,3)</f>
        <v>7.37</v>
      </c>
      <c r="G7880" s="12">
        <f t="shared" si="1183"/>
        <v>0.92</v>
      </c>
    </row>
    <row r="7881" ht="30.0" customHeight="1">
      <c r="A7881" s="10" t="s">
        <v>1378</v>
      </c>
      <c r="B7881" s="10" t="s">
        <v>42</v>
      </c>
      <c r="C7881" s="10" t="s">
        <v>330</v>
      </c>
      <c r="D7881" s="10" t="s">
        <v>1379</v>
      </c>
      <c r="E7881" s="14">
        <v>0.0665</v>
      </c>
      <c r="F7881" s="15">
        <f>ROUND(6.14,3)</f>
        <v>6.14</v>
      </c>
      <c r="G7881" s="12">
        <f t="shared" si="1183"/>
        <v>0.41</v>
      </c>
    </row>
    <row r="7882" ht="30.0" customHeight="1">
      <c r="A7882" s="10" t="s">
        <v>1745</v>
      </c>
      <c r="B7882" s="10" t="s">
        <v>42</v>
      </c>
      <c r="C7882" s="10" t="s">
        <v>330</v>
      </c>
      <c r="D7882" s="10" t="s">
        <v>1746</v>
      </c>
      <c r="E7882" s="14">
        <v>0.16625</v>
      </c>
      <c r="F7882" s="15">
        <f>ROUND(7.93,3)</f>
        <v>7.93</v>
      </c>
      <c r="G7882" s="12">
        <f t="shared" si="1183"/>
        <v>1.32</v>
      </c>
    </row>
    <row r="7883" ht="21.0" customHeight="1">
      <c r="A7883" s="10" t="s">
        <v>969</v>
      </c>
      <c r="B7883" s="10" t="s">
        <v>112</v>
      </c>
      <c r="C7883" s="10" t="s">
        <v>23</v>
      </c>
      <c r="D7883" s="10" t="s">
        <v>970</v>
      </c>
      <c r="E7883" s="14">
        <v>0.5</v>
      </c>
      <c r="F7883" s="15">
        <f>ROUND(2,3)</f>
        <v>2</v>
      </c>
      <c r="G7883" s="12">
        <f t="shared" si="1183"/>
        <v>1</v>
      </c>
    </row>
    <row r="7884" ht="30.0" customHeight="1">
      <c r="A7884" s="10" t="s">
        <v>971</v>
      </c>
      <c r="B7884" s="10" t="s">
        <v>42</v>
      </c>
      <c r="C7884" s="10" t="s">
        <v>231</v>
      </c>
      <c r="D7884" s="10" t="s">
        <v>972</v>
      </c>
      <c r="E7884" s="14">
        <v>0.033</v>
      </c>
      <c r="F7884" s="15">
        <f>ROUND(4.92,3)</f>
        <v>4.92</v>
      </c>
      <c r="G7884" s="12">
        <f t="shared" si="1183"/>
        <v>0.16</v>
      </c>
    </row>
    <row r="7885" ht="21.0" customHeight="1">
      <c r="A7885" s="10" t="s">
        <v>22</v>
      </c>
      <c r="B7885" s="10" t="s">
        <v>18</v>
      </c>
      <c r="C7885" s="10" t="s">
        <v>23</v>
      </c>
      <c r="D7885" s="10" t="s">
        <v>24</v>
      </c>
      <c r="E7885" s="14">
        <v>1.2</v>
      </c>
      <c r="F7885" s="15">
        <f>F7889</f>
        <v>43.8</v>
      </c>
      <c r="G7885" s="12">
        <f t="shared" si="1183"/>
        <v>52.56</v>
      </c>
    </row>
    <row r="7886" ht="24.0" customHeight="1">
      <c r="A7886" s="10" t="s">
        <v>25</v>
      </c>
      <c r="B7886" s="10" t="s">
        <v>26</v>
      </c>
      <c r="C7886" s="10" t="s">
        <v>23</v>
      </c>
      <c r="D7886" s="10" t="s">
        <v>27</v>
      </c>
      <c r="E7886" s="14">
        <v>1.0</v>
      </c>
      <c r="F7886" s="15">
        <f>ROUND(21,3)</f>
        <v>21</v>
      </c>
      <c r="G7886" s="12">
        <f t="shared" si="1183"/>
        <v>21</v>
      </c>
    </row>
    <row r="7887" ht="24.0" customHeight="1">
      <c r="A7887" s="10" t="s">
        <v>28</v>
      </c>
      <c r="B7887" s="10" t="s">
        <v>26</v>
      </c>
      <c r="C7887" s="10" t="s">
        <v>23</v>
      </c>
      <c r="D7887" s="10" t="s">
        <v>29</v>
      </c>
      <c r="E7887" s="14">
        <v>1.0</v>
      </c>
      <c r="F7887" s="15">
        <f t="shared" ref="F7887:F7888" si="1184">ROUND(19,3)</f>
        <v>19</v>
      </c>
      <c r="G7887" s="12">
        <f t="shared" si="1183"/>
        <v>19</v>
      </c>
    </row>
    <row r="7888" ht="24.0" customHeight="1">
      <c r="A7888" s="10" t="s">
        <v>30</v>
      </c>
      <c r="B7888" s="10" t="s">
        <v>26</v>
      </c>
      <c r="C7888" s="10" t="s">
        <v>23</v>
      </c>
      <c r="D7888" s="10" t="s">
        <v>31</v>
      </c>
      <c r="E7888" s="14">
        <v>0.2</v>
      </c>
      <c r="F7888" s="15">
        <f t="shared" si="1184"/>
        <v>19</v>
      </c>
      <c r="G7888" s="12">
        <f t="shared" si="1183"/>
        <v>3.8</v>
      </c>
    </row>
    <row r="7889" ht="15.0" customHeight="1">
      <c r="A7889" s="11"/>
      <c r="B7889" s="11"/>
      <c r="C7889" s="11"/>
      <c r="D7889" s="10" t="s">
        <v>22</v>
      </c>
      <c r="E7889" s="14">
        <v>1.2</v>
      </c>
      <c r="F7889" s="15">
        <f>ROUND((G7886+G7887+G7888),3)</f>
        <v>43.8</v>
      </c>
      <c r="G7889" s="12">
        <f t="shared" si="1183"/>
        <v>52.56</v>
      </c>
    </row>
    <row r="7890" ht="15.0" customHeight="1">
      <c r="A7890" s="10" t="s">
        <v>32</v>
      </c>
      <c r="B7890" s="10"/>
      <c r="C7890" s="10" t="s">
        <v>33</v>
      </c>
      <c r="D7890" s="10" t="s">
        <v>34</v>
      </c>
      <c r="E7890" s="14">
        <v>3.0</v>
      </c>
      <c r="F7890" s="15">
        <f>ROUND(52.56,3)</f>
        <v>52.56</v>
      </c>
      <c r="G7890" s="12">
        <f>ROUND((E7890*F7890)/100,2)</f>
        <v>1.58</v>
      </c>
    </row>
    <row r="7891" ht="15.0" customHeight="1">
      <c r="A7891" s="16"/>
      <c r="B7891" s="16"/>
      <c r="C7891" s="16"/>
      <c r="D7891" s="17" t="s">
        <v>3479</v>
      </c>
      <c r="E7891" s="16"/>
      <c r="F7891" s="18">
        <f>ROUND((G7870+G7871+G7872+G7873+G7874+G7875+G7876+G7877+G7878+G7879+G7880+G7881+G7882+G7883+G7884+G7885+G7890)*(1+G2/100),2)</f>
        <v>227.79</v>
      </c>
      <c r="G7891" s="16"/>
    </row>
    <row r="7892" ht="39.75" customHeight="1">
      <c r="A7892" s="19" t="s">
        <v>3494</v>
      </c>
      <c r="B7892" s="20" t="s">
        <v>18</v>
      </c>
      <c r="C7892" s="20" t="s">
        <v>295</v>
      </c>
      <c r="D7892" s="20" t="s">
        <v>3495</v>
      </c>
      <c r="E7892" s="21"/>
      <c r="F7892" s="22">
        <f>F7903</f>
        <v>64.18</v>
      </c>
      <c r="G7892" s="21"/>
    </row>
    <row r="7893" ht="39.75" customHeight="1">
      <c r="A7893" s="11"/>
      <c r="B7893" s="11"/>
      <c r="C7893" s="11"/>
      <c r="D7893" s="10" t="s">
        <v>3496</v>
      </c>
    </row>
    <row r="7894" ht="21.0" customHeight="1">
      <c r="A7894" s="10" t="s">
        <v>3497</v>
      </c>
      <c r="B7894" s="10" t="s">
        <v>42</v>
      </c>
      <c r="C7894" s="10" t="s">
        <v>304</v>
      </c>
      <c r="D7894" s="10" t="s">
        <v>3498</v>
      </c>
      <c r="E7894" s="14">
        <v>1.0</v>
      </c>
      <c r="F7894" s="15">
        <f>ROUND(18,3)</f>
        <v>18</v>
      </c>
      <c r="G7894" s="12">
        <f t="shared" ref="G7894:G7901" si="1185">ROUND(E7894*F7894,2)</f>
        <v>18</v>
      </c>
    </row>
    <row r="7895" ht="30.0" customHeight="1">
      <c r="A7895" s="10" t="s">
        <v>467</v>
      </c>
      <c r="B7895" s="10" t="s">
        <v>42</v>
      </c>
      <c r="C7895" s="10" t="s">
        <v>43</v>
      </c>
      <c r="D7895" s="10" t="s">
        <v>468</v>
      </c>
      <c r="E7895" s="14">
        <v>0.1</v>
      </c>
      <c r="F7895" s="15">
        <f>ROUND(6.09,3)</f>
        <v>6.09</v>
      </c>
      <c r="G7895" s="12">
        <f t="shared" si="1185"/>
        <v>0.61</v>
      </c>
    </row>
    <row r="7896" ht="30.0" customHeight="1">
      <c r="A7896" s="10" t="s">
        <v>465</v>
      </c>
      <c r="B7896" s="10" t="s">
        <v>42</v>
      </c>
      <c r="C7896" s="10" t="s">
        <v>43</v>
      </c>
      <c r="D7896" s="10" t="s">
        <v>466</v>
      </c>
      <c r="E7896" s="14">
        <v>0.1</v>
      </c>
      <c r="F7896" s="15">
        <f>ROUND(4.58,3)</f>
        <v>4.58</v>
      </c>
      <c r="G7896" s="12">
        <f t="shared" si="1185"/>
        <v>0.46</v>
      </c>
    </row>
    <row r="7897" ht="21.0" customHeight="1">
      <c r="A7897" s="10" t="s">
        <v>22</v>
      </c>
      <c r="B7897" s="10" t="s">
        <v>18</v>
      </c>
      <c r="C7897" s="10" t="s">
        <v>23</v>
      </c>
      <c r="D7897" s="10" t="s">
        <v>24</v>
      </c>
      <c r="E7897" s="14">
        <v>1.0</v>
      </c>
      <c r="F7897" s="15">
        <f>F7901</f>
        <v>43.8</v>
      </c>
      <c r="G7897" s="12">
        <f t="shared" si="1185"/>
        <v>43.8</v>
      </c>
    </row>
    <row r="7898" ht="24.0" customHeight="1">
      <c r="A7898" s="10" t="s">
        <v>25</v>
      </c>
      <c r="B7898" s="10" t="s">
        <v>26</v>
      </c>
      <c r="C7898" s="10" t="s">
        <v>23</v>
      </c>
      <c r="D7898" s="10" t="s">
        <v>27</v>
      </c>
      <c r="E7898" s="14">
        <v>1.0</v>
      </c>
      <c r="F7898" s="15">
        <f>ROUND(21,3)</f>
        <v>21</v>
      </c>
      <c r="G7898" s="12">
        <f t="shared" si="1185"/>
        <v>21</v>
      </c>
    </row>
    <row r="7899" ht="24.0" customHeight="1">
      <c r="A7899" s="10" t="s">
        <v>28</v>
      </c>
      <c r="B7899" s="10" t="s">
        <v>26</v>
      </c>
      <c r="C7899" s="10" t="s">
        <v>23</v>
      </c>
      <c r="D7899" s="10" t="s">
        <v>29</v>
      </c>
      <c r="E7899" s="14">
        <v>1.0</v>
      </c>
      <c r="F7899" s="15">
        <f t="shared" ref="F7899:F7900" si="1186">ROUND(19,3)</f>
        <v>19</v>
      </c>
      <c r="G7899" s="12">
        <f t="shared" si="1185"/>
        <v>19</v>
      </c>
    </row>
    <row r="7900" ht="24.0" customHeight="1">
      <c r="A7900" s="10" t="s">
        <v>30</v>
      </c>
      <c r="B7900" s="10" t="s">
        <v>26</v>
      </c>
      <c r="C7900" s="10" t="s">
        <v>23</v>
      </c>
      <c r="D7900" s="10" t="s">
        <v>31</v>
      </c>
      <c r="E7900" s="14">
        <v>0.2</v>
      </c>
      <c r="F7900" s="15">
        <f t="shared" si="1186"/>
        <v>19</v>
      </c>
      <c r="G7900" s="12">
        <f t="shared" si="1185"/>
        <v>3.8</v>
      </c>
    </row>
    <row r="7901" ht="15.0" customHeight="1">
      <c r="A7901" s="11"/>
      <c r="B7901" s="11"/>
      <c r="C7901" s="11"/>
      <c r="D7901" s="10" t="s">
        <v>22</v>
      </c>
      <c r="E7901" s="14">
        <v>1.0</v>
      </c>
      <c r="F7901" s="15">
        <f>ROUND((G7898+G7899+G7900),3)</f>
        <v>43.8</v>
      </c>
      <c r="G7901" s="12">
        <f t="shared" si="1185"/>
        <v>43.8</v>
      </c>
    </row>
    <row r="7902" ht="15.0" customHeight="1">
      <c r="A7902" s="10" t="s">
        <v>32</v>
      </c>
      <c r="B7902" s="10"/>
      <c r="C7902" s="10" t="s">
        <v>33</v>
      </c>
      <c r="D7902" s="10" t="s">
        <v>34</v>
      </c>
      <c r="E7902" s="14">
        <v>3.0</v>
      </c>
      <c r="F7902" s="15">
        <f>ROUND(43.8,3)</f>
        <v>43.8</v>
      </c>
      <c r="G7902" s="12">
        <f>ROUND((E7902*F7902)/100,2)</f>
        <v>1.31</v>
      </c>
    </row>
    <row r="7903" ht="15.0" customHeight="1">
      <c r="A7903" s="16"/>
      <c r="B7903" s="16"/>
      <c r="C7903" s="16"/>
      <c r="D7903" s="17" t="s">
        <v>3494</v>
      </c>
      <c r="E7903" s="16"/>
      <c r="F7903" s="18">
        <f>ROUND((G7894+G7895+G7896+G7897+G7902)*(1+G2/100),2)</f>
        <v>64.18</v>
      </c>
      <c r="G7903" s="16"/>
    </row>
    <row r="7904" ht="48.75" customHeight="1">
      <c r="A7904" s="19" t="s">
        <v>3499</v>
      </c>
      <c r="B7904" s="20" t="s">
        <v>18</v>
      </c>
      <c r="C7904" s="20" t="s">
        <v>295</v>
      </c>
      <c r="D7904" s="20" t="s">
        <v>3500</v>
      </c>
      <c r="E7904" s="21"/>
      <c r="F7904" s="22">
        <f>F7915</f>
        <v>70.06</v>
      </c>
      <c r="G7904" s="21"/>
    </row>
    <row r="7905" ht="48.75" customHeight="1">
      <c r="A7905" s="11"/>
      <c r="B7905" s="11"/>
      <c r="C7905" s="11"/>
      <c r="D7905" s="10" t="s">
        <v>3501</v>
      </c>
    </row>
    <row r="7906" ht="21.0" customHeight="1">
      <c r="A7906" s="10" t="s">
        <v>3497</v>
      </c>
      <c r="B7906" s="10" t="s">
        <v>42</v>
      </c>
      <c r="C7906" s="10" t="s">
        <v>304</v>
      </c>
      <c r="D7906" s="10" t="s">
        <v>3498</v>
      </c>
      <c r="E7906" s="14">
        <v>1.0</v>
      </c>
      <c r="F7906" s="15">
        <f>ROUND(18,3)</f>
        <v>18</v>
      </c>
      <c r="G7906" s="12">
        <f t="shared" ref="G7906:G7913" si="1187">ROUND(E7906*F7906,2)</f>
        <v>18</v>
      </c>
    </row>
    <row r="7907" ht="30.0" customHeight="1">
      <c r="A7907" s="10" t="s">
        <v>467</v>
      </c>
      <c r="B7907" s="10" t="s">
        <v>42</v>
      </c>
      <c r="C7907" s="10" t="s">
        <v>43</v>
      </c>
      <c r="D7907" s="10" t="s">
        <v>468</v>
      </c>
      <c r="E7907" s="14">
        <v>0.1</v>
      </c>
      <c r="F7907" s="15">
        <f>ROUND(6.09,3)</f>
        <v>6.09</v>
      </c>
      <c r="G7907" s="12">
        <f t="shared" si="1187"/>
        <v>0.61</v>
      </c>
    </row>
    <row r="7908" ht="30.0" customHeight="1">
      <c r="A7908" s="10" t="s">
        <v>465</v>
      </c>
      <c r="B7908" s="10" t="s">
        <v>42</v>
      </c>
      <c r="C7908" s="10" t="s">
        <v>43</v>
      </c>
      <c r="D7908" s="10" t="s">
        <v>466</v>
      </c>
      <c r="E7908" s="14">
        <v>0.1</v>
      </c>
      <c r="F7908" s="15">
        <f>ROUND(4.58,3)</f>
        <v>4.58</v>
      </c>
      <c r="G7908" s="12">
        <f t="shared" si="1187"/>
        <v>0.46</v>
      </c>
    </row>
    <row r="7909" ht="24.0" customHeight="1">
      <c r="A7909" s="10" t="s">
        <v>286</v>
      </c>
      <c r="B7909" s="10" t="s">
        <v>18</v>
      </c>
      <c r="C7909" s="10" t="s">
        <v>23</v>
      </c>
      <c r="D7909" s="10" t="s">
        <v>287</v>
      </c>
      <c r="E7909" s="14">
        <v>1.0</v>
      </c>
      <c r="F7909" s="15">
        <f>F7913</f>
        <v>49.5</v>
      </c>
      <c r="G7909" s="12">
        <f t="shared" si="1187"/>
        <v>49.5</v>
      </c>
    </row>
    <row r="7910" ht="24.0" customHeight="1">
      <c r="A7910" s="10" t="s">
        <v>288</v>
      </c>
      <c r="B7910" s="10" t="s">
        <v>26</v>
      </c>
      <c r="C7910" s="10" t="s">
        <v>23</v>
      </c>
      <c r="D7910" s="10" t="s">
        <v>289</v>
      </c>
      <c r="E7910" s="14">
        <v>1.0</v>
      </c>
      <c r="F7910" s="15">
        <f>ROUND(21,3)</f>
        <v>21</v>
      </c>
      <c r="G7910" s="12">
        <f t="shared" si="1187"/>
        <v>21</v>
      </c>
    </row>
    <row r="7911" ht="24.0" customHeight="1">
      <c r="A7911" s="10" t="s">
        <v>290</v>
      </c>
      <c r="B7911" s="10" t="s">
        <v>26</v>
      </c>
      <c r="C7911" s="10" t="s">
        <v>23</v>
      </c>
      <c r="D7911" s="10" t="s">
        <v>291</v>
      </c>
      <c r="E7911" s="14">
        <v>1.0</v>
      </c>
      <c r="F7911" s="15">
        <f t="shared" ref="F7911:F7912" si="1188">ROUND(19,3)</f>
        <v>19</v>
      </c>
      <c r="G7911" s="12">
        <f t="shared" si="1187"/>
        <v>19</v>
      </c>
    </row>
    <row r="7912" ht="24.0" customHeight="1">
      <c r="A7912" s="10" t="s">
        <v>292</v>
      </c>
      <c r="B7912" s="10" t="s">
        <v>26</v>
      </c>
      <c r="C7912" s="10" t="s">
        <v>23</v>
      </c>
      <c r="D7912" s="10" t="s">
        <v>293</v>
      </c>
      <c r="E7912" s="14">
        <v>0.5</v>
      </c>
      <c r="F7912" s="15">
        <f t="shared" si="1188"/>
        <v>19</v>
      </c>
      <c r="G7912" s="12">
        <f t="shared" si="1187"/>
        <v>9.5</v>
      </c>
    </row>
    <row r="7913" ht="15.0" customHeight="1">
      <c r="A7913" s="11"/>
      <c r="B7913" s="11"/>
      <c r="C7913" s="11"/>
      <c r="D7913" s="10" t="s">
        <v>286</v>
      </c>
      <c r="E7913" s="14">
        <v>1.0</v>
      </c>
      <c r="F7913" s="15">
        <f>ROUND((G7910+G7911+G7912),3)</f>
        <v>49.5</v>
      </c>
      <c r="G7913" s="12">
        <f t="shared" si="1187"/>
        <v>49.5</v>
      </c>
    </row>
    <row r="7914" ht="15.0" customHeight="1">
      <c r="A7914" s="10" t="s">
        <v>32</v>
      </c>
      <c r="B7914" s="10"/>
      <c r="C7914" s="10" t="s">
        <v>33</v>
      </c>
      <c r="D7914" s="10" t="s">
        <v>34</v>
      </c>
      <c r="E7914" s="14">
        <v>3.0</v>
      </c>
      <c r="F7914" s="15">
        <f>ROUND(49.5,3)</f>
        <v>49.5</v>
      </c>
      <c r="G7914" s="12">
        <f>ROUND((E7914*F7914)/100,2)</f>
        <v>1.49</v>
      </c>
    </row>
    <row r="7915" ht="15.0" customHeight="1">
      <c r="A7915" s="16"/>
      <c r="B7915" s="16"/>
      <c r="C7915" s="16"/>
      <c r="D7915" s="17" t="s">
        <v>3499</v>
      </c>
      <c r="E7915" s="16"/>
      <c r="F7915" s="18">
        <f>ROUND((G7906+G7907+G7908+G7909+G7914)*(1+G2/100),2)</f>
        <v>70.06</v>
      </c>
      <c r="G7915" s="16"/>
    </row>
    <row r="7916" ht="21.0" customHeight="1">
      <c r="A7916" s="19" t="s">
        <v>3502</v>
      </c>
      <c r="B7916" s="20" t="s">
        <v>18</v>
      </c>
      <c r="C7916" s="20" t="s">
        <v>321</v>
      </c>
      <c r="D7916" s="20" t="s">
        <v>3503</v>
      </c>
      <c r="E7916" s="21"/>
      <c r="F7916" s="22">
        <f>F7926</f>
        <v>57.21</v>
      </c>
      <c r="G7916" s="21"/>
    </row>
    <row r="7917" ht="30.0" customHeight="1">
      <c r="A7917" s="11"/>
      <c r="B7917" s="11"/>
      <c r="C7917" s="11"/>
      <c r="D7917" s="10" t="s">
        <v>3504</v>
      </c>
    </row>
    <row r="7918" ht="30.0" customHeight="1">
      <c r="A7918" s="10" t="s">
        <v>3505</v>
      </c>
      <c r="B7918" s="10" t="s">
        <v>42</v>
      </c>
      <c r="C7918" s="10" t="s">
        <v>344</v>
      </c>
      <c r="D7918" s="10" t="s">
        <v>3506</v>
      </c>
      <c r="E7918" s="14">
        <v>13.0</v>
      </c>
      <c r="F7918" s="15">
        <f>ROUND(0.47,3)</f>
        <v>0.47</v>
      </c>
      <c r="G7918" s="12">
        <f t="shared" ref="G7918:G7924" si="1189">ROUND(E7918*F7918,2)</f>
        <v>6.11</v>
      </c>
    </row>
    <row r="7919" ht="30.0" customHeight="1">
      <c r="A7919" s="10" t="s">
        <v>1382</v>
      </c>
      <c r="B7919" s="10" t="s">
        <v>42</v>
      </c>
      <c r="C7919" s="10" t="s">
        <v>184</v>
      </c>
      <c r="D7919" s="10" t="s">
        <v>1383</v>
      </c>
      <c r="E7919" s="14">
        <v>1.0</v>
      </c>
      <c r="F7919" s="15">
        <f>ROUND(1.47,3)</f>
        <v>1.47</v>
      </c>
      <c r="G7919" s="12">
        <f t="shared" si="1189"/>
        <v>1.47</v>
      </c>
    </row>
    <row r="7920" ht="21.0" customHeight="1">
      <c r="A7920" s="10" t="s">
        <v>22</v>
      </c>
      <c r="B7920" s="10" t="s">
        <v>18</v>
      </c>
      <c r="C7920" s="10" t="s">
        <v>23</v>
      </c>
      <c r="D7920" s="10" t="s">
        <v>24</v>
      </c>
      <c r="E7920" s="14">
        <v>1.1</v>
      </c>
      <c r="F7920" s="15">
        <f>F7924</f>
        <v>43.8</v>
      </c>
      <c r="G7920" s="12">
        <f t="shared" si="1189"/>
        <v>48.18</v>
      </c>
    </row>
    <row r="7921" ht="24.0" customHeight="1">
      <c r="A7921" s="10" t="s">
        <v>25</v>
      </c>
      <c r="B7921" s="10" t="s">
        <v>26</v>
      </c>
      <c r="C7921" s="10" t="s">
        <v>23</v>
      </c>
      <c r="D7921" s="10" t="s">
        <v>27</v>
      </c>
      <c r="E7921" s="14">
        <v>1.0</v>
      </c>
      <c r="F7921" s="15">
        <f>ROUND(21,3)</f>
        <v>21</v>
      </c>
      <c r="G7921" s="12">
        <f t="shared" si="1189"/>
        <v>21</v>
      </c>
    </row>
    <row r="7922" ht="24.0" customHeight="1">
      <c r="A7922" s="10" t="s">
        <v>28</v>
      </c>
      <c r="B7922" s="10" t="s">
        <v>26</v>
      </c>
      <c r="C7922" s="10" t="s">
        <v>23</v>
      </c>
      <c r="D7922" s="10" t="s">
        <v>29</v>
      </c>
      <c r="E7922" s="14">
        <v>1.0</v>
      </c>
      <c r="F7922" s="15">
        <f t="shared" ref="F7922:F7923" si="1190">ROUND(19,3)</f>
        <v>19</v>
      </c>
      <c r="G7922" s="12">
        <f t="shared" si="1189"/>
        <v>19</v>
      </c>
    </row>
    <row r="7923" ht="24.0" customHeight="1">
      <c r="A7923" s="10" t="s">
        <v>30</v>
      </c>
      <c r="B7923" s="10" t="s">
        <v>26</v>
      </c>
      <c r="C7923" s="10" t="s">
        <v>23</v>
      </c>
      <c r="D7923" s="10" t="s">
        <v>31</v>
      </c>
      <c r="E7923" s="14">
        <v>0.2</v>
      </c>
      <c r="F7923" s="15">
        <f t="shared" si="1190"/>
        <v>19</v>
      </c>
      <c r="G7923" s="12">
        <f t="shared" si="1189"/>
        <v>3.8</v>
      </c>
    </row>
    <row r="7924" ht="15.0" customHeight="1">
      <c r="A7924" s="11"/>
      <c r="B7924" s="11"/>
      <c r="C7924" s="11"/>
      <c r="D7924" s="10" t="s">
        <v>22</v>
      </c>
      <c r="E7924" s="14">
        <v>1.1</v>
      </c>
      <c r="F7924" s="15">
        <f>ROUND((G7921+G7922+G7923),3)</f>
        <v>43.8</v>
      </c>
      <c r="G7924" s="12">
        <f t="shared" si="1189"/>
        <v>48.18</v>
      </c>
    </row>
    <row r="7925" ht="15.0" customHeight="1">
      <c r="A7925" s="10" t="s">
        <v>32</v>
      </c>
      <c r="B7925" s="10"/>
      <c r="C7925" s="10" t="s">
        <v>33</v>
      </c>
      <c r="D7925" s="10" t="s">
        <v>34</v>
      </c>
      <c r="E7925" s="14">
        <v>3.0</v>
      </c>
      <c r="F7925" s="15">
        <f>ROUND(48.18,3)</f>
        <v>48.18</v>
      </c>
      <c r="G7925" s="12">
        <f>ROUND((E7925*F7925)/100,2)</f>
        <v>1.45</v>
      </c>
    </row>
    <row r="7926" ht="15.0" customHeight="1">
      <c r="A7926" s="16"/>
      <c r="B7926" s="16"/>
      <c r="C7926" s="16"/>
      <c r="D7926" s="17" t="s">
        <v>3502</v>
      </c>
      <c r="E7926" s="16"/>
      <c r="F7926" s="18">
        <f>ROUND((G7918+G7919+G7920+G7925)*(1+G2/100),2)</f>
        <v>57.21</v>
      </c>
      <c r="G7926" s="16"/>
    </row>
    <row r="7927" ht="21.0" customHeight="1">
      <c r="A7927" s="19" t="s">
        <v>3507</v>
      </c>
      <c r="B7927" s="20" t="s">
        <v>18</v>
      </c>
      <c r="C7927" s="20" t="s">
        <v>321</v>
      </c>
      <c r="D7927" s="20" t="s">
        <v>3508</v>
      </c>
      <c r="E7927" s="21"/>
      <c r="F7927" s="22">
        <f>F7945</f>
        <v>64.89</v>
      </c>
      <c r="G7927" s="21"/>
    </row>
    <row r="7928" ht="95.25" customHeight="1">
      <c r="A7928" s="11"/>
      <c r="B7928" s="11"/>
      <c r="C7928" s="11"/>
      <c r="D7928" s="10" t="s">
        <v>3509</v>
      </c>
    </row>
    <row r="7929" ht="21.0" customHeight="1">
      <c r="A7929" s="10" t="s">
        <v>3510</v>
      </c>
      <c r="B7929" s="10" t="s">
        <v>42</v>
      </c>
      <c r="C7929" s="10" t="s">
        <v>5</v>
      </c>
      <c r="D7929" s="10" t="s">
        <v>3511</v>
      </c>
      <c r="E7929" s="14">
        <v>3.2</v>
      </c>
      <c r="F7929" s="15">
        <f>ROUND(0.06,3)</f>
        <v>0.06</v>
      </c>
      <c r="G7929" s="12">
        <f t="shared" ref="G7929:G7943" si="1191">ROUND(E7929*F7929,2)</f>
        <v>0.19</v>
      </c>
    </row>
    <row r="7930" ht="57.75" customHeight="1">
      <c r="A7930" s="10" t="s">
        <v>3512</v>
      </c>
      <c r="B7930" s="10" t="s">
        <v>42</v>
      </c>
      <c r="C7930" s="10" t="s">
        <v>351</v>
      </c>
      <c r="D7930" s="10" t="s">
        <v>3513</v>
      </c>
      <c r="E7930" s="14">
        <v>0.45</v>
      </c>
      <c r="F7930" s="15">
        <f>ROUND(0.38,3)</f>
        <v>0.38</v>
      </c>
      <c r="G7930" s="12">
        <f t="shared" si="1191"/>
        <v>0.17</v>
      </c>
    </row>
    <row r="7931" ht="30.0" customHeight="1">
      <c r="A7931" s="10" t="s">
        <v>3514</v>
      </c>
      <c r="B7931" s="10" t="s">
        <v>42</v>
      </c>
      <c r="C7931" s="10" t="s">
        <v>351</v>
      </c>
      <c r="D7931" s="10" t="s">
        <v>3515</v>
      </c>
      <c r="E7931" s="14">
        <v>0.9</v>
      </c>
      <c r="F7931" s="15">
        <f>ROUND(1.65,3)</f>
        <v>1.65</v>
      </c>
      <c r="G7931" s="12">
        <f t="shared" si="1191"/>
        <v>1.49</v>
      </c>
    </row>
    <row r="7932" ht="30.0" customHeight="1">
      <c r="A7932" s="10" t="s">
        <v>3516</v>
      </c>
      <c r="B7932" s="10" t="s">
        <v>42</v>
      </c>
      <c r="C7932" s="10" t="s">
        <v>351</v>
      </c>
      <c r="D7932" s="10" t="s">
        <v>3517</v>
      </c>
      <c r="E7932" s="14">
        <v>4.0</v>
      </c>
      <c r="F7932" s="15">
        <f>ROUND(2.04,3)</f>
        <v>2.04</v>
      </c>
      <c r="G7932" s="12">
        <f t="shared" si="1191"/>
        <v>8.16</v>
      </c>
    </row>
    <row r="7933" ht="48.75" customHeight="1">
      <c r="A7933" s="10" t="s">
        <v>3518</v>
      </c>
      <c r="B7933" s="10" t="s">
        <v>42</v>
      </c>
      <c r="C7933" s="10" t="s">
        <v>1357</v>
      </c>
      <c r="D7933" s="10" t="s">
        <v>3519</v>
      </c>
      <c r="E7933" s="14">
        <v>2.1</v>
      </c>
      <c r="F7933" s="15">
        <f>ROUND(8.44,3)</f>
        <v>8.44</v>
      </c>
      <c r="G7933" s="12">
        <f t="shared" si="1191"/>
        <v>17.72</v>
      </c>
    </row>
    <row r="7934" ht="15.0" customHeight="1">
      <c r="A7934" s="10" t="s">
        <v>3520</v>
      </c>
      <c r="B7934" s="10" t="s">
        <v>42</v>
      </c>
      <c r="C7934" s="10" t="s">
        <v>5</v>
      </c>
      <c r="D7934" s="10" t="s">
        <v>3521</v>
      </c>
      <c r="E7934" s="14">
        <v>16.65</v>
      </c>
      <c r="F7934" s="15">
        <f t="shared" ref="F7934:F7935" si="1192">ROUND(0.01,3)</f>
        <v>0.01</v>
      </c>
      <c r="G7934" s="12">
        <f t="shared" si="1191"/>
        <v>0.17</v>
      </c>
    </row>
    <row r="7935" ht="15.0" customHeight="1">
      <c r="A7935" s="10" t="s">
        <v>3522</v>
      </c>
      <c r="B7935" s="10" t="s">
        <v>42</v>
      </c>
      <c r="C7935" s="10" t="s">
        <v>5</v>
      </c>
      <c r="D7935" s="10" t="s">
        <v>3523</v>
      </c>
      <c r="E7935" s="14">
        <v>16.65</v>
      </c>
      <c r="F7935" s="15">
        <f t="shared" si="1192"/>
        <v>0.01</v>
      </c>
      <c r="G7935" s="12">
        <f t="shared" si="1191"/>
        <v>0.17</v>
      </c>
    </row>
    <row r="7936" ht="39.75" customHeight="1">
      <c r="A7936" s="10" t="s">
        <v>3524</v>
      </c>
      <c r="B7936" s="10" t="s">
        <v>42</v>
      </c>
      <c r="C7936" s="10" t="s">
        <v>1357</v>
      </c>
      <c r="D7936" s="10" t="s">
        <v>3525</v>
      </c>
      <c r="E7936" s="14">
        <v>1.05</v>
      </c>
      <c r="F7936" s="15">
        <f>ROUND(4.21,3)</f>
        <v>4.21</v>
      </c>
      <c r="G7936" s="12">
        <f t="shared" si="1191"/>
        <v>4.42</v>
      </c>
    </row>
    <row r="7937" ht="21.0" customHeight="1">
      <c r="A7937" s="10" t="s">
        <v>3526</v>
      </c>
      <c r="B7937" s="10" t="s">
        <v>42</v>
      </c>
      <c r="C7937" s="10" t="s">
        <v>1207</v>
      </c>
      <c r="D7937" s="10" t="s">
        <v>3527</v>
      </c>
      <c r="E7937" s="14">
        <v>0.6</v>
      </c>
      <c r="F7937" s="15">
        <f>ROUND(1.15,3)</f>
        <v>1.15</v>
      </c>
      <c r="G7937" s="12">
        <f t="shared" si="1191"/>
        <v>0.69</v>
      </c>
    </row>
    <row r="7938" ht="21.0" customHeight="1">
      <c r="A7938" s="10" t="s">
        <v>3528</v>
      </c>
      <c r="B7938" s="10" t="s">
        <v>42</v>
      </c>
      <c r="C7938" s="10" t="s">
        <v>351</v>
      </c>
      <c r="D7938" s="10" t="s">
        <v>3529</v>
      </c>
      <c r="E7938" s="14">
        <v>3.2</v>
      </c>
      <c r="F7938" s="15">
        <f>ROUND(0.04,3)</f>
        <v>0.04</v>
      </c>
      <c r="G7938" s="12">
        <f t="shared" si="1191"/>
        <v>0.13</v>
      </c>
    </row>
    <row r="7939" ht="21.0" customHeight="1">
      <c r="A7939" s="10" t="s">
        <v>22</v>
      </c>
      <c r="B7939" s="10" t="s">
        <v>18</v>
      </c>
      <c r="C7939" s="10" t="s">
        <v>23</v>
      </c>
      <c r="D7939" s="10" t="s">
        <v>24</v>
      </c>
      <c r="E7939" s="14">
        <v>0.7</v>
      </c>
      <c r="F7939" s="15">
        <f>F7943</f>
        <v>43.8</v>
      </c>
      <c r="G7939" s="12">
        <f t="shared" si="1191"/>
        <v>30.66</v>
      </c>
    </row>
    <row r="7940" ht="24.0" customHeight="1">
      <c r="A7940" s="10" t="s">
        <v>25</v>
      </c>
      <c r="B7940" s="10" t="s">
        <v>26</v>
      </c>
      <c r="C7940" s="10" t="s">
        <v>23</v>
      </c>
      <c r="D7940" s="10" t="s">
        <v>27</v>
      </c>
      <c r="E7940" s="14">
        <v>1.0</v>
      </c>
      <c r="F7940" s="15">
        <f>ROUND(21,3)</f>
        <v>21</v>
      </c>
      <c r="G7940" s="12">
        <f t="shared" si="1191"/>
        <v>21</v>
      </c>
    </row>
    <row r="7941" ht="24.0" customHeight="1">
      <c r="A7941" s="10" t="s">
        <v>28</v>
      </c>
      <c r="B7941" s="10" t="s">
        <v>26</v>
      </c>
      <c r="C7941" s="10" t="s">
        <v>23</v>
      </c>
      <c r="D7941" s="10" t="s">
        <v>29</v>
      </c>
      <c r="E7941" s="14">
        <v>1.0</v>
      </c>
      <c r="F7941" s="15">
        <f t="shared" ref="F7941:F7942" si="1193">ROUND(19,3)</f>
        <v>19</v>
      </c>
      <c r="G7941" s="12">
        <f t="shared" si="1191"/>
        <v>19</v>
      </c>
    </row>
    <row r="7942" ht="24.0" customHeight="1">
      <c r="A7942" s="10" t="s">
        <v>30</v>
      </c>
      <c r="B7942" s="10" t="s">
        <v>26</v>
      </c>
      <c r="C7942" s="10" t="s">
        <v>23</v>
      </c>
      <c r="D7942" s="10" t="s">
        <v>31</v>
      </c>
      <c r="E7942" s="14">
        <v>0.2</v>
      </c>
      <c r="F7942" s="15">
        <f t="shared" si="1193"/>
        <v>19</v>
      </c>
      <c r="G7942" s="12">
        <f t="shared" si="1191"/>
        <v>3.8</v>
      </c>
    </row>
    <row r="7943" ht="15.0" customHeight="1">
      <c r="A7943" s="11"/>
      <c r="B7943" s="11"/>
      <c r="C7943" s="11"/>
      <c r="D7943" s="10" t="s">
        <v>22</v>
      </c>
      <c r="E7943" s="14">
        <v>0.7</v>
      </c>
      <c r="F7943" s="15">
        <f>ROUND((G7940+G7941+G7942),3)</f>
        <v>43.8</v>
      </c>
      <c r="G7943" s="12">
        <f t="shared" si="1191"/>
        <v>30.66</v>
      </c>
    </row>
    <row r="7944" ht="15.0" customHeight="1">
      <c r="A7944" s="10" t="s">
        <v>32</v>
      </c>
      <c r="B7944" s="10"/>
      <c r="C7944" s="10" t="s">
        <v>33</v>
      </c>
      <c r="D7944" s="10" t="s">
        <v>34</v>
      </c>
      <c r="E7944" s="14">
        <v>3.0</v>
      </c>
      <c r="F7944" s="15">
        <f>ROUND(30.66,3)</f>
        <v>30.66</v>
      </c>
      <c r="G7944" s="12">
        <f>ROUND((E7944*F7944)/100,2)</f>
        <v>0.92</v>
      </c>
    </row>
    <row r="7945" ht="15.0" customHeight="1">
      <c r="A7945" s="16"/>
      <c r="B7945" s="16"/>
      <c r="C7945" s="16"/>
      <c r="D7945" s="17" t="s">
        <v>3507</v>
      </c>
      <c r="E7945" s="16"/>
      <c r="F7945" s="18">
        <f>ROUND((G7929+G7930+G7931+G7932+G7933+G7934+G7935+G7936+G7937+G7938+G7939+G7944)*(1+G2/100),2)</f>
        <v>64.89</v>
      </c>
      <c r="G7945" s="16"/>
    </row>
    <row r="7946" ht="15.0" customHeight="1">
      <c r="A7946" s="19" t="s">
        <v>3530</v>
      </c>
      <c r="B7946" s="20" t="s">
        <v>18</v>
      </c>
      <c r="C7946" s="20" t="s">
        <v>295</v>
      </c>
      <c r="D7946" s="20" t="s">
        <v>3531</v>
      </c>
      <c r="E7946" s="21"/>
      <c r="F7946" s="22">
        <f>F7955</f>
        <v>162.67</v>
      </c>
      <c r="G7946" s="21"/>
    </row>
    <row r="7947" ht="12.0" customHeight="1">
      <c r="A7947" s="11"/>
      <c r="B7947" s="11"/>
      <c r="C7947" s="11"/>
      <c r="D7947" s="10" t="s">
        <v>3532</v>
      </c>
    </row>
    <row r="7948" ht="21.0" customHeight="1">
      <c r="A7948" s="10" t="s">
        <v>3533</v>
      </c>
      <c r="B7948" s="10" t="s">
        <v>42</v>
      </c>
      <c r="C7948" s="10" t="s">
        <v>304</v>
      </c>
      <c r="D7948" s="10" t="s">
        <v>3534</v>
      </c>
      <c r="E7948" s="14">
        <v>1.0</v>
      </c>
      <c r="F7948" s="15">
        <f>ROUND(95,3)</f>
        <v>95</v>
      </c>
      <c r="G7948" s="12">
        <f t="shared" ref="G7948:G7953" si="1194">ROUND(E7948*F7948,2)</f>
        <v>95</v>
      </c>
    </row>
    <row r="7949" ht="21.0" customHeight="1">
      <c r="A7949" s="10" t="s">
        <v>22</v>
      </c>
      <c r="B7949" s="10" t="s">
        <v>18</v>
      </c>
      <c r="C7949" s="10" t="s">
        <v>23</v>
      </c>
      <c r="D7949" s="10" t="s">
        <v>24</v>
      </c>
      <c r="E7949" s="14">
        <v>1.5</v>
      </c>
      <c r="F7949" s="15">
        <f>F7953</f>
        <v>43.8</v>
      </c>
      <c r="G7949" s="12">
        <f t="shared" si="1194"/>
        <v>65.7</v>
      </c>
    </row>
    <row r="7950" ht="24.0" customHeight="1">
      <c r="A7950" s="10" t="s">
        <v>25</v>
      </c>
      <c r="B7950" s="10" t="s">
        <v>26</v>
      </c>
      <c r="C7950" s="10" t="s">
        <v>23</v>
      </c>
      <c r="D7950" s="10" t="s">
        <v>27</v>
      </c>
      <c r="E7950" s="14">
        <v>1.0</v>
      </c>
      <c r="F7950" s="15">
        <f>ROUND(21,3)</f>
        <v>21</v>
      </c>
      <c r="G7950" s="12">
        <f t="shared" si="1194"/>
        <v>21</v>
      </c>
    </row>
    <row r="7951" ht="24.0" customHeight="1">
      <c r="A7951" s="10" t="s">
        <v>28</v>
      </c>
      <c r="B7951" s="10" t="s">
        <v>26</v>
      </c>
      <c r="C7951" s="10" t="s">
        <v>23</v>
      </c>
      <c r="D7951" s="10" t="s">
        <v>29</v>
      </c>
      <c r="E7951" s="14">
        <v>1.0</v>
      </c>
      <c r="F7951" s="15">
        <f t="shared" ref="F7951:F7952" si="1195">ROUND(19,3)</f>
        <v>19</v>
      </c>
      <c r="G7951" s="12">
        <f t="shared" si="1194"/>
        <v>19</v>
      </c>
    </row>
    <row r="7952" ht="24.0" customHeight="1">
      <c r="A7952" s="10" t="s">
        <v>30</v>
      </c>
      <c r="B7952" s="10" t="s">
        <v>26</v>
      </c>
      <c r="C7952" s="10" t="s">
        <v>23</v>
      </c>
      <c r="D7952" s="10" t="s">
        <v>31</v>
      </c>
      <c r="E7952" s="14">
        <v>0.2</v>
      </c>
      <c r="F7952" s="15">
        <f t="shared" si="1195"/>
        <v>19</v>
      </c>
      <c r="G7952" s="12">
        <f t="shared" si="1194"/>
        <v>3.8</v>
      </c>
    </row>
    <row r="7953" ht="15.0" customHeight="1">
      <c r="A7953" s="11"/>
      <c r="B7953" s="11"/>
      <c r="C7953" s="11"/>
      <c r="D7953" s="10" t="s">
        <v>22</v>
      </c>
      <c r="E7953" s="14">
        <v>1.5</v>
      </c>
      <c r="F7953" s="15">
        <f>ROUND((G7950+G7951+G7952),3)</f>
        <v>43.8</v>
      </c>
      <c r="G7953" s="12">
        <f t="shared" si="1194"/>
        <v>65.7</v>
      </c>
    </row>
    <row r="7954" ht="15.0" customHeight="1">
      <c r="A7954" s="10" t="s">
        <v>32</v>
      </c>
      <c r="B7954" s="10"/>
      <c r="C7954" s="10" t="s">
        <v>33</v>
      </c>
      <c r="D7954" s="10" t="s">
        <v>34</v>
      </c>
      <c r="E7954" s="14">
        <v>3.0</v>
      </c>
      <c r="F7954" s="15">
        <f>ROUND(65.7,3)</f>
        <v>65.7</v>
      </c>
      <c r="G7954" s="12">
        <f>ROUND((E7954*F7954)/100,2)</f>
        <v>1.97</v>
      </c>
    </row>
    <row r="7955" ht="15.0" customHeight="1">
      <c r="A7955" s="16"/>
      <c r="B7955" s="16"/>
      <c r="C7955" s="16"/>
      <c r="D7955" s="17" t="s">
        <v>3530</v>
      </c>
      <c r="E7955" s="16"/>
      <c r="F7955" s="18">
        <f>ROUND((G7948+G7949+G7954)*(1+G2/100),2)</f>
        <v>162.67</v>
      </c>
      <c r="G7955" s="16"/>
    </row>
    <row r="7956" ht="30.0" customHeight="1">
      <c r="A7956" s="19" t="s">
        <v>3535</v>
      </c>
      <c r="B7956" s="20" t="s">
        <v>18</v>
      </c>
      <c r="C7956" s="20" t="s">
        <v>537</v>
      </c>
      <c r="D7956" s="20" t="s">
        <v>3536</v>
      </c>
      <c r="E7956" s="21"/>
      <c r="F7956" s="22">
        <f>F7962</f>
        <v>41.36</v>
      </c>
      <c r="G7956" s="21"/>
    </row>
    <row r="7957" ht="39.75" customHeight="1">
      <c r="A7957" s="11"/>
      <c r="B7957" s="11"/>
      <c r="C7957" s="11"/>
      <c r="D7957" s="10" t="s">
        <v>3537</v>
      </c>
    </row>
    <row r="7958" ht="21.0" customHeight="1">
      <c r="A7958" s="10" t="s">
        <v>3538</v>
      </c>
      <c r="B7958" s="10" t="s">
        <v>42</v>
      </c>
      <c r="C7958" s="10" t="s">
        <v>351</v>
      </c>
      <c r="D7958" s="10" t="s">
        <v>3539</v>
      </c>
      <c r="E7958" s="14">
        <v>1.05</v>
      </c>
      <c r="F7958" s="15">
        <f>ROUND(3.6,3)</f>
        <v>3.6</v>
      </c>
      <c r="G7958" s="12">
        <f t="shared" ref="G7958:G7961" si="1196">ROUND(E7958*F7958,2)</f>
        <v>3.78</v>
      </c>
    </row>
    <row r="7959" ht="21.0" customHeight="1">
      <c r="A7959" s="10" t="s">
        <v>3540</v>
      </c>
      <c r="B7959" s="10" t="s">
        <v>42</v>
      </c>
      <c r="C7959" s="10" t="s">
        <v>521</v>
      </c>
      <c r="D7959" s="10" t="s">
        <v>3541</v>
      </c>
      <c r="E7959" s="14">
        <v>0.032</v>
      </c>
      <c r="F7959" s="15">
        <f>ROUND(8.11,3)</f>
        <v>8.11</v>
      </c>
      <c r="G7959" s="12">
        <f t="shared" si="1196"/>
        <v>0.26</v>
      </c>
    </row>
    <row r="7960" ht="21.0" customHeight="1">
      <c r="A7960" s="10" t="s">
        <v>3542</v>
      </c>
      <c r="B7960" s="10" t="s">
        <v>42</v>
      </c>
      <c r="C7960" s="10" t="s">
        <v>521</v>
      </c>
      <c r="D7960" s="10" t="s">
        <v>3543</v>
      </c>
      <c r="E7960" s="14">
        <v>0.016</v>
      </c>
      <c r="F7960" s="15">
        <f>ROUND(12.14,3)</f>
        <v>12.14</v>
      </c>
      <c r="G7960" s="12">
        <f t="shared" si="1196"/>
        <v>0.19</v>
      </c>
    </row>
    <row r="7961" ht="24.0" customHeight="1">
      <c r="A7961" s="10" t="s">
        <v>1186</v>
      </c>
      <c r="B7961" s="10" t="s">
        <v>26</v>
      </c>
      <c r="C7961" s="10" t="s">
        <v>23</v>
      </c>
      <c r="D7961" s="10" t="s">
        <v>1187</v>
      </c>
      <c r="E7961" s="14">
        <v>0.75</v>
      </c>
      <c r="F7961" s="15">
        <f>ROUND(49.5,3)</f>
        <v>49.5</v>
      </c>
      <c r="G7961" s="12">
        <f t="shared" si="1196"/>
        <v>37.13</v>
      </c>
    </row>
    <row r="7962" ht="15.0" customHeight="1">
      <c r="A7962" s="16"/>
      <c r="B7962" s="16"/>
      <c r="C7962" s="16"/>
      <c r="D7962" s="17" t="s">
        <v>3535</v>
      </c>
      <c r="E7962" s="16"/>
      <c r="F7962" s="18">
        <f>ROUND((G7958+G7959+G7960+G7961)*(1+G2/100),2)</f>
        <v>41.36</v>
      </c>
      <c r="G7962" s="16"/>
    </row>
    <row r="7963" ht="15.0" customHeight="1">
      <c r="A7963" s="23"/>
      <c r="B7963" s="23"/>
      <c r="C7963" s="23"/>
      <c r="D7963" s="32" t="s">
        <v>3426</v>
      </c>
      <c r="E7963" s="33"/>
      <c r="F7963" s="33"/>
      <c r="G7963" s="33"/>
    </row>
    <row r="7964" ht="15.0" customHeight="1">
      <c r="A7964" s="34" t="s">
        <v>3544</v>
      </c>
      <c r="B7964" s="34" t="s">
        <v>10</v>
      </c>
      <c r="C7964" s="35"/>
      <c r="D7964" s="34" t="s">
        <v>3545</v>
      </c>
      <c r="E7964" s="35"/>
      <c r="F7964" s="35"/>
      <c r="G7964" s="35"/>
    </row>
    <row r="7965" ht="30.0" customHeight="1">
      <c r="A7965" s="13" t="s">
        <v>3546</v>
      </c>
      <c r="B7965" s="10" t="s">
        <v>18</v>
      </c>
      <c r="C7965" s="10" t="s">
        <v>231</v>
      </c>
      <c r="D7965" s="10" t="s">
        <v>3547</v>
      </c>
      <c r="E7965" s="11"/>
      <c r="F7965" s="12">
        <f>F7990</f>
        <v>3358.31</v>
      </c>
      <c r="G7965" s="11"/>
    </row>
    <row r="7966" ht="48.75" customHeight="1">
      <c r="A7966" s="11"/>
      <c r="B7966" s="11"/>
      <c r="C7966" s="11"/>
      <c r="D7966" s="10" t="s">
        <v>3548</v>
      </c>
    </row>
    <row r="7967" ht="30.0" customHeight="1">
      <c r="A7967" s="10" t="s">
        <v>3549</v>
      </c>
      <c r="B7967" s="10" t="s">
        <v>42</v>
      </c>
      <c r="C7967" s="10" t="s">
        <v>231</v>
      </c>
      <c r="D7967" s="10" t="s">
        <v>3550</v>
      </c>
      <c r="E7967" s="14">
        <v>1.0</v>
      </c>
      <c r="F7967" s="15">
        <f>ROUND(322.99,3)</f>
        <v>322.99</v>
      </c>
      <c r="G7967" s="12">
        <f t="shared" ref="G7967:G7988" si="1197">ROUND(E7967*F7967,2)</f>
        <v>322.99</v>
      </c>
    </row>
    <row r="7968" ht="30.0" customHeight="1">
      <c r="A7968" s="10" t="s">
        <v>3551</v>
      </c>
      <c r="B7968" s="10" t="s">
        <v>42</v>
      </c>
      <c r="C7968" s="10" t="s">
        <v>344</v>
      </c>
      <c r="D7968" s="10" t="s">
        <v>3552</v>
      </c>
      <c r="E7968" s="14">
        <v>1.0</v>
      </c>
      <c r="F7968" s="15">
        <f>ROUND(11.78,3)</f>
        <v>11.78</v>
      </c>
      <c r="G7968" s="12">
        <f t="shared" si="1197"/>
        <v>11.78</v>
      </c>
    </row>
    <row r="7969" ht="30.0" customHeight="1">
      <c r="A7969" s="10" t="s">
        <v>3553</v>
      </c>
      <c r="B7969" s="10" t="s">
        <v>42</v>
      </c>
      <c r="C7969" s="10" t="s">
        <v>344</v>
      </c>
      <c r="D7969" s="10" t="s">
        <v>3554</v>
      </c>
      <c r="E7969" s="14">
        <v>1.0</v>
      </c>
      <c r="F7969" s="15">
        <f>ROUND(4.82,3)</f>
        <v>4.82</v>
      </c>
      <c r="G7969" s="12">
        <f t="shared" si="1197"/>
        <v>4.82</v>
      </c>
    </row>
    <row r="7970" ht="30.0" customHeight="1">
      <c r="A7970" s="10" t="s">
        <v>3555</v>
      </c>
      <c r="B7970" s="10" t="s">
        <v>42</v>
      </c>
      <c r="C7970" s="10" t="s">
        <v>344</v>
      </c>
      <c r="D7970" s="10" t="s">
        <v>3556</v>
      </c>
      <c r="E7970" s="14">
        <v>1.0</v>
      </c>
      <c r="F7970" s="15">
        <f>ROUND(0.8,3)</f>
        <v>0.8</v>
      </c>
      <c r="G7970" s="12">
        <f t="shared" si="1197"/>
        <v>0.8</v>
      </c>
    </row>
    <row r="7971" ht="30.0" customHeight="1">
      <c r="A7971" s="10" t="s">
        <v>3225</v>
      </c>
      <c r="B7971" s="10" t="s">
        <v>18</v>
      </c>
      <c r="C7971" s="10" t="s">
        <v>23</v>
      </c>
      <c r="D7971" s="10" t="s">
        <v>3226</v>
      </c>
      <c r="E7971" s="14">
        <v>0.25</v>
      </c>
      <c r="F7971" s="15">
        <f>F7973</f>
        <v>0.79</v>
      </c>
      <c r="G7971" s="12">
        <f t="shared" si="1197"/>
        <v>0.2</v>
      </c>
    </row>
    <row r="7972" ht="21.0" customHeight="1">
      <c r="A7972" s="10" t="s">
        <v>3227</v>
      </c>
      <c r="B7972" s="10" t="s">
        <v>112</v>
      </c>
      <c r="C7972" s="10" t="s">
        <v>231</v>
      </c>
      <c r="D7972" s="10" t="s">
        <v>3228</v>
      </c>
      <c r="E7972" s="14">
        <v>0.00417</v>
      </c>
      <c r="F7972" s="15">
        <f>ROUND(188.43,3)</f>
        <v>188.43</v>
      </c>
      <c r="G7972" s="12">
        <f t="shared" si="1197"/>
        <v>0.79</v>
      </c>
    </row>
    <row r="7973" ht="15.0" customHeight="1">
      <c r="A7973" s="11"/>
      <c r="B7973" s="11"/>
      <c r="C7973" s="11"/>
      <c r="D7973" s="10" t="s">
        <v>3225</v>
      </c>
      <c r="E7973" s="14">
        <v>0.25</v>
      </c>
      <c r="F7973" s="15">
        <f>ROUND((G7972),3)</f>
        <v>0.79</v>
      </c>
      <c r="G7973" s="12">
        <f t="shared" si="1197"/>
        <v>0.2</v>
      </c>
    </row>
    <row r="7974" ht="30.0" customHeight="1">
      <c r="A7974" s="10" t="s">
        <v>971</v>
      </c>
      <c r="B7974" s="10" t="s">
        <v>42</v>
      </c>
      <c r="C7974" s="10" t="s">
        <v>231</v>
      </c>
      <c r="D7974" s="10" t="s">
        <v>972</v>
      </c>
      <c r="E7974" s="14">
        <v>0.2</v>
      </c>
      <c r="F7974" s="15">
        <f>ROUND(4.92,3)</f>
        <v>4.92</v>
      </c>
      <c r="G7974" s="12">
        <f t="shared" si="1197"/>
        <v>0.98</v>
      </c>
    </row>
    <row r="7975" ht="21.0" customHeight="1">
      <c r="A7975" s="10" t="s">
        <v>3557</v>
      </c>
      <c r="B7975" s="10" t="s">
        <v>42</v>
      </c>
      <c r="C7975" s="10" t="s">
        <v>304</v>
      </c>
      <c r="D7975" s="10" t="s">
        <v>3558</v>
      </c>
      <c r="E7975" s="14">
        <v>1.0</v>
      </c>
      <c r="F7975" s="15">
        <f>ROUND(97.52,3)</f>
        <v>97.52</v>
      </c>
      <c r="G7975" s="12">
        <f t="shared" si="1197"/>
        <v>97.52</v>
      </c>
    </row>
    <row r="7976" ht="30.0" customHeight="1">
      <c r="A7976" s="10" t="s">
        <v>1378</v>
      </c>
      <c r="B7976" s="10" t="s">
        <v>42</v>
      </c>
      <c r="C7976" s="10" t="s">
        <v>330</v>
      </c>
      <c r="D7976" s="10" t="s">
        <v>1379</v>
      </c>
      <c r="E7976" s="14">
        <v>0.1</v>
      </c>
      <c r="F7976" s="15">
        <f>ROUND(6.14,3)</f>
        <v>6.14</v>
      </c>
      <c r="G7976" s="12">
        <f t="shared" si="1197"/>
        <v>0.61</v>
      </c>
    </row>
    <row r="7977" ht="39.75" customHeight="1">
      <c r="A7977" s="10" t="s">
        <v>1340</v>
      </c>
      <c r="B7977" s="10" t="s">
        <v>42</v>
      </c>
      <c r="C7977" s="10" t="s">
        <v>1245</v>
      </c>
      <c r="D7977" s="10" t="s">
        <v>1341</v>
      </c>
      <c r="E7977" s="14">
        <v>0.36413</v>
      </c>
      <c r="F7977" s="15">
        <f>ROUND(7.37,3)</f>
        <v>7.37</v>
      </c>
      <c r="G7977" s="12">
        <f t="shared" si="1197"/>
        <v>2.68</v>
      </c>
    </row>
    <row r="7978" ht="30.0" customHeight="1">
      <c r="A7978" s="10" t="s">
        <v>1745</v>
      </c>
      <c r="B7978" s="10" t="s">
        <v>42</v>
      </c>
      <c r="C7978" s="10" t="s">
        <v>330</v>
      </c>
      <c r="D7978" s="10" t="s">
        <v>1746</v>
      </c>
      <c r="E7978" s="14">
        <v>0.25</v>
      </c>
      <c r="F7978" s="15">
        <f>ROUND(7.93,3)</f>
        <v>7.93</v>
      </c>
      <c r="G7978" s="12">
        <f t="shared" si="1197"/>
        <v>1.98</v>
      </c>
    </row>
    <row r="7979" ht="48.75" customHeight="1">
      <c r="A7979" s="10" t="s">
        <v>3559</v>
      </c>
      <c r="B7979" s="10" t="s">
        <v>42</v>
      </c>
      <c r="C7979" s="10" t="s">
        <v>344</v>
      </c>
      <c r="D7979" s="10" t="s">
        <v>3560</v>
      </c>
      <c r="E7979" s="14">
        <v>15.0</v>
      </c>
      <c r="F7979" s="15">
        <f>ROUND(25.89,3)</f>
        <v>25.89</v>
      </c>
      <c r="G7979" s="12">
        <f t="shared" si="1197"/>
        <v>388.35</v>
      </c>
    </row>
    <row r="7980" ht="48.75" customHeight="1">
      <c r="A7980" s="10" t="s">
        <v>3561</v>
      </c>
      <c r="B7980" s="10" t="s">
        <v>42</v>
      </c>
      <c r="C7980" s="10" t="s">
        <v>344</v>
      </c>
      <c r="D7980" s="10" t="s">
        <v>3562</v>
      </c>
      <c r="E7980" s="14">
        <v>15.0</v>
      </c>
      <c r="F7980" s="15">
        <f>ROUND(17.44,3)</f>
        <v>17.44</v>
      </c>
      <c r="G7980" s="12">
        <f t="shared" si="1197"/>
        <v>261.6</v>
      </c>
    </row>
    <row r="7981" ht="30.0" customHeight="1">
      <c r="A7981" s="10" t="s">
        <v>3563</v>
      </c>
      <c r="B7981" s="10" t="s">
        <v>42</v>
      </c>
      <c r="C7981" s="10" t="s">
        <v>344</v>
      </c>
      <c r="D7981" s="10" t="s">
        <v>3564</v>
      </c>
      <c r="E7981" s="14">
        <v>15.0</v>
      </c>
      <c r="F7981" s="15">
        <f>ROUND(15.09,3)</f>
        <v>15.09</v>
      </c>
      <c r="G7981" s="12">
        <f t="shared" si="1197"/>
        <v>226.35</v>
      </c>
    </row>
    <row r="7982" ht="39.75" customHeight="1">
      <c r="A7982" s="10" t="s">
        <v>3565</v>
      </c>
      <c r="B7982" s="10" t="s">
        <v>42</v>
      </c>
      <c r="C7982" s="10" t="s">
        <v>344</v>
      </c>
      <c r="D7982" s="10" t="s">
        <v>3566</v>
      </c>
      <c r="E7982" s="14">
        <v>15.0</v>
      </c>
      <c r="F7982" s="15">
        <f>ROUND(15.93,3)</f>
        <v>15.93</v>
      </c>
      <c r="G7982" s="12">
        <f t="shared" si="1197"/>
        <v>238.95</v>
      </c>
    </row>
    <row r="7983" ht="39.75" customHeight="1">
      <c r="A7983" s="10" t="s">
        <v>3567</v>
      </c>
      <c r="B7983" s="10" t="s">
        <v>42</v>
      </c>
      <c r="C7983" s="10" t="s">
        <v>344</v>
      </c>
      <c r="D7983" s="10" t="s">
        <v>3568</v>
      </c>
      <c r="E7983" s="14">
        <v>15.0</v>
      </c>
      <c r="F7983" s="15">
        <f>ROUND(32,3)</f>
        <v>32</v>
      </c>
      <c r="G7983" s="12">
        <f t="shared" si="1197"/>
        <v>480</v>
      </c>
    </row>
    <row r="7984" ht="21.0" customHeight="1">
      <c r="A7984" s="10" t="s">
        <v>3569</v>
      </c>
      <c r="B7984" s="10" t="s">
        <v>42</v>
      </c>
      <c r="C7984" s="10" t="s">
        <v>344</v>
      </c>
      <c r="D7984" s="10" t="s">
        <v>3570</v>
      </c>
      <c r="E7984" s="14">
        <v>15.0</v>
      </c>
      <c r="F7984" s="15">
        <f>ROUND(5.5,3)</f>
        <v>5.5</v>
      </c>
      <c r="G7984" s="12">
        <f t="shared" si="1197"/>
        <v>82.5</v>
      </c>
    </row>
    <row r="7985" ht="21.0" customHeight="1">
      <c r="A7985" s="10" t="s">
        <v>3571</v>
      </c>
      <c r="B7985" s="10" t="s">
        <v>42</v>
      </c>
      <c r="C7985" s="10" t="s">
        <v>344</v>
      </c>
      <c r="D7985" s="10" t="s">
        <v>3572</v>
      </c>
      <c r="E7985" s="14">
        <v>15.0</v>
      </c>
      <c r="F7985" s="15">
        <f>ROUND(6.6,3)</f>
        <v>6.6</v>
      </c>
      <c r="G7985" s="12">
        <f t="shared" si="1197"/>
        <v>99</v>
      </c>
    </row>
    <row r="7986" ht="21.0" customHeight="1">
      <c r="A7986" s="10" t="s">
        <v>3573</v>
      </c>
      <c r="B7986" s="10" t="s">
        <v>42</v>
      </c>
      <c r="C7986" s="10" t="s">
        <v>226</v>
      </c>
      <c r="D7986" s="10" t="s">
        <v>3574</v>
      </c>
      <c r="E7986" s="14">
        <v>0.5</v>
      </c>
      <c r="F7986" s="15">
        <f>ROUND(3.99,3)</f>
        <v>3.99</v>
      </c>
      <c r="G7986" s="12">
        <f t="shared" si="1197"/>
        <v>2</v>
      </c>
    </row>
    <row r="7987" ht="24.0" customHeight="1">
      <c r="A7987" s="10" t="s">
        <v>3209</v>
      </c>
      <c r="B7987" s="10" t="s">
        <v>26</v>
      </c>
      <c r="C7987" s="10" t="s">
        <v>23</v>
      </c>
      <c r="D7987" s="10" t="s">
        <v>3210</v>
      </c>
      <c r="E7987" s="14">
        <v>24.0</v>
      </c>
      <c r="F7987" s="15">
        <f>ROUND(24,3)</f>
        <v>24</v>
      </c>
      <c r="G7987" s="12">
        <f t="shared" si="1197"/>
        <v>576</v>
      </c>
    </row>
    <row r="7988" ht="24.0" customHeight="1">
      <c r="A7988" s="10" t="s">
        <v>3211</v>
      </c>
      <c r="B7988" s="10" t="s">
        <v>26</v>
      </c>
      <c r="C7988" s="10" t="s">
        <v>23</v>
      </c>
      <c r="D7988" s="10" t="s">
        <v>3212</v>
      </c>
      <c r="E7988" s="14">
        <v>24.0</v>
      </c>
      <c r="F7988" s="15">
        <f>ROUND(19,3)</f>
        <v>19</v>
      </c>
      <c r="G7988" s="12">
        <f t="shared" si="1197"/>
        <v>456</v>
      </c>
    </row>
    <row r="7989" ht="15.0" customHeight="1">
      <c r="A7989" s="10" t="s">
        <v>32</v>
      </c>
      <c r="B7989" s="10"/>
      <c r="C7989" s="10" t="s">
        <v>33</v>
      </c>
      <c r="D7989" s="10" t="s">
        <v>34</v>
      </c>
      <c r="E7989" s="14">
        <v>10.0</v>
      </c>
      <c r="F7989" s="15">
        <f>ROUND(1032,3)</f>
        <v>1032</v>
      </c>
      <c r="G7989" s="12">
        <f>ROUND((E7989*F7989)/100,2)</f>
        <v>103.2</v>
      </c>
    </row>
    <row r="7990" ht="15.0" customHeight="1">
      <c r="A7990" s="16"/>
      <c r="B7990" s="16"/>
      <c r="C7990" s="16"/>
      <c r="D7990" s="17" t="s">
        <v>3546</v>
      </c>
      <c r="E7990" s="16"/>
      <c r="F7990" s="18">
        <f>ROUND((G7967+G7968+G7969+G7970+G7971+G7974+G7975+G7976+G7977+G7978+G7979+G7980+G7981+G7982+G7983+G7984+G7985+G7986+G7987+G7988+G7989)*(1+G2/100),2)</f>
        <v>3358.31</v>
      </c>
      <c r="G7990" s="16"/>
    </row>
    <row r="7991" ht="30.0" customHeight="1">
      <c r="A7991" s="19" t="s">
        <v>3575</v>
      </c>
      <c r="B7991" s="20" t="s">
        <v>18</v>
      </c>
      <c r="C7991" s="20" t="s">
        <v>231</v>
      </c>
      <c r="D7991" s="20" t="s">
        <v>3576</v>
      </c>
      <c r="E7991" s="21"/>
      <c r="F7991" s="22">
        <f>F8016</f>
        <v>4693.83</v>
      </c>
      <c r="G7991" s="21"/>
    </row>
    <row r="7992" ht="12.0" customHeight="1">
      <c r="A7992" s="11"/>
      <c r="B7992" s="11"/>
      <c r="C7992" s="11"/>
      <c r="D7992" s="10" t="s">
        <v>3577</v>
      </c>
    </row>
    <row r="7993" ht="30.0" customHeight="1">
      <c r="A7993" s="10" t="s">
        <v>3578</v>
      </c>
      <c r="B7993" s="10" t="s">
        <v>42</v>
      </c>
      <c r="C7993" s="10" t="s">
        <v>231</v>
      </c>
      <c r="D7993" s="10" t="s">
        <v>3579</v>
      </c>
      <c r="E7993" s="14">
        <v>1.0</v>
      </c>
      <c r="F7993" s="15">
        <f>ROUND(378.22,3)</f>
        <v>378.22</v>
      </c>
      <c r="G7993" s="12">
        <f t="shared" ref="G7993:G8014" si="1198">ROUND(E7993*F7993,2)</f>
        <v>378.22</v>
      </c>
    </row>
    <row r="7994" ht="30.0" customHeight="1">
      <c r="A7994" s="10" t="s">
        <v>3551</v>
      </c>
      <c r="B7994" s="10" t="s">
        <v>42</v>
      </c>
      <c r="C7994" s="10" t="s">
        <v>344</v>
      </c>
      <c r="D7994" s="10" t="s">
        <v>3552</v>
      </c>
      <c r="E7994" s="14">
        <v>1.0</v>
      </c>
      <c r="F7994" s="15">
        <f>ROUND(11.78,3)</f>
        <v>11.78</v>
      </c>
      <c r="G7994" s="12">
        <f t="shared" si="1198"/>
        <v>11.78</v>
      </c>
    </row>
    <row r="7995" ht="30.0" customHeight="1">
      <c r="A7995" s="10" t="s">
        <v>3553</v>
      </c>
      <c r="B7995" s="10" t="s">
        <v>42</v>
      </c>
      <c r="C7995" s="10" t="s">
        <v>344</v>
      </c>
      <c r="D7995" s="10" t="s">
        <v>3554</v>
      </c>
      <c r="E7995" s="14">
        <v>1.0</v>
      </c>
      <c r="F7995" s="15">
        <f>ROUND(4.82,3)</f>
        <v>4.82</v>
      </c>
      <c r="G7995" s="12">
        <f t="shared" si="1198"/>
        <v>4.82</v>
      </c>
    </row>
    <row r="7996" ht="30.0" customHeight="1">
      <c r="A7996" s="10" t="s">
        <v>3555</v>
      </c>
      <c r="B7996" s="10" t="s">
        <v>42</v>
      </c>
      <c r="C7996" s="10" t="s">
        <v>344</v>
      </c>
      <c r="D7996" s="10" t="s">
        <v>3556</v>
      </c>
      <c r="E7996" s="14">
        <v>1.0</v>
      </c>
      <c r="F7996" s="15">
        <f>ROUND(0.8,3)</f>
        <v>0.8</v>
      </c>
      <c r="G7996" s="12">
        <f t="shared" si="1198"/>
        <v>0.8</v>
      </c>
    </row>
    <row r="7997" ht="30.0" customHeight="1">
      <c r="A7997" s="10" t="s">
        <v>3225</v>
      </c>
      <c r="B7997" s="10" t="s">
        <v>18</v>
      </c>
      <c r="C7997" s="10" t="s">
        <v>23</v>
      </c>
      <c r="D7997" s="10" t="s">
        <v>3226</v>
      </c>
      <c r="E7997" s="14">
        <v>0.25</v>
      </c>
      <c r="F7997" s="15">
        <f>F7999</f>
        <v>0.79</v>
      </c>
      <c r="G7997" s="12">
        <f t="shared" si="1198"/>
        <v>0.2</v>
      </c>
    </row>
    <row r="7998" ht="21.0" customHeight="1">
      <c r="A7998" s="10" t="s">
        <v>3227</v>
      </c>
      <c r="B7998" s="10" t="s">
        <v>112</v>
      </c>
      <c r="C7998" s="10" t="s">
        <v>231</v>
      </c>
      <c r="D7998" s="10" t="s">
        <v>3228</v>
      </c>
      <c r="E7998" s="14">
        <v>0.00417</v>
      </c>
      <c r="F7998" s="15">
        <f>ROUND(188.43,3)</f>
        <v>188.43</v>
      </c>
      <c r="G7998" s="12">
        <f t="shared" si="1198"/>
        <v>0.79</v>
      </c>
    </row>
    <row r="7999" ht="15.0" customHeight="1">
      <c r="A7999" s="11"/>
      <c r="B7999" s="11"/>
      <c r="C7999" s="11"/>
      <c r="D7999" s="10" t="s">
        <v>3225</v>
      </c>
      <c r="E7999" s="14">
        <v>0.25</v>
      </c>
      <c r="F7999" s="15">
        <f>ROUND((G7998),3)</f>
        <v>0.79</v>
      </c>
      <c r="G7999" s="12">
        <f t="shared" si="1198"/>
        <v>0.2</v>
      </c>
    </row>
    <row r="8000" ht="30.0" customHeight="1">
      <c r="A8000" s="10" t="s">
        <v>971</v>
      </c>
      <c r="B8000" s="10" t="s">
        <v>42</v>
      </c>
      <c r="C8000" s="10" t="s">
        <v>231</v>
      </c>
      <c r="D8000" s="10" t="s">
        <v>972</v>
      </c>
      <c r="E8000" s="14">
        <v>0.2</v>
      </c>
      <c r="F8000" s="15">
        <f>ROUND(4.92,3)</f>
        <v>4.92</v>
      </c>
      <c r="G8000" s="12">
        <f t="shared" si="1198"/>
        <v>0.98</v>
      </c>
    </row>
    <row r="8001" ht="21.0" customHeight="1">
      <c r="A8001" s="10" t="s">
        <v>3557</v>
      </c>
      <c r="B8001" s="10" t="s">
        <v>42</v>
      </c>
      <c r="C8001" s="10" t="s">
        <v>304</v>
      </c>
      <c r="D8001" s="10" t="s">
        <v>3558</v>
      </c>
      <c r="E8001" s="14">
        <v>1.0</v>
      </c>
      <c r="F8001" s="15">
        <f>ROUND(97.52,3)</f>
        <v>97.52</v>
      </c>
      <c r="G8001" s="12">
        <f t="shared" si="1198"/>
        <v>97.52</v>
      </c>
    </row>
    <row r="8002" ht="30.0" customHeight="1">
      <c r="A8002" s="10" t="s">
        <v>1378</v>
      </c>
      <c r="B8002" s="10" t="s">
        <v>42</v>
      </c>
      <c r="C8002" s="10" t="s">
        <v>330</v>
      </c>
      <c r="D8002" s="10" t="s">
        <v>1379</v>
      </c>
      <c r="E8002" s="14">
        <v>0.1</v>
      </c>
      <c r="F8002" s="15">
        <f>ROUND(6.14,3)</f>
        <v>6.14</v>
      </c>
      <c r="G8002" s="12">
        <f t="shared" si="1198"/>
        <v>0.61</v>
      </c>
    </row>
    <row r="8003" ht="39.75" customHeight="1">
      <c r="A8003" s="10" t="s">
        <v>1340</v>
      </c>
      <c r="B8003" s="10" t="s">
        <v>42</v>
      </c>
      <c r="C8003" s="10" t="s">
        <v>1245</v>
      </c>
      <c r="D8003" s="10" t="s">
        <v>1341</v>
      </c>
      <c r="E8003" s="14">
        <v>0.36413</v>
      </c>
      <c r="F8003" s="15">
        <f>ROUND(7.37,3)</f>
        <v>7.37</v>
      </c>
      <c r="G8003" s="12">
        <f t="shared" si="1198"/>
        <v>2.68</v>
      </c>
    </row>
    <row r="8004" ht="30.0" customHeight="1">
      <c r="A8004" s="10" t="s">
        <v>1745</v>
      </c>
      <c r="B8004" s="10" t="s">
        <v>42</v>
      </c>
      <c r="C8004" s="10" t="s">
        <v>330</v>
      </c>
      <c r="D8004" s="10" t="s">
        <v>1746</v>
      </c>
      <c r="E8004" s="14">
        <v>0.25</v>
      </c>
      <c r="F8004" s="15">
        <f>ROUND(7.93,3)</f>
        <v>7.93</v>
      </c>
      <c r="G8004" s="12">
        <f t="shared" si="1198"/>
        <v>1.98</v>
      </c>
    </row>
    <row r="8005" ht="48.75" customHeight="1">
      <c r="A8005" s="10" t="s">
        <v>3559</v>
      </c>
      <c r="B8005" s="10" t="s">
        <v>42</v>
      </c>
      <c r="C8005" s="10" t="s">
        <v>344</v>
      </c>
      <c r="D8005" s="10" t="s">
        <v>3560</v>
      </c>
      <c r="E8005" s="14">
        <v>21.0</v>
      </c>
      <c r="F8005" s="15">
        <f>ROUND(25.89,3)</f>
        <v>25.89</v>
      </c>
      <c r="G8005" s="12">
        <f t="shared" si="1198"/>
        <v>543.69</v>
      </c>
    </row>
    <row r="8006" ht="48.75" customHeight="1">
      <c r="A8006" s="10" t="s">
        <v>3561</v>
      </c>
      <c r="B8006" s="10" t="s">
        <v>42</v>
      </c>
      <c r="C8006" s="10" t="s">
        <v>344</v>
      </c>
      <c r="D8006" s="10" t="s">
        <v>3562</v>
      </c>
      <c r="E8006" s="14">
        <v>21.0</v>
      </c>
      <c r="F8006" s="15">
        <f>ROUND(17.44,3)</f>
        <v>17.44</v>
      </c>
      <c r="G8006" s="12">
        <f t="shared" si="1198"/>
        <v>366.24</v>
      </c>
    </row>
    <row r="8007" ht="30.0" customHeight="1">
      <c r="A8007" s="10" t="s">
        <v>3563</v>
      </c>
      <c r="B8007" s="10" t="s">
        <v>42</v>
      </c>
      <c r="C8007" s="10" t="s">
        <v>344</v>
      </c>
      <c r="D8007" s="10" t="s">
        <v>3564</v>
      </c>
      <c r="E8007" s="14">
        <v>21.0</v>
      </c>
      <c r="F8007" s="15">
        <f>ROUND(15.09,3)</f>
        <v>15.09</v>
      </c>
      <c r="G8007" s="12">
        <f t="shared" si="1198"/>
        <v>316.89</v>
      </c>
    </row>
    <row r="8008" ht="39.75" customHeight="1">
      <c r="A8008" s="10" t="s">
        <v>3565</v>
      </c>
      <c r="B8008" s="10" t="s">
        <v>42</v>
      </c>
      <c r="C8008" s="10" t="s">
        <v>344</v>
      </c>
      <c r="D8008" s="10" t="s">
        <v>3566</v>
      </c>
      <c r="E8008" s="14">
        <v>21.0</v>
      </c>
      <c r="F8008" s="15">
        <f>ROUND(15.93,3)</f>
        <v>15.93</v>
      </c>
      <c r="G8008" s="12">
        <f t="shared" si="1198"/>
        <v>334.53</v>
      </c>
    </row>
    <row r="8009" ht="39.75" customHeight="1">
      <c r="A8009" s="10" t="s">
        <v>3567</v>
      </c>
      <c r="B8009" s="10" t="s">
        <v>42</v>
      </c>
      <c r="C8009" s="10" t="s">
        <v>344</v>
      </c>
      <c r="D8009" s="10" t="s">
        <v>3568</v>
      </c>
      <c r="E8009" s="14">
        <v>21.0</v>
      </c>
      <c r="F8009" s="15">
        <f>ROUND(32,3)</f>
        <v>32</v>
      </c>
      <c r="G8009" s="12">
        <f t="shared" si="1198"/>
        <v>672</v>
      </c>
    </row>
    <row r="8010" ht="21.0" customHeight="1">
      <c r="A8010" s="10" t="s">
        <v>3569</v>
      </c>
      <c r="B8010" s="10" t="s">
        <v>42</v>
      </c>
      <c r="C8010" s="10" t="s">
        <v>344</v>
      </c>
      <c r="D8010" s="10" t="s">
        <v>3570</v>
      </c>
      <c r="E8010" s="14">
        <v>21.0</v>
      </c>
      <c r="F8010" s="15">
        <f>ROUND(5.5,3)</f>
        <v>5.5</v>
      </c>
      <c r="G8010" s="12">
        <f t="shared" si="1198"/>
        <v>115.5</v>
      </c>
    </row>
    <row r="8011" ht="21.0" customHeight="1">
      <c r="A8011" s="10" t="s">
        <v>3571</v>
      </c>
      <c r="B8011" s="10" t="s">
        <v>42</v>
      </c>
      <c r="C8011" s="10" t="s">
        <v>344</v>
      </c>
      <c r="D8011" s="10" t="s">
        <v>3572</v>
      </c>
      <c r="E8011" s="14">
        <v>21.0</v>
      </c>
      <c r="F8011" s="15">
        <f>ROUND(6.6,3)</f>
        <v>6.6</v>
      </c>
      <c r="G8011" s="12">
        <f t="shared" si="1198"/>
        <v>138.6</v>
      </c>
    </row>
    <row r="8012" ht="21.0" customHeight="1">
      <c r="A8012" s="10" t="s">
        <v>3573</v>
      </c>
      <c r="B8012" s="10" t="s">
        <v>42</v>
      </c>
      <c r="C8012" s="10" t="s">
        <v>226</v>
      </c>
      <c r="D8012" s="10" t="s">
        <v>3574</v>
      </c>
      <c r="E8012" s="14">
        <v>1.0</v>
      </c>
      <c r="F8012" s="15">
        <f>ROUND(3.99,3)</f>
        <v>3.99</v>
      </c>
      <c r="G8012" s="12">
        <f t="shared" si="1198"/>
        <v>3.99</v>
      </c>
    </row>
    <row r="8013" ht="24.0" customHeight="1">
      <c r="A8013" s="10" t="s">
        <v>3209</v>
      </c>
      <c r="B8013" s="10" t="s">
        <v>26</v>
      </c>
      <c r="C8013" s="10" t="s">
        <v>23</v>
      </c>
      <c r="D8013" s="10" t="s">
        <v>3210</v>
      </c>
      <c r="E8013" s="14">
        <v>36.0</v>
      </c>
      <c r="F8013" s="15">
        <f>ROUND(24,3)</f>
        <v>24</v>
      </c>
      <c r="G8013" s="12">
        <f t="shared" si="1198"/>
        <v>864</v>
      </c>
    </row>
    <row r="8014" ht="24.0" customHeight="1">
      <c r="A8014" s="10" t="s">
        <v>3211</v>
      </c>
      <c r="B8014" s="10" t="s">
        <v>26</v>
      </c>
      <c r="C8014" s="10" t="s">
        <v>23</v>
      </c>
      <c r="D8014" s="10" t="s">
        <v>3212</v>
      </c>
      <c r="E8014" s="14">
        <v>36.0</v>
      </c>
      <c r="F8014" s="15">
        <f>ROUND(19,3)</f>
        <v>19</v>
      </c>
      <c r="G8014" s="12">
        <f t="shared" si="1198"/>
        <v>684</v>
      </c>
    </row>
    <row r="8015" ht="15.0" customHeight="1">
      <c r="A8015" s="10" t="s">
        <v>32</v>
      </c>
      <c r="B8015" s="10"/>
      <c r="C8015" s="10" t="s">
        <v>33</v>
      </c>
      <c r="D8015" s="10" t="s">
        <v>34</v>
      </c>
      <c r="E8015" s="14">
        <v>10.0</v>
      </c>
      <c r="F8015" s="15">
        <f>ROUND(1548,3)</f>
        <v>1548</v>
      </c>
      <c r="G8015" s="12">
        <f>ROUND((E8015*F8015)/100,2)</f>
        <v>154.8</v>
      </c>
    </row>
    <row r="8016" ht="15.0" customHeight="1">
      <c r="A8016" s="16"/>
      <c r="B8016" s="16"/>
      <c r="C8016" s="16"/>
      <c r="D8016" s="17" t="s">
        <v>3575</v>
      </c>
      <c r="E8016" s="16"/>
      <c r="F8016" s="18">
        <f>ROUND((G7993+G7994+G7995+G7996+G7997+G8000+G8001+G8002+G8003+G8004+G8005+G8006+G8007+G8008+G8009+G8010+G8011+G8012+G8013+G8014+G8015)*(1+G2/100),2)</f>
        <v>4693.83</v>
      </c>
      <c r="G8016" s="16"/>
    </row>
    <row r="8017" ht="15.0" customHeight="1">
      <c r="A8017" s="19" t="s">
        <v>3580</v>
      </c>
      <c r="B8017" s="20" t="s">
        <v>18</v>
      </c>
      <c r="C8017" s="20" t="s">
        <v>295</v>
      </c>
      <c r="D8017" s="20" t="s">
        <v>3581</v>
      </c>
      <c r="E8017" s="21"/>
      <c r="F8017" s="22">
        <f>F8027</f>
        <v>2349.26</v>
      </c>
      <c r="G8017" s="21"/>
    </row>
    <row r="8018" ht="30.0" customHeight="1">
      <c r="A8018" s="11"/>
      <c r="B8018" s="11"/>
      <c r="C8018" s="11"/>
      <c r="D8018" s="10" t="s">
        <v>3582</v>
      </c>
    </row>
    <row r="8019" ht="30.0" customHeight="1">
      <c r="A8019" s="10" t="s">
        <v>3583</v>
      </c>
      <c r="B8019" s="10" t="s">
        <v>42</v>
      </c>
      <c r="C8019" s="10" t="s">
        <v>304</v>
      </c>
      <c r="D8019" s="10" t="s">
        <v>3584</v>
      </c>
      <c r="E8019" s="14">
        <v>1.0</v>
      </c>
      <c r="F8019" s="15">
        <f>ROUND(372.26,3)</f>
        <v>372.26</v>
      </c>
      <c r="G8019" s="12">
        <f t="shared" ref="G8019:G8026" si="1199">ROUND(E8019*F8019,2)</f>
        <v>372.26</v>
      </c>
    </row>
    <row r="8020" ht="21.0" customHeight="1">
      <c r="A8020" s="10" t="s">
        <v>3585</v>
      </c>
      <c r="B8020" s="10" t="s">
        <v>42</v>
      </c>
      <c r="C8020" s="10" t="s">
        <v>304</v>
      </c>
      <c r="D8020" s="10" t="s">
        <v>3586</v>
      </c>
      <c r="E8020" s="14">
        <v>15.0</v>
      </c>
      <c r="F8020" s="15">
        <f>ROUND(27,3)</f>
        <v>27</v>
      </c>
      <c r="G8020" s="12">
        <f t="shared" si="1199"/>
        <v>405</v>
      </c>
    </row>
    <row r="8021" ht="21.0" customHeight="1">
      <c r="A8021" s="10" t="s">
        <v>3587</v>
      </c>
      <c r="B8021" s="10" t="s">
        <v>42</v>
      </c>
      <c r="C8021" s="10" t="s">
        <v>304</v>
      </c>
      <c r="D8021" s="10" t="s">
        <v>3588</v>
      </c>
      <c r="E8021" s="14">
        <v>15.0</v>
      </c>
      <c r="F8021" s="15">
        <f>ROUND(17,3)</f>
        <v>17</v>
      </c>
      <c r="G8021" s="12">
        <f t="shared" si="1199"/>
        <v>255</v>
      </c>
    </row>
    <row r="8022" ht="21.0" customHeight="1">
      <c r="A8022" s="10" t="s">
        <v>3589</v>
      </c>
      <c r="B8022" s="10" t="s">
        <v>42</v>
      </c>
      <c r="C8022" s="10" t="s">
        <v>304</v>
      </c>
      <c r="D8022" s="10" t="s">
        <v>3590</v>
      </c>
      <c r="E8022" s="14">
        <v>30.0</v>
      </c>
      <c r="F8022" s="15">
        <f>ROUND(3,3)</f>
        <v>3</v>
      </c>
      <c r="G8022" s="12">
        <f t="shared" si="1199"/>
        <v>90</v>
      </c>
    </row>
    <row r="8023" ht="21.0" customHeight="1">
      <c r="A8023" s="10" t="s">
        <v>3591</v>
      </c>
      <c r="B8023" s="10" t="s">
        <v>42</v>
      </c>
      <c r="C8023" s="10" t="s">
        <v>304</v>
      </c>
      <c r="D8023" s="10" t="s">
        <v>3592</v>
      </c>
      <c r="E8023" s="14">
        <v>1.0</v>
      </c>
      <c r="F8023" s="15">
        <f t="shared" ref="F8023:F8024" si="1200">ROUND(25,3)</f>
        <v>25</v>
      </c>
      <c r="G8023" s="12">
        <f t="shared" si="1199"/>
        <v>25</v>
      </c>
    </row>
    <row r="8024" ht="21.0" customHeight="1">
      <c r="A8024" s="10" t="s">
        <v>3593</v>
      </c>
      <c r="B8024" s="10" t="s">
        <v>42</v>
      </c>
      <c r="C8024" s="10" t="s">
        <v>304</v>
      </c>
      <c r="D8024" s="10" t="s">
        <v>3594</v>
      </c>
      <c r="E8024" s="14">
        <v>15.0</v>
      </c>
      <c r="F8024" s="15">
        <f t="shared" si="1200"/>
        <v>25</v>
      </c>
      <c r="G8024" s="12">
        <f t="shared" si="1199"/>
        <v>375</v>
      </c>
    </row>
    <row r="8025" ht="15.0" customHeight="1">
      <c r="A8025" s="10" t="s">
        <v>3595</v>
      </c>
      <c r="B8025" s="10" t="s">
        <v>42</v>
      </c>
      <c r="C8025" s="10" t="s">
        <v>304</v>
      </c>
      <c r="D8025" s="10" t="s">
        <v>3596</v>
      </c>
      <c r="E8025" s="14">
        <v>1.0</v>
      </c>
      <c r="F8025" s="15">
        <f>ROUND(35,3)</f>
        <v>35</v>
      </c>
      <c r="G8025" s="12">
        <f t="shared" si="1199"/>
        <v>35</v>
      </c>
    </row>
    <row r="8026" ht="24.0" customHeight="1">
      <c r="A8026" s="10" t="s">
        <v>1186</v>
      </c>
      <c r="B8026" s="10" t="s">
        <v>26</v>
      </c>
      <c r="C8026" s="10" t="s">
        <v>23</v>
      </c>
      <c r="D8026" s="10" t="s">
        <v>1187</v>
      </c>
      <c r="E8026" s="14">
        <v>16.0</v>
      </c>
      <c r="F8026" s="15">
        <f>ROUND(49.5,3)</f>
        <v>49.5</v>
      </c>
      <c r="G8026" s="12">
        <f t="shared" si="1199"/>
        <v>792</v>
      </c>
    </row>
    <row r="8027" ht="15.0" customHeight="1">
      <c r="A8027" s="16"/>
      <c r="B8027" s="16"/>
      <c r="C8027" s="16"/>
      <c r="D8027" s="17" t="s">
        <v>3580</v>
      </c>
      <c r="E8027" s="16"/>
      <c r="F8027" s="18">
        <f>ROUND((G8019+G8020+G8021+G8022+G8023+G8024+G8025+G8026)*(1+G2/100),2)</f>
        <v>2349.26</v>
      </c>
      <c r="G8027" s="16"/>
    </row>
    <row r="8028" ht="15.0" customHeight="1">
      <c r="A8028" s="23"/>
      <c r="B8028" s="23"/>
      <c r="C8028" s="23"/>
      <c r="D8028" s="32" t="s">
        <v>3544</v>
      </c>
      <c r="E8028" s="33"/>
      <c r="F8028" s="33"/>
      <c r="G8028" s="33"/>
    </row>
    <row r="8029" ht="31.5" customHeight="1">
      <c r="A8029" s="34" t="s">
        <v>3597</v>
      </c>
      <c r="B8029" s="34" t="s">
        <v>10</v>
      </c>
      <c r="C8029" s="35"/>
      <c r="D8029" s="34" t="s">
        <v>3598</v>
      </c>
      <c r="E8029" s="35"/>
      <c r="F8029" s="35"/>
      <c r="G8029" s="35"/>
    </row>
    <row r="8030" ht="15.0" customHeight="1">
      <c r="A8030" s="13" t="s">
        <v>851</v>
      </c>
      <c r="B8030" s="10" t="s">
        <v>18</v>
      </c>
      <c r="C8030" s="10" t="s">
        <v>251</v>
      </c>
      <c r="D8030" s="10" t="s">
        <v>852</v>
      </c>
      <c r="E8030" s="11"/>
      <c r="F8030" s="12">
        <f>F8041</f>
        <v>28.28</v>
      </c>
      <c r="G8030" s="11"/>
    </row>
    <row r="8031" ht="76.5" customHeight="1">
      <c r="A8031" s="11"/>
      <c r="B8031" s="11"/>
      <c r="C8031" s="11"/>
      <c r="D8031" s="10" t="s">
        <v>853</v>
      </c>
    </row>
    <row r="8032" ht="30.0" customHeight="1">
      <c r="A8032" s="10" t="s">
        <v>780</v>
      </c>
      <c r="B8032" s="10" t="s">
        <v>112</v>
      </c>
      <c r="C8032" s="10" t="s">
        <v>23</v>
      </c>
      <c r="D8032" s="10" t="s">
        <v>781</v>
      </c>
      <c r="E8032" s="14">
        <v>0.5</v>
      </c>
      <c r="F8032" s="15">
        <f>ROUND(1.875,3)</f>
        <v>1.875</v>
      </c>
      <c r="G8032" s="12">
        <f t="shared" ref="G8032:G8039" si="1201">ROUND(E8032*F8032,2)</f>
        <v>0.94</v>
      </c>
    </row>
    <row r="8033" ht="39.75" customHeight="1">
      <c r="A8033" s="10" t="s">
        <v>778</v>
      </c>
      <c r="B8033" s="10" t="s">
        <v>112</v>
      </c>
      <c r="C8033" s="10" t="s">
        <v>23</v>
      </c>
      <c r="D8033" s="10" t="s">
        <v>779</v>
      </c>
      <c r="E8033" s="14">
        <v>0.5</v>
      </c>
      <c r="F8033" s="15">
        <f>ROUND(2,3)</f>
        <v>2</v>
      </c>
      <c r="G8033" s="12">
        <f t="shared" si="1201"/>
        <v>1</v>
      </c>
    </row>
    <row r="8034" ht="39.75" customHeight="1">
      <c r="A8034" s="10" t="s">
        <v>188</v>
      </c>
      <c r="B8034" s="10" t="s">
        <v>112</v>
      </c>
      <c r="C8034" s="10" t="s">
        <v>23</v>
      </c>
      <c r="D8034" s="10" t="s">
        <v>189</v>
      </c>
      <c r="E8034" s="14">
        <v>0.5</v>
      </c>
      <c r="F8034" s="15">
        <f>ROUND(7.565,3)</f>
        <v>7.565</v>
      </c>
      <c r="G8034" s="12">
        <f t="shared" si="1201"/>
        <v>3.78</v>
      </c>
    </row>
    <row r="8035" ht="21.0" customHeight="1">
      <c r="A8035" s="10" t="s">
        <v>22</v>
      </c>
      <c r="B8035" s="10" t="s">
        <v>18</v>
      </c>
      <c r="C8035" s="10" t="s">
        <v>23</v>
      </c>
      <c r="D8035" s="10" t="s">
        <v>24</v>
      </c>
      <c r="E8035" s="14">
        <v>0.5</v>
      </c>
      <c r="F8035" s="15">
        <f>F8039</f>
        <v>43.8</v>
      </c>
      <c r="G8035" s="12">
        <f t="shared" si="1201"/>
        <v>21.9</v>
      </c>
    </row>
    <row r="8036" ht="24.0" customHeight="1">
      <c r="A8036" s="10" t="s">
        <v>25</v>
      </c>
      <c r="B8036" s="10" t="s">
        <v>26</v>
      </c>
      <c r="C8036" s="10" t="s">
        <v>23</v>
      </c>
      <c r="D8036" s="10" t="s">
        <v>27</v>
      </c>
      <c r="E8036" s="14">
        <v>1.0</v>
      </c>
      <c r="F8036" s="15">
        <f>ROUND(21,3)</f>
        <v>21</v>
      </c>
      <c r="G8036" s="12">
        <f t="shared" si="1201"/>
        <v>21</v>
      </c>
    </row>
    <row r="8037" ht="24.0" customHeight="1">
      <c r="A8037" s="10" t="s">
        <v>28</v>
      </c>
      <c r="B8037" s="10" t="s">
        <v>26</v>
      </c>
      <c r="C8037" s="10" t="s">
        <v>23</v>
      </c>
      <c r="D8037" s="10" t="s">
        <v>29</v>
      </c>
      <c r="E8037" s="14">
        <v>1.0</v>
      </c>
      <c r="F8037" s="15">
        <f t="shared" ref="F8037:F8038" si="1202">ROUND(19,3)</f>
        <v>19</v>
      </c>
      <c r="G8037" s="12">
        <f t="shared" si="1201"/>
        <v>19</v>
      </c>
    </row>
    <row r="8038" ht="24.0" customHeight="1">
      <c r="A8038" s="10" t="s">
        <v>30</v>
      </c>
      <c r="B8038" s="10" t="s">
        <v>26</v>
      </c>
      <c r="C8038" s="10" t="s">
        <v>23</v>
      </c>
      <c r="D8038" s="10" t="s">
        <v>31</v>
      </c>
      <c r="E8038" s="14">
        <v>0.2</v>
      </c>
      <c r="F8038" s="15">
        <f t="shared" si="1202"/>
        <v>19</v>
      </c>
      <c r="G8038" s="12">
        <f t="shared" si="1201"/>
        <v>3.8</v>
      </c>
    </row>
    <row r="8039" ht="15.0" customHeight="1">
      <c r="A8039" s="11"/>
      <c r="B8039" s="11"/>
      <c r="C8039" s="11"/>
      <c r="D8039" s="10" t="s">
        <v>22</v>
      </c>
      <c r="E8039" s="14">
        <v>0.5</v>
      </c>
      <c r="F8039" s="15">
        <f>ROUND((G8036+G8037+G8038),3)</f>
        <v>43.8</v>
      </c>
      <c r="G8039" s="12">
        <f t="shared" si="1201"/>
        <v>21.9</v>
      </c>
    </row>
    <row r="8040" ht="15.0" customHeight="1">
      <c r="A8040" s="10" t="s">
        <v>32</v>
      </c>
      <c r="B8040" s="10"/>
      <c r="C8040" s="10" t="s">
        <v>33</v>
      </c>
      <c r="D8040" s="10" t="s">
        <v>34</v>
      </c>
      <c r="E8040" s="14">
        <v>3.0</v>
      </c>
      <c r="F8040" s="15">
        <f>ROUND(21.9,3)</f>
        <v>21.9</v>
      </c>
      <c r="G8040" s="12">
        <f>ROUND((E8040*F8040)/100,2)</f>
        <v>0.66</v>
      </c>
    </row>
    <row r="8041" ht="15.0" customHeight="1">
      <c r="A8041" s="16"/>
      <c r="B8041" s="16"/>
      <c r="C8041" s="16"/>
      <c r="D8041" s="17" t="s">
        <v>851</v>
      </c>
      <c r="E8041" s="16"/>
      <c r="F8041" s="18">
        <f>ROUND((G8032+G8033+G8034+G8035+G8040)*(1+G2/100),2)</f>
        <v>28.28</v>
      </c>
      <c r="G8041" s="16"/>
    </row>
    <row r="8042" ht="21.0" customHeight="1">
      <c r="A8042" s="19" t="s">
        <v>3599</v>
      </c>
      <c r="B8042" s="20" t="s">
        <v>18</v>
      </c>
      <c r="C8042" s="20" t="s">
        <v>858</v>
      </c>
      <c r="D8042" s="20" t="s">
        <v>3600</v>
      </c>
      <c r="E8042" s="21"/>
      <c r="F8042" s="22">
        <f>F8051</f>
        <v>65.64</v>
      </c>
      <c r="G8042" s="21"/>
    </row>
    <row r="8043" ht="39.75" customHeight="1">
      <c r="A8043" s="11"/>
      <c r="B8043" s="11"/>
      <c r="C8043" s="11"/>
      <c r="D8043" s="10" t="s">
        <v>3601</v>
      </c>
    </row>
    <row r="8044" ht="30.0" customHeight="1">
      <c r="A8044" s="10" t="s">
        <v>3602</v>
      </c>
      <c r="B8044" s="10" t="s">
        <v>112</v>
      </c>
      <c r="C8044" s="10" t="s">
        <v>23</v>
      </c>
      <c r="D8044" s="10" t="s">
        <v>3603</v>
      </c>
      <c r="E8044" s="14">
        <v>0.089</v>
      </c>
      <c r="F8044" s="15">
        <f>ROUND(2.51,3)</f>
        <v>2.51</v>
      </c>
      <c r="G8044" s="12">
        <f t="shared" ref="G8044:G8049" si="1203">ROUND(E8044*F8044,2)</f>
        <v>0.22</v>
      </c>
    </row>
    <row r="8045" ht="21.0" customHeight="1">
      <c r="A8045" s="10" t="s">
        <v>22</v>
      </c>
      <c r="B8045" s="10" t="s">
        <v>18</v>
      </c>
      <c r="C8045" s="10" t="s">
        <v>23</v>
      </c>
      <c r="D8045" s="10" t="s">
        <v>24</v>
      </c>
      <c r="E8045" s="14">
        <v>1.45</v>
      </c>
      <c r="F8045" s="15">
        <f>F8049</f>
        <v>43.8</v>
      </c>
      <c r="G8045" s="12">
        <f t="shared" si="1203"/>
        <v>63.51</v>
      </c>
    </row>
    <row r="8046" ht="24.0" customHeight="1">
      <c r="A8046" s="10" t="s">
        <v>25</v>
      </c>
      <c r="B8046" s="10" t="s">
        <v>26</v>
      </c>
      <c r="C8046" s="10" t="s">
        <v>23</v>
      </c>
      <c r="D8046" s="10" t="s">
        <v>27</v>
      </c>
      <c r="E8046" s="14">
        <v>1.0</v>
      </c>
      <c r="F8046" s="15">
        <f>ROUND(21,3)</f>
        <v>21</v>
      </c>
      <c r="G8046" s="12">
        <f t="shared" si="1203"/>
        <v>21</v>
      </c>
    </row>
    <row r="8047" ht="24.0" customHeight="1">
      <c r="A8047" s="10" t="s">
        <v>28</v>
      </c>
      <c r="B8047" s="10" t="s">
        <v>26</v>
      </c>
      <c r="C8047" s="10" t="s">
        <v>23</v>
      </c>
      <c r="D8047" s="10" t="s">
        <v>29</v>
      </c>
      <c r="E8047" s="14">
        <v>1.0</v>
      </c>
      <c r="F8047" s="15">
        <f t="shared" ref="F8047:F8048" si="1204">ROUND(19,3)</f>
        <v>19</v>
      </c>
      <c r="G8047" s="12">
        <f t="shared" si="1203"/>
        <v>19</v>
      </c>
    </row>
    <row r="8048" ht="24.0" customHeight="1">
      <c r="A8048" s="10" t="s">
        <v>30</v>
      </c>
      <c r="B8048" s="10" t="s">
        <v>26</v>
      </c>
      <c r="C8048" s="10" t="s">
        <v>23</v>
      </c>
      <c r="D8048" s="10" t="s">
        <v>31</v>
      </c>
      <c r="E8048" s="14">
        <v>0.2</v>
      </c>
      <c r="F8048" s="15">
        <f t="shared" si="1204"/>
        <v>19</v>
      </c>
      <c r="G8048" s="12">
        <f t="shared" si="1203"/>
        <v>3.8</v>
      </c>
    </row>
    <row r="8049" ht="15.0" customHeight="1">
      <c r="A8049" s="11"/>
      <c r="B8049" s="11"/>
      <c r="C8049" s="11"/>
      <c r="D8049" s="10" t="s">
        <v>22</v>
      </c>
      <c r="E8049" s="14">
        <v>1.45</v>
      </c>
      <c r="F8049" s="15">
        <f>ROUND((G8046+G8047+G8048),3)</f>
        <v>43.8</v>
      </c>
      <c r="G8049" s="12">
        <f t="shared" si="1203"/>
        <v>63.51</v>
      </c>
    </row>
    <row r="8050" ht="15.0" customHeight="1">
      <c r="A8050" s="10" t="s">
        <v>32</v>
      </c>
      <c r="B8050" s="10"/>
      <c r="C8050" s="10" t="s">
        <v>33</v>
      </c>
      <c r="D8050" s="10" t="s">
        <v>34</v>
      </c>
      <c r="E8050" s="14">
        <v>3.0</v>
      </c>
      <c r="F8050" s="15">
        <f>ROUND(63.51,3)</f>
        <v>63.51</v>
      </c>
      <c r="G8050" s="12">
        <f>ROUND((E8050*F8050)/100,2)</f>
        <v>1.91</v>
      </c>
    </row>
    <row r="8051" ht="15.0" customHeight="1">
      <c r="A8051" s="16"/>
      <c r="B8051" s="16"/>
      <c r="C8051" s="16"/>
      <c r="D8051" s="17" t="s">
        <v>3599</v>
      </c>
      <c r="E8051" s="16"/>
      <c r="F8051" s="18">
        <f>ROUND((G8044+G8045+G8050)*(1+G2/100),2)</f>
        <v>65.64</v>
      </c>
      <c r="G8051" s="16"/>
    </row>
    <row r="8052" ht="15.0" customHeight="1">
      <c r="A8052" s="19" t="s">
        <v>3604</v>
      </c>
      <c r="B8052" s="20" t="s">
        <v>18</v>
      </c>
      <c r="C8052" s="20" t="s">
        <v>537</v>
      </c>
      <c r="D8052" s="20" t="s">
        <v>3605</v>
      </c>
      <c r="E8052" s="21"/>
      <c r="F8052" s="22">
        <f>F8057</f>
        <v>75.4</v>
      </c>
      <c r="G8052" s="21"/>
    </row>
    <row r="8053" ht="30.0" customHeight="1">
      <c r="A8053" s="11"/>
      <c r="B8053" s="11"/>
      <c r="C8053" s="11"/>
      <c r="D8053" s="10" t="s">
        <v>3606</v>
      </c>
    </row>
    <row r="8054" ht="21.0" customHeight="1">
      <c r="A8054" s="10" t="s">
        <v>3607</v>
      </c>
      <c r="B8054" s="10" t="s">
        <v>42</v>
      </c>
      <c r="C8054" s="10" t="s">
        <v>1181</v>
      </c>
      <c r="D8054" s="10" t="s">
        <v>3608</v>
      </c>
      <c r="E8054" s="14">
        <v>0.13</v>
      </c>
      <c r="F8054" s="15">
        <f>ROUND(39.65,3)</f>
        <v>39.65</v>
      </c>
      <c r="G8054" s="12">
        <f t="shared" ref="G8054:G8056" si="1205">ROUND(E8054*F8054,2)</f>
        <v>5.15</v>
      </c>
    </row>
    <row r="8055" ht="21.0" customHeight="1">
      <c r="A8055" s="10" t="s">
        <v>3609</v>
      </c>
      <c r="B8055" s="10" t="s">
        <v>42</v>
      </c>
      <c r="C8055" s="10" t="s">
        <v>351</v>
      </c>
      <c r="D8055" s="10" t="s">
        <v>3610</v>
      </c>
      <c r="E8055" s="14">
        <v>1.05</v>
      </c>
      <c r="F8055" s="15">
        <f>ROUND(10.33,3)</f>
        <v>10.33</v>
      </c>
      <c r="G8055" s="12">
        <f t="shared" si="1205"/>
        <v>10.85</v>
      </c>
    </row>
    <row r="8056" ht="24.0" customHeight="1">
      <c r="A8056" s="10" t="s">
        <v>1186</v>
      </c>
      <c r="B8056" s="10" t="s">
        <v>26</v>
      </c>
      <c r="C8056" s="10" t="s">
        <v>23</v>
      </c>
      <c r="D8056" s="10" t="s">
        <v>1187</v>
      </c>
      <c r="E8056" s="14">
        <v>1.2</v>
      </c>
      <c r="F8056" s="15">
        <f>ROUND(49.5,3)</f>
        <v>49.5</v>
      </c>
      <c r="G8056" s="12">
        <f t="shared" si="1205"/>
        <v>59.4</v>
      </c>
    </row>
    <row r="8057" ht="15.0" customHeight="1">
      <c r="A8057" s="16"/>
      <c r="B8057" s="16"/>
      <c r="C8057" s="16"/>
      <c r="D8057" s="17" t="s">
        <v>3604</v>
      </c>
      <c r="E8057" s="16"/>
      <c r="F8057" s="18">
        <f>ROUND((G8054+G8055+G8056)*(1+G2/100),2)</f>
        <v>75.4</v>
      </c>
      <c r="G8057" s="16"/>
    </row>
    <row r="8058" ht="15.0" customHeight="1">
      <c r="A8058" s="19" t="s">
        <v>3611</v>
      </c>
      <c r="B8058" s="20" t="s">
        <v>18</v>
      </c>
      <c r="C8058" s="20" t="s">
        <v>222</v>
      </c>
      <c r="D8058" s="20" t="s">
        <v>3612</v>
      </c>
      <c r="E8058" s="21"/>
      <c r="F8058" s="22">
        <f>F8062</f>
        <v>334.8</v>
      </c>
      <c r="G8058" s="21"/>
    </row>
    <row r="8059" ht="21.0" customHeight="1">
      <c r="A8059" s="11"/>
      <c r="B8059" s="11"/>
      <c r="C8059" s="11"/>
      <c r="D8059" s="10" t="s">
        <v>3613</v>
      </c>
    </row>
    <row r="8060" ht="21.0" customHeight="1">
      <c r="A8060" s="10" t="s">
        <v>3614</v>
      </c>
      <c r="B8060" s="10" t="s">
        <v>42</v>
      </c>
      <c r="C8060" s="10" t="s">
        <v>1181</v>
      </c>
      <c r="D8060" s="10" t="s">
        <v>3615</v>
      </c>
      <c r="E8060" s="14">
        <v>6.0</v>
      </c>
      <c r="F8060" s="15">
        <f>ROUND(22.8,3)</f>
        <v>22.8</v>
      </c>
      <c r="G8060" s="12">
        <f t="shared" ref="G8060:G8061" si="1206">ROUND(E8060*F8060,2)</f>
        <v>136.8</v>
      </c>
    </row>
    <row r="8061" ht="24.0" customHeight="1">
      <c r="A8061" s="10" t="s">
        <v>1186</v>
      </c>
      <c r="B8061" s="10" t="s">
        <v>26</v>
      </c>
      <c r="C8061" s="10" t="s">
        <v>23</v>
      </c>
      <c r="D8061" s="10" t="s">
        <v>1187</v>
      </c>
      <c r="E8061" s="14">
        <v>4.0</v>
      </c>
      <c r="F8061" s="15">
        <f>ROUND(49.5,3)</f>
        <v>49.5</v>
      </c>
      <c r="G8061" s="12">
        <f t="shared" si="1206"/>
        <v>198</v>
      </c>
    </row>
    <row r="8062" ht="15.0" customHeight="1">
      <c r="A8062" s="16"/>
      <c r="B8062" s="16"/>
      <c r="C8062" s="16"/>
      <c r="D8062" s="17" t="s">
        <v>3611</v>
      </c>
      <c r="E8062" s="16"/>
      <c r="F8062" s="18">
        <f>ROUND((G8060+G8061)*(1+G2/100),2)</f>
        <v>334.8</v>
      </c>
      <c r="G8062" s="16"/>
    </row>
    <row r="8063" ht="21.0" customHeight="1">
      <c r="A8063" s="19" t="s">
        <v>3616</v>
      </c>
      <c r="B8063" s="20" t="s">
        <v>18</v>
      </c>
      <c r="C8063" s="20" t="s">
        <v>222</v>
      </c>
      <c r="D8063" s="20" t="s">
        <v>3617</v>
      </c>
      <c r="E8063" s="21"/>
      <c r="F8063" s="22">
        <f>F8068</f>
        <v>399.03</v>
      </c>
      <c r="G8063" s="21"/>
    </row>
    <row r="8064" ht="21.0" customHeight="1">
      <c r="A8064" s="11"/>
      <c r="B8064" s="11"/>
      <c r="C8064" s="11"/>
      <c r="D8064" s="10" t="s">
        <v>3618</v>
      </c>
    </row>
    <row r="8065" ht="39.75" customHeight="1">
      <c r="A8065" s="10" t="s">
        <v>1380</v>
      </c>
      <c r="B8065" s="10" t="s">
        <v>42</v>
      </c>
      <c r="C8065" s="10" t="s">
        <v>344</v>
      </c>
      <c r="D8065" s="10" t="s">
        <v>1381</v>
      </c>
      <c r="E8065" s="14">
        <v>1.0</v>
      </c>
      <c r="F8065" s="15">
        <f>ROUND(20.13,3)</f>
        <v>20.13</v>
      </c>
      <c r="G8065" s="12">
        <f t="shared" ref="G8065:G8067" si="1207">ROUND(E8065*F8065,2)</f>
        <v>20.13</v>
      </c>
    </row>
    <row r="8066" ht="21.0" customHeight="1">
      <c r="A8066" s="10" t="s">
        <v>3619</v>
      </c>
      <c r="B8066" s="10" t="s">
        <v>42</v>
      </c>
      <c r="C8066" s="10" t="s">
        <v>304</v>
      </c>
      <c r="D8066" s="10" t="s">
        <v>3620</v>
      </c>
      <c r="E8066" s="14">
        <v>96.0</v>
      </c>
      <c r="F8066" s="15">
        <f>ROUND(2.4,3)</f>
        <v>2.4</v>
      </c>
      <c r="G8066" s="12">
        <f t="shared" si="1207"/>
        <v>230.4</v>
      </c>
    </row>
    <row r="8067" ht="24.0" customHeight="1">
      <c r="A8067" s="10" t="s">
        <v>1186</v>
      </c>
      <c r="B8067" s="10" t="s">
        <v>26</v>
      </c>
      <c r="C8067" s="10" t="s">
        <v>23</v>
      </c>
      <c r="D8067" s="10" t="s">
        <v>1187</v>
      </c>
      <c r="E8067" s="14">
        <v>3.0</v>
      </c>
      <c r="F8067" s="15">
        <f>ROUND(49.5,3)</f>
        <v>49.5</v>
      </c>
      <c r="G8067" s="12">
        <f t="shared" si="1207"/>
        <v>148.5</v>
      </c>
    </row>
    <row r="8068" ht="15.0" customHeight="1">
      <c r="A8068" s="16"/>
      <c r="B8068" s="16"/>
      <c r="C8068" s="16"/>
      <c r="D8068" s="17" t="s">
        <v>3616</v>
      </c>
      <c r="E8068" s="16"/>
      <c r="F8068" s="18">
        <f>ROUND((G8065+G8066+G8067)*(1+G2/100),2)</f>
        <v>399.03</v>
      </c>
      <c r="G8068" s="16"/>
    </row>
    <row r="8069" ht="15.0" customHeight="1">
      <c r="A8069" s="19" t="s">
        <v>3621</v>
      </c>
      <c r="B8069" s="20" t="s">
        <v>18</v>
      </c>
      <c r="C8069" s="20" t="s">
        <v>251</v>
      </c>
      <c r="D8069" s="20" t="s">
        <v>3622</v>
      </c>
      <c r="E8069" s="21"/>
      <c r="F8069" s="22">
        <f>F8076</f>
        <v>36.64</v>
      </c>
      <c r="G8069" s="21"/>
    </row>
    <row r="8070" ht="57.75" customHeight="1">
      <c r="A8070" s="11"/>
      <c r="B8070" s="11"/>
      <c r="C8070" s="11"/>
      <c r="D8070" s="10" t="s">
        <v>3623</v>
      </c>
    </row>
    <row r="8071" ht="15.0" customHeight="1">
      <c r="A8071" s="10" t="s">
        <v>3624</v>
      </c>
      <c r="B8071" s="10" t="s">
        <v>42</v>
      </c>
      <c r="C8071" s="10" t="s">
        <v>304</v>
      </c>
      <c r="D8071" s="10" t="s">
        <v>3625</v>
      </c>
      <c r="E8071" s="14">
        <v>2.0</v>
      </c>
      <c r="F8071" s="15">
        <f>ROUND(0.05,3)</f>
        <v>0.05</v>
      </c>
      <c r="G8071" s="12">
        <f t="shared" ref="G8071:G8075" si="1208">ROUND(E8071*F8071,2)</f>
        <v>0.1</v>
      </c>
    </row>
    <row r="8072" ht="39.75" customHeight="1">
      <c r="A8072" s="10" t="s">
        <v>1380</v>
      </c>
      <c r="B8072" s="10" t="s">
        <v>42</v>
      </c>
      <c r="C8072" s="10" t="s">
        <v>344</v>
      </c>
      <c r="D8072" s="10" t="s">
        <v>1381</v>
      </c>
      <c r="E8072" s="14">
        <v>0.16</v>
      </c>
      <c r="F8072" s="15">
        <f>ROUND(20.13,3)</f>
        <v>20.13</v>
      </c>
      <c r="G8072" s="12">
        <f t="shared" si="1208"/>
        <v>3.22</v>
      </c>
    </row>
    <row r="8073" ht="21.0" customHeight="1">
      <c r="A8073" s="10" t="s">
        <v>3619</v>
      </c>
      <c r="B8073" s="10" t="s">
        <v>42</v>
      </c>
      <c r="C8073" s="10" t="s">
        <v>304</v>
      </c>
      <c r="D8073" s="10" t="s">
        <v>3620</v>
      </c>
      <c r="E8073" s="14">
        <v>8.0</v>
      </c>
      <c r="F8073" s="15">
        <f>ROUND(2.4,3)</f>
        <v>2.4</v>
      </c>
      <c r="G8073" s="12">
        <f t="shared" si="1208"/>
        <v>19.2</v>
      </c>
    </row>
    <row r="8074" ht="21.0" customHeight="1">
      <c r="A8074" s="10" t="s">
        <v>3626</v>
      </c>
      <c r="B8074" s="10" t="s">
        <v>42</v>
      </c>
      <c r="C8074" s="10" t="s">
        <v>304</v>
      </c>
      <c r="D8074" s="10" t="s">
        <v>3627</v>
      </c>
      <c r="E8074" s="14">
        <v>0.05</v>
      </c>
      <c r="F8074" s="15">
        <f>ROUND(5.16,3)</f>
        <v>5.16</v>
      </c>
      <c r="G8074" s="12">
        <f t="shared" si="1208"/>
        <v>0.26</v>
      </c>
    </row>
    <row r="8075" ht="24.0" customHeight="1">
      <c r="A8075" s="10" t="s">
        <v>1186</v>
      </c>
      <c r="B8075" s="10" t="s">
        <v>26</v>
      </c>
      <c r="C8075" s="10" t="s">
        <v>23</v>
      </c>
      <c r="D8075" s="10" t="s">
        <v>1187</v>
      </c>
      <c r="E8075" s="14">
        <v>0.28</v>
      </c>
      <c r="F8075" s="15">
        <f>ROUND(49.5,3)</f>
        <v>49.5</v>
      </c>
      <c r="G8075" s="12">
        <f t="shared" si="1208"/>
        <v>13.86</v>
      </c>
    </row>
    <row r="8076" ht="15.0" customHeight="1">
      <c r="A8076" s="16"/>
      <c r="B8076" s="16"/>
      <c r="C8076" s="16"/>
      <c r="D8076" s="17" t="s">
        <v>3621</v>
      </c>
      <c r="E8076" s="16"/>
      <c r="F8076" s="18">
        <f>ROUND((G8071+G8072+G8073+G8074+G8075)*(1+G2/100),2)</f>
        <v>36.64</v>
      </c>
      <c r="G8076" s="16"/>
    </row>
    <row r="8077" ht="21.0" customHeight="1">
      <c r="A8077" s="19" t="s">
        <v>3628</v>
      </c>
      <c r="B8077" s="20" t="s">
        <v>18</v>
      </c>
      <c r="C8077" s="20" t="s">
        <v>251</v>
      </c>
      <c r="D8077" s="20" t="s">
        <v>3629</v>
      </c>
      <c r="E8077" s="21"/>
      <c r="F8077" s="22">
        <f>F8091</f>
        <v>57.74</v>
      </c>
      <c r="G8077" s="21"/>
    </row>
    <row r="8078" ht="30.0" customHeight="1">
      <c r="A8078" s="11"/>
      <c r="B8078" s="11"/>
      <c r="C8078" s="11"/>
      <c r="D8078" s="10" t="s">
        <v>3630</v>
      </c>
    </row>
    <row r="8079" ht="21.0" customHeight="1">
      <c r="A8079" s="10" t="s">
        <v>3631</v>
      </c>
      <c r="B8079" s="10" t="s">
        <v>42</v>
      </c>
      <c r="C8079" s="10" t="s">
        <v>19</v>
      </c>
      <c r="D8079" s="10" t="s">
        <v>3632</v>
      </c>
      <c r="E8079" s="14">
        <v>1.05</v>
      </c>
      <c r="F8079" s="15">
        <f>ROUND(22.86,3)</f>
        <v>22.86</v>
      </c>
      <c r="G8079" s="12">
        <f t="shared" ref="G8079:G8089" si="1209">ROUND(E8079*F8079,2)</f>
        <v>24</v>
      </c>
    </row>
    <row r="8080" ht="48.75" customHeight="1">
      <c r="A8080" s="10" t="s">
        <v>2069</v>
      </c>
      <c r="B8080" s="10" t="s">
        <v>42</v>
      </c>
      <c r="C8080" s="10" t="s">
        <v>184</v>
      </c>
      <c r="D8080" s="10" t="s">
        <v>2070</v>
      </c>
      <c r="E8080" s="14">
        <v>0.252</v>
      </c>
      <c r="F8080" s="15">
        <f>ROUND(10.25,3)</f>
        <v>10.25</v>
      </c>
      <c r="G8080" s="12">
        <f t="shared" si="1209"/>
        <v>2.58</v>
      </c>
    </row>
    <row r="8081" ht="30.0" customHeight="1">
      <c r="A8081" s="10" t="s">
        <v>3633</v>
      </c>
      <c r="B8081" s="10" t="s">
        <v>42</v>
      </c>
      <c r="C8081" s="10" t="s">
        <v>184</v>
      </c>
      <c r="D8081" s="10" t="s">
        <v>3634</v>
      </c>
      <c r="E8081" s="14">
        <v>0.5</v>
      </c>
      <c r="F8081" s="15">
        <f>ROUND(11,3)</f>
        <v>11</v>
      </c>
      <c r="G8081" s="12">
        <f t="shared" si="1209"/>
        <v>5.5</v>
      </c>
    </row>
    <row r="8082" ht="39.75" customHeight="1">
      <c r="A8082" s="10" t="s">
        <v>3635</v>
      </c>
      <c r="B8082" s="10" t="s">
        <v>42</v>
      </c>
      <c r="C8082" s="10" t="s">
        <v>330</v>
      </c>
      <c r="D8082" s="10" t="s">
        <v>3636</v>
      </c>
      <c r="E8082" s="14">
        <v>0.05</v>
      </c>
      <c r="F8082" s="15">
        <f>ROUND(27.85,3)</f>
        <v>27.85</v>
      </c>
      <c r="G8082" s="12">
        <f t="shared" si="1209"/>
        <v>1.39</v>
      </c>
    </row>
    <row r="8083" ht="39.75" customHeight="1">
      <c r="A8083" s="10" t="s">
        <v>3637</v>
      </c>
      <c r="B8083" s="10" t="s">
        <v>42</v>
      </c>
      <c r="C8083" s="10" t="s">
        <v>330</v>
      </c>
      <c r="D8083" s="10" t="s">
        <v>3638</v>
      </c>
      <c r="E8083" s="14">
        <v>0.05</v>
      </c>
      <c r="F8083" s="15">
        <f>ROUND(18.8,3)</f>
        <v>18.8</v>
      </c>
      <c r="G8083" s="12">
        <f t="shared" si="1209"/>
        <v>0.94</v>
      </c>
    </row>
    <row r="8084" ht="30.0" customHeight="1">
      <c r="A8084" s="10" t="s">
        <v>3639</v>
      </c>
      <c r="B8084" s="10" t="s">
        <v>42</v>
      </c>
      <c r="C8084" s="10" t="s">
        <v>304</v>
      </c>
      <c r="D8084" s="10" t="s">
        <v>3640</v>
      </c>
      <c r="E8084" s="14">
        <v>0.05</v>
      </c>
      <c r="F8084" s="15">
        <f>ROUND(15.4,3)</f>
        <v>15.4</v>
      </c>
      <c r="G8084" s="12">
        <f t="shared" si="1209"/>
        <v>0.77</v>
      </c>
    </row>
    <row r="8085" ht="21.0" customHeight="1">
      <c r="A8085" s="10" t="s">
        <v>22</v>
      </c>
      <c r="B8085" s="10" t="s">
        <v>18</v>
      </c>
      <c r="C8085" s="10" t="s">
        <v>23</v>
      </c>
      <c r="D8085" s="10" t="s">
        <v>24</v>
      </c>
      <c r="E8085" s="14">
        <v>0.5</v>
      </c>
      <c r="F8085" s="15">
        <f>F8089</f>
        <v>43.8</v>
      </c>
      <c r="G8085" s="12">
        <f t="shared" si="1209"/>
        <v>21.9</v>
      </c>
    </row>
    <row r="8086" ht="24.0" customHeight="1">
      <c r="A8086" s="10" t="s">
        <v>25</v>
      </c>
      <c r="B8086" s="10" t="s">
        <v>26</v>
      </c>
      <c r="C8086" s="10" t="s">
        <v>23</v>
      </c>
      <c r="D8086" s="10" t="s">
        <v>27</v>
      </c>
      <c r="E8086" s="14">
        <v>1.0</v>
      </c>
      <c r="F8086" s="15">
        <f>ROUND(21,3)</f>
        <v>21</v>
      </c>
      <c r="G8086" s="12">
        <f t="shared" si="1209"/>
        <v>21</v>
      </c>
    </row>
    <row r="8087" ht="24.0" customHeight="1">
      <c r="A8087" s="10" t="s">
        <v>28</v>
      </c>
      <c r="B8087" s="10" t="s">
        <v>26</v>
      </c>
      <c r="C8087" s="10" t="s">
        <v>23</v>
      </c>
      <c r="D8087" s="10" t="s">
        <v>29</v>
      </c>
      <c r="E8087" s="14">
        <v>1.0</v>
      </c>
      <c r="F8087" s="15">
        <f t="shared" ref="F8087:F8088" si="1210">ROUND(19,3)</f>
        <v>19</v>
      </c>
      <c r="G8087" s="12">
        <f t="shared" si="1209"/>
        <v>19</v>
      </c>
    </row>
    <row r="8088" ht="24.0" customHeight="1">
      <c r="A8088" s="10" t="s">
        <v>30</v>
      </c>
      <c r="B8088" s="10" t="s">
        <v>26</v>
      </c>
      <c r="C8088" s="10" t="s">
        <v>23</v>
      </c>
      <c r="D8088" s="10" t="s">
        <v>31</v>
      </c>
      <c r="E8088" s="14">
        <v>0.2</v>
      </c>
      <c r="F8088" s="15">
        <f t="shared" si="1210"/>
        <v>19</v>
      </c>
      <c r="G8088" s="12">
        <f t="shared" si="1209"/>
        <v>3.8</v>
      </c>
    </row>
    <row r="8089" ht="15.0" customHeight="1">
      <c r="A8089" s="11"/>
      <c r="B8089" s="11"/>
      <c r="C8089" s="11"/>
      <c r="D8089" s="10" t="s">
        <v>22</v>
      </c>
      <c r="E8089" s="14">
        <v>0.5</v>
      </c>
      <c r="F8089" s="15">
        <f>ROUND((G8086+G8087+G8088),3)</f>
        <v>43.8</v>
      </c>
      <c r="G8089" s="12">
        <f t="shared" si="1209"/>
        <v>21.9</v>
      </c>
    </row>
    <row r="8090" ht="15.0" customHeight="1">
      <c r="A8090" s="10" t="s">
        <v>32</v>
      </c>
      <c r="B8090" s="10"/>
      <c r="C8090" s="10" t="s">
        <v>33</v>
      </c>
      <c r="D8090" s="10" t="s">
        <v>34</v>
      </c>
      <c r="E8090" s="14">
        <v>3.0</v>
      </c>
      <c r="F8090" s="15">
        <f>ROUND(21.9,3)</f>
        <v>21.9</v>
      </c>
      <c r="G8090" s="12">
        <f>ROUND((E8090*F8090)/100,2)</f>
        <v>0.66</v>
      </c>
    </row>
    <row r="8091" ht="15.0" customHeight="1">
      <c r="A8091" s="16"/>
      <c r="B8091" s="16"/>
      <c r="C8091" s="16"/>
      <c r="D8091" s="17" t="s">
        <v>3628</v>
      </c>
      <c r="E8091" s="16"/>
      <c r="F8091" s="18">
        <f>ROUND((G8079+G8080+G8081+G8082+G8083+G8084+G8085+G8090)*(1+G2/100),2)</f>
        <v>57.74</v>
      </c>
      <c r="G8091" s="16"/>
    </row>
    <row r="8092" ht="15.0" customHeight="1">
      <c r="A8092" s="19" t="s">
        <v>1565</v>
      </c>
      <c r="B8092" s="20" t="s">
        <v>18</v>
      </c>
      <c r="C8092" s="20" t="s">
        <v>858</v>
      </c>
      <c r="D8092" s="20" t="s">
        <v>1566</v>
      </c>
      <c r="E8092" s="21"/>
      <c r="F8092" s="22">
        <f>F8102</f>
        <v>52.65</v>
      </c>
      <c r="G8092" s="21"/>
    </row>
    <row r="8093" ht="39.75" customHeight="1">
      <c r="A8093" s="11"/>
      <c r="B8093" s="11"/>
      <c r="C8093" s="11"/>
      <c r="D8093" s="10" t="s">
        <v>3641</v>
      </c>
    </row>
    <row r="8094" ht="15.0" customHeight="1">
      <c r="A8094" s="10" t="s">
        <v>365</v>
      </c>
      <c r="B8094" s="10" t="s">
        <v>42</v>
      </c>
      <c r="C8094" s="10" t="s">
        <v>184</v>
      </c>
      <c r="D8094" s="10" t="s">
        <v>366</v>
      </c>
      <c r="E8094" s="14">
        <v>1.0</v>
      </c>
      <c r="F8094" s="15">
        <f>ROUND(32,3)</f>
        <v>32</v>
      </c>
      <c r="G8094" s="12">
        <f t="shared" ref="G8094:G8101" si="1211">ROUND(E8094*F8094,2)</f>
        <v>32</v>
      </c>
    </row>
    <row r="8095" ht="30.0" customHeight="1">
      <c r="A8095" s="10" t="s">
        <v>363</v>
      </c>
      <c r="B8095" s="10" t="s">
        <v>42</v>
      </c>
      <c r="C8095" s="10" t="s">
        <v>231</v>
      </c>
      <c r="D8095" s="10" t="s">
        <v>364</v>
      </c>
      <c r="E8095" s="14">
        <v>5.0</v>
      </c>
      <c r="F8095" s="15">
        <f>ROUND(0.17,3)</f>
        <v>0.17</v>
      </c>
      <c r="G8095" s="12">
        <f t="shared" si="1211"/>
        <v>0.85</v>
      </c>
    </row>
    <row r="8096" ht="15.0" customHeight="1">
      <c r="A8096" s="10" t="s">
        <v>1567</v>
      </c>
      <c r="B8096" s="10" t="s">
        <v>42</v>
      </c>
      <c r="C8096" s="10" t="s">
        <v>222</v>
      </c>
      <c r="D8096" s="10" t="s">
        <v>1568</v>
      </c>
      <c r="E8096" s="14">
        <v>0.001</v>
      </c>
      <c r="F8096" s="15">
        <f>ROUND(88,3)</f>
        <v>88</v>
      </c>
      <c r="G8096" s="12">
        <f t="shared" si="1211"/>
        <v>0.09</v>
      </c>
    </row>
    <row r="8097" ht="21.0" customHeight="1">
      <c r="A8097" s="10" t="s">
        <v>22</v>
      </c>
      <c r="B8097" s="10" t="s">
        <v>18</v>
      </c>
      <c r="C8097" s="10" t="s">
        <v>23</v>
      </c>
      <c r="D8097" s="10" t="s">
        <v>24</v>
      </c>
      <c r="E8097" s="14">
        <v>0.45</v>
      </c>
      <c r="F8097" s="15">
        <f>F8101</f>
        <v>43.8</v>
      </c>
      <c r="G8097" s="12">
        <f t="shared" si="1211"/>
        <v>19.71</v>
      </c>
    </row>
    <row r="8098" ht="24.0" customHeight="1">
      <c r="A8098" s="10" t="s">
        <v>25</v>
      </c>
      <c r="B8098" s="10" t="s">
        <v>26</v>
      </c>
      <c r="C8098" s="10" t="s">
        <v>23</v>
      </c>
      <c r="D8098" s="10" t="s">
        <v>27</v>
      </c>
      <c r="E8098" s="14">
        <v>1.0</v>
      </c>
      <c r="F8098" s="15">
        <f>ROUND(21,3)</f>
        <v>21</v>
      </c>
      <c r="G8098" s="12">
        <f t="shared" si="1211"/>
        <v>21</v>
      </c>
    </row>
    <row r="8099" ht="24.0" customHeight="1">
      <c r="A8099" s="10" t="s">
        <v>28</v>
      </c>
      <c r="B8099" s="10" t="s">
        <v>26</v>
      </c>
      <c r="C8099" s="10" t="s">
        <v>23</v>
      </c>
      <c r="D8099" s="10" t="s">
        <v>29</v>
      </c>
      <c r="E8099" s="14">
        <v>1.0</v>
      </c>
      <c r="F8099" s="15">
        <f t="shared" ref="F8099:F8100" si="1212">ROUND(19,3)</f>
        <v>19</v>
      </c>
      <c r="G8099" s="12">
        <f t="shared" si="1211"/>
        <v>19</v>
      </c>
    </row>
    <row r="8100" ht="24.0" customHeight="1">
      <c r="A8100" s="10" t="s">
        <v>30</v>
      </c>
      <c r="B8100" s="10" t="s">
        <v>26</v>
      </c>
      <c r="C8100" s="10" t="s">
        <v>23</v>
      </c>
      <c r="D8100" s="10" t="s">
        <v>31</v>
      </c>
      <c r="E8100" s="14">
        <v>0.2</v>
      </c>
      <c r="F8100" s="15">
        <f t="shared" si="1212"/>
        <v>19</v>
      </c>
      <c r="G8100" s="12">
        <f t="shared" si="1211"/>
        <v>3.8</v>
      </c>
    </row>
    <row r="8101" ht="15.0" customHeight="1">
      <c r="A8101" s="11"/>
      <c r="B8101" s="11"/>
      <c r="C8101" s="11"/>
      <c r="D8101" s="10" t="s">
        <v>22</v>
      </c>
      <c r="E8101" s="14">
        <v>0.45</v>
      </c>
      <c r="F8101" s="15">
        <f>ROUND((G8098+G8099+G8100),3)</f>
        <v>43.8</v>
      </c>
      <c r="G8101" s="12">
        <f t="shared" si="1211"/>
        <v>19.71</v>
      </c>
    </row>
    <row r="8102" ht="15.0" customHeight="1">
      <c r="A8102" s="16"/>
      <c r="B8102" s="16"/>
      <c r="C8102" s="16"/>
      <c r="D8102" s="17" t="s">
        <v>1565</v>
      </c>
      <c r="E8102" s="16"/>
      <c r="F8102" s="18">
        <f>ROUND((G8094+G8095+G8096+G8097)*(1+G2/100),2)</f>
        <v>52.65</v>
      </c>
      <c r="G8102" s="16"/>
    </row>
    <row r="8103" ht="21.0" customHeight="1">
      <c r="A8103" s="19" t="s">
        <v>839</v>
      </c>
      <c r="B8103" s="20" t="s">
        <v>18</v>
      </c>
      <c r="C8103" s="20" t="s">
        <v>251</v>
      </c>
      <c r="D8103" s="20" t="s">
        <v>840</v>
      </c>
      <c r="E8103" s="21"/>
      <c r="F8103" s="22">
        <f>F8110</f>
        <v>15.33</v>
      </c>
      <c r="G8103" s="21"/>
    </row>
    <row r="8104" ht="39.75" customHeight="1">
      <c r="A8104" s="11"/>
      <c r="B8104" s="11"/>
      <c r="C8104" s="11"/>
      <c r="D8104" s="10" t="s">
        <v>841</v>
      </c>
    </row>
    <row r="8105" ht="21.0" customHeight="1">
      <c r="A8105" s="10" t="s">
        <v>22</v>
      </c>
      <c r="B8105" s="10" t="s">
        <v>18</v>
      </c>
      <c r="C8105" s="10" t="s">
        <v>23</v>
      </c>
      <c r="D8105" s="10" t="s">
        <v>24</v>
      </c>
      <c r="E8105" s="14">
        <v>0.35</v>
      </c>
      <c r="F8105" s="15">
        <f>F8109</f>
        <v>43.8</v>
      </c>
      <c r="G8105" s="12">
        <f t="shared" ref="G8105:G8109" si="1213">ROUND(E8105*F8105,2)</f>
        <v>15.33</v>
      </c>
    </row>
    <row r="8106" ht="24.0" customHeight="1">
      <c r="A8106" s="10" t="s">
        <v>25</v>
      </c>
      <c r="B8106" s="10" t="s">
        <v>26</v>
      </c>
      <c r="C8106" s="10" t="s">
        <v>23</v>
      </c>
      <c r="D8106" s="10" t="s">
        <v>27</v>
      </c>
      <c r="E8106" s="14">
        <v>1.0</v>
      </c>
      <c r="F8106" s="15">
        <f>ROUND(21,3)</f>
        <v>21</v>
      </c>
      <c r="G8106" s="12">
        <f t="shared" si="1213"/>
        <v>21</v>
      </c>
    </row>
    <row r="8107" ht="24.0" customHeight="1">
      <c r="A8107" s="10" t="s">
        <v>28</v>
      </c>
      <c r="B8107" s="10" t="s">
        <v>26</v>
      </c>
      <c r="C8107" s="10" t="s">
        <v>23</v>
      </c>
      <c r="D8107" s="10" t="s">
        <v>29</v>
      </c>
      <c r="E8107" s="14">
        <v>1.0</v>
      </c>
      <c r="F8107" s="15">
        <f t="shared" ref="F8107:F8108" si="1214">ROUND(19,3)</f>
        <v>19</v>
      </c>
      <c r="G8107" s="12">
        <f t="shared" si="1213"/>
        <v>19</v>
      </c>
    </row>
    <row r="8108" ht="24.0" customHeight="1">
      <c r="A8108" s="10" t="s">
        <v>30</v>
      </c>
      <c r="B8108" s="10" t="s">
        <v>26</v>
      </c>
      <c r="C8108" s="10" t="s">
        <v>23</v>
      </c>
      <c r="D8108" s="10" t="s">
        <v>31</v>
      </c>
      <c r="E8108" s="14">
        <v>0.2</v>
      </c>
      <c r="F8108" s="15">
        <f t="shared" si="1214"/>
        <v>19</v>
      </c>
      <c r="G8108" s="12">
        <f t="shared" si="1213"/>
        <v>3.8</v>
      </c>
    </row>
    <row r="8109" ht="15.0" customHeight="1">
      <c r="A8109" s="11"/>
      <c r="B8109" s="11"/>
      <c r="C8109" s="11"/>
      <c r="D8109" s="10" t="s">
        <v>22</v>
      </c>
      <c r="E8109" s="14">
        <v>0.35</v>
      </c>
      <c r="F8109" s="15">
        <f>ROUND((G8106+G8107+G8108),3)</f>
        <v>43.8</v>
      </c>
      <c r="G8109" s="12">
        <f t="shared" si="1213"/>
        <v>15.33</v>
      </c>
    </row>
    <row r="8110" ht="15.0" customHeight="1">
      <c r="A8110" s="16"/>
      <c r="B8110" s="16"/>
      <c r="C8110" s="16"/>
      <c r="D8110" s="17" t="s">
        <v>839</v>
      </c>
      <c r="E8110" s="16"/>
      <c r="F8110" s="18">
        <f>ROUND((G8105)*(1+G2/100),2)</f>
        <v>15.33</v>
      </c>
      <c r="G8110" s="16"/>
    </row>
    <row r="8111" ht="15.0" customHeight="1">
      <c r="A8111" s="23"/>
      <c r="B8111" s="23"/>
      <c r="C8111" s="23"/>
      <c r="D8111" s="32" t="s">
        <v>3597</v>
      </c>
      <c r="E8111" s="33"/>
      <c r="F8111" s="33"/>
      <c r="G8111" s="33"/>
    </row>
    <row r="8112" ht="15.0" customHeight="1">
      <c r="A8112" s="34" t="s">
        <v>3642</v>
      </c>
      <c r="B8112" s="34" t="s">
        <v>10</v>
      </c>
      <c r="C8112" s="35"/>
      <c r="D8112" s="34" t="s">
        <v>3643</v>
      </c>
      <c r="E8112" s="35"/>
      <c r="F8112" s="35"/>
      <c r="G8112" s="35"/>
    </row>
    <row r="8113" ht="39.75" customHeight="1">
      <c r="A8113" s="13" t="s">
        <v>3644</v>
      </c>
      <c r="B8113" s="10" t="s">
        <v>18</v>
      </c>
      <c r="C8113" s="10" t="s">
        <v>351</v>
      </c>
      <c r="D8113" s="10" t="s">
        <v>3645</v>
      </c>
      <c r="E8113" s="11"/>
      <c r="F8113" s="12">
        <f>F8134</f>
        <v>52.97</v>
      </c>
      <c r="G8113" s="11"/>
    </row>
    <row r="8114" ht="21.0" customHeight="1">
      <c r="A8114" s="11"/>
      <c r="B8114" s="11"/>
      <c r="C8114" s="11"/>
      <c r="D8114" s="10" t="s">
        <v>3645</v>
      </c>
    </row>
    <row r="8115" ht="21.0" customHeight="1">
      <c r="A8115" s="10" t="s">
        <v>3646</v>
      </c>
      <c r="B8115" s="10" t="s">
        <v>42</v>
      </c>
      <c r="C8115" s="10" t="s">
        <v>344</v>
      </c>
      <c r="D8115" s="10" t="s">
        <v>3647</v>
      </c>
      <c r="E8115" s="14">
        <v>1.05</v>
      </c>
      <c r="F8115" s="15">
        <f>ROUND(9.09,3)</f>
        <v>9.09</v>
      </c>
      <c r="G8115" s="12">
        <f t="shared" ref="G8115:G8132" si="1215">ROUND(E8115*F8115,2)</f>
        <v>9.54</v>
      </c>
    </row>
    <row r="8116" ht="21.0" customHeight="1">
      <c r="A8116" s="10" t="s">
        <v>3648</v>
      </c>
      <c r="B8116" s="10" t="s">
        <v>42</v>
      </c>
      <c r="C8116" s="10" t="s">
        <v>344</v>
      </c>
      <c r="D8116" s="10" t="s">
        <v>3649</v>
      </c>
      <c r="E8116" s="14">
        <v>0.333</v>
      </c>
      <c r="F8116" s="15">
        <f>ROUND(1.53,3)</f>
        <v>1.53</v>
      </c>
      <c r="G8116" s="12">
        <f t="shared" si="1215"/>
        <v>0.51</v>
      </c>
    </row>
    <row r="8117" ht="21.0" customHeight="1">
      <c r="A8117" s="10" t="s">
        <v>3650</v>
      </c>
      <c r="B8117" s="10" t="s">
        <v>42</v>
      </c>
      <c r="C8117" s="10" t="s">
        <v>344</v>
      </c>
      <c r="D8117" s="10" t="s">
        <v>3651</v>
      </c>
      <c r="E8117" s="14">
        <v>1.66667</v>
      </c>
      <c r="F8117" s="15">
        <f>ROUND(1.03,3)</f>
        <v>1.03</v>
      </c>
      <c r="G8117" s="12">
        <f t="shared" si="1215"/>
        <v>1.72</v>
      </c>
    </row>
    <row r="8118" ht="21.0" customHeight="1">
      <c r="A8118" s="10" t="s">
        <v>3652</v>
      </c>
      <c r="B8118" s="10" t="s">
        <v>42</v>
      </c>
      <c r="C8118" s="10" t="s">
        <v>344</v>
      </c>
      <c r="D8118" s="10" t="s">
        <v>3653</v>
      </c>
      <c r="E8118" s="14">
        <v>0.05</v>
      </c>
      <c r="F8118" s="15">
        <f>ROUND(2.93,3)</f>
        <v>2.93</v>
      </c>
      <c r="G8118" s="12">
        <f t="shared" si="1215"/>
        <v>0.15</v>
      </c>
    </row>
    <row r="8119" ht="21.0" customHeight="1">
      <c r="A8119" s="10" t="s">
        <v>3654</v>
      </c>
      <c r="B8119" s="10" t="s">
        <v>42</v>
      </c>
      <c r="C8119" s="10" t="s">
        <v>344</v>
      </c>
      <c r="D8119" s="10" t="s">
        <v>3655</v>
      </c>
      <c r="E8119" s="14">
        <v>0.2</v>
      </c>
      <c r="F8119" s="15">
        <f>ROUND(1.12,3)</f>
        <v>1.12</v>
      </c>
      <c r="G8119" s="12">
        <f t="shared" si="1215"/>
        <v>0.22</v>
      </c>
    </row>
    <row r="8120" ht="21.0" customHeight="1">
      <c r="A8120" s="10" t="s">
        <v>3656</v>
      </c>
      <c r="B8120" s="10" t="s">
        <v>42</v>
      </c>
      <c r="C8120" s="10" t="s">
        <v>344</v>
      </c>
      <c r="D8120" s="10" t="s">
        <v>3657</v>
      </c>
      <c r="E8120" s="14">
        <v>0.1</v>
      </c>
      <c r="F8120" s="15">
        <f>ROUND(3.43,3)</f>
        <v>3.43</v>
      </c>
      <c r="G8120" s="12">
        <f t="shared" si="1215"/>
        <v>0.34</v>
      </c>
    </row>
    <row r="8121" ht="30.0" customHeight="1">
      <c r="A8121" s="10" t="s">
        <v>465</v>
      </c>
      <c r="B8121" s="10" t="s">
        <v>42</v>
      </c>
      <c r="C8121" s="10" t="s">
        <v>43</v>
      </c>
      <c r="D8121" s="10" t="s">
        <v>466</v>
      </c>
      <c r="E8121" s="14">
        <v>0.31</v>
      </c>
      <c r="F8121" s="15">
        <f>ROUND(4.58,3)</f>
        <v>4.58</v>
      </c>
      <c r="G8121" s="12">
        <f t="shared" si="1215"/>
        <v>1.42</v>
      </c>
    </row>
    <row r="8122" ht="30.0" customHeight="1">
      <c r="A8122" s="10" t="s">
        <v>467</v>
      </c>
      <c r="B8122" s="10" t="s">
        <v>42</v>
      </c>
      <c r="C8122" s="10" t="s">
        <v>43</v>
      </c>
      <c r="D8122" s="10" t="s">
        <v>468</v>
      </c>
      <c r="E8122" s="14">
        <v>0.055</v>
      </c>
      <c r="F8122" s="15">
        <f>ROUND(6.09,3)</f>
        <v>6.09</v>
      </c>
      <c r="G8122" s="12">
        <f t="shared" si="1215"/>
        <v>0.33</v>
      </c>
    </row>
    <row r="8123" ht="21.0" customHeight="1">
      <c r="A8123" s="10" t="s">
        <v>967</v>
      </c>
      <c r="B8123" s="10" t="s">
        <v>42</v>
      </c>
      <c r="C8123" s="10" t="s">
        <v>325</v>
      </c>
      <c r="D8123" s="10" t="s">
        <v>968</v>
      </c>
      <c r="E8123" s="14">
        <v>0.1</v>
      </c>
      <c r="F8123" s="15">
        <f>ROUND(6.49,3)</f>
        <v>6.49</v>
      </c>
      <c r="G8123" s="12">
        <f t="shared" si="1215"/>
        <v>0.65</v>
      </c>
    </row>
    <row r="8124" ht="30.0" customHeight="1">
      <c r="A8124" s="10" t="s">
        <v>3225</v>
      </c>
      <c r="B8124" s="10" t="s">
        <v>18</v>
      </c>
      <c r="C8124" s="10" t="s">
        <v>23</v>
      </c>
      <c r="D8124" s="10" t="s">
        <v>3226</v>
      </c>
      <c r="E8124" s="14">
        <v>0.4</v>
      </c>
      <c r="F8124" s="15">
        <f>F8126</f>
        <v>0.79</v>
      </c>
      <c r="G8124" s="12">
        <f t="shared" si="1215"/>
        <v>0.32</v>
      </c>
    </row>
    <row r="8125" ht="21.0" customHeight="1">
      <c r="A8125" s="10" t="s">
        <v>3227</v>
      </c>
      <c r="B8125" s="10" t="s">
        <v>112</v>
      </c>
      <c r="C8125" s="10" t="s">
        <v>231</v>
      </c>
      <c r="D8125" s="10" t="s">
        <v>3228</v>
      </c>
      <c r="E8125" s="14">
        <v>0.00417</v>
      </c>
      <c r="F8125" s="15">
        <f>ROUND(188.43,3)</f>
        <v>188.43</v>
      </c>
      <c r="G8125" s="12">
        <f t="shared" si="1215"/>
        <v>0.79</v>
      </c>
    </row>
    <row r="8126" ht="15.0" customHeight="1">
      <c r="A8126" s="11"/>
      <c r="B8126" s="11"/>
      <c r="C8126" s="11"/>
      <c r="D8126" s="10" t="s">
        <v>3225</v>
      </c>
      <c r="E8126" s="14">
        <v>0.4</v>
      </c>
      <c r="F8126" s="15">
        <f>ROUND((G8125),3)</f>
        <v>0.79</v>
      </c>
      <c r="G8126" s="12">
        <f t="shared" si="1215"/>
        <v>0.32</v>
      </c>
    </row>
    <row r="8127" ht="30.0" customHeight="1">
      <c r="A8127" s="10" t="s">
        <v>971</v>
      </c>
      <c r="B8127" s="10" t="s">
        <v>42</v>
      </c>
      <c r="C8127" s="10" t="s">
        <v>231</v>
      </c>
      <c r="D8127" s="10" t="s">
        <v>972</v>
      </c>
      <c r="E8127" s="14">
        <v>0.2</v>
      </c>
      <c r="F8127" s="15">
        <f>ROUND(4.92,3)</f>
        <v>4.92</v>
      </c>
      <c r="G8127" s="12">
        <f t="shared" si="1215"/>
        <v>0.98</v>
      </c>
    </row>
    <row r="8128" ht="21.0" customHeight="1">
      <c r="A8128" s="10" t="s">
        <v>22</v>
      </c>
      <c r="B8128" s="10" t="s">
        <v>18</v>
      </c>
      <c r="C8128" s="10" t="s">
        <v>23</v>
      </c>
      <c r="D8128" s="10" t="s">
        <v>24</v>
      </c>
      <c r="E8128" s="14">
        <v>0.8</v>
      </c>
      <c r="F8128" s="15">
        <f>F8132</f>
        <v>43.8</v>
      </c>
      <c r="G8128" s="12">
        <f t="shared" si="1215"/>
        <v>35.04</v>
      </c>
    </row>
    <row r="8129" ht="24.0" customHeight="1">
      <c r="A8129" s="10" t="s">
        <v>25</v>
      </c>
      <c r="B8129" s="10" t="s">
        <v>26</v>
      </c>
      <c r="C8129" s="10" t="s">
        <v>23</v>
      </c>
      <c r="D8129" s="10" t="s">
        <v>27</v>
      </c>
      <c r="E8129" s="14">
        <v>1.0</v>
      </c>
      <c r="F8129" s="15">
        <f>ROUND(21,3)</f>
        <v>21</v>
      </c>
      <c r="G8129" s="12">
        <f t="shared" si="1215"/>
        <v>21</v>
      </c>
    </row>
    <row r="8130" ht="24.0" customHeight="1">
      <c r="A8130" s="10" t="s">
        <v>28</v>
      </c>
      <c r="B8130" s="10" t="s">
        <v>26</v>
      </c>
      <c r="C8130" s="10" t="s">
        <v>23</v>
      </c>
      <c r="D8130" s="10" t="s">
        <v>29</v>
      </c>
      <c r="E8130" s="14">
        <v>1.0</v>
      </c>
      <c r="F8130" s="15">
        <f t="shared" ref="F8130:F8131" si="1216">ROUND(19,3)</f>
        <v>19</v>
      </c>
      <c r="G8130" s="12">
        <f t="shared" si="1215"/>
        <v>19</v>
      </c>
    </row>
    <row r="8131" ht="24.0" customHeight="1">
      <c r="A8131" s="10" t="s">
        <v>30</v>
      </c>
      <c r="B8131" s="10" t="s">
        <v>26</v>
      </c>
      <c r="C8131" s="10" t="s">
        <v>23</v>
      </c>
      <c r="D8131" s="10" t="s">
        <v>31</v>
      </c>
      <c r="E8131" s="14">
        <v>0.2</v>
      </c>
      <c r="F8131" s="15">
        <f t="shared" si="1216"/>
        <v>19</v>
      </c>
      <c r="G8131" s="12">
        <f t="shared" si="1215"/>
        <v>3.8</v>
      </c>
    </row>
    <row r="8132" ht="15.0" customHeight="1">
      <c r="A8132" s="11"/>
      <c r="B8132" s="11"/>
      <c r="C8132" s="11"/>
      <c r="D8132" s="10" t="s">
        <v>22</v>
      </c>
      <c r="E8132" s="14">
        <v>0.8</v>
      </c>
      <c r="F8132" s="15">
        <f>ROUND((G8129+G8130+G8131),3)</f>
        <v>43.8</v>
      </c>
      <c r="G8132" s="12">
        <f t="shared" si="1215"/>
        <v>35.04</v>
      </c>
    </row>
    <row r="8133" ht="15.0" customHeight="1">
      <c r="A8133" s="10" t="s">
        <v>32</v>
      </c>
      <c r="B8133" s="10"/>
      <c r="C8133" s="10" t="s">
        <v>33</v>
      </c>
      <c r="D8133" s="10" t="s">
        <v>34</v>
      </c>
      <c r="E8133" s="14">
        <v>5.0</v>
      </c>
      <c r="F8133" s="15">
        <f>ROUND(35.04,3)</f>
        <v>35.04</v>
      </c>
      <c r="G8133" s="12">
        <f>ROUND((E8133*F8133)/100,2)</f>
        <v>1.75</v>
      </c>
    </row>
    <row r="8134" ht="24.75" customHeight="1">
      <c r="A8134" s="16"/>
      <c r="B8134" s="16"/>
      <c r="C8134" s="16"/>
      <c r="D8134" s="17" t="s">
        <v>3644</v>
      </c>
      <c r="E8134" s="16"/>
      <c r="F8134" s="18">
        <f>ROUND((G8115+G8116+G8117+G8118+G8119+G8120+G8121+G8122+G8123+G8124+G8127+G8128+G8133)*(1+G2/100),2)</f>
        <v>52.97</v>
      </c>
      <c r="G8134" s="16"/>
    </row>
    <row r="8135" ht="39.75" customHeight="1">
      <c r="A8135" s="19" t="s">
        <v>3658</v>
      </c>
      <c r="B8135" s="20" t="s">
        <v>18</v>
      </c>
      <c r="C8135" s="20" t="s">
        <v>351</v>
      </c>
      <c r="D8135" s="20" t="s">
        <v>3659</v>
      </c>
      <c r="E8135" s="21"/>
      <c r="F8135" s="22">
        <f>F8155</f>
        <v>40.2</v>
      </c>
      <c r="G8135" s="21"/>
    </row>
    <row r="8136" ht="21.0" customHeight="1">
      <c r="A8136" s="11"/>
      <c r="B8136" s="11"/>
      <c r="C8136" s="11"/>
      <c r="D8136" s="10" t="s">
        <v>3659</v>
      </c>
    </row>
    <row r="8137" ht="30.0" customHeight="1">
      <c r="A8137" s="10" t="s">
        <v>3660</v>
      </c>
      <c r="B8137" s="10" t="s">
        <v>42</v>
      </c>
      <c r="C8137" s="10" t="s">
        <v>344</v>
      </c>
      <c r="D8137" s="10" t="s">
        <v>3661</v>
      </c>
      <c r="E8137" s="14">
        <v>1.05</v>
      </c>
      <c r="F8137" s="15">
        <f>ROUND(6.57,3)</f>
        <v>6.57</v>
      </c>
      <c r="G8137" s="12">
        <f t="shared" ref="G8137:G8153" si="1217">ROUND(E8137*F8137,2)</f>
        <v>6.9</v>
      </c>
    </row>
    <row r="8138" ht="30.0" customHeight="1">
      <c r="A8138" s="10" t="s">
        <v>3662</v>
      </c>
      <c r="B8138" s="10" t="s">
        <v>42</v>
      </c>
      <c r="C8138" s="10" t="s">
        <v>344</v>
      </c>
      <c r="D8138" s="10" t="s">
        <v>3663</v>
      </c>
      <c r="E8138" s="14">
        <v>0.5</v>
      </c>
      <c r="F8138" s="15">
        <f>ROUND(1.74,3)</f>
        <v>1.74</v>
      </c>
      <c r="G8138" s="12">
        <f t="shared" si="1217"/>
        <v>0.87</v>
      </c>
    </row>
    <row r="8139" ht="30.0" customHeight="1">
      <c r="A8139" s="10" t="s">
        <v>3664</v>
      </c>
      <c r="B8139" s="10" t="s">
        <v>42</v>
      </c>
      <c r="C8139" s="10" t="s">
        <v>344</v>
      </c>
      <c r="D8139" s="10" t="s">
        <v>3665</v>
      </c>
      <c r="E8139" s="14">
        <v>1.0</v>
      </c>
      <c r="F8139" s="15">
        <f>ROUND(1.28,3)</f>
        <v>1.28</v>
      </c>
      <c r="G8139" s="12">
        <f t="shared" si="1217"/>
        <v>1.28</v>
      </c>
    </row>
    <row r="8140" ht="30.0" customHeight="1">
      <c r="A8140" s="10" t="s">
        <v>3666</v>
      </c>
      <c r="B8140" s="10" t="s">
        <v>42</v>
      </c>
      <c r="C8140" s="10" t="s">
        <v>344</v>
      </c>
      <c r="D8140" s="10" t="s">
        <v>3667</v>
      </c>
      <c r="E8140" s="14">
        <v>0.2</v>
      </c>
      <c r="F8140" s="15">
        <f>ROUND(2.07,3)</f>
        <v>2.07</v>
      </c>
      <c r="G8140" s="12">
        <f t="shared" si="1217"/>
        <v>0.41</v>
      </c>
    </row>
    <row r="8141" ht="30.0" customHeight="1">
      <c r="A8141" s="10" t="s">
        <v>3668</v>
      </c>
      <c r="B8141" s="10" t="s">
        <v>42</v>
      </c>
      <c r="C8141" s="10" t="s">
        <v>344</v>
      </c>
      <c r="D8141" s="10" t="s">
        <v>3669</v>
      </c>
      <c r="E8141" s="14">
        <v>0.1</v>
      </c>
      <c r="F8141" s="15">
        <f>ROUND(3.1,3)</f>
        <v>3.1</v>
      </c>
      <c r="G8141" s="12">
        <f t="shared" si="1217"/>
        <v>0.31</v>
      </c>
    </row>
    <row r="8142" ht="30.0" customHeight="1">
      <c r="A8142" s="10" t="s">
        <v>465</v>
      </c>
      <c r="B8142" s="10" t="s">
        <v>42</v>
      </c>
      <c r="C8142" s="10" t="s">
        <v>43</v>
      </c>
      <c r="D8142" s="10" t="s">
        <v>466</v>
      </c>
      <c r="E8142" s="14">
        <v>0.26</v>
      </c>
      <c r="F8142" s="15">
        <f>ROUND(4.58,3)</f>
        <v>4.58</v>
      </c>
      <c r="G8142" s="12">
        <f t="shared" si="1217"/>
        <v>1.19</v>
      </c>
    </row>
    <row r="8143" ht="30.0" customHeight="1">
      <c r="A8143" s="10" t="s">
        <v>467</v>
      </c>
      <c r="B8143" s="10" t="s">
        <v>42</v>
      </c>
      <c r="C8143" s="10" t="s">
        <v>43</v>
      </c>
      <c r="D8143" s="10" t="s">
        <v>468</v>
      </c>
      <c r="E8143" s="14">
        <v>0.0462</v>
      </c>
      <c r="F8143" s="15">
        <f>ROUND(6.09,3)</f>
        <v>6.09</v>
      </c>
      <c r="G8143" s="12">
        <f t="shared" si="1217"/>
        <v>0.28</v>
      </c>
    </row>
    <row r="8144" ht="21.0" customHeight="1">
      <c r="A8144" s="10" t="s">
        <v>967</v>
      </c>
      <c r="B8144" s="10" t="s">
        <v>42</v>
      </c>
      <c r="C8144" s="10" t="s">
        <v>325</v>
      </c>
      <c r="D8144" s="10" t="s">
        <v>968</v>
      </c>
      <c r="E8144" s="14">
        <v>0.06</v>
      </c>
      <c r="F8144" s="15">
        <f>ROUND(6.49,3)</f>
        <v>6.49</v>
      </c>
      <c r="G8144" s="12">
        <f t="shared" si="1217"/>
        <v>0.39</v>
      </c>
    </row>
    <row r="8145" ht="30.0" customHeight="1">
      <c r="A8145" s="10" t="s">
        <v>3225</v>
      </c>
      <c r="B8145" s="10" t="s">
        <v>18</v>
      </c>
      <c r="C8145" s="10" t="s">
        <v>23</v>
      </c>
      <c r="D8145" s="10" t="s">
        <v>3226</v>
      </c>
      <c r="E8145" s="14">
        <v>0.3</v>
      </c>
      <c r="F8145" s="15">
        <f>F8147</f>
        <v>0.79</v>
      </c>
      <c r="G8145" s="12">
        <f t="shared" si="1217"/>
        <v>0.24</v>
      </c>
    </row>
    <row r="8146" ht="21.0" customHeight="1">
      <c r="A8146" s="10" t="s">
        <v>3227</v>
      </c>
      <c r="B8146" s="10" t="s">
        <v>112</v>
      </c>
      <c r="C8146" s="10" t="s">
        <v>231</v>
      </c>
      <c r="D8146" s="10" t="s">
        <v>3228</v>
      </c>
      <c r="E8146" s="14">
        <v>0.00417</v>
      </c>
      <c r="F8146" s="15">
        <f>ROUND(188.43,3)</f>
        <v>188.43</v>
      </c>
      <c r="G8146" s="12">
        <f t="shared" si="1217"/>
        <v>0.79</v>
      </c>
    </row>
    <row r="8147" ht="15.0" customHeight="1">
      <c r="A8147" s="11"/>
      <c r="B8147" s="11"/>
      <c r="C8147" s="11"/>
      <c r="D8147" s="10" t="s">
        <v>3225</v>
      </c>
      <c r="E8147" s="14">
        <v>0.3</v>
      </c>
      <c r="F8147" s="15">
        <f>ROUND((G8146),3)</f>
        <v>0.79</v>
      </c>
      <c r="G8147" s="12">
        <f t="shared" si="1217"/>
        <v>0.24</v>
      </c>
    </row>
    <row r="8148" ht="30.0" customHeight="1">
      <c r="A8148" s="10" t="s">
        <v>971</v>
      </c>
      <c r="B8148" s="10" t="s">
        <v>42</v>
      </c>
      <c r="C8148" s="10" t="s">
        <v>231</v>
      </c>
      <c r="D8148" s="10" t="s">
        <v>972</v>
      </c>
      <c r="E8148" s="14">
        <v>0.15</v>
      </c>
      <c r="F8148" s="15">
        <f>ROUND(4.92,3)</f>
        <v>4.92</v>
      </c>
      <c r="G8148" s="12">
        <f t="shared" si="1217"/>
        <v>0.74</v>
      </c>
    </row>
    <row r="8149" ht="21.0" customHeight="1">
      <c r="A8149" s="10" t="s">
        <v>22</v>
      </c>
      <c r="B8149" s="10" t="s">
        <v>18</v>
      </c>
      <c r="C8149" s="10" t="s">
        <v>23</v>
      </c>
      <c r="D8149" s="10" t="s">
        <v>24</v>
      </c>
      <c r="E8149" s="14">
        <v>0.6</v>
      </c>
      <c r="F8149" s="15">
        <f>F8153</f>
        <v>43.8</v>
      </c>
      <c r="G8149" s="12">
        <f t="shared" si="1217"/>
        <v>26.28</v>
      </c>
    </row>
    <row r="8150" ht="24.0" customHeight="1">
      <c r="A8150" s="10" t="s">
        <v>25</v>
      </c>
      <c r="B8150" s="10" t="s">
        <v>26</v>
      </c>
      <c r="C8150" s="10" t="s">
        <v>23</v>
      </c>
      <c r="D8150" s="10" t="s">
        <v>27</v>
      </c>
      <c r="E8150" s="14">
        <v>1.0</v>
      </c>
      <c r="F8150" s="15">
        <f>ROUND(21,3)</f>
        <v>21</v>
      </c>
      <c r="G8150" s="12">
        <f t="shared" si="1217"/>
        <v>21</v>
      </c>
    </row>
    <row r="8151" ht="24.0" customHeight="1">
      <c r="A8151" s="10" t="s">
        <v>28</v>
      </c>
      <c r="B8151" s="10" t="s">
        <v>26</v>
      </c>
      <c r="C8151" s="10" t="s">
        <v>23</v>
      </c>
      <c r="D8151" s="10" t="s">
        <v>29</v>
      </c>
      <c r="E8151" s="14">
        <v>1.0</v>
      </c>
      <c r="F8151" s="15">
        <f t="shared" ref="F8151:F8152" si="1218">ROUND(19,3)</f>
        <v>19</v>
      </c>
      <c r="G8151" s="12">
        <f t="shared" si="1217"/>
        <v>19</v>
      </c>
    </row>
    <row r="8152" ht="24.0" customHeight="1">
      <c r="A8152" s="10" t="s">
        <v>30</v>
      </c>
      <c r="B8152" s="10" t="s">
        <v>26</v>
      </c>
      <c r="C8152" s="10" t="s">
        <v>23</v>
      </c>
      <c r="D8152" s="10" t="s">
        <v>31</v>
      </c>
      <c r="E8152" s="14">
        <v>0.2</v>
      </c>
      <c r="F8152" s="15">
        <f t="shared" si="1218"/>
        <v>19</v>
      </c>
      <c r="G8152" s="12">
        <f t="shared" si="1217"/>
        <v>3.8</v>
      </c>
    </row>
    <row r="8153" ht="15.0" customHeight="1">
      <c r="A8153" s="11"/>
      <c r="B8153" s="11"/>
      <c r="C8153" s="11"/>
      <c r="D8153" s="10" t="s">
        <v>22</v>
      </c>
      <c r="E8153" s="14">
        <v>0.6</v>
      </c>
      <c r="F8153" s="15">
        <f>ROUND((G8150+G8151+G8152),3)</f>
        <v>43.8</v>
      </c>
      <c r="G8153" s="12">
        <f t="shared" si="1217"/>
        <v>26.28</v>
      </c>
    </row>
    <row r="8154" ht="15.0" customHeight="1">
      <c r="A8154" s="10" t="s">
        <v>32</v>
      </c>
      <c r="B8154" s="10"/>
      <c r="C8154" s="10" t="s">
        <v>33</v>
      </c>
      <c r="D8154" s="10" t="s">
        <v>34</v>
      </c>
      <c r="E8154" s="14">
        <v>5.0</v>
      </c>
      <c r="F8154" s="15">
        <f>ROUND(26.28,3)</f>
        <v>26.28</v>
      </c>
      <c r="G8154" s="12">
        <f>ROUND((E8154*F8154)/100,2)</f>
        <v>1.31</v>
      </c>
    </row>
    <row r="8155" ht="24.75" customHeight="1">
      <c r="A8155" s="16"/>
      <c r="B8155" s="16"/>
      <c r="C8155" s="16"/>
      <c r="D8155" s="17" t="s">
        <v>3658</v>
      </c>
      <c r="E8155" s="16"/>
      <c r="F8155" s="18">
        <f>ROUND((G8137+G8138+G8139+G8140+G8141+G8142+G8143+G8144+G8145+G8148+G8149+G8154)*(1+G2/100),2)</f>
        <v>40.2</v>
      </c>
      <c r="G8155" s="16"/>
    </row>
    <row r="8156" ht="15.0" customHeight="1">
      <c r="A8156" s="26" t="s">
        <v>3670</v>
      </c>
      <c r="B8156" s="26" t="s">
        <v>10</v>
      </c>
      <c r="C8156" s="27"/>
      <c r="D8156" s="26" t="s">
        <v>3671</v>
      </c>
      <c r="E8156" s="27"/>
      <c r="F8156" s="27"/>
      <c r="G8156" s="27"/>
    </row>
    <row r="8157" ht="24.75" customHeight="1">
      <c r="A8157" s="28" t="s">
        <v>3672</v>
      </c>
      <c r="B8157" s="28" t="s">
        <v>10</v>
      </c>
      <c r="C8157" s="29"/>
      <c r="D8157" s="28" t="s">
        <v>3673</v>
      </c>
      <c r="E8157" s="29"/>
      <c r="F8157" s="29"/>
      <c r="G8157" s="29"/>
    </row>
    <row r="8158" ht="39.75" customHeight="1">
      <c r="A8158" s="13" t="s">
        <v>3674</v>
      </c>
      <c r="B8158" s="10" t="s">
        <v>18</v>
      </c>
      <c r="C8158" s="10" t="s">
        <v>231</v>
      </c>
      <c r="D8158" s="10" t="s">
        <v>3675</v>
      </c>
      <c r="E8158" s="11"/>
      <c r="F8158" s="12">
        <f>F8192</f>
        <v>265.18</v>
      </c>
      <c r="G8158" s="11"/>
    </row>
    <row r="8159" ht="141.0" customHeight="1">
      <c r="A8159" s="11"/>
      <c r="B8159" s="11"/>
      <c r="C8159" s="11"/>
      <c r="D8159" s="10" t="s">
        <v>3676</v>
      </c>
    </row>
    <row r="8160" ht="30.0" customHeight="1">
      <c r="A8160" s="10" t="s">
        <v>801</v>
      </c>
      <c r="B8160" s="10" t="s">
        <v>18</v>
      </c>
      <c r="C8160" s="10" t="s">
        <v>251</v>
      </c>
      <c r="D8160" s="10" t="s">
        <v>802</v>
      </c>
      <c r="E8160" s="14">
        <v>1.2</v>
      </c>
      <c r="F8160" s="15">
        <f>F8163</f>
        <v>13.53</v>
      </c>
      <c r="G8160" s="12">
        <f t="shared" ref="G8160:G8161" si="1219">ROUND(E8160*F8160,2)</f>
        <v>16.24</v>
      </c>
    </row>
    <row r="8161" ht="21.0" customHeight="1">
      <c r="A8161" s="10" t="s">
        <v>22</v>
      </c>
      <c r="B8161" s="10" t="s">
        <v>18</v>
      </c>
      <c r="C8161" s="10" t="s">
        <v>23</v>
      </c>
      <c r="D8161" s="10" t="s">
        <v>24</v>
      </c>
      <c r="E8161" s="14">
        <v>0.3</v>
      </c>
      <c r="F8161" s="15">
        <f>ROUND(43.8,3)</f>
        <v>43.8</v>
      </c>
      <c r="G8161" s="12">
        <f t="shared" si="1219"/>
        <v>13.14</v>
      </c>
    </row>
    <row r="8162" ht="15.0" customHeight="1">
      <c r="A8162" s="10" t="s">
        <v>32</v>
      </c>
      <c r="B8162" s="10"/>
      <c r="C8162" s="10" t="s">
        <v>33</v>
      </c>
      <c r="D8162" s="10" t="s">
        <v>34</v>
      </c>
      <c r="E8162" s="14">
        <v>3.0</v>
      </c>
      <c r="F8162" s="15">
        <f>ROUND(13.14,3)</f>
        <v>13.14</v>
      </c>
      <c r="G8162" s="12">
        <f>ROUND((E8162*F8162)/100,2)</f>
        <v>0.39</v>
      </c>
    </row>
    <row r="8163" ht="15.0" customHeight="1">
      <c r="A8163" s="11"/>
      <c r="B8163" s="11"/>
      <c r="C8163" s="11"/>
      <c r="D8163" s="10" t="s">
        <v>801</v>
      </c>
      <c r="E8163" s="14">
        <v>1.2</v>
      </c>
      <c r="F8163" s="15">
        <f>ROUND((G8161+G8162),3)</f>
        <v>13.53</v>
      </c>
      <c r="G8163" s="12">
        <f t="shared" ref="G8163:G8167" si="1220">ROUND(E8163*F8163,2)</f>
        <v>16.24</v>
      </c>
    </row>
    <row r="8164" ht="24.0" customHeight="1">
      <c r="A8164" s="10" t="s">
        <v>198</v>
      </c>
      <c r="B8164" s="10" t="s">
        <v>18</v>
      </c>
      <c r="C8164" s="10" t="s">
        <v>19</v>
      </c>
      <c r="D8164" s="10" t="s">
        <v>199</v>
      </c>
      <c r="E8164" s="14">
        <v>1.2</v>
      </c>
      <c r="F8164" s="15">
        <f>F8169</f>
        <v>15.18</v>
      </c>
      <c r="G8164" s="12">
        <f t="shared" si="1220"/>
        <v>18.22</v>
      </c>
    </row>
    <row r="8165" ht="39.75" customHeight="1">
      <c r="A8165" s="10" t="s">
        <v>41</v>
      </c>
      <c r="B8165" s="10" t="s">
        <v>42</v>
      </c>
      <c r="C8165" s="10" t="s">
        <v>43</v>
      </c>
      <c r="D8165" s="10" t="s">
        <v>44</v>
      </c>
      <c r="E8165" s="14">
        <v>0.02</v>
      </c>
      <c r="F8165" s="15">
        <f>ROUND(9.13,3)</f>
        <v>9.13</v>
      </c>
      <c r="G8165" s="12">
        <f t="shared" si="1220"/>
        <v>0.18</v>
      </c>
    </row>
    <row r="8166" ht="24.0" customHeight="1">
      <c r="A8166" s="10" t="s">
        <v>111</v>
      </c>
      <c r="B8166" s="10" t="s">
        <v>112</v>
      </c>
      <c r="C8166" s="10" t="s">
        <v>23</v>
      </c>
      <c r="D8166" s="10" t="s">
        <v>113</v>
      </c>
      <c r="E8166" s="14">
        <v>0.16</v>
      </c>
      <c r="F8166" s="15">
        <f>ROUND(7.526,3)</f>
        <v>7.526</v>
      </c>
      <c r="G8166" s="12">
        <f t="shared" si="1220"/>
        <v>1.2</v>
      </c>
    </row>
    <row r="8167" ht="21.0" customHeight="1">
      <c r="A8167" s="10" t="s">
        <v>22</v>
      </c>
      <c r="B8167" s="10" t="s">
        <v>18</v>
      </c>
      <c r="C8167" s="10" t="s">
        <v>23</v>
      </c>
      <c r="D8167" s="10" t="s">
        <v>24</v>
      </c>
      <c r="E8167" s="14">
        <v>0.3</v>
      </c>
      <c r="F8167" s="15">
        <f>ROUND(43.8,3)</f>
        <v>43.8</v>
      </c>
      <c r="G8167" s="12">
        <f t="shared" si="1220"/>
        <v>13.14</v>
      </c>
    </row>
    <row r="8168" ht="15.0" customHeight="1">
      <c r="A8168" s="10" t="s">
        <v>32</v>
      </c>
      <c r="B8168" s="10"/>
      <c r="C8168" s="10" t="s">
        <v>33</v>
      </c>
      <c r="D8168" s="10" t="s">
        <v>34</v>
      </c>
      <c r="E8168" s="14">
        <v>5.0</v>
      </c>
      <c r="F8168" s="15">
        <f>ROUND(13.14,3)</f>
        <v>13.14</v>
      </c>
      <c r="G8168" s="12">
        <f>ROUND((E8168*F8168)/100,2)</f>
        <v>0.66</v>
      </c>
    </row>
    <row r="8169" ht="15.0" customHeight="1">
      <c r="A8169" s="11"/>
      <c r="B8169" s="11"/>
      <c r="C8169" s="11"/>
      <c r="D8169" s="10" t="s">
        <v>198</v>
      </c>
      <c r="E8169" s="14">
        <v>1.2</v>
      </c>
      <c r="F8169" s="15">
        <f>ROUND((G8165+G8166+G8167+G8168),3)</f>
        <v>15.18</v>
      </c>
      <c r="G8169" s="12">
        <f t="shared" ref="G8169:G8173" si="1221">ROUND(E8169*F8169,2)</f>
        <v>18.22</v>
      </c>
    </row>
    <row r="8170" ht="48.75" customHeight="1">
      <c r="A8170" s="10" t="s">
        <v>3677</v>
      </c>
      <c r="B8170" s="10" t="s">
        <v>18</v>
      </c>
      <c r="C8170" s="10" t="s">
        <v>19</v>
      </c>
      <c r="D8170" s="10" t="s">
        <v>3678</v>
      </c>
      <c r="E8170" s="14">
        <v>1.2</v>
      </c>
      <c r="F8170" s="15">
        <f>F8175</f>
        <v>28.83</v>
      </c>
      <c r="G8170" s="12">
        <f t="shared" si="1221"/>
        <v>34.6</v>
      </c>
    </row>
    <row r="8171" ht="48.75" customHeight="1">
      <c r="A8171" s="10" t="s">
        <v>3679</v>
      </c>
      <c r="B8171" s="10" t="s">
        <v>42</v>
      </c>
      <c r="C8171" s="10" t="s">
        <v>43</v>
      </c>
      <c r="D8171" s="10" t="s">
        <v>3680</v>
      </c>
      <c r="E8171" s="14">
        <v>0.17733</v>
      </c>
      <c r="F8171" s="15">
        <f>ROUND(37.92,3)</f>
        <v>37.92</v>
      </c>
      <c r="G8171" s="12">
        <f t="shared" si="1221"/>
        <v>6.72</v>
      </c>
    </row>
    <row r="8172" ht="39.75" customHeight="1">
      <c r="A8172" s="10" t="s">
        <v>3681</v>
      </c>
      <c r="B8172" s="10" t="s">
        <v>42</v>
      </c>
      <c r="C8172" s="10" t="s">
        <v>19</v>
      </c>
      <c r="D8172" s="10" t="s">
        <v>3682</v>
      </c>
      <c r="E8172" s="14">
        <v>0.04433</v>
      </c>
      <c r="F8172" s="15">
        <f>ROUND(28.95,3)</f>
        <v>28.95</v>
      </c>
      <c r="G8172" s="12">
        <f t="shared" si="1221"/>
        <v>1.28</v>
      </c>
    </row>
    <row r="8173" ht="21.0" customHeight="1">
      <c r="A8173" s="10" t="s">
        <v>22</v>
      </c>
      <c r="B8173" s="10" t="s">
        <v>18</v>
      </c>
      <c r="C8173" s="10" t="s">
        <v>23</v>
      </c>
      <c r="D8173" s="10" t="s">
        <v>24</v>
      </c>
      <c r="E8173" s="14">
        <v>0.44444</v>
      </c>
      <c r="F8173" s="15">
        <f>ROUND(43.8,3)</f>
        <v>43.8</v>
      </c>
      <c r="G8173" s="12">
        <f t="shared" si="1221"/>
        <v>19.47</v>
      </c>
    </row>
    <row r="8174" ht="15.0" customHeight="1">
      <c r="A8174" s="10" t="s">
        <v>32</v>
      </c>
      <c r="B8174" s="10"/>
      <c r="C8174" s="10" t="s">
        <v>33</v>
      </c>
      <c r="D8174" s="10" t="s">
        <v>34</v>
      </c>
      <c r="E8174" s="14">
        <v>7.0</v>
      </c>
      <c r="F8174" s="15">
        <f>ROUND(19.47,3)</f>
        <v>19.47</v>
      </c>
      <c r="G8174" s="12">
        <f>ROUND((E8174*F8174)/100,2)</f>
        <v>1.36</v>
      </c>
    </row>
    <row r="8175" ht="15.0" customHeight="1">
      <c r="A8175" s="11"/>
      <c r="B8175" s="11"/>
      <c r="C8175" s="11"/>
      <c r="D8175" s="10" t="s">
        <v>3677</v>
      </c>
      <c r="E8175" s="14">
        <v>1.2</v>
      </c>
      <c r="F8175" s="15">
        <f>ROUND((G8171+G8172+G8173+G8174),3)</f>
        <v>28.83</v>
      </c>
      <c r="G8175" s="12">
        <f t="shared" ref="G8175:G8180" si="1222">ROUND(E8175*F8175,2)</f>
        <v>34.6</v>
      </c>
    </row>
    <row r="8176" ht="30.0" customHeight="1">
      <c r="A8176" s="10" t="s">
        <v>3683</v>
      </c>
      <c r="B8176" s="10" t="s">
        <v>18</v>
      </c>
      <c r="C8176" s="10" t="s">
        <v>19</v>
      </c>
      <c r="D8176" s="10" t="s">
        <v>3684</v>
      </c>
      <c r="E8176" s="14">
        <v>1.2</v>
      </c>
      <c r="F8176" s="15">
        <f>F8182</f>
        <v>45.72</v>
      </c>
      <c r="G8176" s="12">
        <f t="shared" si="1222"/>
        <v>54.86</v>
      </c>
    </row>
    <row r="8177" ht="30.0" customHeight="1">
      <c r="A8177" s="10" t="s">
        <v>2755</v>
      </c>
      <c r="B8177" s="10" t="s">
        <v>42</v>
      </c>
      <c r="C8177" s="10" t="s">
        <v>344</v>
      </c>
      <c r="D8177" s="10" t="s">
        <v>2756</v>
      </c>
      <c r="E8177" s="14">
        <v>28.0</v>
      </c>
      <c r="F8177" s="15">
        <f>ROUND(0.4,3)</f>
        <v>0.4</v>
      </c>
      <c r="G8177" s="12">
        <f t="shared" si="1222"/>
        <v>11.2</v>
      </c>
    </row>
    <row r="8178" ht="48.75" customHeight="1">
      <c r="A8178" s="10" t="s">
        <v>2069</v>
      </c>
      <c r="B8178" s="10" t="s">
        <v>42</v>
      </c>
      <c r="C8178" s="10" t="s">
        <v>184</v>
      </c>
      <c r="D8178" s="10" t="s">
        <v>2070</v>
      </c>
      <c r="E8178" s="14">
        <v>0.44</v>
      </c>
      <c r="F8178" s="15">
        <f>ROUND(10.25,3)</f>
        <v>10.25</v>
      </c>
      <c r="G8178" s="12">
        <f t="shared" si="1222"/>
        <v>4.51</v>
      </c>
    </row>
    <row r="8179" ht="30.0" customHeight="1">
      <c r="A8179" s="10" t="s">
        <v>3633</v>
      </c>
      <c r="B8179" s="10" t="s">
        <v>42</v>
      </c>
      <c r="C8179" s="10" t="s">
        <v>184</v>
      </c>
      <c r="D8179" s="10" t="s">
        <v>3634</v>
      </c>
      <c r="E8179" s="14">
        <v>0.22</v>
      </c>
      <c r="F8179" s="15">
        <f>ROUND(11,3)</f>
        <v>11</v>
      </c>
      <c r="G8179" s="12">
        <f t="shared" si="1222"/>
        <v>2.42</v>
      </c>
    </row>
    <row r="8180" ht="21.0" customHeight="1">
      <c r="A8180" s="10" t="s">
        <v>22</v>
      </c>
      <c r="B8180" s="10" t="s">
        <v>18</v>
      </c>
      <c r="C8180" s="10" t="s">
        <v>23</v>
      </c>
      <c r="D8180" s="10" t="s">
        <v>24</v>
      </c>
      <c r="E8180" s="14">
        <v>0.6</v>
      </c>
      <c r="F8180" s="15">
        <f>ROUND(43.8,3)</f>
        <v>43.8</v>
      </c>
      <c r="G8180" s="12">
        <f t="shared" si="1222"/>
        <v>26.28</v>
      </c>
    </row>
    <row r="8181" ht="15.0" customHeight="1">
      <c r="A8181" s="10" t="s">
        <v>32</v>
      </c>
      <c r="B8181" s="10"/>
      <c r="C8181" s="10" t="s">
        <v>33</v>
      </c>
      <c r="D8181" s="10" t="s">
        <v>34</v>
      </c>
      <c r="E8181" s="14">
        <v>5.0</v>
      </c>
      <c r="F8181" s="15">
        <f>ROUND(26.28,3)</f>
        <v>26.28</v>
      </c>
      <c r="G8181" s="12">
        <f>ROUND((E8181*F8181)/100,2)</f>
        <v>1.31</v>
      </c>
    </row>
    <row r="8182" ht="15.0" customHeight="1">
      <c r="A8182" s="11"/>
      <c r="B8182" s="11"/>
      <c r="C8182" s="11"/>
      <c r="D8182" s="10" t="s">
        <v>3683</v>
      </c>
      <c r="E8182" s="14">
        <v>1.2</v>
      </c>
      <c r="F8182" s="15">
        <f>ROUND((G8177+G8178+G8179+G8180+G8181),3)</f>
        <v>45.72</v>
      </c>
      <c r="G8182" s="12">
        <f t="shared" ref="G8182:G8190" si="1223">ROUND(E8182*F8182,2)</f>
        <v>54.86</v>
      </c>
    </row>
    <row r="8183" ht="30.0" customHeight="1">
      <c r="A8183" s="10" t="s">
        <v>3685</v>
      </c>
      <c r="B8183" s="10" t="s">
        <v>42</v>
      </c>
      <c r="C8183" s="10" t="s">
        <v>43</v>
      </c>
      <c r="D8183" s="10" t="s">
        <v>3686</v>
      </c>
      <c r="E8183" s="14">
        <v>0.2</v>
      </c>
      <c r="F8183" s="15">
        <f>ROUND(3.7,3)</f>
        <v>3.7</v>
      </c>
      <c r="G8183" s="12">
        <f t="shared" si="1223"/>
        <v>0.74</v>
      </c>
    </row>
    <row r="8184" ht="30.0" customHeight="1">
      <c r="A8184" s="10" t="s">
        <v>465</v>
      </c>
      <c r="B8184" s="10" t="s">
        <v>42</v>
      </c>
      <c r="C8184" s="10" t="s">
        <v>43</v>
      </c>
      <c r="D8184" s="10" t="s">
        <v>466</v>
      </c>
      <c r="E8184" s="14">
        <v>0.5</v>
      </c>
      <c r="F8184" s="15">
        <f>ROUND(4.58,3)</f>
        <v>4.58</v>
      </c>
      <c r="G8184" s="12">
        <f t="shared" si="1223"/>
        <v>2.29</v>
      </c>
    </row>
    <row r="8185" ht="21.0" customHeight="1">
      <c r="A8185" s="10" t="s">
        <v>242</v>
      </c>
      <c r="B8185" s="10" t="s">
        <v>42</v>
      </c>
      <c r="C8185" s="10" t="s">
        <v>226</v>
      </c>
      <c r="D8185" s="10" t="s">
        <v>243</v>
      </c>
      <c r="E8185" s="14">
        <v>0.2</v>
      </c>
      <c r="F8185" s="15">
        <f>ROUND(1.32,3)</f>
        <v>1.32</v>
      </c>
      <c r="G8185" s="12">
        <f t="shared" si="1223"/>
        <v>0.26</v>
      </c>
    </row>
    <row r="8186" ht="21.0" customHeight="1">
      <c r="A8186" s="10" t="s">
        <v>22</v>
      </c>
      <c r="B8186" s="10" t="s">
        <v>18</v>
      </c>
      <c r="C8186" s="10" t="s">
        <v>23</v>
      </c>
      <c r="D8186" s="10" t="s">
        <v>24</v>
      </c>
      <c r="E8186" s="14">
        <v>3.0</v>
      </c>
      <c r="F8186" s="15">
        <f>F8190</f>
        <v>43.8</v>
      </c>
      <c r="G8186" s="12">
        <f t="shared" si="1223"/>
        <v>131.4</v>
      </c>
    </row>
    <row r="8187" ht="24.0" customHeight="1">
      <c r="A8187" s="10" t="s">
        <v>25</v>
      </c>
      <c r="B8187" s="10" t="s">
        <v>26</v>
      </c>
      <c r="C8187" s="10" t="s">
        <v>23</v>
      </c>
      <c r="D8187" s="10" t="s">
        <v>27</v>
      </c>
      <c r="E8187" s="14">
        <v>1.0</v>
      </c>
      <c r="F8187" s="15">
        <f>ROUND(21,3)</f>
        <v>21</v>
      </c>
      <c r="G8187" s="12">
        <f t="shared" si="1223"/>
        <v>21</v>
      </c>
    </row>
    <row r="8188" ht="24.0" customHeight="1">
      <c r="A8188" s="10" t="s">
        <v>28</v>
      </c>
      <c r="B8188" s="10" t="s">
        <v>26</v>
      </c>
      <c r="C8188" s="10" t="s">
        <v>23</v>
      </c>
      <c r="D8188" s="10" t="s">
        <v>29</v>
      </c>
      <c r="E8188" s="14">
        <v>1.0</v>
      </c>
      <c r="F8188" s="15">
        <f t="shared" ref="F8188:F8189" si="1224">ROUND(19,3)</f>
        <v>19</v>
      </c>
      <c r="G8188" s="12">
        <f t="shared" si="1223"/>
        <v>19</v>
      </c>
    </row>
    <row r="8189" ht="24.0" customHeight="1">
      <c r="A8189" s="10" t="s">
        <v>30</v>
      </c>
      <c r="B8189" s="10" t="s">
        <v>26</v>
      </c>
      <c r="C8189" s="10" t="s">
        <v>23</v>
      </c>
      <c r="D8189" s="10" t="s">
        <v>31</v>
      </c>
      <c r="E8189" s="14">
        <v>0.2</v>
      </c>
      <c r="F8189" s="15">
        <f t="shared" si="1224"/>
        <v>19</v>
      </c>
      <c r="G8189" s="12">
        <f t="shared" si="1223"/>
        <v>3.8</v>
      </c>
    </row>
    <row r="8190" ht="15.0" customHeight="1">
      <c r="A8190" s="11"/>
      <c r="B8190" s="11"/>
      <c r="C8190" s="11"/>
      <c r="D8190" s="10" t="s">
        <v>22</v>
      </c>
      <c r="E8190" s="14">
        <v>3.0</v>
      </c>
      <c r="F8190" s="15">
        <f>ROUND((G8187+G8188+G8189),3)</f>
        <v>43.8</v>
      </c>
      <c r="G8190" s="12">
        <f t="shared" si="1223"/>
        <v>131.4</v>
      </c>
    </row>
    <row r="8191" ht="15.0" customHeight="1">
      <c r="A8191" s="10" t="s">
        <v>32</v>
      </c>
      <c r="B8191" s="10"/>
      <c r="C8191" s="10" t="s">
        <v>33</v>
      </c>
      <c r="D8191" s="10" t="s">
        <v>34</v>
      </c>
      <c r="E8191" s="14">
        <v>5.0</v>
      </c>
      <c r="F8191" s="15">
        <f>ROUND(131.4,3)</f>
        <v>131.4</v>
      </c>
      <c r="G8191" s="12">
        <f>ROUND((E8191*F8191)/100,2)</f>
        <v>6.57</v>
      </c>
    </row>
    <row r="8192" ht="15.0" customHeight="1">
      <c r="A8192" s="16"/>
      <c r="B8192" s="16"/>
      <c r="C8192" s="16"/>
      <c r="D8192" s="17" t="s">
        <v>3674</v>
      </c>
      <c r="E8192" s="16"/>
      <c r="F8192" s="18">
        <f>ROUND((G8160+G8164+G8170+G8176+G8183+G8184+G8185+G8186+G8191)*(1+G2/100),2)</f>
        <v>265.18</v>
      </c>
      <c r="G8192" s="16"/>
    </row>
    <row r="8193" ht="39.75" customHeight="1">
      <c r="A8193" s="19" t="s">
        <v>3687</v>
      </c>
      <c r="B8193" s="20" t="s">
        <v>18</v>
      </c>
      <c r="C8193" s="20" t="s">
        <v>231</v>
      </c>
      <c r="D8193" s="20" t="s">
        <v>3688</v>
      </c>
      <c r="E8193" s="21"/>
      <c r="F8193" s="22">
        <f>F8221</f>
        <v>146.71</v>
      </c>
      <c r="G8193" s="21"/>
    </row>
    <row r="8194" ht="113.25" customHeight="1">
      <c r="A8194" s="11"/>
      <c r="B8194" s="11"/>
      <c r="C8194" s="11"/>
      <c r="D8194" s="10" t="s">
        <v>3689</v>
      </c>
    </row>
    <row r="8195" ht="30.0" customHeight="1">
      <c r="A8195" s="10" t="s">
        <v>801</v>
      </c>
      <c r="B8195" s="10" t="s">
        <v>18</v>
      </c>
      <c r="C8195" s="10" t="s">
        <v>251</v>
      </c>
      <c r="D8195" s="10" t="s">
        <v>802</v>
      </c>
      <c r="E8195" s="14">
        <v>1.0</v>
      </c>
      <c r="F8195" s="15">
        <f>F8198</f>
        <v>13.53</v>
      </c>
      <c r="G8195" s="12">
        <f t="shared" ref="G8195:G8196" si="1225">ROUND(E8195*F8195,2)</f>
        <v>13.53</v>
      </c>
    </row>
    <row r="8196" ht="21.0" customHeight="1">
      <c r="A8196" s="10" t="s">
        <v>22</v>
      </c>
      <c r="B8196" s="10" t="s">
        <v>18</v>
      </c>
      <c r="C8196" s="10" t="s">
        <v>23</v>
      </c>
      <c r="D8196" s="10" t="s">
        <v>24</v>
      </c>
      <c r="E8196" s="14">
        <v>0.3</v>
      </c>
      <c r="F8196" s="15">
        <f>ROUND(43.8,3)</f>
        <v>43.8</v>
      </c>
      <c r="G8196" s="12">
        <f t="shared" si="1225"/>
        <v>13.14</v>
      </c>
    </row>
    <row r="8197" ht="15.0" customHeight="1">
      <c r="A8197" s="10" t="s">
        <v>32</v>
      </c>
      <c r="B8197" s="10"/>
      <c r="C8197" s="10" t="s">
        <v>33</v>
      </c>
      <c r="D8197" s="10" t="s">
        <v>34</v>
      </c>
      <c r="E8197" s="14">
        <v>3.0</v>
      </c>
      <c r="F8197" s="15">
        <f>ROUND(13.14,3)</f>
        <v>13.14</v>
      </c>
      <c r="G8197" s="12">
        <f>ROUND((E8197*F8197)/100,2)</f>
        <v>0.39</v>
      </c>
    </row>
    <row r="8198" ht="15.0" customHeight="1">
      <c r="A8198" s="11"/>
      <c r="B8198" s="11"/>
      <c r="C8198" s="11"/>
      <c r="D8198" s="10" t="s">
        <v>801</v>
      </c>
      <c r="E8198" s="14">
        <v>1.0</v>
      </c>
      <c r="F8198" s="15">
        <f>ROUND((G8196+G8197),3)</f>
        <v>13.53</v>
      </c>
      <c r="G8198" s="12">
        <f t="shared" ref="G8198:G8202" si="1226">ROUND(E8198*F8198,2)</f>
        <v>13.53</v>
      </c>
    </row>
    <row r="8199" ht="24.0" customHeight="1">
      <c r="A8199" s="10" t="s">
        <v>198</v>
      </c>
      <c r="B8199" s="10" t="s">
        <v>18</v>
      </c>
      <c r="C8199" s="10" t="s">
        <v>19</v>
      </c>
      <c r="D8199" s="10" t="s">
        <v>199</v>
      </c>
      <c r="E8199" s="14">
        <v>1.0</v>
      </c>
      <c r="F8199" s="15">
        <f>F8204</f>
        <v>15.18</v>
      </c>
      <c r="G8199" s="12">
        <f t="shared" si="1226"/>
        <v>15.18</v>
      </c>
    </row>
    <row r="8200" ht="39.75" customHeight="1">
      <c r="A8200" s="10" t="s">
        <v>41</v>
      </c>
      <c r="B8200" s="10" t="s">
        <v>42</v>
      </c>
      <c r="C8200" s="10" t="s">
        <v>43</v>
      </c>
      <c r="D8200" s="10" t="s">
        <v>44</v>
      </c>
      <c r="E8200" s="14">
        <v>0.02</v>
      </c>
      <c r="F8200" s="15">
        <f>ROUND(9.13,3)</f>
        <v>9.13</v>
      </c>
      <c r="G8200" s="12">
        <f t="shared" si="1226"/>
        <v>0.18</v>
      </c>
    </row>
    <row r="8201" ht="24.0" customHeight="1">
      <c r="A8201" s="10" t="s">
        <v>111</v>
      </c>
      <c r="B8201" s="10" t="s">
        <v>112</v>
      </c>
      <c r="C8201" s="10" t="s">
        <v>23</v>
      </c>
      <c r="D8201" s="10" t="s">
        <v>113</v>
      </c>
      <c r="E8201" s="14">
        <v>0.16</v>
      </c>
      <c r="F8201" s="15">
        <f>ROUND(7.526,3)</f>
        <v>7.526</v>
      </c>
      <c r="G8201" s="12">
        <f t="shared" si="1226"/>
        <v>1.2</v>
      </c>
    </row>
    <row r="8202" ht="21.0" customHeight="1">
      <c r="A8202" s="10" t="s">
        <v>22</v>
      </c>
      <c r="B8202" s="10" t="s">
        <v>18</v>
      </c>
      <c r="C8202" s="10" t="s">
        <v>23</v>
      </c>
      <c r="D8202" s="10" t="s">
        <v>24</v>
      </c>
      <c r="E8202" s="14">
        <v>0.3</v>
      </c>
      <c r="F8202" s="15">
        <f>ROUND(43.8,3)</f>
        <v>43.8</v>
      </c>
      <c r="G8202" s="12">
        <f t="shared" si="1226"/>
        <v>13.14</v>
      </c>
    </row>
    <row r="8203" ht="15.0" customHeight="1">
      <c r="A8203" s="10" t="s">
        <v>32</v>
      </c>
      <c r="B8203" s="10"/>
      <c r="C8203" s="10" t="s">
        <v>33</v>
      </c>
      <c r="D8203" s="10" t="s">
        <v>34</v>
      </c>
      <c r="E8203" s="14">
        <v>5.0</v>
      </c>
      <c r="F8203" s="15">
        <f>ROUND(13.14,3)</f>
        <v>13.14</v>
      </c>
      <c r="G8203" s="12">
        <f>ROUND((E8203*F8203)/100,2)</f>
        <v>0.66</v>
      </c>
    </row>
    <row r="8204" ht="15.0" customHeight="1">
      <c r="A8204" s="11"/>
      <c r="B8204" s="11"/>
      <c r="C8204" s="11"/>
      <c r="D8204" s="10" t="s">
        <v>198</v>
      </c>
      <c r="E8204" s="14">
        <v>1.0</v>
      </c>
      <c r="F8204" s="15">
        <f>ROUND((G8200+G8201+G8202+G8203),3)</f>
        <v>15.18</v>
      </c>
      <c r="G8204" s="12">
        <f t="shared" ref="G8204:G8209" si="1227">ROUND(E8204*F8204,2)</f>
        <v>15.18</v>
      </c>
    </row>
    <row r="8205" ht="30.0" customHeight="1">
      <c r="A8205" s="10" t="s">
        <v>3683</v>
      </c>
      <c r="B8205" s="10" t="s">
        <v>18</v>
      </c>
      <c r="C8205" s="10" t="s">
        <v>19</v>
      </c>
      <c r="D8205" s="10" t="s">
        <v>3684</v>
      </c>
      <c r="E8205" s="14">
        <v>1.0</v>
      </c>
      <c r="F8205" s="15">
        <f>F8211</f>
        <v>45.72</v>
      </c>
      <c r="G8205" s="12">
        <f t="shared" si="1227"/>
        <v>45.72</v>
      </c>
    </row>
    <row r="8206" ht="30.0" customHeight="1">
      <c r="A8206" s="10" t="s">
        <v>2755</v>
      </c>
      <c r="B8206" s="10" t="s">
        <v>42</v>
      </c>
      <c r="C8206" s="10" t="s">
        <v>344</v>
      </c>
      <c r="D8206" s="10" t="s">
        <v>2756</v>
      </c>
      <c r="E8206" s="14">
        <v>28.0</v>
      </c>
      <c r="F8206" s="15">
        <f>ROUND(0.4,3)</f>
        <v>0.4</v>
      </c>
      <c r="G8206" s="12">
        <f t="shared" si="1227"/>
        <v>11.2</v>
      </c>
    </row>
    <row r="8207" ht="48.75" customHeight="1">
      <c r="A8207" s="10" t="s">
        <v>2069</v>
      </c>
      <c r="B8207" s="10" t="s">
        <v>42</v>
      </c>
      <c r="C8207" s="10" t="s">
        <v>184</v>
      </c>
      <c r="D8207" s="10" t="s">
        <v>2070</v>
      </c>
      <c r="E8207" s="14">
        <v>0.44</v>
      </c>
      <c r="F8207" s="15">
        <f>ROUND(10.25,3)</f>
        <v>10.25</v>
      </c>
      <c r="G8207" s="12">
        <f t="shared" si="1227"/>
        <v>4.51</v>
      </c>
    </row>
    <row r="8208" ht="30.0" customHeight="1">
      <c r="A8208" s="10" t="s">
        <v>3633</v>
      </c>
      <c r="B8208" s="10" t="s">
        <v>42</v>
      </c>
      <c r="C8208" s="10" t="s">
        <v>184</v>
      </c>
      <c r="D8208" s="10" t="s">
        <v>3634</v>
      </c>
      <c r="E8208" s="14">
        <v>0.22</v>
      </c>
      <c r="F8208" s="15">
        <f>ROUND(11,3)</f>
        <v>11</v>
      </c>
      <c r="G8208" s="12">
        <f t="shared" si="1227"/>
        <v>2.42</v>
      </c>
    </row>
    <row r="8209" ht="21.0" customHeight="1">
      <c r="A8209" s="10" t="s">
        <v>22</v>
      </c>
      <c r="B8209" s="10" t="s">
        <v>18</v>
      </c>
      <c r="C8209" s="10" t="s">
        <v>23</v>
      </c>
      <c r="D8209" s="10" t="s">
        <v>24</v>
      </c>
      <c r="E8209" s="14">
        <v>0.6</v>
      </c>
      <c r="F8209" s="15">
        <f>ROUND(43.8,3)</f>
        <v>43.8</v>
      </c>
      <c r="G8209" s="12">
        <f t="shared" si="1227"/>
        <v>26.28</v>
      </c>
    </row>
    <row r="8210" ht="15.0" customHeight="1">
      <c r="A8210" s="10" t="s">
        <v>32</v>
      </c>
      <c r="B8210" s="10"/>
      <c r="C8210" s="10" t="s">
        <v>33</v>
      </c>
      <c r="D8210" s="10" t="s">
        <v>34</v>
      </c>
      <c r="E8210" s="14">
        <v>5.0</v>
      </c>
      <c r="F8210" s="15">
        <f>ROUND(26.28,3)</f>
        <v>26.28</v>
      </c>
      <c r="G8210" s="12">
        <f>ROUND((E8210*F8210)/100,2)</f>
        <v>1.31</v>
      </c>
    </row>
    <row r="8211" ht="15.0" customHeight="1">
      <c r="A8211" s="11"/>
      <c r="B8211" s="11"/>
      <c r="C8211" s="11"/>
      <c r="D8211" s="10" t="s">
        <v>3683</v>
      </c>
      <c r="E8211" s="14">
        <v>1.0</v>
      </c>
      <c r="F8211" s="15">
        <f>ROUND((G8206+G8207+G8208+G8209+G8210),3)</f>
        <v>45.72</v>
      </c>
      <c r="G8211" s="12">
        <f t="shared" ref="G8211:G8219" si="1228">ROUND(E8211*F8211,2)</f>
        <v>45.72</v>
      </c>
    </row>
    <row r="8212" ht="30.0" customHeight="1">
      <c r="A8212" s="10" t="s">
        <v>3685</v>
      </c>
      <c r="B8212" s="10" t="s">
        <v>42</v>
      </c>
      <c r="C8212" s="10" t="s">
        <v>43</v>
      </c>
      <c r="D8212" s="10" t="s">
        <v>3686</v>
      </c>
      <c r="E8212" s="14">
        <v>0.2</v>
      </c>
      <c r="F8212" s="15">
        <f>ROUND(3.7,3)</f>
        <v>3.7</v>
      </c>
      <c r="G8212" s="12">
        <f t="shared" si="1228"/>
        <v>0.74</v>
      </c>
    </row>
    <row r="8213" ht="30.0" customHeight="1">
      <c r="A8213" s="10" t="s">
        <v>465</v>
      </c>
      <c r="B8213" s="10" t="s">
        <v>42</v>
      </c>
      <c r="C8213" s="10" t="s">
        <v>43</v>
      </c>
      <c r="D8213" s="10" t="s">
        <v>466</v>
      </c>
      <c r="E8213" s="14">
        <v>0.5</v>
      </c>
      <c r="F8213" s="15">
        <f>ROUND(4.58,3)</f>
        <v>4.58</v>
      </c>
      <c r="G8213" s="12">
        <f t="shared" si="1228"/>
        <v>2.29</v>
      </c>
    </row>
    <row r="8214" ht="21.0" customHeight="1">
      <c r="A8214" s="10" t="s">
        <v>242</v>
      </c>
      <c r="B8214" s="10" t="s">
        <v>42</v>
      </c>
      <c r="C8214" s="10" t="s">
        <v>226</v>
      </c>
      <c r="D8214" s="10" t="s">
        <v>243</v>
      </c>
      <c r="E8214" s="14">
        <v>0.2</v>
      </c>
      <c r="F8214" s="15">
        <f>ROUND(1.32,3)</f>
        <v>1.32</v>
      </c>
      <c r="G8214" s="12">
        <f t="shared" si="1228"/>
        <v>0.26</v>
      </c>
    </row>
    <row r="8215" ht="21.0" customHeight="1">
      <c r="A8215" s="10" t="s">
        <v>22</v>
      </c>
      <c r="B8215" s="10" t="s">
        <v>18</v>
      </c>
      <c r="C8215" s="10" t="s">
        <v>23</v>
      </c>
      <c r="D8215" s="10" t="s">
        <v>24</v>
      </c>
      <c r="E8215" s="14">
        <v>1.5</v>
      </c>
      <c r="F8215" s="15">
        <f>F8219</f>
        <v>43.8</v>
      </c>
      <c r="G8215" s="12">
        <f t="shared" si="1228"/>
        <v>65.7</v>
      </c>
    </row>
    <row r="8216" ht="24.0" customHeight="1">
      <c r="A8216" s="10" t="s">
        <v>25</v>
      </c>
      <c r="B8216" s="10" t="s">
        <v>26</v>
      </c>
      <c r="C8216" s="10" t="s">
        <v>23</v>
      </c>
      <c r="D8216" s="10" t="s">
        <v>27</v>
      </c>
      <c r="E8216" s="14">
        <v>1.0</v>
      </c>
      <c r="F8216" s="15">
        <f>ROUND(21,3)</f>
        <v>21</v>
      </c>
      <c r="G8216" s="12">
        <f t="shared" si="1228"/>
        <v>21</v>
      </c>
    </row>
    <row r="8217" ht="24.0" customHeight="1">
      <c r="A8217" s="10" t="s">
        <v>28</v>
      </c>
      <c r="B8217" s="10" t="s">
        <v>26</v>
      </c>
      <c r="C8217" s="10" t="s">
        <v>23</v>
      </c>
      <c r="D8217" s="10" t="s">
        <v>29</v>
      </c>
      <c r="E8217" s="14">
        <v>1.0</v>
      </c>
      <c r="F8217" s="15">
        <f t="shared" ref="F8217:F8218" si="1229">ROUND(19,3)</f>
        <v>19</v>
      </c>
      <c r="G8217" s="12">
        <f t="shared" si="1228"/>
        <v>19</v>
      </c>
    </row>
    <row r="8218" ht="24.0" customHeight="1">
      <c r="A8218" s="10" t="s">
        <v>30</v>
      </c>
      <c r="B8218" s="10" t="s">
        <v>26</v>
      </c>
      <c r="C8218" s="10" t="s">
        <v>23</v>
      </c>
      <c r="D8218" s="10" t="s">
        <v>31</v>
      </c>
      <c r="E8218" s="14">
        <v>0.2</v>
      </c>
      <c r="F8218" s="15">
        <f t="shared" si="1229"/>
        <v>19</v>
      </c>
      <c r="G8218" s="12">
        <f t="shared" si="1228"/>
        <v>3.8</v>
      </c>
    </row>
    <row r="8219" ht="15.0" customHeight="1">
      <c r="A8219" s="11"/>
      <c r="B8219" s="11"/>
      <c r="C8219" s="11"/>
      <c r="D8219" s="10" t="s">
        <v>22</v>
      </c>
      <c r="E8219" s="14">
        <v>1.5</v>
      </c>
      <c r="F8219" s="15">
        <f>ROUND((G8216+G8217+G8218),3)</f>
        <v>43.8</v>
      </c>
      <c r="G8219" s="12">
        <f t="shared" si="1228"/>
        <v>65.7</v>
      </c>
    </row>
    <row r="8220" ht="15.0" customHeight="1">
      <c r="A8220" s="10" t="s">
        <v>32</v>
      </c>
      <c r="B8220" s="10"/>
      <c r="C8220" s="10" t="s">
        <v>33</v>
      </c>
      <c r="D8220" s="10" t="s">
        <v>34</v>
      </c>
      <c r="E8220" s="14">
        <v>5.0</v>
      </c>
      <c r="F8220" s="15">
        <f>ROUND(65.7,3)</f>
        <v>65.7</v>
      </c>
      <c r="G8220" s="12">
        <f>ROUND((E8220*F8220)/100,2)</f>
        <v>3.29</v>
      </c>
    </row>
    <row r="8221" ht="15.0" customHeight="1">
      <c r="A8221" s="16"/>
      <c r="B8221" s="16"/>
      <c r="C8221" s="16"/>
      <c r="D8221" s="17" t="s">
        <v>3687</v>
      </c>
      <c r="E8221" s="16"/>
      <c r="F8221" s="18">
        <f>ROUND((G8195+G8199+G8205+G8212+G8213+G8214+G8215+G8220)*(1+G2/100),2)</f>
        <v>146.71</v>
      </c>
      <c r="G8221" s="16"/>
    </row>
    <row r="8222" ht="15.0" customHeight="1">
      <c r="A8222" s="23"/>
      <c r="B8222" s="23"/>
      <c r="C8222" s="23"/>
      <c r="D8222" s="30" t="s">
        <v>3672</v>
      </c>
      <c r="E8222" s="31"/>
      <c r="F8222" s="31"/>
      <c r="G8222" s="31"/>
    </row>
    <row r="8223" ht="15.0" customHeight="1">
      <c r="A8223" s="23"/>
      <c r="B8223" s="23"/>
      <c r="C8223" s="23"/>
      <c r="D8223" s="24" t="s">
        <v>3670</v>
      </c>
      <c r="E8223" s="25"/>
      <c r="F8223" s="25"/>
      <c r="G8223" s="25"/>
    </row>
    <row r="8224" ht="15.0" customHeight="1">
      <c r="A8224" s="23"/>
      <c r="B8224" s="23"/>
      <c r="C8224" s="23"/>
      <c r="D8224" s="32" t="s">
        <v>3642</v>
      </c>
      <c r="E8224" s="33"/>
      <c r="F8224" s="33"/>
      <c r="G8224" s="33"/>
    </row>
    <row r="8225" ht="15.0" customHeight="1">
      <c r="A8225" s="34" t="s">
        <v>3690</v>
      </c>
      <c r="B8225" s="34" t="s">
        <v>10</v>
      </c>
      <c r="C8225" s="35"/>
      <c r="D8225" s="34" t="s">
        <v>3691</v>
      </c>
      <c r="E8225" s="35"/>
      <c r="F8225" s="35"/>
      <c r="G8225" s="35"/>
    </row>
    <row r="8226" ht="15.0" customHeight="1">
      <c r="A8226" s="13" t="s">
        <v>851</v>
      </c>
      <c r="B8226" s="10" t="s">
        <v>18</v>
      </c>
      <c r="C8226" s="10" t="s">
        <v>251</v>
      </c>
      <c r="D8226" s="10" t="s">
        <v>852</v>
      </c>
      <c r="E8226" s="11"/>
      <c r="F8226" s="12">
        <f>F8237</f>
        <v>28.28</v>
      </c>
      <c r="G8226" s="11"/>
    </row>
    <row r="8227" ht="76.5" customHeight="1">
      <c r="A8227" s="11"/>
      <c r="B8227" s="11"/>
      <c r="C8227" s="11"/>
      <c r="D8227" s="10" t="s">
        <v>853</v>
      </c>
    </row>
    <row r="8228" ht="30.0" customHeight="1">
      <c r="A8228" s="10" t="s">
        <v>780</v>
      </c>
      <c r="B8228" s="10" t="s">
        <v>112</v>
      </c>
      <c r="C8228" s="10" t="s">
        <v>23</v>
      </c>
      <c r="D8228" s="10" t="s">
        <v>781</v>
      </c>
      <c r="E8228" s="14">
        <v>0.5</v>
      </c>
      <c r="F8228" s="15">
        <f>ROUND(1.875,3)</f>
        <v>1.875</v>
      </c>
      <c r="G8228" s="12">
        <f t="shared" ref="G8228:G8235" si="1230">ROUND(E8228*F8228,2)</f>
        <v>0.94</v>
      </c>
    </row>
    <row r="8229" ht="39.75" customHeight="1">
      <c r="A8229" s="10" t="s">
        <v>778</v>
      </c>
      <c r="B8229" s="10" t="s">
        <v>112</v>
      </c>
      <c r="C8229" s="10" t="s">
        <v>23</v>
      </c>
      <c r="D8229" s="10" t="s">
        <v>779</v>
      </c>
      <c r="E8229" s="14">
        <v>0.5</v>
      </c>
      <c r="F8229" s="15">
        <f>ROUND(2,3)</f>
        <v>2</v>
      </c>
      <c r="G8229" s="12">
        <f t="shared" si="1230"/>
        <v>1</v>
      </c>
    </row>
    <row r="8230" ht="39.75" customHeight="1">
      <c r="A8230" s="10" t="s">
        <v>188</v>
      </c>
      <c r="B8230" s="10" t="s">
        <v>112</v>
      </c>
      <c r="C8230" s="10" t="s">
        <v>23</v>
      </c>
      <c r="D8230" s="10" t="s">
        <v>189</v>
      </c>
      <c r="E8230" s="14">
        <v>0.5</v>
      </c>
      <c r="F8230" s="15">
        <f>ROUND(7.565,3)</f>
        <v>7.565</v>
      </c>
      <c r="G8230" s="12">
        <f t="shared" si="1230"/>
        <v>3.78</v>
      </c>
    </row>
    <row r="8231" ht="21.0" customHeight="1">
      <c r="A8231" s="10" t="s">
        <v>22</v>
      </c>
      <c r="B8231" s="10" t="s">
        <v>18</v>
      </c>
      <c r="C8231" s="10" t="s">
        <v>23</v>
      </c>
      <c r="D8231" s="10" t="s">
        <v>24</v>
      </c>
      <c r="E8231" s="14">
        <v>0.5</v>
      </c>
      <c r="F8231" s="15">
        <f>F8235</f>
        <v>43.8</v>
      </c>
      <c r="G8231" s="12">
        <f t="shared" si="1230"/>
        <v>21.9</v>
      </c>
    </row>
    <row r="8232" ht="24.0" customHeight="1">
      <c r="A8232" s="10" t="s">
        <v>25</v>
      </c>
      <c r="B8232" s="10" t="s">
        <v>26</v>
      </c>
      <c r="C8232" s="10" t="s">
        <v>23</v>
      </c>
      <c r="D8232" s="10" t="s">
        <v>27</v>
      </c>
      <c r="E8232" s="14">
        <v>1.0</v>
      </c>
      <c r="F8232" s="15">
        <f>ROUND(21,3)</f>
        <v>21</v>
      </c>
      <c r="G8232" s="12">
        <f t="shared" si="1230"/>
        <v>21</v>
      </c>
    </row>
    <row r="8233" ht="24.0" customHeight="1">
      <c r="A8233" s="10" t="s">
        <v>28</v>
      </c>
      <c r="B8233" s="10" t="s">
        <v>26</v>
      </c>
      <c r="C8233" s="10" t="s">
        <v>23</v>
      </c>
      <c r="D8233" s="10" t="s">
        <v>29</v>
      </c>
      <c r="E8233" s="14">
        <v>1.0</v>
      </c>
      <c r="F8233" s="15">
        <f t="shared" ref="F8233:F8234" si="1231">ROUND(19,3)</f>
        <v>19</v>
      </c>
      <c r="G8233" s="12">
        <f t="shared" si="1230"/>
        <v>19</v>
      </c>
    </row>
    <row r="8234" ht="24.0" customHeight="1">
      <c r="A8234" s="10" t="s">
        <v>30</v>
      </c>
      <c r="B8234" s="10" t="s">
        <v>26</v>
      </c>
      <c r="C8234" s="10" t="s">
        <v>23</v>
      </c>
      <c r="D8234" s="10" t="s">
        <v>31</v>
      </c>
      <c r="E8234" s="14">
        <v>0.2</v>
      </c>
      <c r="F8234" s="15">
        <f t="shared" si="1231"/>
        <v>19</v>
      </c>
      <c r="G8234" s="12">
        <f t="shared" si="1230"/>
        <v>3.8</v>
      </c>
    </row>
    <row r="8235" ht="15.0" customHeight="1">
      <c r="A8235" s="11"/>
      <c r="B8235" s="11"/>
      <c r="C8235" s="11"/>
      <c r="D8235" s="10" t="s">
        <v>22</v>
      </c>
      <c r="E8235" s="14">
        <v>0.5</v>
      </c>
      <c r="F8235" s="15">
        <f>ROUND((G8232+G8233+G8234),3)</f>
        <v>43.8</v>
      </c>
      <c r="G8235" s="12">
        <f t="shared" si="1230"/>
        <v>21.9</v>
      </c>
    </row>
    <row r="8236" ht="15.0" customHeight="1">
      <c r="A8236" s="10" t="s">
        <v>32</v>
      </c>
      <c r="B8236" s="10"/>
      <c r="C8236" s="10" t="s">
        <v>33</v>
      </c>
      <c r="D8236" s="10" t="s">
        <v>34</v>
      </c>
      <c r="E8236" s="14">
        <v>3.0</v>
      </c>
      <c r="F8236" s="15">
        <f>ROUND(21.9,3)</f>
        <v>21.9</v>
      </c>
      <c r="G8236" s="12">
        <f>ROUND((E8236*F8236)/100,2)</f>
        <v>0.66</v>
      </c>
    </row>
    <row r="8237" ht="15.0" customHeight="1">
      <c r="A8237" s="16"/>
      <c r="B8237" s="16"/>
      <c r="C8237" s="16"/>
      <c r="D8237" s="17" t="s">
        <v>851</v>
      </c>
      <c r="E8237" s="16"/>
      <c r="F8237" s="18">
        <f>ROUND((G8228+G8229+G8230+G8231+G8236)*(1+G2/100),2)</f>
        <v>28.28</v>
      </c>
      <c r="G8237" s="16"/>
    </row>
    <row r="8238" ht="21.0" customHeight="1">
      <c r="A8238" s="19" t="s">
        <v>3599</v>
      </c>
      <c r="B8238" s="20" t="s">
        <v>18</v>
      </c>
      <c r="C8238" s="20" t="s">
        <v>858</v>
      </c>
      <c r="D8238" s="20" t="s">
        <v>3600</v>
      </c>
      <c r="E8238" s="21"/>
      <c r="F8238" s="22">
        <f>F8247</f>
        <v>65.64</v>
      </c>
      <c r="G8238" s="21"/>
    </row>
    <row r="8239" ht="39.75" customHeight="1">
      <c r="A8239" s="11"/>
      <c r="B8239" s="11"/>
      <c r="C8239" s="11"/>
      <c r="D8239" s="10" t="s">
        <v>3601</v>
      </c>
    </row>
    <row r="8240" ht="30.0" customHeight="1">
      <c r="A8240" s="10" t="s">
        <v>3602</v>
      </c>
      <c r="B8240" s="10" t="s">
        <v>112</v>
      </c>
      <c r="C8240" s="10" t="s">
        <v>23</v>
      </c>
      <c r="D8240" s="10" t="s">
        <v>3603</v>
      </c>
      <c r="E8240" s="14">
        <v>0.089</v>
      </c>
      <c r="F8240" s="15">
        <f>ROUND(2.51,3)</f>
        <v>2.51</v>
      </c>
      <c r="G8240" s="12">
        <f t="shared" ref="G8240:G8245" si="1232">ROUND(E8240*F8240,2)</f>
        <v>0.22</v>
      </c>
    </row>
    <row r="8241" ht="21.0" customHeight="1">
      <c r="A8241" s="10" t="s">
        <v>22</v>
      </c>
      <c r="B8241" s="10" t="s">
        <v>18</v>
      </c>
      <c r="C8241" s="10" t="s">
        <v>23</v>
      </c>
      <c r="D8241" s="10" t="s">
        <v>24</v>
      </c>
      <c r="E8241" s="14">
        <v>1.45</v>
      </c>
      <c r="F8241" s="15">
        <f>F8245</f>
        <v>43.8</v>
      </c>
      <c r="G8241" s="12">
        <f t="shared" si="1232"/>
        <v>63.51</v>
      </c>
    </row>
    <row r="8242" ht="24.0" customHeight="1">
      <c r="A8242" s="10" t="s">
        <v>25</v>
      </c>
      <c r="B8242" s="10" t="s">
        <v>26</v>
      </c>
      <c r="C8242" s="10" t="s">
        <v>23</v>
      </c>
      <c r="D8242" s="10" t="s">
        <v>27</v>
      </c>
      <c r="E8242" s="14">
        <v>1.0</v>
      </c>
      <c r="F8242" s="15">
        <f>ROUND(21,3)</f>
        <v>21</v>
      </c>
      <c r="G8242" s="12">
        <f t="shared" si="1232"/>
        <v>21</v>
      </c>
    </row>
    <row r="8243" ht="24.0" customHeight="1">
      <c r="A8243" s="10" t="s">
        <v>28</v>
      </c>
      <c r="B8243" s="10" t="s">
        <v>26</v>
      </c>
      <c r="C8243" s="10" t="s">
        <v>23</v>
      </c>
      <c r="D8243" s="10" t="s">
        <v>29</v>
      </c>
      <c r="E8243" s="14">
        <v>1.0</v>
      </c>
      <c r="F8243" s="15">
        <f t="shared" ref="F8243:F8244" si="1233">ROUND(19,3)</f>
        <v>19</v>
      </c>
      <c r="G8243" s="12">
        <f t="shared" si="1232"/>
        <v>19</v>
      </c>
    </row>
    <row r="8244" ht="24.0" customHeight="1">
      <c r="A8244" s="10" t="s">
        <v>30</v>
      </c>
      <c r="B8244" s="10" t="s">
        <v>26</v>
      </c>
      <c r="C8244" s="10" t="s">
        <v>23</v>
      </c>
      <c r="D8244" s="10" t="s">
        <v>31</v>
      </c>
      <c r="E8244" s="14">
        <v>0.2</v>
      </c>
      <c r="F8244" s="15">
        <f t="shared" si="1233"/>
        <v>19</v>
      </c>
      <c r="G8244" s="12">
        <f t="shared" si="1232"/>
        <v>3.8</v>
      </c>
    </row>
    <row r="8245" ht="15.0" customHeight="1">
      <c r="A8245" s="11"/>
      <c r="B8245" s="11"/>
      <c r="C8245" s="11"/>
      <c r="D8245" s="10" t="s">
        <v>22</v>
      </c>
      <c r="E8245" s="14">
        <v>1.45</v>
      </c>
      <c r="F8245" s="15">
        <f>ROUND((G8242+G8243+G8244),3)</f>
        <v>43.8</v>
      </c>
      <c r="G8245" s="12">
        <f t="shared" si="1232"/>
        <v>63.51</v>
      </c>
    </row>
    <row r="8246" ht="15.0" customHeight="1">
      <c r="A8246" s="10" t="s">
        <v>32</v>
      </c>
      <c r="B8246" s="10"/>
      <c r="C8246" s="10" t="s">
        <v>33</v>
      </c>
      <c r="D8246" s="10" t="s">
        <v>34</v>
      </c>
      <c r="E8246" s="14">
        <v>3.0</v>
      </c>
      <c r="F8246" s="15">
        <f>ROUND(63.51,3)</f>
        <v>63.51</v>
      </c>
      <c r="G8246" s="12">
        <f>ROUND((E8246*F8246)/100,2)</f>
        <v>1.91</v>
      </c>
    </row>
    <row r="8247" ht="15.0" customHeight="1">
      <c r="A8247" s="16"/>
      <c r="B8247" s="16"/>
      <c r="C8247" s="16"/>
      <c r="D8247" s="17" t="s">
        <v>3599</v>
      </c>
      <c r="E8247" s="16"/>
      <c r="F8247" s="18">
        <f>ROUND((G8240+G8241+G8246)*(1+G2/100),2)</f>
        <v>65.64</v>
      </c>
      <c r="G8247" s="16"/>
    </row>
    <row r="8248" ht="15.0" customHeight="1">
      <c r="A8248" s="19" t="s">
        <v>3692</v>
      </c>
      <c r="B8248" s="20" t="s">
        <v>18</v>
      </c>
      <c r="C8248" s="20" t="s">
        <v>321</v>
      </c>
      <c r="D8248" s="20" t="s">
        <v>3693</v>
      </c>
      <c r="E8248" s="21"/>
      <c r="F8248" s="22">
        <f>F8256</f>
        <v>55.35</v>
      </c>
      <c r="G8248" s="21"/>
    </row>
    <row r="8249" ht="30.0" customHeight="1">
      <c r="A8249" s="11"/>
      <c r="B8249" s="11"/>
      <c r="C8249" s="11"/>
      <c r="D8249" s="10" t="s">
        <v>3694</v>
      </c>
    </row>
    <row r="8250" ht="21.0" customHeight="1">
      <c r="A8250" s="10" t="s">
        <v>22</v>
      </c>
      <c r="B8250" s="10" t="s">
        <v>18</v>
      </c>
      <c r="C8250" s="10" t="s">
        <v>23</v>
      </c>
      <c r="D8250" s="10" t="s">
        <v>24</v>
      </c>
      <c r="E8250" s="14">
        <v>1.227</v>
      </c>
      <c r="F8250" s="15">
        <f>F8254</f>
        <v>43.8</v>
      </c>
      <c r="G8250" s="12">
        <f t="shared" ref="G8250:G8254" si="1234">ROUND(E8250*F8250,2)</f>
        <v>53.74</v>
      </c>
    </row>
    <row r="8251" ht="24.0" customHeight="1">
      <c r="A8251" s="10" t="s">
        <v>25</v>
      </c>
      <c r="B8251" s="10" t="s">
        <v>26</v>
      </c>
      <c r="C8251" s="10" t="s">
        <v>23</v>
      </c>
      <c r="D8251" s="10" t="s">
        <v>27</v>
      </c>
      <c r="E8251" s="14">
        <v>1.0</v>
      </c>
      <c r="F8251" s="15">
        <f>ROUND(21,3)</f>
        <v>21</v>
      </c>
      <c r="G8251" s="12">
        <f t="shared" si="1234"/>
        <v>21</v>
      </c>
    </row>
    <row r="8252" ht="24.0" customHeight="1">
      <c r="A8252" s="10" t="s">
        <v>28</v>
      </c>
      <c r="B8252" s="10" t="s">
        <v>26</v>
      </c>
      <c r="C8252" s="10" t="s">
        <v>23</v>
      </c>
      <c r="D8252" s="10" t="s">
        <v>29</v>
      </c>
      <c r="E8252" s="14">
        <v>1.0</v>
      </c>
      <c r="F8252" s="15">
        <f t="shared" ref="F8252:F8253" si="1235">ROUND(19,3)</f>
        <v>19</v>
      </c>
      <c r="G8252" s="12">
        <f t="shared" si="1234"/>
        <v>19</v>
      </c>
    </row>
    <row r="8253" ht="24.0" customHeight="1">
      <c r="A8253" s="10" t="s">
        <v>30</v>
      </c>
      <c r="B8253" s="10" t="s">
        <v>26</v>
      </c>
      <c r="C8253" s="10" t="s">
        <v>23</v>
      </c>
      <c r="D8253" s="10" t="s">
        <v>31</v>
      </c>
      <c r="E8253" s="14">
        <v>0.2</v>
      </c>
      <c r="F8253" s="15">
        <f t="shared" si="1235"/>
        <v>19</v>
      </c>
      <c r="G8253" s="12">
        <f t="shared" si="1234"/>
        <v>3.8</v>
      </c>
    </row>
    <row r="8254" ht="15.0" customHeight="1">
      <c r="A8254" s="11"/>
      <c r="B8254" s="11"/>
      <c r="C8254" s="11"/>
      <c r="D8254" s="10" t="s">
        <v>22</v>
      </c>
      <c r="E8254" s="14">
        <v>1.227</v>
      </c>
      <c r="F8254" s="15">
        <f>ROUND((G8251+G8252+G8253),3)</f>
        <v>43.8</v>
      </c>
      <c r="G8254" s="12">
        <f t="shared" si="1234"/>
        <v>53.74</v>
      </c>
    </row>
    <row r="8255" ht="15.0" customHeight="1">
      <c r="A8255" s="10" t="s">
        <v>32</v>
      </c>
      <c r="B8255" s="10"/>
      <c r="C8255" s="10" t="s">
        <v>33</v>
      </c>
      <c r="D8255" s="10" t="s">
        <v>34</v>
      </c>
      <c r="E8255" s="14">
        <v>3.0</v>
      </c>
      <c r="F8255" s="15">
        <f>ROUND(53.74,3)</f>
        <v>53.74</v>
      </c>
      <c r="G8255" s="12">
        <f>ROUND((E8255*F8255)/100,2)</f>
        <v>1.61</v>
      </c>
    </row>
    <row r="8256" ht="15.0" customHeight="1">
      <c r="A8256" s="16"/>
      <c r="B8256" s="16"/>
      <c r="C8256" s="16"/>
      <c r="D8256" s="17" t="s">
        <v>3692</v>
      </c>
      <c r="E8256" s="16"/>
      <c r="F8256" s="18">
        <f>ROUND((G8250+G8255)*(1+G2/100),2)</f>
        <v>55.35</v>
      </c>
      <c r="G8256" s="16"/>
    </row>
    <row r="8257" ht="21.0" customHeight="1">
      <c r="A8257" s="19" t="s">
        <v>3695</v>
      </c>
      <c r="B8257" s="20" t="s">
        <v>18</v>
      </c>
      <c r="C8257" s="20" t="s">
        <v>295</v>
      </c>
      <c r="D8257" s="20" t="s">
        <v>3696</v>
      </c>
      <c r="E8257" s="21"/>
      <c r="F8257" s="22">
        <f>F8265</f>
        <v>187.22</v>
      </c>
      <c r="G8257" s="21"/>
    </row>
    <row r="8258" ht="48.75" customHeight="1">
      <c r="A8258" s="11"/>
      <c r="B8258" s="11"/>
      <c r="C8258" s="11"/>
      <c r="D8258" s="10" t="s">
        <v>3697</v>
      </c>
    </row>
    <row r="8259" ht="21.0" customHeight="1">
      <c r="A8259" s="10" t="s">
        <v>22</v>
      </c>
      <c r="B8259" s="10" t="s">
        <v>18</v>
      </c>
      <c r="C8259" s="10" t="s">
        <v>23</v>
      </c>
      <c r="D8259" s="10" t="s">
        <v>24</v>
      </c>
      <c r="E8259" s="14">
        <v>4.15</v>
      </c>
      <c r="F8259" s="15">
        <f>F8263</f>
        <v>43.8</v>
      </c>
      <c r="G8259" s="12">
        <f t="shared" ref="G8259:G8263" si="1236">ROUND(E8259*F8259,2)</f>
        <v>181.77</v>
      </c>
    </row>
    <row r="8260" ht="24.0" customHeight="1">
      <c r="A8260" s="10" t="s">
        <v>25</v>
      </c>
      <c r="B8260" s="10" t="s">
        <v>26</v>
      </c>
      <c r="C8260" s="10" t="s">
        <v>23</v>
      </c>
      <c r="D8260" s="10" t="s">
        <v>27</v>
      </c>
      <c r="E8260" s="14">
        <v>1.0</v>
      </c>
      <c r="F8260" s="15">
        <f>ROUND(21,3)</f>
        <v>21</v>
      </c>
      <c r="G8260" s="12">
        <f t="shared" si="1236"/>
        <v>21</v>
      </c>
    </row>
    <row r="8261" ht="24.0" customHeight="1">
      <c r="A8261" s="10" t="s">
        <v>28</v>
      </c>
      <c r="B8261" s="10" t="s">
        <v>26</v>
      </c>
      <c r="C8261" s="10" t="s">
        <v>23</v>
      </c>
      <c r="D8261" s="10" t="s">
        <v>29</v>
      </c>
      <c r="E8261" s="14">
        <v>1.0</v>
      </c>
      <c r="F8261" s="15">
        <f t="shared" ref="F8261:F8262" si="1237">ROUND(19,3)</f>
        <v>19</v>
      </c>
      <c r="G8261" s="12">
        <f t="shared" si="1236"/>
        <v>19</v>
      </c>
    </row>
    <row r="8262" ht="24.0" customHeight="1">
      <c r="A8262" s="10" t="s">
        <v>30</v>
      </c>
      <c r="B8262" s="10" t="s">
        <v>26</v>
      </c>
      <c r="C8262" s="10" t="s">
        <v>23</v>
      </c>
      <c r="D8262" s="10" t="s">
        <v>31</v>
      </c>
      <c r="E8262" s="14">
        <v>0.2</v>
      </c>
      <c r="F8262" s="15">
        <f t="shared" si="1237"/>
        <v>19</v>
      </c>
      <c r="G8262" s="12">
        <f t="shared" si="1236"/>
        <v>3.8</v>
      </c>
    </row>
    <row r="8263" ht="15.0" customHeight="1">
      <c r="A8263" s="11"/>
      <c r="B8263" s="11"/>
      <c r="C8263" s="11"/>
      <c r="D8263" s="10" t="s">
        <v>22</v>
      </c>
      <c r="E8263" s="14">
        <v>4.15</v>
      </c>
      <c r="F8263" s="15">
        <f>ROUND((G8260+G8261+G8262),3)</f>
        <v>43.8</v>
      </c>
      <c r="G8263" s="12">
        <f t="shared" si="1236"/>
        <v>181.77</v>
      </c>
    </row>
    <row r="8264" ht="15.0" customHeight="1">
      <c r="A8264" s="10" t="s">
        <v>32</v>
      </c>
      <c r="B8264" s="10"/>
      <c r="C8264" s="10" t="s">
        <v>33</v>
      </c>
      <c r="D8264" s="10" t="s">
        <v>34</v>
      </c>
      <c r="E8264" s="14">
        <v>3.0</v>
      </c>
      <c r="F8264" s="15">
        <f>ROUND(181.77,3)</f>
        <v>181.77</v>
      </c>
      <c r="G8264" s="12">
        <f>ROUND((E8264*F8264)/100,2)</f>
        <v>5.45</v>
      </c>
    </row>
    <row r="8265" ht="15.0" customHeight="1">
      <c r="A8265" s="16"/>
      <c r="B8265" s="16"/>
      <c r="C8265" s="16"/>
      <c r="D8265" s="17" t="s">
        <v>3695</v>
      </c>
      <c r="E8265" s="16"/>
      <c r="F8265" s="18">
        <f>ROUND((G8259+G8264)*(1+G2/100),2)</f>
        <v>187.22</v>
      </c>
      <c r="G8265" s="16"/>
    </row>
    <row r="8266" ht="21.0" customHeight="1">
      <c r="A8266" s="19" t="s">
        <v>3698</v>
      </c>
      <c r="B8266" s="20" t="s">
        <v>18</v>
      </c>
      <c r="C8266" s="20" t="s">
        <v>295</v>
      </c>
      <c r="D8266" s="20" t="s">
        <v>3699</v>
      </c>
      <c r="E8266" s="21"/>
      <c r="F8266" s="22">
        <f>F8274</f>
        <v>72.18</v>
      </c>
      <c r="G8266" s="21"/>
    </row>
    <row r="8267" ht="30.0" customHeight="1">
      <c r="A8267" s="11"/>
      <c r="B8267" s="11"/>
      <c r="C8267" s="11"/>
      <c r="D8267" s="10" t="s">
        <v>3700</v>
      </c>
    </row>
    <row r="8268" ht="21.0" customHeight="1">
      <c r="A8268" s="10" t="s">
        <v>22</v>
      </c>
      <c r="B8268" s="10" t="s">
        <v>18</v>
      </c>
      <c r="C8268" s="10" t="s">
        <v>23</v>
      </c>
      <c r="D8268" s="10" t="s">
        <v>24</v>
      </c>
      <c r="E8268" s="14">
        <v>1.6</v>
      </c>
      <c r="F8268" s="15">
        <f>F8272</f>
        <v>43.8</v>
      </c>
      <c r="G8268" s="12">
        <f t="shared" ref="G8268:G8272" si="1238">ROUND(E8268*F8268,2)</f>
        <v>70.08</v>
      </c>
    </row>
    <row r="8269" ht="24.0" customHeight="1">
      <c r="A8269" s="10" t="s">
        <v>25</v>
      </c>
      <c r="B8269" s="10" t="s">
        <v>26</v>
      </c>
      <c r="C8269" s="10" t="s">
        <v>23</v>
      </c>
      <c r="D8269" s="10" t="s">
        <v>27</v>
      </c>
      <c r="E8269" s="14">
        <v>1.0</v>
      </c>
      <c r="F8269" s="15">
        <f>ROUND(21,3)</f>
        <v>21</v>
      </c>
      <c r="G8269" s="12">
        <f t="shared" si="1238"/>
        <v>21</v>
      </c>
    </row>
    <row r="8270" ht="24.0" customHeight="1">
      <c r="A8270" s="10" t="s">
        <v>28</v>
      </c>
      <c r="B8270" s="10" t="s">
        <v>26</v>
      </c>
      <c r="C8270" s="10" t="s">
        <v>23</v>
      </c>
      <c r="D8270" s="10" t="s">
        <v>29</v>
      </c>
      <c r="E8270" s="14">
        <v>1.0</v>
      </c>
      <c r="F8270" s="15">
        <f t="shared" ref="F8270:F8271" si="1239">ROUND(19,3)</f>
        <v>19</v>
      </c>
      <c r="G8270" s="12">
        <f t="shared" si="1238"/>
        <v>19</v>
      </c>
    </row>
    <row r="8271" ht="24.0" customHeight="1">
      <c r="A8271" s="10" t="s">
        <v>30</v>
      </c>
      <c r="B8271" s="10" t="s">
        <v>26</v>
      </c>
      <c r="C8271" s="10" t="s">
        <v>23</v>
      </c>
      <c r="D8271" s="10" t="s">
        <v>31</v>
      </c>
      <c r="E8271" s="14">
        <v>0.2</v>
      </c>
      <c r="F8271" s="15">
        <f t="shared" si="1239"/>
        <v>19</v>
      </c>
      <c r="G8271" s="12">
        <f t="shared" si="1238"/>
        <v>3.8</v>
      </c>
    </row>
    <row r="8272" ht="15.0" customHeight="1">
      <c r="A8272" s="11"/>
      <c r="B8272" s="11"/>
      <c r="C8272" s="11"/>
      <c r="D8272" s="10" t="s">
        <v>22</v>
      </c>
      <c r="E8272" s="14">
        <v>1.6</v>
      </c>
      <c r="F8272" s="15">
        <f>ROUND((G8269+G8270+G8271),3)</f>
        <v>43.8</v>
      </c>
      <c r="G8272" s="12">
        <f t="shared" si="1238"/>
        <v>70.08</v>
      </c>
    </row>
    <row r="8273" ht="15.0" customHeight="1">
      <c r="A8273" s="10" t="s">
        <v>32</v>
      </c>
      <c r="B8273" s="10"/>
      <c r="C8273" s="10" t="s">
        <v>33</v>
      </c>
      <c r="D8273" s="10" t="s">
        <v>34</v>
      </c>
      <c r="E8273" s="14">
        <v>3.0</v>
      </c>
      <c r="F8273" s="15">
        <f>ROUND(70.08,3)</f>
        <v>70.08</v>
      </c>
      <c r="G8273" s="12">
        <f>ROUND((E8273*F8273)/100,2)</f>
        <v>2.1</v>
      </c>
    </row>
    <row r="8274" ht="15.0" customHeight="1">
      <c r="A8274" s="16"/>
      <c r="B8274" s="16"/>
      <c r="C8274" s="16"/>
      <c r="D8274" s="17" t="s">
        <v>3698</v>
      </c>
      <c r="E8274" s="16"/>
      <c r="F8274" s="18">
        <f>ROUND((G8268+G8273)*(1+G2/100),2)</f>
        <v>72.18</v>
      </c>
      <c r="G8274" s="16"/>
    </row>
    <row r="8275" ht="21.0" customHeight="1">
      <c r="A8275" s="19" t="s">
        <v>3701</v>
      </c>
      <c r="B8275" s="20" t="s">
        <v>18</v>
      </c>
      <c r="C8275" s="20" t="s">
        <v>321</v>
      </c>
      <c r="D8275" s="20" t="s">
        <v>3702</v>
      </c>
      <c r="E8275" s="21"/>
      <c r="F8275" s="22">
        <f>F8294</f>
        <v>97.44</v>
      </c>
      <c r="G8275" s="21"/>
    </row>
    <row r="8276" ht="39.75" customHeight="1">
      <c r="A8276" s="11"/>
      <c r="B8276" s="11"/>
      <c r="C8276" s="11"/>
      <c r="D8276" s="10" t="s">
        <v>3703</v>
      </c>
    </row>
    <row r="8277" ht="21.0" customHeight="1">
      <c r="A8277" s="10" t="s">
        <v>3540</v>
      </c>
      <c r="B8277" s="10" t="s">
        <v>42</v>
      </c>
      <c r="C8277" s="10" t="s">
        <v>521</v>
      </c>
      <c r="D8277" s="10" t="s">
        <v>3541</v>
      </c>
      <c r="E8277" s="14">
        <v>0.125</v>
      </c>
      <c r="F8277" s="15">
        <f>ROUND(8.11,3)</f>
        <v>8.11</v>
      </c>
      <c r="G8277" s="12">
        <f t="shared" ref="G8277:G8285" si="1240">ROUND(E8277*F8277,2)</f>
        <v>1.01</v>
      </c>
    </row>
    <row r="8278" ht="21.0" customHeight="1">
      <c r="A8278" s="10" t="s">
        <v>3704</v>
      </c>
      <c r="B8278" s="10" t="s">
        <v>42</v>
      </c>
      <c r="C8278" s="10" t="s">
        <v>304</v>
      </c>
      <c r="D8278" s="10" t="s">
        <v>3705</v>
      </c>
      <c r="E8278" s="14">
        <v>0.15</v>
      </c>
      <c r="F8278" s="15">
        <f>ROUND(39.65,3)</f>
        <v>39.65</v>
      </c>
      <c r="G8278" s="12">
        <f t="shared" si="1240"/>
        <v>5.95</v>
      </c>
    </row>
    <row r="8279" ht="21.0" customHeight="1">
      <c r="A8279" s="10" t="s">
        <v>3542</v>
      </c>
      <c r="B8279" s="10" t="s">
        <v>42</v>
      </c>
      <c r="C8279" s="10" t="s">
        <v>521</v>
      </c>
      <c r="D8279" s="10" t="s">
        <v>3543</v>
      </c>
      <c r="E8279" s="14">
        <v>0.08</v>
      </c>
      <c r="F8279" s="15">
        <f>ROUND(12.14,3)</f>
        <v>12.14</v>
      </c>
      <c r="G8279" s="12">
        <f t="shared" si="1240"/>
        <v>0.97</v>
      </c>
    </row>
    <row r="8280" ht="30.0" customHeight="1">
      <c r="A8280" s="10" t="s">
        <v>3706</v>
      </c>
      <c r="B8280" s="10" t="s">
        <v>42</v>
      </c>
      <c r="C8280" s="10" t="s">
        <v>295</v>
      </c>
      <c r="D8280" s="10" t="s">
        <v>3707</v>
      </c>
      <c r="E8280" s="14">
        <v>0.2</v>
      </c>
      <c r="F8280" s="15">
        <f>ROUND(108.36,3)</f>
        <v>108.36</v>
      </c>
      <c r="G8280" s="12">
        <f t="shared" si="1240"/>
        <v>21.67</v>
      </c>
    </row>
    <row r="8281" ht="15.0" customHeight="1">
      <c r="A8281" s="10" t="s">
        <v>3708</v>
      </c>
      <c r="B8281" s="10" t="s">
        <v>18</v>
      </c>
      <c r="C8281" s="10" t="s">
        <v>251</v>
      </c>
      <c r="D8281" s="10" t="s">
        <v>3709</v>
      </c>
      <c r="E8281" s="14">
        <v>1.0</v>
      </c>
      <c r="F8281" s="15">
        <f>F8287</f>
        <v>22.73</v>
      </c>
      <c r="G8281" s="12">
        <f t="shared" si="1240"/>
        <v>22.73</v>
      </c>
    </row>
    <row r="8282" ht="30.0" customHeight="1">
      <c r="A8282" s="10" t="s">
        <v>3710</v>
      </c>
      <c r="B8282" s="10" t="s">
        <v>42</v>
      </c>
      <c r="C8282" s="10" t="s">
        <v>351</v>
      </c>
      <c r="D8282" s="10" t="s">
        <v>3711</v>
      </c>
      <c r="E8282" s="14">
        <v>1.0</v>
      </c>
      <c r="F8282" s="15">
        <f>ROUND(0.3,3)</f>
        <v>0.3</v>
      </c>
      <c r="G8282" s="12">
        <f t="shared" si="1240"/>
        <v>0.3</v>
      </c>
    </row>
    <row r="8283" ht="30.0" customHeight="1">
      <c r="A8283" s="10" t="s">
        <v>1382</v>
      </c>
      <c r="B8283" s="10" t="s">
        <v>42</v>
      </c>
      <c r="C8283" s="10" t="s">
        <v>184</v>
      </c>
      <c r="D8283" s="10" t="s">
        <v>1383</v>
      </c>
      <c r="E8283" s="14">
        <v>4.0</v>
      </c>
      <c r="F8283" s="15">
        <f>ROUND(1.47,3)</f>
        <v>1.47</v>
      </c>
      <c r="G8283" s="12">
        <f t="shared" si="1240"/>
        <v>5.88</v>
      </c>
    </row>
    <row r="8284" ht="39.75" customHeight="1">
      <c r="A8284" s="10" t="s">
        <v>1380</v>
      </c>
      <c r="B8284" s="10" t="s">
        <v>42</v>
      </c>
      <c r="C8284" s="10" t="s">
        <v>344</v>
      </c>
      <c r="D8284" s="10" t="s">
        <v>1381</v>
      </c>
      <c r="E8284" s="14">
        <v>0.15</v>
      </c>
      <c r="F8284" s="15">
        <f>ROUND(20.13,3)</f>
        <v>20.13</v>
      </c>
      <c r="G8284" s="12">
        <f t="shared" si="1240"/>
        <v>3.02</v>
      </c>
    </row>
    <row r="8285" ht="21.0" customHeight="1">
      <c r="A8285" s="10" t="s">
        <v>22</v>
      </c>
      <c r="B8285" s="10" t="s">
        <v>18</v>
      </c>
      <c r="C8285" s="10" t="s">
        <v>23</v>
      </c>
      <c r="D8285" s="10" t="s">
        <v>24</v>
      </c>
      <c r="E8285" s="14">
        <v>0.3</v>
      </c>
      <c r="F8285" s="15">
        <f>ROUND(43.8,3)</f>
        <v>43.8</v>
      </c>
      <c r="G8285" s="12">
        <f t="shared" si="1240"/>
        <v>13.14</v>
      </c>
    </row>
    <row r="8286" ht="15.0" customHeight="1">
      <c r="A8286" s="10" t="s">
        <v>32</v>
      </c>
      <c r="B8286" s="10"/>
      <c r="C8286" s="10" t="s">
        <v>33</v>
      </c>
      <c r="D8286" s="10" t="s">
        <v>34</v>
      </c>
      <c r="E8286" s="14">
        <v>3.0</v>
      </c>
      <c r="F8286" s="15">
        <f>ROUND(13.14,3)</f>
        <v>13.14</v>
      </c>
      <c r="G8286" s="12">
        <f>ROUND((E8286*F8286)/100,2)</f>
        <v>0.39</v>
      </c>
    </row>
    <row r="8287" ht="15.0" customHeight="1">
      <c r="A8287" s="11"/>
      <c r="B8287" s="11"/>
      <c r="C8287" s="11"/>
      <c r="D8287" s="10" t="s">
        <v>3708</v>
      </c>
      <c r="E8287" s="14">
        <v>1.0</v>
      </c>
      <c r="F8287" s="15">
        <f>ROUND((G8282+G8283+G8284+G8285+G8286),3)</f>
        <v>22.73</v>
      </c>
      <c r="G8287" s="12">
        <f t="shared" ref="G8287:G8292" si="1241">ROUND(E8287*F8287,2)</f>
        <v>22.73</v>
      </c>
    </row>
    <row r="8288" ht="21.0" customHeight="1">
      <c r="A8288" s="10" t="s">
        <v>22</v>
      </c>
      <c r="B8288" s="10" t="s">
        <v>18</v>
      </c>
      <c r="C8288" s="10" t="s">
        <v>23</v>
      </c>
      <c r="D8288" s="10" t="s">
        <v>24</v>
      </c>
      <c r="E8288" s="14">
        <v>1.0</v>
      </c>
      <c r="F8288" s="15">
        <f>F8292</f>
        <v>43.8</v>
      </c>
      <c r="G8288" s="12">
        <f t="shared" si="1241"/>
        <v>43.8</v>
      </c>
    </row>
    <row r="8289" ht="24.0" customHeight="1">
      <c r="A8289" s="10" t="s">
        <v>25</v>
      </c>
      <c r="B8289" s="10" t="s">
        <v>26</v>
      </c>
      <c r="C8289" s="10" t="s">
        <v>23</v>
      </c>
      <c r="D8289" s="10" t="s">
        <v>27</v>
      </c>
      <c r="E8289" s="14">
        <v>1.0</v>
      </c>
      <c r="F8289" s="15">
        <f>ROUND(21,3)</f>
        <v>21</v>
      </c>
      <c r="G8289" s="12">
        <f t="shared" si="1241"/>
        <v>21</v>
      </c>
    </row>
    <row r="8290" ht="24.0" customHeight="1">
      <c r="A8290" s="10" t="s">
        <v>28</v>
      </c>
      <c r="B8290" s="10" t="s">
        <v>26</v>
      </c>
      <c r="C8290" s="10" t="s">
        <v>23</v>
      </c>
      <c r="D8290" s="10" t="s">
        <v>29</v>
      </c>
      <c r="E8290" s="14">
        <v>1.0</v>
      </c>
      <c r="F8290" s="15">
        <f t="shared" ref="F8290:F8291" si="1242">ROUND(19,3)</f>
        <v>19</v>
      </c>
      <c r="G8290" s="12">
        <f t="shared" si="1241"/>
        <v>19</v>
      </c>
    </row>
    <row r="8291" ht="24.0" customHeight="1">
      <c r="A8291" s="10" t="s">
        <v>30</v>
      </c>
      <c r="B8291" s="10" t="s">
        <v>26</v>
      </c>
      <c r="C8291" s="10" t="s">
        <v>23</v>
      </c>
      <c r="D8291" s="10" t="s">
        <v>31</v>
      </c>
      <c r="E8291" s="14">
        <v>0.2</v>
      </c>
      <c r="F8291" s="15">
        <f t="shared" si="1242"/>
        <v>19</v>
      </c>
      <c r="G8291" s="12">
        <f t="shared" si="1241"/>
        <v>3.8</v>
      </c>
    </row>
    <row r="8292" ht="15.0" customHeight="1">
      <c r="A8292" s="11"/>
      <c r="B8292" s="11"/>
      <c r="C8292" s="11"/>
      <c r="D8292" s="10" t="s">
        <v>22</v>
      </c>
      <c r="E8292" s="14">
        <v>1.0</v>
      </c>
      <c r="F8292" s="15">
        <f>ROUND((G8289+G8290+G8291),3)</f>
        <v>43.8</v>
      </c>
      <c r="G8292" s="12">
        <f t="shared" si="1241"/>
        <v>43.8</v>
      </c>
    </row>
    <row r="8293" ht="15.0" customHeight="1">
      <c r="A8293" s="10" t="s">
        <v>32</v>
      </c>
      <c r="B8293" s="10"/>
      <c r="C8293" s="10" t="s">
        <v>33</v>
      </c>
      <c r="D8293" s="10" t="s">
        <v>34</v>
      </c>
      <c r="E8293" s="14">
        <v>3.0</v>
      </c>
      <c r="F8293" s="15">
        <f>ROUND(43.8,3)</f>
        <v>43.8</v>
      </c>
      <c r="G8293" s="12">
        <f>ROUND((E8293*F8293)/100,2)</f>
        <v>1.31</v>
      </c>
    </row>
    <row r="8294" ht="15.0" customHeight="1">
      <c r="A8294" s="16"/>
      <c r="B8294" s="16"/>
      <c r="C8294" s="16"/>
      <c r="D8294" s="17" t="s">
        <v>3701</v>
      </c>
      <c r="E8294" s="16"/>
      <c r="F8294" s="18">
        <f>ROUND((G8277+G8278+G8279+G8280+G8281+G8288+G8293)*(1+G2/100),2)</f>
        <v>97.44</v>
      </c>
      <c r="G8294" s="16"/>
    </row>
    <row r="8295" ht="21.0" customHeight="1">
      <c r="A8295" s="19" t="s">
        <v>3712</v>
      </c>
      <c r="B8295" s="20" t="s">
        <v>18</v>
      </c>
      <c r="C8295" s="20" t="s">
        <v>321</v>
      </c>
      <c r="D8295" s="20" t="s">
        <v>3713</v>
      </c>
      <c r="E8295" s="21"/>
      <c r="F8295" s="22">
        <f>F8314</f>
        <v>128.1</v>
      </c>
      <c r="G8295" s="21"/>
    </row>
    <row r="8296" ht="39.75" customHeight="1">
      <c r="A8296" s="11"/>
      <c r="B8296" s="11"/>
      <c r="C8296" s="11"/>
      <c r="D8296" s="10" t="s">
        <v>3714</v>
      </c>
    </row>
    <row r="8297" ht="21.0" customHeight="1">
      <c r="A8297" s="10" t="s">
        <v>3540</v>
      </c>
      <c r="B8297" s="10" t="s">
        <v>42</v>
      </c>
      <c r="C8297" s="10" t="s">
        <v>521</v>
      </c>
      <c r="D8297" s="10" t="s">
        <v>3541</v>
      </c>
      <c r="E8297" s="14">
        <v>0.125</v>
      </c>
      <c r="F8297" s="15">
        <f>ROUND(8.11,3)</f>
        <v>8.11</v>
      </c>
      <c r="G8297" s="12">
        <f t="shared" ref="G8297:G8305" si="1243">ROUND(E8297*F8297,2)</f>
        <v>1.01</v>
      </c>
    </row>
    <row r="8298" ht="21.0" customHeight="1">
      <c r="A8298" s="10" t="s">
        <v>3704</v>
      </c>
      <c r="B8298" s="10" t="s">
        <v>42</v>
      </c>
      <c r="C8298" s="10" t="s">
        <v>304</v>
      </c>
      <c r="D8298" s="10" t="s">
        <v>3705</v>
      </c>
      <c r="E8298" s="14">
        <v>0.15</v>
      </c>
      <c r="F8298" s="15">
        <f>ROUND(39.65,3)</f>
        <v>39.65</v>
      </c>
      <c r="G8298" s="12">
        <f t="shared" si="1243"/>
        <v>5.95</v>
      </c>
    </row>
    <row r="8299" ht="21.0" customHeight="1">
      <c r="A8299" s="10" t="s">
        <v>3542</v>
      </c>
      <c r="B8299" s="10" t="s">
        <v>42</v>
      </c>
      <c r="C8299" s="10" t="s">
        <v>521</v>
      </c>
      <c r="D8299" s="10" t="s">
        <v>3543</v>
      </c>
      <c r="E8299" s="14">
        <v>0.08</v>
      </c>
      <c r="F8299" s="15">
        <f>ROUND(12.14,3)</f>
        <v>12.14</v>
      </c>
      <c r="G8299" s="12">
        <f t="shared" si="1243"/>
        <v>0.97</v>
      </c>
    </row>
    <row r="8300" ht="30.0" customHeight="1">
      <c r="A8300" s="10" t="s">
        <v>3715</v>
      </c>
      <c r="B8300" s="10" t="s">
        <v>42</v>
      </c>
      <c r="C8300" s="10" t="s">
        <v>304</v>
      </c>
      <c r="D8300" s="10" t="s">
        <v>3716</v>
      </c>
      <c r="E8300" s="14">
        <v>0.2</v>
      </c>
      <c r="F8300" s="15">
        <f>ROUND(261.66,3)</f>
        <v>261.66</v>
      </c>
      <c r="G8300" s="12">
        <f t="shared" si="1243"/>
        <v>52.33</v>
      </c>
    </row>
    <row r="8301" ht="15.0" customHeight="1">
      <c r="A8301" s="10" t="s">
        <v>3708</v>
      </c>
      <c r="B8301" s="10" t="s">
        <v>18</v>
      </c>
      <c r="C8301" s="10" t="s">
        <v>251</v>
      </c>
      <c r="D8301" s="10" t="s">
        <v>3709</v>
      </c>
      <c r="E8301" s="14">
        <v>1.0</v>
      </c>
      <c r="F8301" s="15">
        <f>F8307</f>
        <v>22.73</v>
      </c>
      <c r="G8301" s="12">
        <f t="shared" si="1243"/>
        <v>22.73</v>
      </c>
    </row>
    <row r="8302" ht="30.0" customHeight="1">
      <c r="A8302" s="10" t="s">
        <v>3710</v>
      </c>
      <c r="B8302" s="10" t="s">
        <v>42</v>
      </c>
      <c r="C8302" s="10" t="s">
        <v>351</v>
      </c>
      <c r="D8302" s="10" t="s">
        <v>3711</v>
      </c>
      <c r="E8302" s="14">
        <v>1.0</v>
      </c>
      <c r="F8302" s="15">
        <f>ROUND(0.3,3)</f>
        <v>0.3</v>
      </c>
      <c r="G8302" s="12">
        <f t="shared" si="1243"/>
        <v>0.3</v>
      </c>
    </row>
    <row r="8303" ht="30.0" customHeight="1">
      <c r="A8303" s="10" t="s">
        <v>1382</v>
      </c>
      <c r="B8303" s="10" t="s">
        <v>42</v>
      </c>
      <c r="C8303" s="10" t="s">
        <v>184</v>
      </c>
      <c r="D8303" s="10" t="s">
        <v>1383</v>
      </c>
      <c r="E8303" s="14">
        <v>4.0</v>
      </c>
      <c r="F8303" s="15">
        <f>ROUND(1.47,3)</f>
        <v>1.47</v>
      </c>
      <c r="G8303" s="12">
        <f t="shared" si="1243"/>
        <v>5.88</v>
      </c>
    </row>
    <row r="8304" ht="39.75" customHeight="1">
      <c r="A8304" s="10" t="s">
        <v>1380</v>
      </c>
      <c r="B8304" s="10" t="s">
        <v>42</v>
      </c>
      <c r="C8304" s="10" t="s">
        <v>344</v>
      </c>
      <c r="D8304" s="10" t="s">
        <v>1381</v>
      </c>
      <c r="E8304" s="14">
        <v>0.15</v>
      </c>
      <c r="F8304" s="15">
        <f>ROUND(20.13,3)</f>
        <v>20.13</v>
      </c>
      <c r="G8304" s="12">
        <f t="shared" si="1243"/>
        <v>3.02</v>
      </c>
    </row>
    <row r="8305" ht="21.0" customHeight="1">
      <c r="A8305" s="10" t="s">
        <v>22</v>
      </c>
      <c r="B8305" s="10" t="s">
        <v>18</v>
      </c>
      <c r="C8305" s="10" t="s">
        <v>23</v>
      </c>
      <c r="D8305" s="10" t="s">
        <v>24</v>
      </c>
      <c r="E8305" s="14">
        <v>0.3</v>
      </c>
      <c r="F8305" s="15">
        <f>ROUND(43.8,3)</f>
        <v>43.8</v>
      </c>
      <c r="G8305" s="12">
        <f t="shared" si="1243"/>
        <v>13.14</v>
      </c>
    </row>
    <row r="8306" ht="15.0" customHeight="1">
      <c r="A8306" s="10" t="s">
        <v>32</v>
      </c>
      <c r="B8306" s="10"/>
      <c r="C8306" s="10" t="s">
        <v>33</v>
      </c>
      <c r="D8306" s="10" t="s">
        <v>34</v>
      </c>
      <c r="E8306" s="14">
        <v>3.0</v>
      </c>
      <c r="F8306" s="15">
        <f>ROUND(13.14,3)</f>
        <v>13.14</v>
      </c>
      <c r="G8306" s="12">
        <f>ROUND((E8306*F8306)/100,2)</f>
        <v>0.39</v>
      </c>
    </row>
    <row r="8307" ht="15.0" customHeight="1">
      <c r="A8307" s="11"/>
      <c r="B8307" s="11"/>
      <c r="C8307" s="11"/>
      <c r="D8307" s="10" t="s">
        <v>3708</v>
      </c>
      <c r="E8307" s="14">
        <v>1.0</v>
      </c>
      <c r="F8307" s="15">
        <f>ROUND((G8302+G8303+G8304+G8305+G8306),3)</f>
        <v>22.73</v>
      </c>
      <c r="G8307" s="12">
        <f t="shared" ref="G8307:G8312" si="1244">ROUND(E8307*F8307,2)</f>
        <v>22.73</v>
      </c>
    </row>
    <row r="8308" ht="21.0" customHeight="1">
      <c r="A8308" s="10" t="s">
        <v>22</v>
      </c>
      <c r="B8308" s="10" t="s">
        <v>18</v>
      </c>
      <c r="C8308" s="10" t="s">
        <v>23</v>
      </c>
      <c r="D8308" s="10" t="s">
        <v>24</v>
      </c>
      <c r="E8308" s="14">
        <v>1.0</v>
      </c>
      <c r="F8308" s="15">
        <f>F8312</f>
        <v>43.8</v>
      </c>
      <c r="G8308" s="12">
        <f t="shared" si="1244"/>
        <v>43.8</v>
      </c>
    </row>
    <row r="8309" ht="24.0" customHeight="1">
      <c r="A8309" s="10" t="s">
        <v>25</v>
      </c>
      <c r="B8309" s="10" t="s">
        <v>26</v>
      </c>
      <c r="C8309" s="10" t="s">
        <v>23</v>
      </c>
      <c r="D8309" s="10" t="s">
        <v>27</v>
      </c>
      <c r="E8309" s="14">
        <v>1.0</v>
      </c>
      <c r="F8309" s="15">
        <f>ROUND(21,3)</f>
        <v>21</v>
      </c>
      <c r="G8309" s="12">
        <f t="shared" si="1244"/>
        <v>21</v>
      </c>
    </row>
    <row r="8310" ht="24.0" customHeight="1">
      <c r="A8310" s="10" t="s">
        <v>28</v>
      </c>
      <c r="B8310" s="10" t="s">
        <v>26</v>
      </c>
      <c r="C8310" s="10" t="s">
        <v>23</v>
      </c>
      <c r="D8310" s="10" t="s">
        <v>29</v>
      </c>
      <c r="E8310" s="14">
        <v>1.0</v>
      </c>
      <c r="F8310" s="15">
        <f t="shared" ref="F8310:F8311" si="1245">ROUND(19,3)</f>
        <v>19</v>
      </c>
      <c r="G8310" s="12">
        <f t="shared" si="1244"/>
        <v>19</v>
      </c>
    </row>
    <row r="8311" ht="24.0" customHeight="1">
      <c r="A8311" s="10" t="s">
        <v>30</v>
      </c>
      <c r="B8311" s="10" t="s">
        <v>26</v>
      </c>
      <c r="C8311" s="10" t="s">
        <v>23</v>
      </c>
      <c r="D8311" s="10" t="s">
        <v>31</v>
      </c>
      <c r="E8311" s="14">
        <v>0.2</v>
      </c>
      <c r="F8311" s="15">
        <f t="shared" si="1245"/>
        <v>19</v>
      </c>
      <c r="G8311" s="12">
        <f t="shared" si="1244"/>
        <v>3.8</v>
      </c>
    </row>
    <row r="8312" ht="15.0" customHeight="1">
      <c r="A8312" s="11"/>
      <c r="B8312" s="11"/>
      <c r="C8312" s="11"/>
      <c r="D8312" s="10" t="s">
        <v>22</v>
      </c>
      <c r="E8312" s="14">
        <v>1.0</v>
      </c>
      <c r="F8312" s="15">
        <f>ROUND((G8309+G8310+G8311),3)</f>
        <v>43.8</v>
      </c>
      <c r="G8312" s="12">
        <f t="shared" si="1244"/>
        <v>43.8</v>
      </c>
    </row>
    <row r="8313" ht="15.0" customHeight="1">
      <c r="A8313" s="10" t="s">
        <v>32</v>
      </c>
      <c r="B8313" s="10"/>
      <c r="C8313" s="10" t="s">
        <v>33</v>
      </c>
      <c r="D8313" s="10" t="s">
        <v>34</v>
      </c>
      <c r="E8313" s="14">
        <v>3.0</v>
      </c>
      <c r="F8313" s="15">
        <f>ROUND(43.8,3)</f>
        <v>43.8</v>
      </c>
      <c r="G8313" s="12">
        <f>ROUND((E8313*F8313)/100,2)</f>
        <v>1.31</v>
      </c>
    </row>
    <row r="8314" ht="15.0" customHeight="1">
      <c r="A8314" s="16"/>
      <c r="B8314" s="16"/>
      <c r="C8314" s="16"/>
      <c r="D8314" s="17" t="s">
        <v>3712</v>
      </c>
      <c r="E8314" s="16"/>
      <c r="F8314" s="18">
        <f>ROUND((G8297+G8298+G8299+G8300+G8301+G8308+G8313)*(1+G2/100),2)</f>
        <v>128.1</v>
      </c>
      <c r="G8314" s="16"/>
    </row>
    <row r="8315" ht="21.0" customHeight="1">
      <c r="A8315" s="19" t="s">
        <v>3717</v>
      </c>
      <c r="B8315" s="20" t="s">
        <v>18</v>
      </c>
      <c r="C8315" s="20" t="s">
        <v>321</v>
      </c>
      <c r="D8315" s="20" t="s">
        <v>3718</v>
      </c>
      <c r="E8315" s="21"/>
      <c r="F8315" s="22">
        <f>F8334</f>
        <v>156.41</v>
      </c>
      <c r="G8315" s="21"/>
    </row>
    <row r="8316" ht="39.75" customHeight="1">
      <c r="A8316" s="11"/>
      <c r="B8316" s="11"/>
      <c r="C8316" s="11"/>
      <c r="D8316" s="10" t="s">
        <v>3714</v>
      </c>
    </row>
    <row r="8317" ht="21.0" customHeight="1">
      <c r="A8317" s="10" t="s">
        <v>3540</v>
      </c>
      <c r="B8317" s="10" t="s">
        <v>42</v>
      </c>
      <c r="C8317" s="10" t="s">
        <v>521</v>
      </c>
      <c r="D8317" s="10" t="s">
        <v>3541</v>
      </c>
      <c r="E8317" s="14">
        <v>0.125</v>
      </c>
      <c r="F8317" s="15">
        <f>ROUND(8.11,3)</f>
        <v>8.11</v>
      </c>
      <c r="G8317" s="12">
        <f t="shared" ref="G8317:G8325" si="1246">ROUND(E8317*F8317,2)</f>
        <v>1.01</v>
      </c>
    </row>
    <row r="8318" ht="21.0" customHeight="1">
      <c r="A8318" s="10" t="s">
        <v>3704</v>
      </c>
      <c r="B8318" s="10" t="s">
        <v>42</v>
      </c>
      <c r="C8318" s="10" t="s">
        <v>304</v>
      </c>
      <c r="D8318" s="10" t="s">
        <v>3705</v>
      </c>
      <c r="E8318" s="14">
        <v>0.15</v>
      </c>
      <c r="F8318" s="15">
        <f>ROUND(39.65,3)</f>
        <v>39.65</v>
      </c>
      <c r="G8318" s="12">
        <f t="shared" si="1246"/>
        <v>5.95</v>
      </c>
    </row>
    <row r="8319" ht="21.0" customHeight="1">
      <c r="A8319" s="10" t="s">
        <v>3542</v>
      </c>
      <c r="B8319" s="10" t="s">
        <v>42</v>
      </c>
      <c r="C8319" s="10" t="s">
        <v>521</v>
      </c>
      <c r="D8319" s="10" t="s">
        <v>3543</v>
      </c>
      <c r="E8319" s="14">
        <v>0.08</v>
      </c>
      <c r="F8319" s="15">
        <f>ROUND(12.14,3)</f>
        <v>12.14</v>
      </c>
      <c r="G8319" s="12">
        <f t="shared" si="1246"/>
        <v>0.97</v>
      </c>
    </row>
    <row r="8320" ht="30.0" customHeight="1">
      <c r="A8320" s="10" t="s">
        <v>3719</v>
      </c>
      <c r="B8320" s="10" t="s">
        <v>42</v>
      </c>
      <c r="C8320" s="10" t="s">
        <v>295</v>
      </c>
      <c r="D8320" s="10" t="s">
        <v>3720</v>
      </c>
      <c r="E8320" s="14">
        <v>0.2</v>
      </c>
      <c r="F8320" s="15">
        <f>ROUND(403.2,3)</f>
        <v>403.2</v>
      </c>
      <c r="G8320" s="12">
        <f t="shared" si="1246"/>
        <v>80.64</v>
      </c>
    </row>
    <row r="8321" ht="15.0" customHeight="1">
      <c r="A8321" s="10" t="s">
        <v>3708</v>
      </c>
      <c r="B8321" s="10" t="s">
        <v>18</v>
      </c>
      <c r="C8321" s="10" t="s">
        <v>251</v>
      </c>
      <c r="D8321" s="10" t="s">
        <v>3709</v>
      </c>
      <c r="E8321" s="14">
        <v>1.0</v>
      </c>
      <c r="F8321" s="15">
        <f>F8327</f>
        <v>22.73</v>
      </c>
      <c r="G8321" s="12">
        <f t="shared" si="1246"/>
        <v>22.73</v>
      </c>
    </row>
    <row r="8322" ht="30.0" customHeight="1">
      <c r="A8322" s="10" t="s">
        <v>3710</v>
      </c>
      <c r="B8322" s="10" t="s">
        <v>42</v>
      </c>
      <c r="C8322" s="10" t="s">
        <v>351</v>
      </c>
      <c r="D8322" s="10" t="s">
        <v>3711</v>
      </c>
      <c r="E8322" s="14">
        <v>1.0</v>
      </c>
      <c r="F8322" s="15">
        <f>ROUND(0.3,3)</f>
        <v>0.3</v>
      </c>
      <c r="G8322" s="12">
        <f t="shared" si="1246"/>
        <v>0.3</v>
      </c>
    </row>
    <row r="8323" ht="30.0" customHeight="1">
      <c r="A8323" s="10" t="s">
        <v>1382</v>
      </c>
      <c r="B8323" s="10" t="s">
        <v>42</v>
      </c>
      <c r="C8323" s="10" t="s">
        <v>184</v>
      </c>
      <c r="D8323" s="10" t="s">
        <v>1383</v>
      </c>
      <c r="E8323" s="14">
        <v>4.0</v>
      </c>
      <c r="F8323" s="15">
        <f>ROUND(1.47,3)</f>
        <v>1.47</v>
      </c>
      <c r="G8323" s="12">
        <f t="shared" si="1246"/>
        <v>5.88</v>
      </c>
    </row>
    <row r="8324" ht="39.75" customHeight="1">
      <c r="A8324" s="10" t="s">
        <v>1380</v>
      </c>
      <c r="B8324" s="10" t="s">
        <v>42</v>
      </c>
      <c r="C8324" s="10" t="s">
        <v>344</v>
      </c>
      <c r="D8324" s="10" t="s">
        <v>1381</v>
      </c>
      <c r="E8324" s="14">
        <v>0.15</v>
      </c>
      <c r="F8324" s="15">
        <f>ROUND(20.13,3)</f>
        <v>20.13</v>
      </c>
      <c r="G8324" s="12">
        <f t="shared" si="1246"/>
        <v>3.02</v>
      </c>
    </row>
    <row r="8325" ht="21.0" customHeight="1">
      <c r="A8325" s="10" t="s">
        <v>22</v>
      </c>
      <c r="B8325" s="10" t="s">
        <v>18</v>
      </c>
      <c r="C8325" s="10" t="s">
        <v>23</v>
      </c>
      <c r="D8325" s="10" t="s">
        <v>24</v>
      </c>
      <c r="E8325" s="14">
        <v>0.3</v>
      </c>
      <c r="F8325" s="15">
        <f>ROUND(43.8,3)</f>
        <v>43.8</v>
      </c>
      <c r="G8325" s="12">
        <f t="shared" si="1246"/>
        <v>13.14</v>
      </c>
    </row>
    <row r="8326" ht="15.0" customHeight="1">
      <c r="A8326" s="10" t="s">
        <v>32</v>
      </c>
      <c r="B8326" s="10"/>
      <c r="C8326" s="10" t="s">
        <v>33</v>
      </c>
      <c r="D8326" s="10" t="s">
        <v>34</v>
      </c>
      <c r="E8326" s="14">
        <v>3.0</v>
      </c>
      <c r="F8326" s="15">
        <f>ROUND(13.14,3)</f>
        <v>13.14</v>
      </c>
      <c r="G8326" s="12">
        <f>ROUND((E8326*F8326)/100,2)</f>
        <v>0.39</v>
      </c>
    </row>
    <row r="8327" ht="15.0" customHeight="1">
      <c r="A8327" s="11"/>
      <c r="B8327" s="11"/>
      <c r="C8327" s="11"/>
      <c r="D8327" s="10" t="s">
        <v>3708</v>
      </c>
      <c r="E8327" s="14">
        <v>1.0</v>
      </c>
      <c r="F8327" s="15">
        <f>ROUND((G8322+G8323+G8324+G8325+G8326),3)</f>
        <v>22.73</v>
      </c>
      <c r="G8327" s="12">
        <f t="shared" ref="G8327:G8332" si="1247">ROUND(E8327*F8327,2)</f>
        <v>22.73</v>
      </c>
    </row>
    <row r="8328" ht="21.0" customHeight="1">
      <c r="A8328" s="10" t="s">
        <v>22</v>
      </c>
      <c r="B8328" s="10" t="s">
        <v>18</v>
      </c>
      <c r="C8328" s="10" t="s">
        <v>23</v>
      </c>
      <c r="D8328" s="10" t="s">
        <v>24</v>
      </c>
      <c r="E8328" s="14">
        <v>1.0</v>
      </c>
      <c r="F8328" s="15">
        <f>F8332</f>
        <v>43.8</v>
      </c>
      <c r="G8328" s="12">
        <f t="shared" si="1247"/>
        <v>43.8</v>
      </c>
    </row>
    <row r="8329" ht="24.0" customHeight="1">
      <c r="A8329" s="10" t="s">
        <v>25</v>
      </c>
      <c r="B8329" s="10" t="s">
        <v>26</v>
      </c>
      <c r="C8329" s="10" t="s">
        <v>23</v>
      </c>
      <c r="D8329" s="10" t="s">
        <v>27</v>
      </c>
      <c r="E8329" s="14">
        <v>1.0</v>
      </c>
      <c r="F8329" s="15">
        <f>ROUND(21,3)</f>
        <v>21</v>
      </c>
      <c r="G8329" s="12">
        <f t="shared" si="1247"/>
        <v>21</v>
      </c>
    </row>
    <row r="8330" ht="24.0" customHeight="1">
      <c r="A8330" s="10" t="s">
        <v>28</v>
      </c>
      <c r="B8330" s="10" t="s">
        <v>26</v>
      </c>
      <c r="C8330" s="10" t="s">
        <v>23</v>
      </c>
      <c r="D8330" s="10" t="s">
        <v>29</v>
      </c>
      <c r="E8330" s="14">
        <v>1.0</v>
      </c>
      <c r="F8330" s="15">
        <f t="shared" ref="F8330:F8331" si="1248">ROUND(19,3)</f>
        <v>19</v>
      </c>
      <c r="G8330" s="12">
        <f t="shared" si="1247"/>
        <v>19</v>
      </c>
    </row>
    <row r="8331" ht="24.0" customHeight="1">
      <c r="A8331" s="10" t="s">
        <v>30</v>
      </c>
      <c r="B8331" s="10" t="s">
        <v>26</v>
      </c>
      <c r="C8331" s="10" t="s">
        <v>23</v>
      </c>
      <c r="D8331" s="10" t="s">
        <v>31</v>
      </c>
      <c r="E8331" s="14">
        <v>0.2</v>
      </c>
      <c r="F8331" s="15">
        <f t="shared" si="1248"/>
        <v>19</v>
      </c>
      <c r="G8331" s="12">
        <f t="shared" si="1247"/>
        <v>3.8</v>
      </c>
    </row>
    <row r="8332" ht="15.0" customHeight="1">
      <c r="A8332" s="11"/>
      <c r="B8332" s="11"/>
      <c r="C8332" s="11"/>
      <c r="D8332" s="10" t="s">
        <v>22</v>
      </c>
      <c r="E8332" s="14">
        <v>1.0</v>
      </c>
      <c r="F8332" s="15">
        <f>ROUND((G8329+G8330+G8331),3)</f>
        <v>43.8</v>
      </c>
      <c r="G8332" s="12">
        <f t="shared" si="1247"/>
        <v>43.8</v>
      </c>
    </row>
    <row r="8333" ht="15.0" customHeight="1">
      <c r="A8333" s="10" t="s">
        <v>32</v>
      </c>
      <c r="B8333" s="10"/>
      <c r="C8333" s="10" t="s">
        <v>33</v>
      </c>
      <c r="D8333" s="10" t="s">
        <v>34</v>
      </c>
      <c r="E8333" s="14">
        <v>3.0</v>
      </c>
      <c r="F8333" s="15">
        <f>ROUND(43.8,3)</f>
        <v>43.8</v>
      </c>
      <c r="G8333" s="12">
        <f>ROUND((E8333*F8333)/100,2)</f>
        <v>1.31</v>
      </c>
    </row>
    <row r="8334" ht="15.0" customHeight="1">
      <c r="A8334" s="16"/>
      <c r="B8334" s="16"/>
      <c r="C8334" s="16"/>
      <c r="D8334" s="17" t="s">
        <v>3717</v>
      </c>
      <c r="E8334" s="16"/>
      <c r="F8334" s="18">
        <f>ROUND((G8317+G8318+G8319+G8320+G8321+G8328+G8333)*(1+G2/100),2)</f>
        <v>156.41</v>
      </c>
      <c r="G8334" s="16"/>
    </row>
    <row r="8335" ht="30.0" customHeight="1">
      <c r="A8335" s="19" t="s">
        <v>3721</v>
      </c>
      <c r="B8335" s="20" t="s">
        <v>18</v>
      </c>
      <c r="C8335" s="20" t="s">
        <v>295</v>
      </c>
      <c r="D8335" s="20" t="s">
        <v>3722</v>
      </c>
      <c r="E8335" s="21"/>
      <c r="F8335" s="22">
        <f>F8350</f>
        <v>499.46</v>
      </c>
      <c r="G8335" s="21"/>
    </row>
    <row r="8336" ht="104.25" customHeight="1">
      <c r="A8336" s="11"/>
      <c r="B8336" s="11"/>
      <c r="C8336" s="11"/>
      <c r="D8336" s="10" t="s">
        <v>3723</v>
      </c>
    </row>
    <row r="8337" ht="21.0" customHeight="1">
      <c r="A8337" s="10" t="s">
        <v>1335</v>
      </c>
      <c r="B8337" s="10" t="s">
        <v>42</v>
      </c>
      <c r="C8337" s="10" t="s">
        <v>184</v>
      </c>
      <c r="D8337" s="10" t="s">
        <v>1336</v>
      </c>
      <c r="E8337" s="14">
        <v>20.6</v>
      </c>
      <c r="F8337" s="15">
        <f>ROUND(2.28,3)</f>
        <v>2.28</v>
      </c>
      <c r="G8337" s="12">
        <f t="shared" ref="G8337:G8348" si="1249">ROUND(E8337*F8337,2)</f>
        <v>46.97</v>
      </c>
    </row>
    <row r="8338" ht="30.0" customHeight="1">
      <c r="A8338" s="10" t="s">
        <v>3505</v>
      </c>
      <c r="B8338" s="10" t="s">
        <v>42</v>
      </c>
      <c r="C8338" s="10" t="s">
        <v>344</v>
      </c>
      <c r="D8338" s="10" t="s">
        <v>3506</v>
      </c>
      <c r="E8338" s="14">
        <v>370.0</v>
      </c>
      <c r="F8338" s="15">
        <f>ROUND(0.47,3)</f>
        <v>0.47</v>
      </c>
      <c r="G8338" s="12">
        <f t="shared" si="1249"/>
        <v>173.9</v>
      </c>
    </row>
    <row r="8339" ht="21.0" customHeight="1">
      <c r="A8339" s="10" t="s">
        <v>3024</v>
      </c>
      <c r="B8339" s="10" t="s">
        <v>42</v>
      </c>
      <c r="C8339" s="10" t="s">
        <v>184</v>
      </c>
      <c r="D8339" s="10" t="s">
        <v>3025</v>
      </c>
      <c r="E8339" s="14">
        <v>14.0</v>
      </c>
      <c r="F8339" s="15">
        <f>ROUND(1.62,3)</f>
        <v>1.62</v>
      </c>
      <c r="G8339" s="12">
        <f t="shared" si="1249"/>
        <v>22.68</v>
      </c>
    </row>
    <row r="8340" ht="30.0" customHeight="1">
      <c r="A8340" s="10" t="s">
        <v>3724</v>
      </c>
      <c r="B8340" s="10" t="s">
        <v>42</v>
      </c>
      <c r="C8340" s="10" t="s">
        <v>5</v>
      </c>
      <c r="D8340" s="10" t="s">
        <v>3725</v>
      </c>
      <c r="E8340" s="14">
        <v>1.0</v>
      </c>
      <c r="F8340" s="15">
        <f>ROUND(6.04,3)</f>
        <v>6.04</v>
      </c>
      <c r="G8340" s="12">
        <f t="shared" si="1249"/>
        <v>6.04</v>
      </c>
    </row>
    <row r="8341" ht="30.0" customHeight="1">
      <c r="A8341" s="10" t="s">
        <v>1382</v>
      </c>
      <c r="B8341" s="10" t="s">
        <v>42</v>
      </c>
      <c r="C8341" s="10" t="s">
        <v>184</v>
      </c>
      <c r="D8341" s="10" t="s">
        <v>1383</v>
      </c>
      <c r="E8341" s="14">
        <v>7.0</v>
      </c>
      <c r="F8341" s="15">
        <f>ROUND(1.47,3)</f>
        <v>1.47</v>
      </c>
      <c r="G8341" s="12">
        <f t="shared" si="1249"/>
        <v>10.29</v>
      </c>
    </row>
    <row r="8342" ht="30.0" customHeight="1">
      <c r="A8342" s="10" t="s">
        <v>3726</v>
      </c>
      <c r="B8342" s="10" t="s">
        <v>42</v>
      </c>
      <c r="C8342" s="10" t="s">
        <v>304</v>
      </c>
      <c r="D8342" s="10" t="s">
        <v>3727</v>
      </c>
      <c r="E8342" s="14">
        <v>8.0</v>
      </c>
      <c r="F8342" s="15">
        <f>ROUND(0.43,3)</f>
        <v>0.43</v>
      </c>
      <c r="G8342" s="12">
        <f t="shared" si="1249"/>
        <v>3.44</v>
      </c>
    </row>
    <row r="8343" ht="39.75" customHeight="1">
      <c r="A8343" s="10" t="s">
        <v>1380</v>
      </c>
      <c r="B8343" s="10" t="s">
        <v>42</v>
      </c>
      <c r="C8343" s="10" t="s">
        <v>344</v>
      </c>
      <c r="D8343" s="10" t="s">
        <v>1381</v>
      </c>
      <c r="E8343" s="14">
        <v>0.2</v>
      </c>
      <c r="F8343" s="15">
        <f>ROUND(20.13,3)</f>
        <v>20.13</v>
      </c>
      <c r="G8343" s="12">
        <f t="shared" si="1249"/>
        <v>4.03</v>
      </c>
    </row>
    <row r="8344" ht="21.0" customHeight="1">
      <c r="A8344" s="10" t="s">
        <v>22</v>
      </c>
      <c r="B8344" s="10" t="s">
        <v>18</v>
      </c>
      <c r="C8344" s="10" t="s">
        <v>23</v>
      </c>
      <c r="D8344" s="10" t="s">
        <v>24</v>
      </c>
      <c r="E8344" s="14">
        <v>5.145</v>
      </c>
      <c r="F8344" s="15">
        <f>F8348</f>
        <v>43.8</v>
      </c>
      <c r="G8344" s="12">
        <f t="shared" si="1249"/>
        <v>225.35</v>
      </c>
    </row>
    <row r="8345" ht="24.0" customHeight="1">
      <c r="A8345" s="10" t="s">
        <v>25</v>
      </c>
      <c r="B8345" s="10" t="s">
        <v>26</v>
      </c>
      <c r="C8345" s="10" t="s">
        <v>23</v>
      </c>
      <c r="D8345" s="10" t="s">
        <v>27</v>
      </c>
      <c r="E8345" s="14">
        <v>1.0</v>
      </c>
      <c r="F8345" s="15">
        <f>ROUND(21,3)</f>
        <v>21</v>
      </c>
      <c r="G8345" s="12">
        <f t="shared" si="1249"/>
        <v>21</v>
      </c>
    </row>
    <row r="8346" ht="24.0" customHeight="1">
      <c r="A8346" s="10" t="s">
        <v>28</v>
      </c>
      <c r="B8346" s="10" t="s">
        <v>26</v>
      </c>
      <c r="C8346" s="10" t="s">
        <v>23</v>
      </c>
      <c r="D8346" s="10" t="s">
        <v>29</v>
      </c>
      <c r="E8346" s="14">
        <v>1.0</v>
      </c>
      <c r="F8346" s="15">
        <f t="shared" ref="F8346:F8347" si="1250">ROUND(19,3)</f>
        <v>19</v>
      </c>
      <c r="G8346" s="12">
        <f t="shared" si="1249"/>
        <v>19</v>
      </c>
    </row>
    <row r="8347" ht="24.0" customHeight="1">
      <c r="A8347" s="10" t="s">
        <v>30</v>
      </c>
      <c r="B8347" s="10" t="s">
        <v>26</v>
      </c>
      <c r="C8347" s="10" t="s">
        <v>23</v>
      </c>
      <c r="D8347" s="10" t="s">
        <v>31</v>
      </c>
      <c r="E8347" s="14">
        <v>0.2</v>
      </c>
      <c r="F8347" s="15">
        <f t="shared" si="1250"/>
        <v>19</v>
      </c>
      <c r="G8347" s="12">
        <f t="shared" si="1249"/>
        <v>3.8</v>
      </c>
    </row>
    <row r="8348" ht="15.0" customHeight="1">
      <c r="A8348" s="11"/>
      <c r="B8348" s="11"/>
      <c r="C8348" s="11"/>
      <c r="D8348" s="10" t="s">
        <v>22</v>
      </c>
      <c r="E8348" s="14">
        <v>5.145</v>
      </c>
      <c r="F8348" s="15">
        <f>ROUND((G8345+G8346+G8347),3)</f>
        <v>43.8</v>
      </c>
      <c r="G8348" s="12">
        <f t="shared" si="1249"/>
        <v>225.35</v>
      </c>
    </row>
    <row r="8349" ht="15.0" customHeight="1">
      <c r="A8349" s="10" t="s">
        <v>32</v>
      </c>
      <c r="B8349" s="10"/>
      <c r="C8349" s="10" t="s">
        <v>33</v>
      </c>
      <c r="D8349" s="10" t="s">
        <v>34</v>
      </c>
      <c r="E8349" s="14">
        <v>3.0</v>
      </c>
      <c r="F8349" s="15">
        <f>ROUND(225.35,3)</f>
        <v>225.35</v>
      </c>
      <c r="G8349" s="12">
        <f>ROUND((E8349*F8349)/100,2)</f>
        <v>6.76</v>
      </c>
    </row>
    <row r="8350" ht="15.0" customHeight="1">
      <c r="A8350" s="16"/>
      <c r="B8350" s="16"/>
      <c r="C8350" s="16"/>
      <c r="D8350" s="17" t="s">
        <v>3721</v>
      </c>
      <c r="E8350" s="16"/>
      <c r="F8350" s="18">
        <f>ROUND((G8337+G8338+G8339+G8340+G8341+G8342+G8343+G8344+G8349)*(1+G2/100),2)</f>
        <v>499.46</v>
      </c>
      <c r="G8350" s="16"/>
    </row>
    <row r="8351" ht="30.0" customHeight="1">
      <c r="A8351" s="19" t="s">
        <v>3728</v>
      </c>
      <c r="B8351" s="20" t="s">
        <v>18</v>
      </c>
      <c r="C8351" s="20" t="s">
        <v>295</v>
      </c>
      <c r="D8351" s="20" t="s">
        <v>3729</v>
      </c>
      <c r="E8351" s="21"/>
      <c r="F8351" s="22">
        <f>F8366</f>
        <v>370.43</v>
      </c>
      <c r="G8351" s="21"/>
    </row>
    <row r="8352" ht="95.25" customHeight="1">
      <c r="A8352" s="11"/>
      <c r="B8352" s="11"/>
      <c r="C8352" s="11"/>
      <c r="D8352" s="10" t="s">
        <v>3730</v>
      </c>
    </row>
    <row r="8353" ht="21.0" customHeight="1">
      <c r="A8353" s="10" t="s">
        <v>1335</v>
      </c>
      <c r="B8353" s="10" t="s">
        <v>42</v>
      </c>
      <c r="C8353" s="10" t="s">
        <v>184</v>
      </c>
      <c r="D8353" s="10" t="s">
        <v>1336</v>
      </c>
      <c r="E8353" s="14">
        <v>13.0</v>
      </c>
      <c r="F8353" s="15">
        <f>ROUND(2.28,3)</f>
        <v>2.28</v>
      </c>
      <c r="G8353" s="12">
        <f t="shared" ref="G8353:G8364" si="1251">ROUND(E8353*F8353,2)</f>
        <v>29.64</v>
      </c>
    </row>
    <row r="8354" ht="30.0" customHeight="1">
      <c r="A8354" s="10" t="s">
        <v>3505</v>
      </c>
      <c r="B8354" s="10" t="s">
        <v>42</v>
      </c>
      <c r="C8354" s="10" t="s">
        <v>344</v>
      </c>
      <c r="D8354" s="10" t="s">
        <v>3506</v>
      </c>
      <c r="E8354" s="14">
        <v>119.0</v>
      </c>
      <c r="F8354" s="15">
        <f>ROUND(0.47,3)</f>
        <v>0.47</v>
      </c>
      <c r="G8354" s="12">
        <f t="shared" si="1251"/>
        <v>55.93</v>
      </c>
    </row>
    <row r="8355" ht="21.0" customHeight="1">
      <c r="A8355" s="10" t="s">
        <v>3024</v>
      </c>
      <c r="B8355" s="10" t="s">
        <v>42</v>
      </c>
      <c r="C8355" s="10" t="s">
        <v>184</v>
      </c>
      <c r="D8355" s="10" t="s">
        <v>3025</v>
      </c>
      <c r="E8355" s="14">
        <v>5.0</v>
      </c>
      <c r="F8355" s="15">
        <f>ROUND(1.62,3)</f>
        <v>1.62</v>
      </c>
      <c r="G8355" s="12">
        <f t="shared" si="1251"/>
        <v>8.1</v>
      </c>
    </row>
    <row r="8356" ht="30.0" customHeight="1">
      <c r="A8356" s="10" t="s">
        <v>3731</v>
      </c>
      <c r="B8356" s="10" t="s">
        <v>42</v>
      </c>
      <c r="C8356" s="10" t="s">
        <v>5</v>
      </c>
      <c r="D8356" s="10" t="s">
        <v>3732</v>
      </c>
      <c r="E8356" s="14">
        <v>1.0</v>
      </c>
      <c r="F8356" s="15">
        <f>ROUND(38.04,3)</f>
        <v>38.04</v>
      </c>
      <c r="G8356" s="12">
        <f t="shared" si="1251"/>
        <v>38.04</v>
      </c>
    </row>
    <row r="8357" ht="30.0" customHeight="1">
      <c r="A8357" s="10" t="s">
        <v>1382</v>
      </c>
      <c r="B8357" s="10" t="s">
        <v>42</v>
      </c>
      <c r="C8357" s="10" t="s">
        <v>184</v>
      </c>
      <c r="D8357" s="10" t="s">
        <v>1383</v>
      </c>
      <c r="E8357" s="14">
        <v>5.0</v>
      </c>
      <c r="F8357" s="15">
        <f>ROUND(1.47,3)</f>
        <v>1.47</v>
      </c>
      <c r="G8357" s="12">
        <f t="shared" si="1251"/>
        <v>7.35</v>
      </c>
    </row>
    <row r="8358" ht="76.5" customHeight="1">
      <c r="A8358" s="10" t="s">
        <v>3733</v>
      </c>
      <c r="B8358" s="10" t="s">
        <v>42</v>
      </c>
      <c r="C8358" s="10" t="s">
        <v>5</v>
      </c>
      <c r="D8358" s="10" t="s">
        <v>3734</v>
      </c>
      <c r="E8358" s="14">
        <v>1.0</v>
      </c>
      <c r="F8358" s="15">
        <f>ROUND(8.37,3)</f>
        <v>8.37</v>
      </c>
      <c r="G8358" s="12">
        <f t="shared" si="1251"/>
        <v>8.37</v>
      </c>
    </row>
    <row r="8359" ht="21.0" customHeight="1">
      <c r="A8359" s="10" t="s">
        <v>3735</v>
      </c>
      <c r="B8359" s="10" t="s">
        <v>42</v>
      </c>
      <c r="C8359" s="10" t="s">
        <v>5</v>
      </c>
      <c r="D8359" s="10" t="s">
        <v>3736</v>
      </c>
      <c r="E8359" s="14">
        <v>1.0</v>
      </c>
      <c r="F8359" s="15">
        <f>ROUND(32.61,3)</f>
        <v>32.61</v>
      </c>
      <c r="G8359" s="12">
        <f t="shared" si="1251"/>
        <v>32.61</v>
      </c>
    </row>
    <row r="8360" ht="21.0" customHeight="1">
      <c r="A8360" s="10" t="s">
        <v>22</v>
      </c>
      <c r="B8360" s="10" t="s">
        <v>18</v>
      </c>
      <c r="C8360" s="10" t="s">
        <v>23</v>
      </c>
      <c r="D8360" s="10" t="s">
        <v>24</v>
      </c>
      <c r="E8360" s="14">
        <v>4.22</v>
      </c>
      <c r="F8360" s="15">
        <f>F8364</f>
        <v>43.8</v>
      </c>
      <c r="G8360" s="12">
        <f t="shared" si="1251"/>
        <v>184.84</v>
      </c>
    </row>
    <row r="8361" ht="24.0" customHeight="1">
      <c r="A8361" s="10" t="s">
        <v>25</v>
      </c>
      <c r="B8361" s="10" t="s">
        <v>26</v>
      </c>
      <c r="C8361" s="10" t="s">
        <v>23</v>
      </c>
      <c r="D8361" s="10" t="s">
        <v>27</v>
      </c>
      <c r="E8361" s="14">
        <v>1.0</v>
      </c>
      <c r="F8361" s="15">
        <f>ROUND(21,3)</f>
        <v>21</v>
      </c>
      <c r="G8361" s="12">
        <f t="shared" si="1251"/>
        <v>21</v>
      </c>
    </row>
    <row r="8362" ht="24.0" customHeight="1">
      <c r="A8362" s="10" t="s">
        <v>28</v>
      </c>
      <c r="B8362" s="10" t="s">
        <v>26</v>
      </c>
      <c r="C8362" s="10" t="s">
        <v>23</v>
      </c>
      <c r="D8362" s="10" t="s">
        <v>29</v>
      </c>
      <c r="E8362" s="14">
        <v>1.0</v>
      </c>
      <c r="F8362" s="15">
        <f t="shared" ref="F8362:F8363" si="1252">ROUND(19,3)</f>
        <v>19</v>
      </c>
      <c r="G8362" s="12">
        <f t="shared" si="1251"/>
        <v>19</v>
      </c>
    </row>
    <row r="8363" ht="24.0" customHeight="1">
      <c r="A8363" s="10" t="s">
        <v>30</v>
      </c>
      <c r="B8363" s="10" t="s">
        <v>26</v>
      </c>
      <c r="C8363" s="10" t="s">
        <v>23</v>
      </c>
      <c r="D8363" s="10" t="s">
        <v>31</v>
      </c>
      <c r="E8363" s="14">
        <v>0.2</v>
      </c>
      <c r="F8363" s="15">
        <f t="shared" si="1252"/>
        <v>19</v>
      </c>
      <c r="G8363" s="12">
        <f t="shared" si="1251"/>
        <v>3.8</v>
      </c>
    </row>
    <row r="8364" ht="15.0" customHeight="1">
      <c r="A8364" s="11"/>
      <c r="B8364" s="11"/>
      <c r="C8364" s="11"/>
      <c r="D8364" s="10" t="s">
        <v>22</v>
      </c>
      <c r="E8364" s="14">
        <v>4.22</v>
      </c>
      <c r="F8364" s="15">
        <f>ROUND((G8361+G8362+G8363),3)</f>
        <v>43.8</v>
      </c>
      <c r="G8364" s="12">
        <f t="shared" si="1251"/>
        <v>184.84</v>
      </c>
    </row>
    <row r="8365" ht="15.0" customHeight="1">
      <c r="A8365" s="10" t="s">
        <v>32</v>
      </c>
      <c r="B8365" s="10"/>
      <c r="C8365" s="10" t="s">
        <v>33</v>
      </c>
      <c r="D8365" s="10" t="s">
        <v>34</v>
      </c>
      <c r="E8365" s="14">
        <v>3.0</v>
      </c>
      <c r="F8365" s="15">
        <f>ROUND(184.84,3)</f>
        <v>184.84</v>
      </c>
      <c r="G8365" s="12">
        <f>ROUND((E8365*F8365)/100,2)</f>
        <v>5.55</v>
      </c>
    </row>
    <row r="8366" ht="15.0" customHeight="1">
      <c r="A8366" s="16"/>
      <c r="B8366" s="16"/>
      <c r="C8366" s="16"/>
      <c r="D8366" s="17" t="s">
        <v>3728</v>
      </c>
      <c r="E8366" s="16"/>
      <c r="F8366" s="18">
        <f>ROUND((G8353+G8354+G8355+G8356+G8357+G8358+G8359+G8360+G8365)*(1+G2/100),2)</f>
        <v>370.43</v>
      </c>
      <c r="G8366" s="16"/>
    </row>
    <row r="8367" ht="30.0" customHeight="1">
      <c r="A8367" s="19" t="s">
        <v>3737</v>
      </c>
      <c r="B8367" s="20" t="s">
        <v>18</v>
      </c>
      <c r="C8367" s="20" t="s">
        <v>295</v>
      </c>
      <c r="D8367" s="20" t="s">
        <v>3738</v>
      </c>
      <c r="E8367" s="21"/>
      <c r="F8367" s="22">
        <f>F8382</f>
        <v>340.62</v>
      </c>
      <c r="G8367" s="21"/>
    </row>
    <row r="8368" ht="104.25" customHeight="1">
      <c r="A8368" s="11"/>
      <c r="B8368" s="11"/>
      <c r="C8368" s="11"/>
      <c r="D8368" s="10" t="s">
        <v>3739</v>
      </c>
    </row>
    <row r="8369" ht="21.0" customHeight="1">
      <c r="A8369" s="10" t="s">
        <v>1335</v>
      </c>
      <c r="B8369" s="10" t="s">
        <v>42</v>
      </c>
      <c r="C8369" s="10" t="s">
        <v>184</v>
      </c>
      <c r="D8369" s="10" t="s">
        <v>1336</v>
      </c>
      <c r="E8369" s="14">
        <v>14.0</v>
      </c>
      <c r="F8369" s="15">
        <f>ROUND(2.28,3)</f>
        <v>2.28</v>
      </c>
      <c r="G8369" s="12">
        <f t="shared" ref="G8369:G8380" si="1253">ROUND(E8369*F8369,2)</f>
        <v>31.92</v>
      </c>
    </row>
    <row r="8370" ht="30.0" customHeight="1">
      <c r="A8370" s="10" t="s">
        <v>3505</v>
      </c>
      <c r="B8370" s="10" t="s">
        <v>42</v>
      </c>
      <c r="C8370" s="10" t="s">
        <v>344</v>
      </c>
      <c r="D8370" s="10" t="s">
        <v>3506</v>
      </c>
      <c r="E8370" s="14">
        <v>199.0</v>
      </c>
      <c r="F8370" s="15">
        <f>ROUND(0.47,3)</f>
        <v>0.47</v>
      </c>
      <c r="G8370" s="12">
        <f t="shared" si="1253"/>
        <v>93.53</v>
      </c>
    </row>
    <row r="8371" ht="21.0" customHeight="1">
      <c r="A8371" s="10" t="s">
        <v>3024</v>
      </c>
      <c r="B8371" s="10" t="s">
        <v>42</v>
      </c>
      <c r="C8371" s="10" t="s">
        <v>184</v>
      </c>
      <c r="D8371" s="10" t="s">
        <v>3025</v>
      </c>
      <c r="E8371" s="14">
        <v>8.0</v>
      </c>
      <c r="F8371" s="15">
        <f>ROUND(1.62,3)</f>
        <v>1.62</v>
      </c>
      <c r="G8371" s="12">
        <f t="shared" si="1253"/>
        <v>12.96</v>
      </c>
    </row>
    <row r="8372" ht="21.0" customHeight="1">
      <c r="A8372" s="10" t="s">
        <v>3450</v>
      </c>
      <c r="B8372" s="10" t="s">
        <v>42</v>
      </c>
      <c r="C8372" s="10" t="s">
        <v>344</v>
      </c>
      <c r="D8372" s="10" t="s">
        <v>3451</v>
      </c>
      <c r="E8372" s="14">
        <v>1.0</v>
      </c>
      <c r="F8372" s="15">
        <f>ROUND(1.59,3)</f>
        <v>1.59</v>
      </c>
      <c r="G8372" s="12">
        <f t="shared" si="1253"/>
        <v>1.59</v>
      </c>
    </row>
    <row r="8373" ht="30.0" customHeight="1">
      <c r="A8373" s="10" t="s">
        <v>1382</v>
      </c>
      <c r="B8373" s="10" t="s">
        <v>42</v>
      </c>
      <c r="C8373" s="10" t="s">
        <v>184</v>
      </c>
      <c r="D8373" s="10" t="s">
        <v>1383</v>
      </c>
      <c r="E8373" s="14">
        <v>4.0</v>
      </c>
      <c r="F8373" s="15">
        <f>ROUND(1.47,3)</f>
        <v>1.47</v>
      </c>
      <c r="G8373" s="12">
        <f t="shared" si="1253"/>
        <v>5.88</v>
      </c>
    </row>
    <row r="8374" ht="30.0" customHeight="1">
      <c r="A8374" s="10" t="s">
        <v>3726</v>
      </c>
      <c r="B8374" s="10" t="s">
        <v>42</v>
      </c>
      <c r="C8374" s="10" t="s">
        <v>304</v>
      </c>
      <c r="D8374" s="10" t="s">
        <v>3727</v>
      </c>
      <c r="E8374" s="14">
        <v>6.0</v>
      </c>
      <c r="F8374" s="15">
        <f>ROUND(0.43,3)</f>
        <v>0.43</v>
      </c>
      <c r="G8374" s="12">
        <f t="shared" si="1253"/>
        <v>2.58</v>
      </c>
    </row>
    <row r="8375" ht="39.75" customHeight="1">
      <c r="A8375" s="10" t="s">
        <v>1380</v>
      </c>
      <c r="B8375" s="10" t="s">
        <v>42</v>
      </c>
      <c r="C8375" s="10" t="s">
        <v>344</v>
      </c>
      <c r="D8375" s="10" t="s">
        <v>1381</v>
      </c>
      <c r="E8375" s="14">
        <v>0.133</v>
      </c>
      <c r="F8375" s="15">
        <f>ROUND(20.13,3)</f>
        <v>20.13</v>
      </c>
      <c r="G8375" s="12">
        <f t="shared" si="1253"/>
        <v>2.68</v>
      </c>
    </row>
    <row r="8376" ht="21.0" customHeight="1">
      <c r="A8376" s="10" t="s">
        <v>22</v>
      </c>
      <c r="B8376" s="10" t="s">
        <v>18</v>
      </c>
      <c r="C8376" s="10" t="s">
        <v>23</v>
      </c>
      <c r="D8376" s="10" t="s">
        <v>24</v>
      </c>
      <c r="E8376" s="14">
        <v>4.2</v>
      </c>
      <c r="F8376" s="15">
        <f>F8380</f>
        <v>43.8</v>
      </c>
      <c r="G8376" s="12">
        <f t="shared" si="1253"/>
        <v>183.96</v>
      </c>
    </row>
    <row r="8377" ht="24.0" customHeight="1">
      <c r="A8377" s="10" t="s">
        <v>25</v>
      </c>
      <c r="B8377" s="10" t="s">
        <v>26</v>
      </c>
      <c r="C8377" s="10" t="s">
        <v>23</v>
      </c>
      <c r="D8377" s="10" t="s">
        <v>27</v>
      </c>
      <c r="E8377" s="14">
        <v>1.0</v>
      </c>
      <c r="F8377" s="15">
        <f>ROUND(21,3)</f>
        <v>21</v>
      </c>
      <c r="G8377" s="12">
        <f t="shared" si="1253"/>
        <v>21</v>
      </c>
    </row>
    <row r="8378" ht="24.0" customHeight="1">
      <c r="A8378" s="10" t="s">
        <v>28</v>
      </c>
      <c r="B8378" s="10" t="s">
        <v>26</v>
      </c>
      <c r="C8378" s="10" t="s">
        <v>23</v>
      </c>
      <c r="D8378" s="10" t="s">
        <v>29</v>
      </c>
      <c r="E8378" s="14">
        <v>1.0</v>
      </c>
      <c r="F8378" s="15">
        <f t="shared" ref="F8378:F8379" si="1254">ROUND(19,3)</f>
        <v>19</v>
      </c>
      <c r="G8378" s="12">
        <f t="shared" si="1253"/>
        <v>19</v>
      </c>
    </row>
    <row r="8379" ht="24.0" customHeight="1">
      <c r="A8379" s="10" t="s">
        <v>30</v>
      </c>
      <c r="B8379" s="10" t="s">
        <v>26</v>
      </c>
      <c r="C8379" s="10" t="s">
        <v>23</v>
      </c>
      <c r="D8379" s="10" t="s">
        <v>31</v>
      </c>
      <c r="E8379" s="14">
        <v>0.2</v>
      </c>
      <c r="F8379" s="15">
        <f t="shared" si="1254"/>
        <v>19</v>
      </c>
      <c r="G8379" s="12">
        <f t="shared" si="1253"/>
        <v>3.8</v>
      </c>
    </row>
    <row r="8380" ht="15.0" customHeight="1">
      <c r="A8380" s="11"/>
      <c r="B8380" s="11"/>
      <c r="C8380" s="11"/>
      <c r="D8380" s="10" t="s">
        <v>22</v>
      </c>
      <c r="E8380" s="14">
        <v>4.2</v>
      </c>
      <c r="F8380" s="15">
        <f>ROUND((G8377+G8378+G8379),3)</f>
        <v>43.8</v>
      </c>
      <c r="G8380" s="12">
        <f t="shared" si="1253"/>
        <v>183.96</v>
      </c>
    </row>
    <row r="8381" ht="15.0" customHeight="1">
      <c r="A8381" s="10" t="s">
        <v>32</v>
      </c>
      <c r="B8381" s="10"/>
      <c r="C8381" s="10" t="s">
        <v>33</v>
      </c>
      <c r="D8381" s="10" t="s">
        <v>34</v>
      </c>
      <c r="E8381" s="14">
        <v>3.0</v>
      </c>
      <c r="F8381" s="15">
        <f>ROUND(183.96,3)</f>
        <v>183.96</v>
      </c>
      <c r="G8381" s="12">
        <f>ROUND((E8381*F8381)/100,2)</f>
        <v>5.52</v>
      </c>
    </row>
    <row r="8382" ht="15.0" customHeight="1">
      <c r="A8382" s="16"/>
      <c r="B8382" s="16"/>
      <c r="C8382" s="16"/>
      <c r="D8382" s="17" t="s">
        <v>3737</v>
      </c>
      <c r="E8382" s="16"/>
      <c r="F8382" s="18">
        <f>ROUND((G8369+G8370+G8371+G8372+G8373+G8374+G8375+G8376+G8381)*(1+G2/100),2)</f>
        <v>340.62</v>
      </c>
      <c r="G8382" s="16"/>
    </row>
    <row r="8383" ht="21.0" customHeight="1">
      <c r="A8383" s="19" t="s">
        <v>3740</v>
      </c>
      <c r="B8383" s="20" t="s">
        <v>18</v>
      </c>
      <c r="C8383" s="20" t="s">
        <v>858</v>
      </c>
      <c r="D8383" s="20" t="s">
        <v>3741</v>
      </c>
      <c r="E8383" s="21"/>
      <c r="F8383" s="22">
        <f>F8394</f>
        <v>33.37</v>
      </c>
      <c r="G8383" s="21"/>
    </row>
    <row r="8384" ht="39.75" customHeight="1">
      <c r="A8384" s="11"/>
      <c r="B8384" s="11"/>
      <c r="C8384" s="11"/>
      <c r="D8384" s="10" t="s">
        <v>3742</v>
      </c>
    </row>
    <row r="8385" ht="15.0" customHeight="1">
      <c r="A8385" s="10" t="s">
        <v>3743</v>
      </c>
      <c r="B8385" s="10" t="s">
        <v>42</v>
      </c>
      <c r="C8385" s="10" t="s">
        <v>351</v>
      </c>
      <c r="D8385" s="10" t="s">
        <v>3744</v>
      </c>
      <c r="E8385" s="14">
        <v>1.1</v>
      </c>
      <c r="F8385" s="15">
        <f>ROUND(0.3,3)</f>
        <v>0.3</v>
      </c>
      <c r="G8385" s="12">
        <f t="shared" ref="G8385:G8392" si="1255">ROUND(E8385*F8385,2)</f>
        <v>0.33</v>
      </c>
    </row>
    <row r="8386" ht="21.0" customHeight="1">
      <c r="A8386" s="10" t="s">
        <v>3704</v>
      </c>
      <c r="B8386" s="10" t="s">
        <v>42</v>
      </c>
      <c r="C8386" s="10" t="s">
        <v>304</v>
      </c>
      <c r="D8386" s="10" t="s">
        <v>3705</v>
      </c>
      <c r="E8386" s="14">
        <v>0.41</v>
      </c>
      <c r="F8386" s="15">
        <f>ROUND(39.65,3)</f>
        <v>39.65</v>
      </c>
      <c r="G8386" s="12">
        <f t="shared" si="1255"/>
        <v>16.26</v>
      </c>
    </row>
    <row r="8387" ht="21.0" customHeight="1">
      <c r="A8387" s="10" t="s">
        <v>3745</v>
      </c>
      <c r="B8387" s="10" t="s">
        <v>112</v>
      </c>
      <c r="C8387" s="10" t="s">
        <v>23</v>
      </c>
      <c r="D8387" s="10" t="s">
        <v>3746</v>
      </c>
      <c r="E8387" s="14">
        <v>0.1</v>
      </c>
      <c r="F8387" s="15">
        <f>ROUND(55,3)</f>
        <v>55</v>
      </c>
      <c r="G8387" s="12">
        <f t="shared" si="1255"/>
        <v>5.5</v>
      </c>
    </row>
    <row r="8388" ht="21.0" customHeight="1">
      <c r="A8388" s="10" t="s">
        <v>22</v>
      </c>
      <c r="B8388" s="10" t="s">
        <v>18</v>
      </c>
      <c r="C8388" s="10" t="s">
        <v>23</v>
      </c>
      <c r="D8388" s="10" t="s">
        <v>24</v>
      </c>
      <c r="E8388" s="14">
        <v>0.25</v>
      </c>
      <c r="F8388" s="15">
        <f>F8392</f>
        <v>43.8</v>
      </c>
      <c r="G8388" s="12">
        <f t="shared" si="1255"/>
        <v>10.95</v>
      </c>
    </row>
    <row r="8389" ht="24.0" customHeight="1">
      <c r="A8389" s="10" t="s">
        <v>25</v>
      </c>
      <c r="B8389" s="10" t="s">
        <v>26</v>
      </c>
      <c r="C8389" s="10" t="s">
        <v>23</v>
      </c>
      <c r="D8389" s="10" t="s">
        <v>27</v>
      </c>
      <c r="E8389" s="14">
        <v>1.0</v>
      </c>
      <c r="F8389" s="15">
        <f>ROUND(21,3)</f>
        <v>21</v>
      </c>
      <c r="G8389" s="12">
        <f t="shared" si="1255"/>
        <v>21</v>
      </c>
    </row>
    <row r="8390" ht="24.0" customHeight="1">
      <c r="A8390" s="10" t="s">
        <v>28</v>
      </c>
      <c r="B8390" s="10" t="s">
        <v>26</v>
      </c>
      <c r="C8390" s="10" t="s">
        <v>23</v>
      </c>
      <c r="D8390" s="10" t="s">
        <v>29</v>
      </c>
      <c r="E8390" s="14">
        <v>1.0</v>
      </c>
      <c r="F8390" s="15">
        <f t="shared" ref="F8390:F8391" si="1256">ROUND(19,3)</f>
        <v>19</v>
      </c>
      <c r="G8390" s="12">
        <f t="shared" si="1255"/>
        <v>19</v>
      </c>
    </row>
    <row r="8391" ht="24.0" customHeight="1">
      <c r="A8391" s="10" t="s">
        <v>30</v>
      </c>
      <c r="B8391" s="10" t="s">
        <v>26</v>
      </c>
      <c r="C8391" s="10" t="s">
        <v>23</v>
      </c>
      <c r="D8391" s="10" t="s">
        <v>31</v>
      </c>
      <c r="E8391" s="14">
        <v>0.2</v>
      </c>
      <c r="F8391" s="15">
        <f t="shared" si="1256"/>
        <v>19</v>
      </c>
      <c r="G8391" s="12">
        <f t="shared" si="1255"/>
        <v>3.8</v>
      </c>
    </row>
    <row r="8392" ht="15.0" customHeight="1">
      <c r="A8392" s="11"/>
      <c r="B8392" s="11"/>
      <c r="C8392" s="11"/>
      <c r="D8392" s="10" t="s">
        <v>22</v>
      </c>
      <c r="E8392" s="14">
        <v>0.25</v>
      </c>
      <c r="F8392" s="15">
        <f>ROUND((G8389+G8390+G8391),3)</f>
        <v>43.8</v>
      </c>
      <c r="G8392" s="12">
        <f t="shared" si="1255"/>
        <v>10.95</v>
      </c>
    </row>
    <row r="8393" ht="15.0" customHeight="1">
      <c r="A8393" s="10" t="s">
        <v>32</v>
      </c>
      <c r="B8393" s="10"/>
      <c r="C8393" s="10" t="s">
        <v>33</v>
      </c>
      <c r="D8393" s="10" t="s">
        <v>34</v>
      </c>
      <c r="E8393" s="14">
        <v>3.0</v>
      </c>
      <c r="F8393" s="15">
        <f>ROUND(10.95,3)</f>
        <v>10.95</v>
      </c>
      <c r="G8393" s="12">
        <f>ROUND((E8393*F8393)/100,2)</f>
        <v>0.33</v>
      </c>
    </row>
    <row r="8394" ht="15.0" customHeight="1">
      <c r="A8394" s="16"/>
      <c r="B8394" s="16"/>
      <c r="C8394" s="16"/>
      <c r="D8394" s="17" t="s">
        <v>3740</v>
      </c>
      <c r="E8394" s="16"/>
      <c r="F8394" s="18">
        <f>ROUND((G8385+G8386+G8387+G8388+G8393)*(1+G2/100),2)</f>
        <v>33.37</v>
      </c>
      <c r="G8394" s="16"/>
    </row>
    <row r="8395" ht="30.0" customHeight="1">
      <c r="A8395" s="19" t="s">
        <v>3747</v>
      </c>
      <c r="B8395" s="20" t="s">
        <v>18</v>
      </c>
      <c r="C8395" s="20" t="s">
        <v>858</v>
      </c>
      <c r="D8395" s="20" t="s">
        <v>3748</v>
      </c>
      <c r="E8395" s="21"/>
      <c r="F8395" s="22">
        <f>F8405</f>
        <v>14.85</v>
      </c>
      <c r="G8395" s="21"/>
    </row>
    <row r="8396" ht="57.75" customHeight="1">
      <c r="A8396" s="11"/>
      <c r="B8396" s="11"/>
      <c r="C8396" s="11"/>
      <c r="D8396" s="10" t="s">
        <v>3749</v>
      </c>
    </row>
    <row r="8397" ht="15.0" customHeight="1">
      <c r="A8397" s="10" t="s">
        <v>3743</v>
      </c>
      <c r="B8397" s="10" t="s">
        <v>42</v>
      </c>
      <c r="C8397" s="10" t="s">
        <v>351</v>
      </c>
      <c r="D8397" s="10" t="s">
        <v>3744</v>
      </c>
      <c r="E8397" s="14">
        <v>1.1</v>
      </c>
      <c r="F8397" s="15">
        <f>ROUND(0.3,3)</f>
        <v>0.3</v>
      </c>
      <c r="G8397" s="12">
        <f t="shared" ref="G8397:G8403" si="1257">ROUND(E8397*F8397,2)</f>
        <v>0.33</v>
      </c>
    </row>
    <row r="8398" ht="21.0" customHeight="1">
      <c r="A8398" s="10" t="s">
        <v>3745</v>
      </c>
      <c r="B8398" s="10" t="s">
        <v>112</v>
      </c>
      <c r="C8398" s="10" t="s">
        <v>23</v>
      </c>
      <c r="D8398" s="10" t="s">
        <v>3746</v>
      </c>
      <c r="E8398" s="14">
        <v>0.1</v>
      </c>
      <c r="F8398" s="15">
        <f>ROUND(55,3)</f>
        <v>55</v>
      </c>
      <c r="G8398" s="12">
        <f t="shared" si="1257"/>
        <v>5.5</v>
      </c>
    </row>
    <row r="8399" ht="21.0" customHeight="1">
      <c r="A8399" s="10" t="s">
        <v>22</v>
      </c>
      <c r="B8399" s="10" t="s">
        <v>18</v>
      </c>
      <c r="C8399" s="10" t="s">
        <v>23</v>
      </c>
      <c r="D8399" s="10" t="s">
        <v>24</v>
      </c>
      <c r="E8399" s="14">
        <v>0.2</v>
      </c>
      <c r="F8399" s="15">
        <f>F8403</f>
        <v>43.8</v>
      </c>
      <c r="G8399" s="12">
        <f t="shared" si="1257"/>
        <v>8.76</v>
      </c>
    </row>
    <row r="8400" ht="24.0" customHeight="1">
      <c r="A8400" s="10" t="s">
        <v>25</v>
      </c>
      <c r="B8400" s="10" t="s">
        <v>26</v>
      </c>
      <c r="C8400" s="10" t="s">
        <v>23</v>
      </c>
      <c r="D8400" s="10" t="s">
        <v>27</v>
      </c>
      <c r="E8400" s="14">
        <v>1.0</v>
      </c>
      <c r="F8400" s="15">
        <f>ROUND(21,3)</f>
        <v>21</v>
      </c>
      <c r="G8400" s="12">
        <f t="shared" si="1257"/>
        <v>21</v>
      </c>
    </row>
    <row r="8401" ht="24.0" customHeight="1">
      <c r="A8401" s="10" t="s">
        <v>28</v>
      </c>
      <c r="B8401" s="10" t="s">
        <v>26</v>
      </c>
      <c r="C8401" s="10" t="s">
        <v>23</v>
      </c>
      <c r="D8401" s="10" t="s">
        <v>29</v>
      </c>
      <c r="E8401" s="14">
        <v>1.0</v>
      </c>
      <c r="F8401" s="15">
        <f t="shared" ref="F8401:F8402" si="1258">ROUND(19,3)</f>
        <v>19</v>
      </c>
      <c r="G8401" s="12">
        <f t="shared" si="1257"/>
        <v>19</v>
      </c>
    </row>
    <row r="8402" ht="24.0" customHeight="1">
      <c r="A8402" s="10" t="s">
        <v>30</v>
      </c>
      <c r="B8402" s="10" t="s">
        <v>26</v>
      </c>
      <c r="C8402" s="10" t="s">
        <v>23</v>
      </c>
      <c r="D8402" s="10" t="s">
        <v>31</v>
      </c>
      <c r="E8402" s="14">
        <v>0.2</v>
      </c>
      <c r="F8402" s="15">
        <f t="shared" si="1258"/>
        <v>19</v>
      </c>
      <c r="G8402" s="12">
        <f t="shared" si="1257"/>
        <v>3.8</v>
      </c>
    </row>
    <row r="8403" ht="15.0" customHeight="1">
      <c r="A8403" s="11"/>
      <c r="B8403" s="11"/>
      <c r="C8403" s="11"/>
      <c r="D8403" s="10" t="s">
        <v>22</v>
      </c>
      <c r="E8403" s="14">
        <v>0.2</v>
      </c>
      <c r="F8403" s="15">
        <f>ROUND((G8400+G8401+G8402),3)</f>
        <v>43.8</v>
      </c>
      <c r="G8403" s="12">
        <f t="shared" si="1257"/>
        <v>8.76</v>
      </c>
    </row>
    <row r="8404" ht="15.0" customHeight="1">
      <c r="A8404" s="10" t="s">
        <v>32</v>
      </c>
      <c r="B8404" s="10"/>
      <c r="C8404" s="10" t="s">
        <v>33</v>
      </c>
      <c r="D8404" s="10" t="s">
        <v>34</v>
      </c>
      <c r="E8404" s="14">
        <v>3.0</v>
      </c>
      <c r="F8404" s="15">
        <f>ROUND(8.76,3)</f>
        <v>8.76</v>
      </c>
      <c r="G8404" s="12">
        <f>ROUND((E8404*F8404)/100,2)</f>
        <v>0.26</v>
      </c>
    </row>
    <row r="8405" ht="15.0" customHeight="1">
      <c r="A8405" s="16"/>
      <c r="B8405" s="16"/>
      <c r="C8405" s="16"/>
      <c r="D8405" s="17" t="s">
        <v>3747</v>
      </c>
      <c r="E8405" s="16"/>
      <c r="F8405" s="18">
        <f>ROUND((G8397+G8398+G8399+G8404)*(1+G2/100),2)</f>
        <v>14.85</v>
      </c>
      <c r="G8405" s="16"/>
    </row>
    <row r="8406" ht="21.0" customHeight="1">
      <c r="A8406" s="19" t="s">
        <v>3750</v>
      </c>
      <c r="B8406" s="20" t="s">
        <v>18</v>
      </c>
      <c r="C8406" s="20" t="s">
        <v>858</v>
      </c>
      <c r="D8406" s="20" t="s">
        <v>3751</v>
      </c>
      <c r="E8406" s="21"/>
      <c r="F8406" s="22">
        <f>F8416</f>
        <v>27.66</v>
      </c>
      <c r="G8406" s="21"/>
    </row>
    <row r="8407" ht="48.75" customHeight="1">
      <c r="A8407" s="11"/>
      <c r="B8407" s="11"/>
      <c r="C8407" s="11"/>
      <c r="D8407" s="10" t="s">
        <v>3752</v>
      </c>
    </row>
    <row r="8408" ht="15.0" customHeight="1">
      <c r="A8408" s="10" t="s">
        <v>3753</v>
      </c>
      <c r="B8408" s="10" t="s">
        <v>42</v>
      </c>
      <c r="C8408" s="10" t="s">
        <v>1181</v>
      </c>
      <c r="D8408" s="10" t="s">
        <v>3754</v>
      </c>
      <c r="E8408" s="14">
        <v>0.132</v>
      </c>
      <c r="F8408" s="15">
        <f>ROUND(103.26,3)</f>
        <v>103.26</v>
      </c>
      <c r="G8408" s="12">
        <f t="shared" ref="G8408:G8414" si="1259">ROUND(E8408*F8408,2)</f>
        <v>13.63</v>
      </c>
    </row>
    <row r="8409" ht="21.0" customHeight="1">
      <c r="A8409" s="10" t="s">
        <v>3745</v>
      </c>
      <c r="B8409" s="10" t="s">
        <v>112</v>
      </c>
      <c r="C8409" s="10" t="s">
        <v>23</v>
      </c>
      <c r="D8409" s="10" t="s">
        <v>3746</v>
      </c>
      <c r="E8409" s="14">
        <v>0.05</v>
      </c>
      <c r="F8409" s="15">
        <f>ROUND(55,3)</f>
        <v>55</v>
      </c>
      <c r="G8409" s="12">
        <f t="shared" si="1259"/>
        <v>2.75</v>
      </c>
    </row>
    <row r="8410" ht="21.0" customHeight="1">
      <c r="A8410" s="10" t="s">
        <v>22</v>
      </c>
      <c r="B8410" s="10" t="s">
        <v>18</v>
      </c>
      <c r="C8410" s="10" t="s">
        <v>23</v>
      </c>
      <c r="D8410" s="10" t="s">
        <v>24</v>
      </c>
      <c r="E8410" s="14">
        <v>0.25</v>
      </c>
      <c r="F8410" s="15">
        <f>F8414</f>
        <v>43.8</v>
      </c>
      <c r="G8410" s="12">
        <f t="shared" si="1259"/>
        <v>10.95</v>
      </c>
    </row>
    <row r="8411" ht="24.0" customHeight="1">
      <c r="A8411" s="10" t="s">
        <v>25</v>
      </c>
      <c r="B8411" s="10" t="s">
        <v>26</v>
      </c>
      <c r="C8411" s="10" t="s">
        <v>23</v>
      </c>
      <c r="D8411" s="10" t="s">
        <v>27</v>
      </c>
      <c r="E8411" s="14">
        <v>1.0</v>
      </c>
      <c r="F8411" s="15">
        <f>ROUND(21,3)</f>
        <v>21</v>
      </c>
      <c r="G8411" s="12">
        <f t="shared" si="1259"/>
        <v>21</v>
      </c>
    </row>
    <row r="8412" ht="24.0" customHeight="1">
      <c r="A8412" s="10" t="s">
        <v>28</v>
      </c>
      <c r="B8412" s="10" t="s">
        <v>26</v>
      </c>
      <c r="C8412" s="10" t="s">
        <v>23</v>
      </c>
      <c r="D8412" s="10" t="s">
        <v>29</v>
      </c>
      <c r="E8412" s="14">
        <v>1.0</v>
      </c>
      <c r="F8412" s="15">
        <f t="shared" ref="F8412:F8413" si="1260">ROUND(19,3)</f>
        <v>19</v>
      </c>
      <c r="G8412" s="12">
        <f t="shared" si="1259"/>
        <v>19</v>
      </c>
    </row>
    <row r="8413" ht="24.0" customHeight="1">
      <c r="A8413" s="10" t="s">
        <v>30</v>
      </c>
      <c r="B8413" s="10" t="s">
        <v>26</v>
      </c>
      <c r="C8413" s="10" t="s">
        <v>23</v>
      </c>
      <c r="D8413" s="10" t="s">
        <v>31</v>
      </c>
      <c r="E8413" s="14">
        <v>0.2</v>
      </c>
      <c r="F8413" s="15">
        <f t="shared" si="1260"/>
        <v>19</v>
      </c>
      <c r="G8413" s="12">
        <f t="shared" si="1259"/>
        <v>3.8</v>
      </c>
    </row>
    <row r="8414" ht="15.0" customHeight="1">
      <c r="A8414" s="11"/>
      <c r="B8414" s="11"/>
      <c r="C8414" s="11"/>
      <c r="D8414" s="10" t="s">
        <v>22</v>
      </c>
      <c r="E8414" s="14">
        <v>0.25</v>
      </c>
      <c r="F8414" s="15">
        <f>ROUND((G8411+G8412+G8413),3)</f>
        <v>43.8</v>
      </c>
      <c r="G8414" s="12">
        <f t="shared" si="1259"/>
        <v>10.95</v>
      </c>
    </row>
    <row r="8415" ht="15.0" customHeight="1">
      <c r="A8415" s="10" t="s">
        <v>32</v>
      </c>
      <c r="B8415" s="10"/>
      <c r="C8415" s="10" t="s">
        <v>33</v>
      </c>
      <c r="D8415" s="10" t="s">
        <v>34</v>
      </c>
      <c r="E8415" s="14">
        <v>3.0</v>
      </c>
      <c r="F8415" s="15">
        <f>ROUND(10.95,3)</f>
        <v>10.95</v>
      </c>
      <c r="G8415" s="12">
        <f>ROUND((E8415*F8415)/100,2)</f>
        <v>0.33</v>
      </c>
    </row>
    <row r="8416" ht="15.0" customHeight="1">
      <c r="A8416" s="16"/>
      <c r="B8416" s="16"/>
      <c r="C8416" s="16"/>
      <c r="D8416" s="17" t="s">
        <v>3750</v>
      </c>
      <c r="E8416" s="16"/>
      <c r="F8416" s="18">
        <f>ROUND((G8408+G8409+G8410+G8415)*(1+G2/100),2)</f>
        <v>27.66</v>
      </c>
      <c r="G8416" s="16"/>
    </row>
    <row r="8417" ht="15.0" customHeight="1">
      <c r="A8417" s="19" t="s">
        <v>3755</v>
      </c>
      <c r="B8417" s="20" t="s">
        <v>18</v>
      </c>
      <c r="C8417" s="20" t="s">
        <v>858</v>
      </c>
      <c r="D8417" s="20" t="s">
        <v>3756</v>
      </c>
      <c r="E8417" s="21"/>
      <c r="F8417" s="22">
        <f>F8426</f>
        <v>26.15</v>
      </c>
      <c r="G8417" s="21"/>
    </row>
    <row r="8418" ht="48.75" customHeight="1">
      <c r="A8418" s="11"/>
      <c r="B8418" s="11"/>
      <c r="C8418" s="11"/>
      <c r="D8418" s="10" t="s">
        <v>3757</v>
      </c>
    </row>
    <row r="8419" ht="30.0" customHeight="1">
      <c r="A8419" s="10" t="s">
        <v>3758</v>
      </c>
      <c r="B8419" s="10" t="s">
        <v>42</v>
      </c>
      <c r="C8419" s="10" t="s">
        <v>304</v>
      </c>
      <c r="D8419" s="10" t="s">
        <v>3759</v>
      </c>
      <c r="E8419" s="14">
        <v>0.25</v>
      </c>
      <c r="F8419" s="15">
        <f>ROUND(32.4,3)</f>
        <v>32.4</v>
      </c>
      <c r="G8419" s="12">
        <f t="shared" ref="G8419:G8424" si="1261">ROUND(E8419*F8419,2)</f>
        <v>8.1</v>
      </c>
    </row>
    <row r="8420" ht="21.0" customHeight="1">
      <c r="A8420" s="10" t="s">
        <v>22</v>
      </c>
      <c r="B8420" s="10" t="s">
        <v>18</v>
      </c>
      <c r="C8420" s="10" t="s">
        <v>23</v>
      </c>
      <c r="D8420" s="10" t="s">
        <v>24</v>
      </c>
      <c r="E8420" s="14">
        <v>0.4</v>
      </c>
      <c r="F8420" s="15">
        <f>F8424</f>
        <v>43.8</v>
      </c>
      <c r="G8420" s="12">
        <f t="shared" si="1261"/>
        <v>17.52</v>
      </c>
    </row>
    <row r="8421" ht="24.0" customHeight="1">
      <c r="A8421" s="10" t="s">
        <v>25</v>
      </c>
      <c r="B8421" s="10" t="s">
        <v>26</v>
      </c>
      <c r="C8421" s="10" t="s">
        <v>23</v>
      </c>
      <c r="D8421" s="10" t="s">
        <v>27</v>
      </c>
      <c r="E8421" s="14">
        <v>1.0</v>
      </c>
      <c r="F8421" s="15">
        <f>ROUND(21,3)</f>
        <v>21</v>
      </c>
      <c r="G8421" s="12">
        <f t="shared" si="1261"/>
        <v>21</v>
      </c>
    </row>
    <row r="8422" ht="24.0" customHeight="1">
      <c r="A8422" s="10" t="s">
        <v>28</v>
      </c>
      <c r="B8422" s="10" t="s">
        <v>26</v>
      </c>
      <c r="C8422" s="10" t="s">
        <v>23</v>
      </c>
      <c r="D8422" s="10" t="s">
        <v>29</v>
      </c>
      <c r="E8422" s="14">
        <v>1.0</v>
      </c>
      <c r="F8422" s="15">
        <f t="shared" ref="F8422:F8423" si="1262">ROUND(19,3)</f>
        <v>19</v>
      </c>
      <c r="G8422" s="12">
        <f t="shared" si="1261"/>
        <v>19</v>
      </c>
    </row>
    <row r="8423" ht="24.0" customHeight="1">
      <c r="A8423" s="10" t="s">
        <v>30</v>
      </c>
      <c r="B8423" s="10" t="s">
        <v>26</v>
      </c>
      <c r="C8423" s="10" t="s">
        <v>23</v>
      </c>
      <c r="D8423" s="10" t="s">
        <v>31</v>
      </c>
      <c r="E8423" s="14">
        <v>0.2</v>
      </c>
      <c r="F8423" s="15">
        <f t="shared" si="1262"/>
        <v>19</v>
      </c>
      <c r="G8423" s="12">
        <f t="shared" si="1261"/>
        <v>3.8</v>
      </c>
    </row>
    <row r="8424" ht="15.0" customHeight="1">
      <c r="A8424" s="11"/>
      <c r="B8424" s="11"/>
      <c r="C8424" s="11"/>
      <c r="D8424" s="10" t="s">
        <v>22</v>
      </c>
      <c r="E8424" s="14">
        <v>0.4</v>
      </c>
      <c r="F8424" s="15">
        <f>ROUND((G8421+G8422+G8423),3)</f>
        <v>43.8</v>
      </c>
      <c r="G8424" s="12">
        <f t="shared" si="1261"/>
        <v>17.52</v>
      </c>
    </row>
    <row r="8425" ht="15.0" customHeight="1">
      <c r="A8425" s="10" t="s">
        <v>32</v>
      </c>
      <c r="B8425" s="10"/>
      <c r="C8425" s="10" t="s">
        <v>33</v>
      </c>
      <c r="D8425" s="10" t="s">
        <v>34</v>
      </c>
      <c r="E8425" s="14">
        <v>3.0</v>
      </c>
      <c r="F8425" s="15">
        <f>ROUND(17.52,3)</f>
        <v>17.52</v>
      </c>
      <c r="G8425" s="12">
        <f>ROUND((E8425*F8425)/100,2)</f>
        <v>0.53</v>
      </c>
    </row>
    <row r="8426" ht="15.0" customHeight="1">
      <c r="A8426" s="16"/>
      <c r="B8426" s="16"/>
      <c r="C8426" s="16"/>
      <c r="D8426" s="17" t="s">
        <v>3755</v>
      </c>
      <c r="E8426" s="16"/>
      <c r="F8426" s="18">
        <f>ROUND((G8419+G8420+G8425)*(1+G2/100),2)</f>
        <v>26.15</v>
      </c>
      <c r="G8426" s="16"/>
    </row>
    <row r="8427" ht="21.0" customHeight="1">
      <c r="A8427" s="19" t="s">
        <v>3760</v>
      </c>
      <c r="B8427" s="20" t="s">
        <v>18</v>
      </c>
      <c r="C8427" s="20" t="s">
        <v>251</v>
      </c>
      <c r="D8427" s="20" t="s">
        <v>3761</v>
      </c>
      <c r="E8427" s="21"/>
      <c r="F8427" s="22">
        <f>F8436</f>
        <v>6.24</v>
      </c>
      <c r="G8427" s="21"/>
    </row>
    <row r="8428" ht="30.0" customHeight="1">
      <c r="A8428" s="11"/>
      <c r="B8428" s="11"/>
      <c r="C8428" s="11"/>
      <c r="D8428" s="10" t="s">
        <v>3762</v>
      </c>
    </row>
    <row r="8429" ht="21.0" customHeight="1">
      <c r="A8429" s="10" t="s">
        <v>3763</v>
      </c>
      <c r="B8429" s="10" t="s">
        <v>42</v>
      </c>
      <c r="C8429" s="10" t="s">
        <v>304</v>
      </c>
      <c r="D8429" s="10" t="s">
        <v>3764</v>
      </c>
      <c r="E8429" s="14">
        <v>0.024</v>
      </c>
      <c r="F8429" s="15">
        <f>ROUND(15.66,3)</f>
        <v>15.66</v>
      </c>
      <c r="G8429" s="12">
        <f t="shared" ref="G8429:G8434" si="1263">ROUND(E8429*F8429,2)</f>
        <v>0.38</v>
      </c>
    </row>
    <row r="8430" ht="21.0" customHeight="1">
      <c r="A8430" s="10" t="s">
        <v>22</v>
      </c>
      <c r="B8430" s="10" t="s">
        <v>18</v>
      </c>
      <c r="C8430" s="10" t="s">
        <v>23</v>
      </c>
      <c r="D8430" s="10" t="s">
        <v>24</v>
      </c>
      <c r="E8430" s="14">
        <v>0.13</v>
      </c>
      <c r="F8430" s="15">
        <f>F8434</f>
        <v>43.8</v>
      </c>
      <c r="G8430" s="12">
        <f t="shared" si="1263"/>
        <v>5.69</v>
      </c>
    </row>
    <row r="8431" ht="24.0" customHeight="1">
      <c r="A8431" s="10" t="s">
        <v>25</v>
      </c>
      <c r="B8431" s="10" t="s">
        <v>26</v>
      </c>
      <c r="C8431" s="10" t="s">
        <v>23</v>
      </c>
      <c r="D8431" s="10" t="s">
        <v>27</v>
      </c>
      <c r="E8431" s="14">
        <v>1.0</v>
      </c>
      <c r="F8431" s="15">
        <f>ROUND(21,3)</f>
        <v>21</v>
      </c>
      <c r="G8431" s="12">
        <f t="shared" si="1263"/>
        <v>21</v>
      </c>
    </row>
    <row r="8432" ht="24.0" customHeight="1">
      <c r="A8432" s="10" t="s">
        <v>28</v>
      </c>
      <c r="B8432" s="10" t="s">
        <v>26</v>
      </c>
      <c r="C8432" s="10" t="s">
        <v>23</v>
      </c>
      <c r="D8432" s="10" t="s">
        <v>29</v>
      </c>
      <c r="E8432" s="14">
        <v>1.0</v>
      </c>
      <c r="F8432" s="15">
        <f t="shared" ref="F8432:F8433" si="1264">ROUND(19,3)</f>
        <v>19</v>
      </c>
      <c r="G8432" s="12">
        <f t="shared" si="1263"/>
        <v>19</v>
      </c>
    </row>
    <row r="8433" ht="24.0" customHeight="1">
      <c r="A8433" s="10" t="s">
        <v>30</v>
      </c>
      <c r="B8433" s="10" t="s">
        <v>26</v>
      </c>
      <c r="C8433" s="10" t="s">
        <v>23</v>
      </c>
      <c r="D8433" s="10" t="s">
        <v>31</v>
      </c>
      <c r="E8433" s="14">
        <v>0.2</v>
      </c>
      <c r="F8433" s="15">
        <f t="shared" si="1264"/>
        <v>19</v>
      </c>
      <c r="G8433" s="12">
        <f t="shared" si="1263"/>
        <v>3.8</v>
      </c>
    </row>
    <row r="8434" ht="15.0" customHeight="1">
      <c r="A8434" s="11"/>
      <c r="B8434" s="11"/>
      <c r="C8434" s="11"/>
      <c r="D8434" s="10" t="s">
        <v>22</v>
      </c>
      <c r="E8434" s="14">
        <v>0.13</v>
      </c>
      <c r="F8434" s="15">
        <f>ROUND((G8431+G8432+G8433),3)</f>
        <v>43.8</v>
      </c>
      <c r="G8434" s="12">
        <f t="shared" si="1263"/>
        <v>5.69</v>
      </c>
    </row>
    <row r="8435" ht="15.0" customHeight="1">
      <c r="A8435" s="10" t="s">
        <v>32</v>
      </c>
      <c r="B8435" s="10"/>
      <c r="C8435" s="10" t="s">
        <v>33</v>
      </c>
      <c r="D8435" s="10" t="s">
        <v>34</v>
      </c>
      <c r="E8435" s="14">
        <v>3.0</v>
      </c>
      <c r="F8435" s="15">
        <f>ROUND(5.69,3)</f>
        <v>5.69</v>
      </c>
      <c r="G8435" s="12">
        <f>ROUND((E8435*F8435)/100,2)</f>
        <v>0.17</v>
      </c>
    </row>
    <row r="8436" ht="15.0" customHeight="1">
      <c r="A8436" s="16"/>
      <c r="B8436" s="16"/>
      <c r="C8436" s="16"/>
      <c r="D8436" s="17" t="s">
        <v>3760</v>
      </c>
      <c r="E8436" s="16"/>
      <c r="F8436" s="18">
        <f>ROUND((G8429+G8430+G8435)*(1+G2/100),2)</f>
        <v>6.24</v>
      </c>
      <c r="G8436" s="16"/>
    </row>
    <row r="8437" ht="21.0" customHeight="1">
      <c r="A8437" s="19" t="s">
        <v>3765</v>
      </c>
      <c r="B8437" s="20" t="s">
        <v>18</v>
      </c>
      <c r="C8437" s="20" t="s">
        <v>251</v>
      </c>
      <c r="D8437" s="20" t="s">
        <v>3766</v>
      </c>
      <c r="E8437" s="21"/>
      <c r="F8437" s="22">
        <f>F8449</f>
        <v>59.83</v>
      </c>
      <c r="G8437" s="21"/>
    </row>
    <row r="8438" ht="104.25" customHeight="1">
      <c r="A8438" s="11"/>
      <c r="B8438" s="11"/>
      <c r="C8438" s="11"/>
      <c r="D8438" s="10" t="s">
        <v>3767</v>
      </c>
    </row>
    <row r="8439" ht="21.0" customHeight="1">
      <c r="A8439" s="10" t="s">
        <v>1335</v>
      </c>
      <c r="B8439" s="10" t="s">
        <v>42</v>
      </c>
      <c r="C8439" s="10" t="s">
        <v>184</v>
      </c>
      <c r="D8439" s="10" t="s">
        <v>1336</v>
      </c>
      <c r="E8439" s="14">
        <v>8.2</v>
      </c>
      <c r="F8439" s="15">
        <f>ROUND(2.28,3)</f>
        <v>2.28</v>
      </c>
      <c r="G8439" s="12">
        <f t="shared" ref="G8439:G8447" si="1265">ROUND(E8439*F8439,2)</f>
        <v>18.7</v>
      </c>
    </row>
    <row r="8440" ht="39.75" customHeight="1">
      <c r="A8440" s="10" t="s">
        <v>1380</v>
      </c>
      <c r="B8440" s="10" t="s">
        <v>42</v>
      </c>
      <c r="C8440" s="10" t="s">
        <v>344</v>
      </c>
      <c r="D8440" s="10" t="s">
        <v>1381</v>
      </c>
      <c r="E8440" s="14">
        <v>0.16</v>
      </c>
      <c r="F8440" s="15">
        <f>ROUND(20.13,3)</f>
        <v>20.13</v>
      </c>
      <c r="G8440" s="12">
        <f t="shared" si="1265"/>
        <v>3.22</v>
      </c>
    </row>
    <row r="8441" ht="21.0" customHeight="1">
      <c r="A8441" s="10" t="s">
        <v>3626</v>
      </c>
      <c r="B8441" s="10" t="s">
        <v>42</v>
      </c>
      <c r="C8441" s="10" t="s">
        <v>304</v>
      </c>
      <c r="D8441" s="10" t="s">
        <v>3627</v>
      </c>
      <c r="E8441" s="14">
        <v>0.05</v>
      </c>
      <c r="F8441" s="15">
        <f>ROUND(5.16,3)</f>
        <v>5.16</v>
      </c>
      <c r="G8441" s="12">
        <f t="shared" si="1265"/>
        <v>0.26</v>
      </c>
    </row>
    <row r="8442" ht="39.75" customHeight="1">
      <c r="A8442" s="10" t="s">
        <v>3768</v>
      </c>
      <c r="B8442" s="10" t="s">
        <v>42</v>
      </c>
      <c r="C8442" s="10" t="s">
        <v>1181</v>
      </c>
      <c r="D8442" s="10" t="s">
        <v>3769</v>
      </c>
      <c r="E8442" s="14">
        <v>0.1</v>
      </c>
      <c r="F8442" s="15">
        <f>ROUND(128.37,3)</f>
        <v>128.37</v>
      </c>
      <c r="G8442" s="12">
        <f t="shared" si="1265"/>
        <v>12.84</v>
      </c>
    </row>
    <row r="8443" ht="21.0" customHeight="1">
      <c r="A8443" s="10" t="s">
        <v>22</v>
      </c>
      <c r="B8443" s="10" t="s">
        <v>18</v>
      </c>
      <c r="C8443" s="10" t="s">
        <v>23</v>
      </c>
      <c r="D8443" s="10" t="s">
        <v>24</v>
      </c>
      <c r="E8443" s="14">
        <v>0.55</v>
      </c>
      <c r="F8443" s="15">
        <f>F8447</f>
        <v>43.8</v>
      </c>
      <c r="G8443" s="12">
        <f t="shared" si="1265"/>
        <v>24.09</v>
      </c>
    </row>
    <row r="8444" ht="24.0" customHeight="1">
      <c r="A8444" s="10" t="s">
        <v>25</v>
      </c>
      <c r="B8444" s="10" t="s">
        <v>26</v>
      </c>
      <c r="C8444" s="10" t="s">
        <v>23</v>
      </c>
      <c r="D8444" s="10" t="s">
        <v>27</v>
      </c>
      <c r="E8444" s="14">
        <v>1.0</v>
      </c>
      <c r="F8444" s="15">
        <f>ROUND(21,3)</f>
        <v>21</v>
      </c>
      <c r="G8444" s="12">
        <f t="shared" si="1265"/>
        <v>21</v>
      </c>
    </row>
    <row r="8445" ht="24.0" customHeight="1">
      <c r="A8445" s="10" t="s">
        <v>28</v>
      </c>
      <c r="B8445" s="10" t="s">
        <v>26</v>
      </c>
      <c r="C8445" s="10" t="s">
        <v>23</v>
      </c>
      <c r="D8445" s="10" t="s">
        <v>29</v>
      </c>
      <c r="E8445" s="14">
        <v>1.0</v>
      </c>
      <c r="F8445" s="15">
        <f t="shared" ref="F8445:F8446" si="1266">ROUND(19,3)</f>
        <v>19</v>
      </c>
      <c r="G8445" s="12">
        <f t="shared" si="1265"/>
        <v>19</v>
      </c>
    </row>
    <row r="8446" ht="24.0" customHeight="1">
      <c r="A8446" s="10" t="s">
        <v>30</v>
      </c>
      <c r="B8446" s="10" t="s">
        <v>26</v>
      </c>
      <c r="C8446" s="10" t="s">
        <v>23</v>
      </c>
      <c r="D8446" s="10" t="s">
        <v>31</v>
      </c>
      <c r="E8446" s="14">
        <v>0.2</v>
      </c>
      <c r="F8446" s="15">
        <f t="shared" si="1266"/>
        <v>19</v>
      </c>
      <c r="G8446" s="12">
        <f t="shared" si="1265"/>
        <v>3.8</v>
      </c>
    </row>
    <row r="8447" ht="15.0" customHeight="1">
      <c r="A8447" s="11"/>
      <c r="B8447" s="11"/>
      <c r="C8447" s="11"/>
      <c r="D8447" s="10" t="s">
        <v>22</v>
      </c>
      <c r="E8447" s="14">
        <v>0.55</v>
      </c>
      <c r="F8447" s="15">
        <f>ROUND((G8444+G8445+G8446),3)</f>
        <v>43.8</v>
      </c>
      <c r="G8447" s="12">
        <f t="shared" si="1265"/>
        <v>24.09</v>
      </c>
    </row>
    <row r="8448" ht="15.0" customHeight="1">
      <c r="A8448" s="10" t="s">
        <v>32</v>
      </c>
      <c r="B8448" s="10"/>
      <c r="C8448" s="10" t="s">
        <v>33</v>
      </c>
      <c r="D8448" s="10" t="s">
        <v>34</v>
      </c>
      <c r="E8448" s="14">
        <v>3.0</v>
      </c>
      <c r="F8448" s="15">
        <f>ROUND(24.09,3)</f>
        <v>24.09</v>
      </c>
      <c r="G8448" s="12">
        <f>ROUND((E8448*F8448)/100,2)</f>
        <v>0.72</v>
      </c>
    </row>
    <row r="8449" ht="15.0" customHeight="1">
      <c r="A8449" s="16"/>
      <c r="B8449" s="16"/>
      <c r="C8449" s="16"/>
      <c r="D8449" s="17" t="s">
        <v>3765</v>
      </c>
      <c r="E8449" s="16"/>
      <c r="F8449" s="18">
        <f>ROUND((G8439+G8440+G8441+G8442+G8443+G8448)*(1+G2/100),2)</f>
        <v>59.83</v>
      </c>
      <c r="G8449" s="16"/>
    </row>
    <row r="8450" ht="30.0" customHeight="1">
      <c r="A8450" s="19" t="s">
        <v>3770</v>
      </c>
      <c r="B8450" s="20" t="s">
        <v>18</v>
      </c>
      <c r="C8450" s="20" t="s">
        <v>251</v>
      </c>
      <c r="D8450" s="20" t="s">
        <v>3771</v>
      </c>
      <c r="E8450" s="21"/>
      <c r="F8450" s="22">
        <f>F8459</f>
        <v>19.19</v>
      </c>
      <c r="G8450" s="21"/>
    </row>
    <row r="8451" ht="67.5" customHeight="1">
      <c r="A8451" s="11"/>
      <c r="B8451" s="11"/>
      <c r="C8451" s="11"/>
      <c r="D8451" s="10" t="s">
        <v>3772</v>
      </c>
    </row>
    <row r="8452" ht="76.5" customHeight="1">
      <c r="A8452" s="10" t="s">
        <v>3773</v>
      </c>
      <c r="B8452" s="10" t="s">
        <v>42</v>
      </c>
      <c r="C8452" s="10" t="s">
        <v>1357</v>
      </c>
      <c r="D8452" s="10" t="s">
        <v>3774</v>
      </c>
      <c r="E8452" s="14">
        <v>1.15</v>
      </c>
      <c r="F8452" s="15">
        <f>ROUND(10.8,3)</f>
        <v>10.8</v>
      </c>
      <c r="G8452" s="12">
        <f t="shared" ref="G8452:G8457" si="1267">ROUND(E8452*F8452,2)</f>
        <v>12.42</v>
      </c>
    </row>
    <row r="8453" ht="21.0" customHeight="1">
      <c r="A8453" s="10" t="s">
        <v>22</v>
      </c>
      <c r="B8453" s="10" t="s">
        <v>18</v>
      </c>
      <c r="C8453" s="10" t="s">
        <v>23</v>
      </c>
      <c r="D8453" s="10" t="s">
        <v>24</v>
      </c>
      <c r="E8453" s="14">
        <v>0.15</v>
      </c>
      <c r="F8453" s="15">
        <f>F8457</f>
        <v>43.8</v>
      </c>
      <c r="G8453" s="12">
        <f t="shared" si="1267"/>
        <v>6.57</v>
      </c>
    </row>
    <row r="8454" ht="24.0" customHeight="1">
      <c r="A8454" s="10" t="s">
        <v>25</v>
      </c>
      <c r="B8454" s="10" t="s">
        <v>26</v>
      </c>
      <c r="C8454" s="10" t="s">
        <v>23</v>
      </c>
      <c r="D8454" s="10" t="s">
        <v>27</v>
      </c>
      <c r="E8454" s="14">
        <v>1.0</v>
      </c>
      <c r="F8454" s="15">
        <f>ROUND(21,3)</f>
        <v>21</v>
      </c>
      <c r="G8454" s="12">
        <f t="shared" si="1267"/>
        <v>21</v>
      </c>
    </row>
    <row r="8455" ht="24.0" customHeight="1">
      <c r="A8455" s="10" t="s">
        <v>28</v>
      </c>
      <c r="B8455" s="10" t="s">
        <v>26</v>
      </c>
      <c r="C8455" s="10" t="s">
        <v>23</v>
      </c>
      <c r="D8455" s="10" t="s">
        <v>29</v>
      </c>
      <c r="E8455" s="14">
        <v>1.0</v>
      </c>
      <c r="F8455" s="15">
        <f t="shared" ref="F8455:F8456" si="1268">ROUND(19,3)</f>
        <v>19</v>
      </c>
      <c r="G8455" s="12">
        <f t="shared" si="1267"/>
        <v>19</v>
      </c>
    </row>
    <row r="8456" ht="24.0" customHeight="1">
      <c r="A8456" s="10" t="s">
        <v>30</v>
      </c>
      <c r="B8456" s="10" t="s">
        <v>26</v>
      </c>
      <c r="C8456" s="10" t="s">
        <v>23</v>
      </c>
      <c r="D8456" s="10" t="s">
        <v>31</v>
      </c>
      <c r="E8456" s="14">
        <v>0.2</v>
      </c>
      <c r="F8456" s="15">
        <f t="shared" si="1268"/>
        <v>19</v>
      </c>
      <c r="G8456" s="12">
        <f t="shared" si="1267"/>
        <v>3.8</v>
      </c>
    </row>
    <row r="8457" ht="15.0" customHeight="1">
      <c r="A8457" s="11"/>
      <c r="B8457" s="11"/>
      <c r="C8457" s="11"/>
      <c r="D8457" s="10" t="s">
        <v>22</v>
      </c>
      <c r="E8457" s="14">
        <v>0.15</v>
      </c>
      <c r="F8457" s="15">
        <f>ROUND((G8454+G8455+G8456),3)</f>
        <v>43.8</v>
      </c>
      <c r="G8457" s="12">
        <f t="shared" si="1267"/>
        <v>6.57</v>
      </c>
    </row>
    <row r="8458" ht="15.0" customHeight="1">
      <c r="A8458" s="10" t="s">
        <v>32</v>
      </c>
      <c r="B8458" s="10"/>
      <c r="C8458" s="10" t="s">
        <v>33</v>
      </c>
      <c r="D8458" s="10" t="s">
        <v>34</v>
      </c>
      <c r="E8458" s="14">
        <v>3.0</v>
      </c>
      <c r="F8458" s="15">
        <f>ROUND(6.57,3)</f>
        <v>6.57</v>
      </c>
      <c r="G8458" s="12">
        <f>ROUND((E8458*F8458)/100,2)</f>
        <v>0.2</v>
      </c>
    </row>
    <row r="8459" ht="15.0" customHeight="1">
      <c r="A8459" s="16"/>
      <c r="B8459" s="16"/>
      <c r="C8459" s="16"/>
      <c r="D8459" s="17" t="s">
        <v>3770</v>
      </c>
      <c r="E8459" s="16"/>
      <c r="F8459" s="18">
        <f>ROUND((G8452+G8453+G8458)*(1+G2/100),2)</f>
        <v>19.19</v>
      </c>
      <c r="G8459" s="16"/>
    </row>
    <row r="8460" ht="21.0" customHeight="1">
      <c r="A8460" s="19" t="s">
        <v>3775</v>
      </c>
      <c r="B8460" s="20" t="s">
        <v>18</v>
      </c>
      <c r="C8460" s="20" t="s">
        <v>222</v>
      </c>
      <c r="D8460" s="20" t="s">
        <v>3776</v>
      </c>
      <c r="E8460" s="21"/>
      <c r="F8460" s="22">
        <f>F8471</f>
        <v>389.74</v>
      </c>
      <c r="G8460" s="21"/>
    </row>
    <row r="8461" ht="85.5" customHeight="1">
      <c r="A8461" s="11"/>
      <c r="B8461" s="11"/>
      <c r="C8461" s="11"/>
      <c r="D8461" s="10" t="s">
        <v>3777</v>
      </c>
    </row>
    <row r="8462" ht="15.0" customHeight="1">
      <c r="A8462" s="10" t="s">
        <v>3778</v>
      </c>
      <c r="B8462" s="10" t="s">
        <v>42</v>
      </c>
      <c r="C8462" s="10" t="s">
        <v>304</v>
      </c>
      <c r="D8462" s="10" t="s">
        <v>3779</v>
      </c>
      <c r="E8462" s="14">
        <v>1.0</v>
      </c>
      <c r="F8462" s="15">
        <f>ROUND(15,3)</f>
        <v>15</v>
      </c>
      <c r="G8462" s="12">
        <f t="shared" ref="G8462:G8469" si="1269">ROUND(E8462*F8462,2)</f>
        <v>15</v>
      </c>
    </row>
    <row r="8463" ht="15.0" customHeight="1">
      <c r="A8463" s="10" t="s">
        <v>3780</v>
      </c>
      <c r="B8463" s="10" t="s">
        <v>42</v>
      </c>
      <c r="C8463" s="10" t="s">
        <v>304</v>
      </c>
      <c r="D8463" s="10" t="s">
        <v>3781</v>
      </c>
      <c r="E8463" s="14">
        <v>1.0</v>
      </c>
      <c r="F8463" s="15">
        <f>ROUND(11.11,3)</f>
        <v>11.11</v>
      </c>
      <c r="G8463" s="12">
        <f t="shared" si="1269"/>
        <v>11.11</v>
      </c>
    </row>
    <row r="8464" ht="30.0" customHeight="1">
      <c r="A8464" s="10" t="s">
        <v>3782</v>
      </c>
      <c r="B8464" s="10" t="s">
        <v>42</v>
      </c>
      <c r="C8464" s="10" t="s">
        <v>304</v>
      </c>
      <c r="D8464" s="10" t="s">
        <v>3783</v>
      </c>
      <c r="E8464" s="14">
        <v>1.0</v>
      </c>
      <c r="F8464" s="15">
        <f>ROUND(2.72,3)</f>
        <v>2.72</v>
      </c>
      <c r="G8464" s="12">
        <f t="shared" si="1269"/>
        <v>2.72</v>
      </c>
    </row>
    <row r="8465" ht="21.0" customHeight="1">
      <c r="A8465" s="10" t="s">
        <v>22</v>
      </c>
      <c r="B8465" s="10" t="s">
        <v>18</v>
      </c>
      <c r="C8465" s="10" t="s">
        <v>23</v>
      </c>
      <c r="D8465" s="10" t="s">
        <v>24</v>
      </c>
      <c r="E8465" s="14">
        <v>8.0</v>
      </c>
      <c r="F8465" s="15">
        <f>F8469</f>
        <v>43.8</v>
      </c>
      <c r="G8465" s="12">
        <f t="shared" si="1269"/>
        <v>350.4</v>
      </c>
    </row>
    <row r="8466" ht="24.0" customHeight="1">
      <c r="A8466" s="10" t="s">
        <v>25</v>
      </c>
      <c r="B8466" s="10" t="s">
        <v>26</v>
      </c>
      <c r="C8466" s="10" t="s">
        <v>23</v>
      </c>
      <c r="D8466" s="10" t="s">
        <v>27</v>
      </c>
      <c r="E8466" s="14">
        <v>1.0</v>
      </c>
      <c r="F8466" s="15">
        <f>ROUND(21,3)</f>
        <v>21</v>
      </c>
      <c r="G8466" s="12">
        <f t="shared" si="1269"/>
        <v>21</v>
      </c>
    </row>
    <row r="8467" ht="24.0" customHeight="1">
      <c r="A8467" s="10" t="s">
        <v>28</v>
      </c>
      <c r="B8467" s="10" t="s">
        <v>26</v>
      </c>
      <c r="C8467" s="10" t="s">
        <v>23</v>
      </c>
      <c r="D8467" s="10" t="s">
        <v>29</v>
      </c>
      <c r="E8467" s="14">
        <v>1.0</v>
      </c>
      <c r="F8467" s="15">
        <f t="shared" ref="F8467:F8468" si="1270">ROUND(19,3)</f>
        <v>19</v>
      </c>
      <c r="G8467" s="12">
        <f t="shared" si="1269"/>
        <v>19</v>
      </c>
    </row>
    <row r="8468" ht="24.0" customHeight="1">
      <c r="A8468" s="10" t="s">
        <v>30</v>
      </c>
      <c r="B8468" s="10" t="s">
        <v>26</v>
      </c>
      <c r="C8468" s="10" t="s">
        <v>23</v>
      </c>
      <c r="D8468" s="10" t="s">
        <v>31</v>
      </c>
      <c r="E8468" s="14">
        <v>0.2</v>
      </c>
      <c r="F8468" s="15">
        <f t="shared" si="1270"/>
        <v>19</v>
      </c>
      <c r="G8468" s="12">
        <f t="shared" si="1269"/>
        <v>3.8</v>
      </c>
    </row>
    <row r="8469" ht="15.0" customHeight="1">
      <c r="A8469" s="11"/>
      <c r="B8469" s="11"/>
      <c r="C8469" s="11"/>
      <c r="D8469" s="10" t="s">
        <v>22</v>
      </c>
      <c r="E8469" s="14">
        <v>8.0</v>
      </c>
      <c r="F8469" s="15">
        <f>ROUND((G8466+G8467+G8468),3)</f>
        <v>43.8</v>
      </c>
      <c r="G8469" s="12">
        <f t="shared" si="1269"/>
        <v>350.4</v>
      </c>
    </row>
    <row r="8470" ht="15.0" customHeight="1">
      <c r="A8470" s="10" t="s">
        <v>32</v>
      </c>
      <c r="B8470" s="10"/>
      <c r="C8470" s="10" t="s">
        <v>33</v>
      </c>
      <c r="D8470" s="10" t="s">
        <v>34</v>
      </c>
      <c r="E8470" s="14">
        <v>3.0</v>
      </c>
      <c r="F8470" s="15">
        <f>ROUND(350.4,3)</f>
        <v>350.4</v>
      </c>
      <c r="G8470" s="12">
        <f>ROUND((E8470*F8470)/100,2)</f>
        <v>10.51</v>
      </c>
    </row>
    <row r="8471" ht="15.0" customHeight="1">
      <c r="A8471" s="16"/>
      <c r="B8471" s="16"/>
      <c r="C8471" s="16"/>
      <c r="D8471" s="17" t="s">
        <v>3775</v>
      </c>
      <c r="E8471" s="16"/>
      <c r="F8471" s="18">
        <f>ROUND((G8462+G8463+G8464+G8465+G8470)*(1+G2/100),2)</f>
        <v>389.74</v>
      </c>
      <c r="G8471" s="16"/>
    </row>
    <row r="8472" ht="30.0" customHeight="1">
      <c r="A8472" s="19" t="s">
        <v>3784</v>
      </c>
      <c r="B8472" s="20" t="s">
        <v>18</v>
      </c>
      <c r="C8472" s="20" t="s">
        <v>251</v>
      </c>
      <c r="D8472" s="20" t="s">
        <v>3785</v>
      </c>
      <c r="E8472" s="21"/>
      <c r="F8472" s="22">
        <f>F8484</f>
        <v>24.54</v>
      </c>
      <c r="G8472" s="21"/>
    </row>
    <row r="8473" ht="48.75" customHeight="1">
      <c r="A8473" s="11"/>
      <c r="B8473" s="11"/>
      <c r="C8473" s="11"/>
      <c r="D8473" s="10" t="s">
        <v>3786</v>
      </c>
    </row>
    <row r="8474" ht="57.75" customHeight="1">
      <c r="A8474" s="10" t="s">
        <v>3787</v>
      </c>
      <c r="B8474" s="10" t="s">
        <v>42</v>
      </c>
      <c r="C8474" s="10" t="s">
        <v>1357</v>
      </c>
      <c r="D8474" s="10" t="s">
        <v>3788</v>
      </c>
      <c r="E8474" s="14">
        <v>0.1</v>
      </c>
      <c r="F8474" s="15">
        <f>ROUND(0.93,3)</f>
        <v>0.93</v>
      </c>
      <c r="G8474" s="12">
        <f t="shared" ref="G8474:G8482" si="1271">ROUND(E8474*F8474,2)</f>
        <v>0.09</v>
      </c>
    </row>
    <row r="8475" ht="21.0" customHeight="1">
      <c r="A8475" s="10" t="s">
        <v>3789</v>
      </c>
      <c r="B8475" s="10" t="s">
        <v>42</v>
      </c>
      <c r="C8475" s="10" t="s">
        <v>304</v>
      </c>
      <c r="D8475" s="10" t="s">
        <v>3790</v>
      </c>
      <c r="E8475" s="14">
        <v>2.5</v>
      </c>
      <c r="F8475" s="15">
        <f>ROUND(6.27,3)</f>
        <v>6.27</v>
      </c>
      <c r="G8475" s="12">
        <f t="shared" si="1271"/>
        <v>15.68</v>
      </c>
    </row>
    <row r="8476" ht="39.75" customHeight="1">
      <c r="A8476" s="10" t="s">
        <v>3791</v>
      </c>
      <c r="B8476" s="10" t="s">
        <v>42</v>
      </c>
      <c r="C8476" s="10" t="s">
        <v>521</v>
      </c>
      <c r="D8476" s="10" t="s">
        <v>3792</v>
      </c>
      <c r="E8476" s="14">
        <v>0.15</v>
      </c>
      <c r="F8476" s="15">
        <f>ROUND(6.46,3)</f>
        <v>6.46</v>
      </c>
      <c r="G8476" s="12">
        <f t="shared" si="1271"/>
        <v>0.97</v>
      </c>
    </row>
    <row r="8477" ht="21.0" customHeight="1">
      <c r="A8477" s="10" t="s">
        <v>3793</v>
      </c>
      <c r="B8477" s="10" t="s">
        <v>112</v>
      </c>
      <c r="C8477" s="10" t="s">
        <v>23</v>
      </c>
      <c r="D8477" s="10" t="s">
        <v>3794</v>
      </c>
      <c r="E8477" s="14">
        <v>0.094</v>
      </c>
      <c r="F8477" s="15">
        <f>ROUND(10.95,3)</f>
        <v>10.95</v>
      </c>
      <c r="G8477" s="12">
        <f t="shared" si="1271"/>
        <v>1.03</v>
      </c>
    </row>
    <row r="8478" ht="21.0" customHeight="1">
      <c r="A8478" s="10" t="s">
        <v>22</v>
      </c>
      <c r="B8478" s="10" t="s">
        <v>18</v>
      </c>
      <c r="C8478" s="10" t="s">
        <v>23</v>
      </c>
      <c r="D8478" s="10" t="s">
        <v>24</v>
      </c>
      <c r="E8478" s="14">
        <v>0.15</v>
      </c>
      <c r="F8478" s="15">
        <f>F8482</f>
        <v>43.8</v>
      </c>
      <c r="G8478" s="12">
        <f t="shared" si="1271"/>
        <v>6.57</v>
      </c>
    </row>
    <row r="8479" ht="24.0" customHeight="1">
      <c r="A8479" s="10" t="s">
        <v>25</v>
      </c>
      <c r="B8479" s="10" t="s">
        <v>26</v>
      </c>
      <c r="C8479" s="10" t="s">
        <v>23</v>
      </c>
      <c r="D8479" s="10" t="s">
        <v>27</v>
      </c>
      <c r="E8479" s="14">
        <v>1.0</v>
      </c>
      <c r="F8479" s="15">
        <f>ROUND(21,3)</f>
        <v>21</v>
      </c>
      <c r="G8479" s="12">
        <f t="shared" si="1271"/>
        <v>21</v>
      </c>
    </row>
    <row r="8480" ht="24.0" customHeight="1">
      <c r="A8480" s="10" t="s">
        <v>28</v>
      </c>
      <c r="B8480" s="10" t="s">
        <v>26</v>
      </c>
      <c r="C8480" s="10" t="s">
        <v>23</v>
      </c>
      <c r="D8480" s="10" t="s">
        <v>29</v>
      </c>
      <c r="E8480" s="14">
        <v>1.0</v>
      </c>
      <c r="F8480" s="15">
        <f t="shared" ref="F8480:F8481" si="1272">ROUND(19,3)</f>
        <v>19</v>
      </c>
      <c r="G8480" s="12">
        <f t="shared" si="1271"/>
        <v>19</v>
      </c>
    </row>
    <row r="8481" ht="24.0" customHeight="1">
      <c r="A8481" s="10" t="s">
        <v>30</v>
      </c>
      <c r="B8481" s="10" t="s">
        <v>26</v>
      </c>
      <c r="C8481" s="10" t="s">
        <v>23</v>
      </c>
      <c r="D8481" s="10" t="s">
        <v>31</v>
      </c>
      <c r="E8481" s="14">
        <v>0.2</v>
      </c>
      <c r="F8481" s="15">
        <f t="shared" si="1272"/>
        <v>19</v>
      </c>
      <c r="G8481" s="12">
        <f t="shared" si="1271"/>
        <v>3.8</v>
      </c>
    </row>
    <row r="8482" ht="15.0" customHeight="1">
      <c r="A8482" s="11"/>
      <c r="B8482" s="11"/>
      <c r="C8482" s="11"/>
      <c r="D8482" s="10" t="s">
        <v>22</v>
      </c>
      <c r="E8482" s="14">
        <v>0.15</v>
      </c>
      <c r="F8482" s="15">
        <f>ROUND((G8479+G8480+G8481),3)</f>
        <v>43.8</v>
      </c>
      <c r="G8482" s="12">
        <f t="shared" si="1271"/>
        <v>6.57</v>
      </c>
    </row>
    <row r="8483" ht="15.0" customHeight="1">
      <c r="A8483" s="10" t="s">
        <v>32</v>
      </c>
      <c r="B8483" s="10"/>
      <c r="C8483" s="10" t="s">
        <v>33</v>
      </c>
      <c r="D8483" s="10" t="s">
        <v>34</v>
      </c>
      <c r="E8483" s="14">
        <v>3.0</v>
      </c>
      <c r="F8483" s="15">
        <f>ROUND(6.57,3)</f>
        <v>6.57</v>
      </c>
      <c r="G8483" s="12">
        <f>ROUND((E8483*F8483)/100,2)</f>
        <v>0.2</v>
      </c>
    </row>
    <row r="8484" ht="15.0" customHeight="1">
      <c r="A8484" s="16"/>
      <c r="B8484" s="16"/>
      <c r="C8484" s="16"/>
      <c r="D8484" s="17" t="s">
        <v>3784</v>
      </c>
      <c r="E8484" s="16"/>
      <c r="F8484" s="18">
        <f>ROUND((G8474+G8475+G8476+G8477+G8478+G8483)*(1+G2/100),2)</f>
        <v>24.54</v>
      </c>
      <c r="G8484" s="16"/>
    </row>
    <row r="8485" ht="30.0" customHeight="1">
      <c r="A8485" s="19" t="s">
        <v>3795</v>
      </c>
      <c r="B8485" s="20" t="s">
        <v>18</v>
      </c>
      <c r="C8485" s="20" t="s">
        <v>251</v>
      </c>
      <c r="D8485" s="20" t="s">
        <v>3796</v>
      </c>
      <c r="E8485" s="21"/>
      <c r="F8485" s="22">
        <f>F8497</f>
        <v>39.84</v>
      </c>
      <c r="G8485" s="21"/>
    </row>
    <row r="8486" ht="48.75" customHeight="1">
      <c r="A8486" s="11"/>
      <c r="B8486" s="11"/>
      <c r="C8486" s="11"/>
      <c r="D8486" s="10" t="s">
        <v>3786</v>
      </c>
    </row>
    <row r="8487" ht="57.75" customHeight="1">
      <c r="A8487" s="10" t="s">
        <v>3787</v>
      </c>
      <c r="B8487" s="10" t="s">
        <v>42</v>
      </c>
      <c r="C8487" s="10" t="s">
        <v>1357</v>
      </c>
      <c r="D8487" s="10" t="s">
        <v>3788</v>
      </c>
      <c r="E8487" s="14">
        <v>0.1</v>
      </c>
      <c r="F8487" s="15">
        <f>ROUND(0.93,3)</f>
        <v>0.93</v>
      </c>
      <c r="G8487" s="12">
        <f t="shared" ref="G8487:G8495" si="1273">ROUND(E8487*F8487,2)</f>
        <v>0.09</v>
      </c>
    </row>
    <row r="8488" ht="21.0" customHeight="1">
      <c r="A8488" s="10" t="s">
        <v>3789</v>
      </c>
      <c r="B8488" s="10" t="s">
        <v>42</v>
      </c>
      <c r="C8488" s="10" t="s">
        <v>304</v>
      </c>
      <c r="D8488" s="10" t="s">
        <v>3790</v>
      </c>
      <c r="E8488" s="14">
        <v>4.375</v>
      </c>
      <c r="F8488" s="15">
        <f>ROUND(6.27,3)</f>
        <v>6.27</v>
      </c>
      <c r="G8488" s="12">
        <f t="shared" si="1273"/>
        <v>27.43</v>
      </c>
    </row>
    <row r="8489" ht="39.75" customHeight="1">
      <c r="A8489" s="10" t="s">
        <v>3791</v>
      </c>
      <c r="B8489" s="10" t="s">
        <v>42</v>
      </c>
      <c r="C8489" s="10" t="s">
        <v>521</v>
      </c>
      <c r="D8489" s="10" t="s">
        <v>3792</v>
      </c>
      <c r="E8489" s="14">
        <v>0.2</v>
      </c>
      <c r="F8489" s="15">
        <f>ROUND(6.46,3)</f>
        <v>6.46</v>
      </c>
      <c r="G8489" s="12">
        <f t="shared" si="1273"/>
        <v>1.29</v>
      </c>
    </row>
    <row r="8490" ht="21.0" customHeight="1">
      <c r="A8490" s="10" t="s">
        <v>3793</v>
      </c>
      <c r="B8490" s="10" t="s">
        <v>112</v>
      </c>
      <c r="C8490" s="10" t="s">
        <v>23</v>
      </c>
      <c r="D8490" s="10" t="s">
        <v>3794</v>
      </c>
      <c r="E8490" s="14">
        <v>0.1</v>
      </c>
      <c r="F8490" s="15">
        <f>ROUND(10.95,3)</f>
        <v>10.95</v>
      </c>
      <c r="G8490" s="12">
        <f t="shared" si="1273"/>
        <v>1.1</v>
      </c>
    </row>
    <row r="8491" ht="21.0" customHeight="1">
      <c r="A8491" s="10" t="s">
        <v>22</v>
      </c>
      <c r="B8491" s="10" t="s">
        <v>18</v>
      </c>
      <c r="C8491" s="10" t="s">
        <v>23</v>
      </c>
      <c r="D8491" s="10" t="s">
        <v>24</v>
      </c>
      <c r="E8491" s="14">
        <v>0.22</v>
      </c>
      <c r="F8491" s="15">
        <f>F8495</f>
        <v>43.8</v>
      </c>
      <c r="G8491" s="12">
        <f t="shared" si="1273"/>
        <v>9.64</v>
      </c>
    </row>
    <row r="8492" ht="24.0" customHeight="1">
      <c r="A8492" s="10" t="s">
        <v>25</v>
      </c>
      <c r="B8492" s="10" t="s">
        <v>26</v>
      </c>
      <c r="C8492" s="10" t="s">
        <v>23</v>
      </c>
      <c r="D8492" s="10" t="s">
        <v>27</v>
      </c>
      <c r="E8492" s="14">
        <v>1.0</v>
      </c>
      <c r="F8492" s="15">
        <f>ROUND(21,3)</f>
        <v>21</v>
      </c>
      <c r="G8492" s="12">
        <f t="shared" si="1273"/>
        <v>21</v>
      </c>
    </row>
    <row r="8493" ht="24.0" customHeight="1">
      <c r="A8493" s="10" t="s">
        <v>28</v>
      </c>
      <c r="B8493" s="10" t="s">
        <v>26</v>
      </c>
      <c r="C8493" s="10" t="s">
        <v>23</v>
      </c>
      <c r="D8493" s="10" t="s">
        <v>29</v>
      </c>
      <c r="E8493" s="14">
        <v>1.0</v>
      </c>
      <c r="F8493" s="15">
        <f t="shared" ref="F8493:F8494" si="1274">ROUND(19,3)</f>
        <v>19</v>
      </c>
      <c r="G8493" s="12">
        <f t="shared" si="1273"/>
        <v>19</v>
      </c>
    </row>
    <row r="8494" ht="24.0" customHeight="1">
      <c r="A8494" s="10" t="s">
        <v>30</v>
      </c>
      <c r="B8494" s="10" t="s">
        <v>26</v>
      </c>
      <c r="C8494" s="10" t="s">
        <v>23</v>
      </c>
      <c r="D8494" s="10" t="s">
        <v>31</v>
      </c>
      <c r="E8494" s="14">
        <v>0.2</v>
      </c>
      <c r="F8494" s="15">
        <f t="shared" si="1274"/>
        <v>19</v>
      </c>
      <c r="G8494" s="12">
        <f t="shared" si="1273"/>
        <v>3.8</v>
      </c>
    </row>
    <row r="8495" ht="15.0" customHeight="1">
      <c r="A8495" s="11"/>
      <c r="B8495" s="11"/>
      <c r="C8495" s="11"/>
      <c r="D8495" s="10" t="s">
        <v>22</v>
      </c>
      <c r="E8495" s="14">
        <v>0.22</v>
      </c>
      <c r="F8495" s="15">
        <f>ROUND((G8492+G8493+G8494),3)</f>
        <v>43.8</v>
      </c>
      <c r="G8495" s="12">
        <f t="shared" si="1273"/>
        <v>9.64</v>
      </c>
    </row>
    <row r="8496" ht="15.0" customHeight="1">
      <c r="A8496" s="10" t="s">
        <v>32</v>
      </c>
      <c r="B8496" s="10"/>
      <c r="C8496" s="10" t="s">
        <v>33</v>
      </c>
      <c r="D8496" s="10" t="s">
        <v>34</v>
      </c>
      <c r="E8496" s="14">
        <v>3.0</v>
      </c>
      <c r="F8496" s="15">
        <f>ROUND(9.64,3)</f>
        <v>9.64</v>
      </c>
      <c r="G8496" s="12">
        <f>ROUND((E8496*F8496)/100,2)</f>
        <v>0.29</v>
      </c>
    </row>
    <row r="8497" ht="15.0" customHeight="1">
      <c r="A8497" s="16"/>
      <c r="B8497" s="16"/>
      <c r="C8497" s="16"/>
      <c r="D8497" s="17" t="s">
        <v>3795</v>
      </c>
      <c r="E8497" s="16"/>
      <c r="F8497" s="18">
        <f>ROUND((G8487+G8488+G8489+G8490+G8491+G8496)*(1+G2/100),2)</f>
        <v>39.84</v>
      </c>
      <c r="G8497" s="16"/>
    </row>
    <row r="8498" ht="21.0" customHeight="1">
      <c r="A8498" s="19" t="s">
        <v>3797</v>
      </c>
      <c r="B8498" s="20" t="s">
        <v>18</v>
      </c>
      <c r="C8498" s="20" t="s">
        <v>251</v>
      </c>
      <c r="D8498" s="20" t="s">
        <v>3798</v>
      </c>
      <c r="E8498" s="21"/>
      <c r="F8498" s="22">
        <f>F8510</f>
        <v>53.56</v>
      </c>
      <c r="G8498" s="21"/>
    </row>
    <row r="8499" ht="76.5" customHeight="1">
      <c r="A8499" s="11"/>
      <c r="B8499" s="11"/>
      <c r="C8499" s="11"/>
      <c r="D8499" s="10" t="s">
        <v>3799</v>
      </c>
    </row>
    <row r="8500" ht="30.0" customHeight="1">
      <c r="A8500" s="10" t="s">
        <v>3800</v>
      </c>
      <c r="B8500" s="10" t="s">
        <v>42</v>
      </c>
      <c r="C8500" s="10" t="s">
        <v>19</v>
      </c>
      <c r="D8500" s="10" t="s">
        <v>3801</v>
      </c>
      <c r="E8500" s="14">
        <v>1.075</v>
      </c>
      <c r="F8500" s="15">
        <f>ROUND(25,3)</f>
        <v>25</v>
      </c>
      <c r="G8500" s="12">
        <f t="shared" ref="G8500:G8508" si="1275">ROUND(E8500*F8500,2)</f>
        <v>26.88</v>
      </c>
    </row>
    <row r="8501" ht="39.75" customHeight="1">
      <c r="A8501" s="10" t="s">
        <v>3802</v>
      </c>
      <c r="B8501" s="10" t="s">
        <v>42</v>
      </c>
      <c r="C8501" s="10" t="s">
        <v>330</v>
      </c>
      <c r="D8501" s="10" t="s">
        <v>3803</v>
      </c>
      <c r="E8501" s="14">
        <v>0.1</v>
      </c>
      <c r="F8501" s="15">
        <f>ROUND(2.63,3)</f>
        <v>2.63</v>
      </c>
      <c r="G8501" s="12">
        <f t="shared" si="1275"/>
        <v>0.26</v>
      </c>
    </row>
    <row r="8502" ht="30.0" customHeight="1">
      <c r="A8502" s="10" t="s">
        <v>3804</v>
      </c>
      <c r="B8502" s="10" t="s">
        <v>42</v>
      </c>
      <c r="C8502" s="10" t="s">
        <v>184</v>
      </c>
      <c r="D8502" s="10" t="s">
        <v>3805</v>
      </c>
      <c r="E8502" s="14">
        <v>0.35</v>
      </c>
      <c r="F8502" s="15">
        <f>ROUND(8.35,3)</f>
        <v>8.35</v>
      </c>
      <c r="G8502" s="12">
        <f t="shared" si="1275"/>
        <v>2.92</v>
      </c>
    </row>
    <row r="8503" ht="30.0" customHeight="1">
      <c r="A8503" s="10" t="s">
        <v>2053</v>
      </c>
      <c r="B8503" s="10" t="s">
        <v>42</v>
      </c>
      <c r="C8503" s="10" t="s">
        <v>184</v>
      </c>
      <c r="D8503" s="10" t="s">
        <v>2054</v>
      </c>
      <c r="E8503" s="14">
        <v>0.08</v>
      </c>
      <c r="F8503" s="15">
        <f>ROUND(11.74,3)</f>
        <v>11.74</v>
      </c>
      <c r="G8503" s="12">
        <f t="shared" si="1275"/>
        <v>0.94</v>
      </c>
    </row>
    <row r="8504" ht="21.0" customHeight="1">
      <c r="A8504" s="10" t="s">
        <v>22</v>
      </c>
      <c r="B8504" s="10" t="s">
        <v>18</v>
      </c>
      <c r="C8504" s="10" t="s">
        <v>23</v>
      </c>
      <c r="D8504" s="10" t="s">
        <v>24</v>
      </c>
      <c r="E8504" s="14">
        <v>0.5</v>
      </c>
      <c r="F8504" s="15">
        <f>F8508</f>
        <v>43.8</v>
      </c>
      <c r="G8504" s="12">
        <f t="shared" si="1275"/>
        <v>21.9</v>
      </c>
    </row>
    <row r="8505" ht="24.0" customHeight="1">
      <c r="A8505" s="10" t="s">
        <v>25</v>
      </c>
      <c r="B8505" s="10" t="s">
        <v>26</v>
      </c>
      <c r="C8505" s="10" t="s">
        <v>23</v>
      </c>
      <c r="D8505" s="10" t="s">
        <v>27</v>
      </c>
      <c r="E8505" s="14">
        <v>1.0</v>
      </c>
      <c r="F8505" s="15">
        <f>ROUND(21,3)</f>
        <v>21</v>
      </c>
      <c r="G8505" s="12">
        <f t="shared" si="1275"/>
        <v>21</v>
      </c>
    </row>
    <row r="8506" ht="24.0" customHeight="1">
      <c r="A8506" s="10" t="s">
        <v>28</v>
      </c>
      <c r="B8506" s="10" t="s">
        <v>26</v>
      </c>
      <c r="C8506" s="10" t="s">
        <v>23</v>
      </c>
      <c r="D8506" s="10" t="s">
        <v>29</v>
      </c>
      <c r="E8506" s="14">
        <v>1.0</v>
      </c>
      <c r="F8506" s="15">
        <f t="shared" ref="F8506:F8507" si="1276">ROUND(19,3)</f>
        <v>19</v>
      </c>
      <c r="G8506" s="12">
        <f t="shared" si="1275"/>
        <v>19</v>
      </c>
    </row>
    <row r="8507" ht="24.0" customHeight="1">
      <c r="A8507" s="10" t="s">
        <v>30</v>
      </c>
      <c r="B8507" s="10" t="s">
        <v>26</v>
      </c>
      <c r="C8507" s="10" t="s">
        <v>23</v>
      </c>
      <c r="D8507" s="10" t="s">
        <v>31</v>
      </c>
      <c r="E8507" s="14">
        <v>0.2</v>
      </c>
      <c r="F8507" s="15">
        <f t="shared" si="1276"/>
        <v>19</v>
      </c>
      <c r="G8507" s="12">
        <f t="shared" si="1275"/>
        <v>3.8</v>
      </c>
    </row>
    <row r="8508" ht="15.0" customHeight="1">
      <c r="A8508" s="11"/>
      <c r="B8508" s="11"/>
      <c r="C8508" s="11"/>
      <c r="D8508" s="10" t="s">
        <v>22</v>
      </c>
      <c r="E8508" s="14">
        <v>0.5</v>
      </c>
      <c r="F8508" s="15">
        <f>ROUND((G8505+G8506+G8507),3)</f>
        <v>43.8</v>
      </c>
      <c r="G8508" s="12">
        <f t="shared" si="1275"/>
        <v>21.9</v>
      </c>
    </row>
    <row r="8509" ht="15.0" customHeight="1">
      <c r="A8509" s="10" t="s">
        <v>32</v>
      </c>
      <c r="B8509" s="10"/>
      <c r="C8509" s="10" t="s">
        <v>33</v>
      </c>
      <c r="D8509" s="10" t="s">
        <v>34</v>
      </c>
      <c r="E8509" s="14">
        <v>3.0</v>
      </c>
      <c r="F8509" s="15">
        <f>ROUND(21.9,3)</f>
        <v>21.9</v>
      </c>
      <c r="G8509" s="12">
        <f>ROUND((E8509*F8509)/100,2)</f>
        <v>0.66</v>
      </c>
    </row>
    <row r="8510" ht="15.0" customHeight="1">
      <c r="A8510" s="16"/>
      <c r="B8510" s="16"/>
      <c r="C8510" s="16"/>
      <c r="D8510" s="17" t="s">
        <v>3797</v>
      </c>
      <c r="E8510" s="16"/>
      <c r="F8510" s="18">
        <f>ROUND((G8500+G8501+G8502+G8503+G8504+G8509)*(1+G2/100),2)</f>
        <v>53.56</v>
      </c>
      <c r="G8510" s="16"/>
    </row>
    <row r="8511" ht="21.0" customHeight="1">
      <c r="A8511" s="19" t="s">
        <v>3806</v>
      </c>
      <c r="B8511" s="20" t="s">
        <v>18</v>
      </c>
      <c r="C8511" s="20" t="s">
        <v>537</v>
      </c>
      <c r="D8511" s="20" t="s">
        <v>3807</v>
      </c>
      <c r="E8511" s="21"/>
      <c r="F8511" s="22">
        <f>F8523</f>
        <v>9.65</v>
      </c>
      <c r="G8511" s="21"/>
    </row>
    <row r="8512" ht="76.5" customHeight="1">
      <c r="A8512" s="11"/>
      <c r="B8512" s="11"/>
      <c r="C8512" s="11"/>
      <c r="D8512" s="10" t="s">
        <v>3799</v>
      </c>
    </row>
    <row r="8513" ht="30.0" customHeight="1">
      <c r="A8513" s="10" t="s">
        <v>3800</v>
      </c>
      <c r="B8513" s="10" t="s">
        <v>42</v>
      </c>
      <c r="C8513" s="10" t="s">
        <v>19</v>
      </c>
      <c r="D8513" s="10" t="s">
        <v>3801</v>
      </c>
      <c r="E8513" s="14">
        <v>0.1935</v>
      </c>
      <c r="F8513" s="15">
        <f>ROUND(25,3)</f>
        <v>25</v>
      </c>
      <c r="G8513" s="12">
        <f t="shared" ref="G8513:G8521" si="1277">ROUND(E8513*F8513,2)</f>
        <v>4.84</v>
      </c>
    </row>
    <row r="8514" ht="39.75" customHeight="1">
      <c r="A8514" s="10" t="s">
        <v>3802</v>
      </c>
      <c r="B8514" s="10" t="s">
        <v>42</v>
      </c>
      <c r="C8514" s="10" t="s">
        <v>330</v>
      </c>
      <c r="D8514" s="10" t="s">
        <v>3803</v>
      </c>
      <c r="E8514" s="14">
        <v>0.018</v>
      </c>
      <c r="F8514" s="15">
        <f>ROUND(2.63,3)</f>
        <v>2.63</v>
      </c>
      <c r="G8514" s="12">
        <f t="shared" si="1277"/>
        <v>0.05</v>
      </c>
    </row>
    <row r="8515" ht="30.0" customHeight="1">
      <c r="A8515" s="10" t="s">
        <v>3804</v>
      </c>
      <c r="B8515" s="10" t="s">
        <v>42</v>
      </c>
      <c r="C8515" s="10" t="s">
        <v>184</v>
      </c>
      <c r="D8515" s="10" t="s">
        <v>3805</v>
      </c>
      <c r="E8515" s="14">
        <v>0.063</v>
      </c>
      <c r="F8515" s="15">
        <f>ROUND(8.35,3)</f>
        <v>8.35</v>
      </c>
      <c r="G8515" s="12">
        <f t="shared" si="1277"/>
        <v>0.53</v>
      </c>
    </row>
    <row r="8516" ht="30.0" customHeight="1">
      <c r="A8516" s="10" t="s">
        <v>2053</v>
      </c>
      <c r="B8516" s="10" t="s">
        <v>42</v>
      </c>
      <c r="C8516" s="10" t="s">
        <v>184</v>
      </c>
      <c r="D8516" s="10" t="s">
        <v>2054</v>
      </c>
      <c r="E8516" s="14">
        <v>0.0144</v>
      </c>
      <c r="F8516" s="15">
        <f>ROUND(11.74,3)</f>
        <v>11.74</v>
      </c>
      <c r="G8516" s="12">
        <f t="shared" si="1277"/>
        <v>0.17</v>
      </c>
    </row>
    <row r="8517" ht="21.0" customHeight="1">
      <c r="A8517" s="10" t="s">
        <v>22</v>
      </c>
      <c r="B8517" s="10" t="s">
        <v>18</v>
      </c>
      <c r="C8517" s="10" t="s">
        <v>23</v>
      </c>
      <c r="D8517" s="10" t="s">
        <v>24</v>
      </c>
      <c r="E8517" s="14">
        <v>0.09</v>
      </c>
      <c r="F8517" s="15">
        <f>F8521</f>
        <v>43.8</v>
      </c>
      <c r="G8517" s="12">
        <f t="shared" si="1277"/>
        <v>3.94</v>
      </c>
    </row>
    <row r="8518" ht="24.0" customHeight="1">
      <c r="A8518" s="10" t="s">
        <v>25</v>
      </c>
      <c r="B8518" s="10" t="s">
        <v>26</v>
      </c>
      <c r="C8518" s="10" t="s">
        <v>23</v>
      </c>
      <c r="D8518" s="10" t="s">
        <v>27</v>
      </c>
      <c r="E8518" s="14">
        <v>1.0</v>
      </c>
      <c r="F8518" s="15">
        <f>ROUND(21,3)</f>
        <v>21</v>
      </c>
      <c r="G8518" s="12">
        <f t="shared" si="1277"/>
        <v>21</v>
      </c>
    </row>
    <row r="8519" ht="24.0" customHeight="1">
      <c r="A8519" s="10" t="s">
        <v>28</v>
      </c>
      <c r="B8519" s="10" t="s">
        <v>26</v>
      </c>
      <c r="C8519" s="10" t="s">
        <v>23</v>
      </c>
      <c r="D8519" s="10" t="s">
        <v>29</v>
      </c>
      <c r="E8519" s="14">
        <v>1.0</v>
      </c>
      <c r="F8519" s="15">
        <f t="shared" ref="F8519:F8520" si="1278">ROUND(19,3)</f>
        <v>19</v>
      </c>
      <c r="G8519" s="12">
        <f t="shared" si="1277"/>
        <v>19</v>
      </c>
    </row>
    <row r="8520" ht="24.0" customHeight="1">
      <c r="A8520" s="10" t="s">
        <v>30</v>
      </c>
      <c r="B8520" s="10" t="s">
        <v>26</v>
      </c>
      <c r="C8520" s="10" t="s">
        <v>23</v>
      </c>
      <c r="D8520" s="10" t="s">
        <v>31</v>
      </c>
      <c r="E8520" s="14">
        <v>0.2</v>
      </c>
      <c r="F8520" s="15">
        <f t="shared" si="1278"/>
        <v>19</v>
      </c>
      <c r="G8520" s="12">
        <f t="shared" si="1277"/>
        <v>3.8</v>
      </c>
    </row>
    <row r="8521" ht="15.0" customHeight="1">
      <c r="A8521" s="11"/>
      <c r="B8521" s="11"/>
      <c r="C8521" s="11"/>
      <c r="D8521" s="10" t="s">
        <v>22</v>
      </c>
      <c r="E8521" s="14">
        <v>0.09</v>
      </c>
      <c r="F8521" s="15">
        <f>ROUND((G8518+G8519+G8520),3)</f>
        <v>43.8</v>
      </c>
      <c r="G8521" s="12">
        <f t="shared" si="1277"/>
        <v>3.94</v>
      </c>
    </row>
    <row r="8522" ht="15.0" customHeight="1">
      <c r="A8522" s="10" t="s">
        <v>32</v>
      </c>
      <c r="B8522" s="10"/>
      <c r="C8522" s="10" t="s">
        <v>33</v>
      </c>
      <c r="D8522" s="10" t="s">
        <v>34</v>
      </c>
      <c r="E8522" s="14">
        <v>3.0</v>
      </c>
      <c r="F8522" s="15">
        <f>ROUND(3.94,3)</f>
        <v>3.94</v>
      </c>
      <c r="G8522" s="12">
        <f>ROUND((E8522*F8522)/100,2)</f>
        <v>0.12</v>
      </c>
    </row>
    <row r="8523" ht="15.0" customHeight="1">
      <c r="A8523" s="16"/>
      <c r="B8523" s="16"/>
      <c r="C8523" s="16"/>
      <c r="D8523" s="17" t="s">
        <v>3806</v>
      </c>
      <c r="E8523" s="16"/>
      <c r="F8523" s="18">
        <f>ROUND((G8513+G8514+G8515+G8516+G8517+G8522)*(1+G2/100),2)</f>
        <v>9.65</v>
      </c>
      <c r="G8523" s="16"/>
    </row>
    <row r="8524" ht="21.0" customHeight="1">
      <c r="A8524" s="19" t="s">
        <v>3808</v>
      </c>
      <c r="B8524" s="20" t="s">
        <v>18</v>
      </c>
      <c r="C8524" s="20" t="s">
        <v>607</v>
      </c>
      <c r="D8524" s="20" t="s">
        <v>3809</v>
      </c>
      <c r="E8524" s="21"/>
      <c r="F8524" s="22">
        <f>F8527</f>
        <v>460</v>
      </c>
      <c r="G8524" s="21"/>
    </row>
    <row r="8525" ht="30.0" customHeight="1">
      <c r="A8525" s="11"/>
      <c r="B8525" s="11"/>
      <c r="C8525" s="11"/>
      <c r="D8525" s="10" t="s">
        <v>3810</v>
      </c>
    </row>
    <row r="8526" ht="21.0" customHeight="1">
      <c r="A8526" s="10" t="s">
        <v>3811</v>
      </c>
      <c r="B8526" s="10" t="s">
        <v>42</v>
      </c>
      <c r="C8526" s="10" t="s">
        <v>23</v>
      </c>
      <c r="D8526" s="10" t="s">
        <v>3812</v>
      </c>
      <c r="E8526" s="14">
        <v>1.0</v>
      </c>
      <c r="F8526" s="15">
        <f>ROUND(460,3)</f>
        <v>460</v>
      </c>
      <c r="G8526" s="12">
        <f>ROUND(E8526*F8526,2)</f>
        <v>460</v>
      </c>
    </row>
    <row r="8527" ht="15.0" customHeight="1">
      <c r="A8527" s="16"/>
      <c r="B8527" s="16"/>
      <c r="C8527" s="16"/>
      <c r="D8527" s="17" t="s">
        <v>3808</v>
      </c>
      <c r="E8527" s="16"/>
      <c r="F8527" s="18">
        <f>ROUND((G8526)*(1+G2/100),2)</f>
        <v>460</v>
      </c>
      <c r="G8527" s="16"/>
    </row>
    <row r="8528" ht="30.0" customHeight="1">
      <c r="A8528" s="19" t="s">
        <v>3813</v>
      </c>
      <c r="B8528" s="20" t="s">
        <v>18</v>
      </c>
      <c r="C8528" s="20" t="s">
        <v>251</v>
      </c>
      <c r="D8528" s="20" t="s">
        <v>3814</v>
      </c>
      <c r="E8528" s="21"/>
      <c r="F8528" s="22">
        <f>F8539</f>
        <v>21.35</v>
      </c>
      <c r="G8528" s="21"/>
    </row>
    <row r="8529" ht="21.0" customHeight="1">
      <c r="A8529" s="11"/>
      <c r="B8529" s="11"/>
      <c r="C8529" s="11"/>
      <c r="D8529" s="10" t="s">
        <v>3815</v>
      </c>
    </row>
    <row r="8530" ht="21.0" customHeight="1">
      <c r="A8530" s="10" t="s">
        <v>3816</v>
      </c>
      <c r="B8530" s="10" t="s">
        <v>42</v>
      </c>
      <c r="C8530" s="10" t="s">
        <v>19</v>
      </c>
      <c r="D8530" s="10" t="s">
        <v>3817</v>
      </c>
      <c r="E8530" s="14">
        <v>0.05</v>
      </c>
      <c r="F8530" s="15">
        <f>ROUND(2,3)</f>
        <v>2</v>
      </c>
      <c r="G8530" s="12">
        <f t="shared" ref="G8530:G8537" si="1279">ROUND(E8530*F8530,2)</f>
        <v>0.1</v>
      </c>
    </row>
    <row r="8531" ht="30.0" customHeight="1">
      <c r="A8531" s="10" t="s">
        <v>1382</v>
      </c>
      <c r="B8531" s="10" t="s">
        <v>42</v>
      </c>
      <c r="C8531" s="10" t="s">
        <v>184</v>
      </c>
      <c r="D8531" s="10" t="s">
        <v>1383</v>
      </c>
      <c r="E8531" s="14">
        <v>3.2</v>
      </c>
      <c r="F8531" s="15">
        <f>ROUND(1.47,3)</f>
        <v>1.47</v>
      </c>
      <c r="G8531" s="12">
        <f t="shared" si="1279"/>
        <v>4.7</v>
      </c>
    </row>
    <row r="8532" ht="39.75" customHeight="1">
      <c r="A8532" s="10" t="s">
        <v>1380</v>
      </c>
      <c r="B8532" s="10" t="s">
        <v>42</v>
      </c>
      <c r="C8532" s="10" t="s">
        <v>344</v>
      </c>
      <c r="D8532" s="10" t="s">
        <v>1381</v>
      </c>
      <c r="E8532" s="14">
        <v>0.15</v>
      </c>
      <c r="F8532" s="15">
        <f>ROUND(20.13,3)</f>
        <v>20.13</v>
      </c>
      <c r="G8532" s="12">
        <f t="shared" si="1279"/>
        <v>3.02</v>
      </c>
    </row>
    <row r="8533" ht="21.0" customHeight="1">
      <c r="A8533" s="10" t="s">
        <v>22</v>
      </c>
      <c r="B8533" s="10" t="s">
        <v>18</v>
      </c>
      <c r="C8533" s="10" t="s">
        <v>23</v>
      </c>
      <c r="D8533" s="10" t="s">
        <v>24</v>
      </c>
      <c r="E8533" s="14">
        <v>0.3</v>
      </c>
      <c r="F8533" s="15">
        <f>F8537</f>
        <v>43.8</v>
      </c>
      <c r="G8533" s="12">
        <f t="shared" si="1279"/>
        <v>13.14</v>
      </c>
    </row>
    <row r="8534" ht="24.0" customHeight="1">
      <c r="A8534" s="10" t="s">
        <v>25</v>
      </c>
      <c r="B8534" s="10" t="s">
        <v>26</v>
      </c>
      <c r="C8534" s="10" t="s">
        <v>23</v>
      </c>
      <c r="D8534" s="10" t="s">
        <v>27</v>
      </c>
      <c r="E8534" s="14">
        <v>1.0</v>
      </c>
      <c r="F8534" s="15">
        <f>ROUND(21,3)</f>
        <v>21</v>
      </c>
      <c r="G8534" s="12">
        <f t="shared" si="1279"/>
        <v>21</v>
      </c>
    </row>
    <row r="8535" ht="24.0" customHeight="1">
      <c r="A8535" s="10" t="s">
        <v>28</v>
      </c>
      <c r="B8535" s="10" t="s">
        <v>26</v>
      </c>
      <c r="C8535" s="10" t="s">
        <v>23</v>
      </c>
      <c r="D8535" s="10" t="s">
        <v>29</v>
      </c>
      <c r="E8535" s="14">
        <v>1.0</v>
      </c>
      <c r="F8535" s="15">
        <f t="shared" ref="F8535:F8536" si="1280">ROUND(19,3)</f>
        <v>19</v>
      </c>
      <c r="G8535" s="12">
        <f t="shared" si="1279"/>
        <v>19</v>
      </c>
    </row>
    <row r="8536" ht="24.0" customHeight="1">
      <c r="A8536" s="10" t="s">
        <v>30</v>
      </c>
      <c r="B8536" s="10" t="s">
        <v>26</v>
      </c>
      <c r="C8536" s="10" t="s">
        <v>23</v>
      </c>
      <c r="D8536" s="10" t="s">
        <v>31</v>
      </c>
      <c r="E8536" s="14">
        <v>0.2</v>
      </c>
      <c r="F8536" s="15">
        <f t="shared" si="1280"/>
        <v>19</v>
      </c>
      <c r="G8536" s="12">
        <f t="shared" si="1279"/>
        <v>3.8</v>
      </c>
    </row>
    <row r="8537" ht="15.0" customHeight="1">
      <c r="A8537" s="11"/>
      <c r="B8537" s="11"/>
      <c r="C8537" s="11"/>
      <c r="D8537" s="10" t="s">
        <v>22</v>
      </c>
      <c r="E8537" s="14">
        <v>0.3</v>
      </c>
      <c r="F8537" s="15">
        <f>ROUND((G8534+G8535+G8536),3)</f>
        <v>43.8</v>
      </c>
      <c r="G8537" s="12">
        <f t="shared" si="1279"/>
        <v>13.14</v>
      </c>
    </row>
    <row r="8538" ht="15.0" customHeight="1">
      <c r="A8538" s="10" t="s">
        <v>32</v>
      </c>
      <c r="B8538" s="10"/>
      <c r="C8538" s="10" t="s">
        <v>33</v>
      </c>
      <c r="D8538" s="10" t="s">
        <v>34</v>
      </c>
      <c r="E8538" s="14">
        <v>3.0</v>
      </c>
      <c r="F8538" s="15">
        <f>ROUND(13.14,3)</f>
        <v>13.14</v>
      </c>
      <c r="G8538" s="12">
        <f>ROUND((E8538*F8538)/100,2)</f>
        <v>0.39</v>
      </c>
    </row>
    <row r="8539" ht="15.0" customHeight="1">
      <c r="A8539" s="16"/>
      <c r="B8539" s="16"/>
      <c r="C8539" s="16"/>
      <c r="D8539" s="17" t="s">
        <v>3813</v>
      </c>
      <c r="E8539" s="16"/>
      <c r="F8539" s="18">
        <f>ROUND((G8530+G8531+G8532+G8533+G8538)*(1+G2/100),2)</f>
        <v>21.35</v>
      </c>
      <c r="G8539" s="16"/>
    </row>
    <row r="8540" ht="15.0" customHeight="1">
      <c r="A8540" s="23"/>
      <c r="B8540" s="23"/>
      <c r="C8540" s="23"/>
      <c r="D8540" s="32" t="s">
        <v>3690</v>
      </c>
      <c r="E8540" s="33"/>
      <c r="F8540" s="33"/>
      <c r="G8540" s="33"/>
    </row>
    <row r="8541" ht="21.75" customHeight="1">
      <c r="A8541" s="34" t="s">
        <v>3818</v>
      </c>
      <c r="B8541" s="34" t="s">
        <v>10</v>
      </c>
      <c r="C8541" s="35"/>
      <c r="D8541" s="34" t="s">
        <v>3819</v>
      </c>
      <c r="E8541" s="35"/>
      <c r="F8541" s="35"/>
      <c r="G8541" s="35"/>
    </row>
    <row r="8542" ht="21.0" customHeight="1">
      <c r="A8542" s="13" t="s">
        <v>3820</v>
      </c>
      <c r="B8542" s="10" t="s">
        <v>18</v>
      </c>
      <c r="C8542" s="10" t="s">
        <v>295</v>
      </c>
      <c r="D8542" s="10" t="s">
        <v>3821</v>
      </c>
      <c r="E8542" s="11"/>
      <c r="F8542" s="12">
        <f>F8553</f>
        <v>69.84</v>
      </c>
      <c r="G8542" s="11"/>
    </row>
    <row r="8543" ht="30.0" customHeight="1">
      <c r="A8543" s="11"/>
      <c r="B8543" s="11"/>
      <c r="C8543" s="11"/>
      <c r="D8543" s="10" t="s">
        <v>3822</v>
      </c>
    </row>
    <row r="8544" ht="15.0" customHeight="1">
      <c r="A8544" s="10" t="s">
        <v>3823</v>
      </c>
      <c r="B8544" s="10" t="s">
        <v>42</v>
      </c>
      <c r="C8544" s="10" t="s">
        <v>304</v>
      </c>
      <c r="D8544" s="10" t="s">
        <v>3824</v>
      </c>
      <c r="E8544" s="14">
        <v>1.0</v>
      </c>
      <c r="F8544" s="15">
        <f>ROUND(12.55,3)</f>
        <v>12.55</v>
      </c>
      <c r="G8544" s="12">
        <f t="shared" ref="G8544:G8551" si="1281">ROUND(E8544*F8544,2)</f>
        <v>12.55</v>
      </c>
    </row>
    <row r="8545" ht="30.0" customHeight="1">
      <c r="A8545" s="10" t="s">
        <v>3825</v>
      </c>
      <c r="B8545" s="10" t="s">
        <v>42</v>
      </c>
      <c r="C8545" s="10" t="s">
        <v>344</v>
      </c>
      <c r="D8545" s="10" t="s">
        <v>3826</v>
      </c>
      <c r="E8545" s="14">
        <v>1.0</v>
      </c>
      <c r="F8545" s="15">
        <f>ROUND(11.03,3)</f>
        <v>11.03</v>
      </c>
      <c r="G8545" s="12">
        <f t="shared" si="1281"/>
        <v>11.03</v>
      </c>
    </row>
    <row r="8546" ht="21.0" customHeight="1">
      <c r="A8546" s="10" t="s">
        <v>3827</v>
      </c>
      <c r="B8546" s="10" t="s">
        <v>42</v>
      </c>
      <c r="C8546" s="10" t="s">
        <v>351</v>
      </c>
      <c r="D8546" s="10" t="s">
        <v>3828</v>
      </c>
      <c r="E8546" s="14">
        <v>0.5</v>
      </c>
      <c r="F8546" s="15">
        <f>ROUND(2.3,3)</f>
        <v>2.3</v>
      </c>
      <c r="G8546" s="12">
        <f t="shared" si="1281"/>
        <v>1.15</v>
      </c>
    </row>
    <row r="8547" ht="21.0" customHeight="1">
      <c r="A8547" s="10" t="s">
        <v>22</v>
      </c>
      <c r="B8547" s="10" t="s">
        <v>18</v>
      </c>
      <c r="C8547" s="10" t="s">
        <v>23</v>
      </c>
      <c r="D8547" s="10" t="s">
        <v>24</v>
      </c>
      <c r="E8547" s="14">
        <v>1.0</v>
      </c>
      <c r="F8547" s="15">
        <f>F8551</f>
        <v>43.8</v>
      </c>
      <c r="G8547" s="12">
        <f t="shared" si="1281"/>
        <v>43.8</v>
      </c>
    </row>
    <row r="8548" ht="24.0" customHeight="1">
      <c r="A8548" s="10" t="s">
        <v>25</v>
      </c>
      <c r="B8548" s="10" t="s">
        <v>26</v>
      </c>
      <c r="C8548" s="10" t="s">
        <v>23</v>
      </c>
      <c r="D8548" s="10" t="s">
        <v>27</v>
      </c>
      <c r="E8548" s="14">
        <v>1.0</v>
      </c>
      <c r="F8548" s="15">
        <f>ROUND(21,3)</f>
        <v>21</v>
      </c>
      <c r="G8548" s="12">
        <f t="shared" si="1281"/>
        <v>21</v>
      </c>
    </row>
    <row r="8549" ht="24.0" customHeight="1">
      <c r="A8549" s="10" t="s">
        <v>28</v>
      </c>
      <c r="B8549" s="10" t="s">
        <v>26</v>
      </c>
      <c r="C8549" s="10" t="s">
        <v>23</v>
      </c>
      <c r="D8549" s="10" t="s">
        <v>29</v>
      </c>
      <c r="E8549" s="14">
        <v>1.0</v>
      </c>
      <c r="F8549" s="15">
        <f t="shared" ref="F8549:F8550" si="1282">ROUND(19,3)</f>
        <v>19</v>
      </c>
      <c r="G8549" s="12">
        <f t="shared" si="1281"/>
        <v>19</v>
      </c>
    </row>
    <row r="8550" ht="24.0" customHeight="1">
      <c r="A8550" s="10" t="s">
        <v>30</v>
      </c>
      <c r="B8550" s="10" t="s">
        <v>26</v>
      </c>
      <c r="C8550" s="10" t="s">
        <v>23</v>
      </c>
      <c r="D8550" s="10" t="s">
        <v>31</v>
      </c>
      <c r="E8550" s="14">
        <v>0.2</v>
      </c>
      <c r="F8550" s="15">
        <f t="shared" si="1282"/>
        <v>19</v>
      </c>
      <c r="G8550" s="12">
        <f t="shared" si="1281"/>
        <v>3.8</v>
      </c>
    </row>
    <row r="8551" ht="15.0" customHeight="1">
      <c r="A8551" s="11"/>
      <c r="B8551" s="11"/>
      <c r="C8551" s="11"/>
      <c r="D8551" s="10" t="s">
        <v>22</v>
      </c>
      <c r="E8551" s="14">
        <v>1.0</v>
      </c>
      <c r="F8551" s="15">
        <f>ROUND((G8548+G8549+G8550),3)</f>
        <v>43.8</v>
      </c>
      <c r="G8551" s="12">
        <f t="shared" si="1281"/>
        <v>43.8</v>
      </c>
    </row>
    <row r="8552" ht="15.0" customHeight="1">
      <c r="A8552" s="10" t="s">
        <v>32</v>
      </c>
      <c r="B8552" s="10"/>
      <c r="C8552" s="10" t="s">
        <v>33</v>
      </c>
      <c r="D8552" s="10" t="s">
        <v>34</v>
      </c>
      <c r="E8552" s="14">
        <v>3.0</v>
      </c>
      <c r="F8552" s="15">
        <f>ROUND(43.8,3)</f>
        <v>43.8</v>
      </c>
      <c r="G8552" s="12">
        <f>ROUND((E8552*F8552)/100,2)</f>
        <v>1.31</v>
      </c>
    </row>
    <row r="8553" ht="15.0" customHeight="1">
      <c r="A8553" s="16"/>
      <c r="B8553" s="16"/>
      <c r="C8553" s="16"/>
      <c r="D8553" s="17" t="s">
        <v>3820</v>
      </c>
      <c r="E8553" s="16"/>
      <c r="F8553" s="18">
        <f>ROUND((G8544+G8545+G8546+G8547+G8552)*(1+G2/100),2)</f>
        <v>69.84</v>
      </c>
      <c r="G8553" s="16"/>
    </row>
    <row r="8554" ht="24.0" customHeight="1">
      <c r="A8554" s="19" t="s">
        <v>3829</v>
      </c>
      <c r="B8554" s="20" t="s">
        <v>473</v>
      </c>
      <c r="C8554" s="20" t="s">
        <v>295</v>
      </c>
      <c r="D8554" s="20" t="s">
        <v>3830</v>
      </c>
      <c r="E8554" s="21"/>
      <c r="F8554" s="22">
        <f>ROUND(0*(1+G2/100),2)</f>
        <v>0</v>
      </c>
      <c r="G8554" s="21"/>
    </row>
    <row r="8555" ht="12.0" customHeight="1">
      <c r="A8555" s="11"/>
      <c r="B8555" s="11"/>
      <c r="C8555" s="11"/>
      <c r="D8555" s="10" t="s">
        <v>3831</v>
      </c>
    </row>
    <row r="8556" ht="57.75" customHeight="1">
      <c r="A8556" s="13" t="s">
        <v>3832</v>
      </c>
      <c r="B8556" s="10" t="s">
        <v>18</v>
      </c>
      <c r="C8556" s="10" t="s">
        <v>351</v>
      </c>
      <c r="D8556" s="10" t="s">
        <v>3833</v>
      </c>
      <c r="E8556" s="11"/>
      <c r="F8556" s="12">
        <f>F8579</f>
        <v>192.61</v>
      </c>
      <c r="G8556" s="11"/>
    </row>
    <row r="8557" ht="21.0" customHeight="1">
      <c r="A8557" s="11"/>
      <c r="B8557" s="11"/>
      <c r="C8557" s="11"/>
      <c r="D8557" s="10" t="s">
        <v>3833</v>
      </c>
    </row>
    <row r="8558" ht="30.0" customHeight="1">
      <c r="A8558" s="10" t="s">
        <v>3834</v>
      </c>
      <c r="B8558" s="10" t="s">
        <v>42</v>
      </c>
      <c r="C8558" s="10" t="s">
        <v>344</v>
      </c>
      <c r="D8558" s="10" t="s">
        <v>3835</v>
      </c>
      <c r="E8558" s="14">
        <v>1.1</v>
      </c>
      <c r="F8558" s="15">
        <f>ROUND(47.1,3)</f>
        <v>47.1</v>
      </c>
      <c r="G8558" s="12">
        <f t="shared" ref="G8558:G8577" si="1283">ROUND(E8558*F8558,2)</f>
        <v>51.81</v>
      </c>
    </row>
    <row r="8559" ht="30.0" customHeight="1">
      <c r="A8559" s="10" t="s">
        <v>3836</v>
      </c>
      <c r="B8559" s="10" t="s">
        <v>42</v>
      </c>
      <c r="C8559" s="10" t="s">
        <v>344</v>
      </c>
      <c r="D8559" s="10" t="s">
        <v>3837</v>
      </c>
      <c r="E8559" s="14">
        <v>0.28571</v>
      </c>
      <c r="F8559" s="15">
        <f>ROUND(61.15,3)</f>
        <v>61.15</v>
      </c>
      <c r="G8559" s="12">
        <f t="shared" si="1283"/>
        <v>17.47</v>
      </c>
    </row>
    <row r="8560" ht="30.0" customHeight="1">
      <c r="A8560" s="10" t="s">
        <v>3838</v>
      </c>
      <c r="B8560" s="10" t="s">
        <v>42</v>
      </c>
      <c r="C8560" s="10" t="s">
        <v>344</v>
      </c>
      <c r="D8560" s="10" t="s">
        <v>3839</v>
      </c>
      <c r="E8560" s="14">
        <v>0.28571</v>
      </c>
      <c r="F8560" s="15">
        <f>ROUND(42.14,3)</f>
        <v>42.14</v>
      </c>
      <c r="G8560" s="12">
        <f t="shared" si="1283"/>
        <v>12.04</v>
      </c>
    </row>
    <row r="8561" ht="39.75" customHeight="1">
      <c r="A8561" s="10" t="s">
        <v>3840</v>
      </c>
      <c r="B8561" s="10" t="s">
        <v>42</v>
      </c>
      <c r="C8561" s="10" t="s">
        <v>344</v>
      </c>
      <c r="D8561" s="10" t="s">
        <v>3841</v>
      </c>
      <c r="E8561" s="14">
        <v>0.28571</v>
      </c>
      <c r="F8561" s="15">
        <f>ROUND(37.18,3)</f>
        <v>37.18</v>
      </c>
      <c r="G8561" s="12">
        <f t="shared" si="1283"/>
        <v>10.62</v>
      </c>
    </row>
    <row r="8562" ht="39.75" customHeight="1">
      <c r="A8562" s="10" t="s">
        <v>3842</v>
      </c>
      <c r="B8562" s="10" t="s">
        <v>42</v>
      </c>
      <c r="C8562" s="10" t="s">
        <v>344</v>
      </c>
      <c r="D8562" s="10" t="s">
        <v>3843</v>
      </c>
      <c r="E8562" s="14">
        <v>0.71429</v>
      </c>
      <c r="F8562" s="15">
        <f>ROUND(19,3)</f>
        <v>19</v>
      </c>
      <c r="G8562" s="12">
        <f t="shared" si="1283"/>
        <v>13.57</v>
      </c>
    </row>
    <row r="8563" ht="30.0" customHeight="1">
      <c r="A8563" s="10" t="s">
        <v>3844</v>
      </c>
      <c r="B8563" s="10" t="s">
        <v>42</v>
      </c>
      <c r="C8563" s="10" t="s">
        <v>344</v>
      </c>
      <c r="D8563" s="10" t="s">
        <v>3845</v>
      </c>
      <c r="E8563" s="14">
        <v>0.28571</v>
      </c>
      <c r="F8563" s="15">
        <f>ROUND(23.79,3)</f>
        <v>23.79</v>
      </c>
      <c r="G8563" s="12">
        <f t="shared" si="1283"/>
        <v>6.8</v>
      </c>
    </row>
    <row r="8564" ht="30.0" customHeight="1">
      <c r="A8564" s="10" t="s">
        <v>3846</v>
      </c>
      <c r="B8564" s="10" t="s">
        <v>42</v>
      </c>
      <c r="C8564" s="10" t="s">
        <v>344</v>
      </c>
      <c r="D8564" s="10" t="s">
        <v>3847</v>
      </c>
      <c r="E8564" s="14">
        <v>3.42855</v>
      </c>
      <c r="F8564" s="15">
        <f>ROUND(5.36,3)</f>
        <v>5.36</v>
      </c>
      <c r="G8564" s="12">
        <f t="shared" si="1283"/>
        <v>18.38</v>
      </c>
    </row>
    <row r="8565" ht="39.75" customHeight="1">
      <c r="A8565" s="10" t="s">
        <v>3848</v>
      </c>
      <c r="B8565" s="10" t="s">
        <v>42</v>
      </c>
      <c r="C8565" s="10" t="s">
        <v>344</v>
      </c>
      <c r="D8565" s="10" t="s">
        <v>3849</v>
      </c>
      <c r="E8565" s="14">
        <v>1.0</v>
      </c>
      <c r="F8565" s="15">
        <f>ROUND(10.98,3)</f>
        <v>10.98</v>
      </c>
      <c r="G8565" s="12">
        <f t="shared" si="1283"/>
        <v>10.98</v>
      </c>
    </row>
    <row r="8566" ht="30.0" customHeight="1">
      <c r="A8566" s="10" t="s">
        <v>3850</v>
      </c>
      <c r="B8566" s="10" t="s">
        <v>42</v>
      </c>
      <c r="C8566" s="10" t="s">
        <v>344</v>
      </c>
      <c r="D8566" s="10" t="s">
        <v>3851</v>
      </c>
      <c r="E8566" s="14">
        <v>0.0286</v>
      </c>
      <c r="F8566" s="15">
        <f>ROUND(57.84,3)</f>
        <v>57.84</v>
      </c>
      <c r="G8566" s="12">
        <f t="shared" si="1283"/>
        <v>1.65</v>
      </c>
    </row>
    <row r="8567" ht="30.0" customHeight="1">
      <c r="A8567" s="10" t="s">
        <v>3852</v>
      </c>
      <c r="B8567" s="10" t="s">
        <v>42</v>
      </c>
      <c r="C8567" s="10" t="s">
        <v>344</v>
      </c>
      <c r="D8567" s="10" t="s">
        <v>3853</v>
      </c>
      <c r="E8567" s="14">
        <v>0.0286</v>
      </c>
      <c r="F8567" s="15">
        <f>ROUND(27.27,3)</f>
        <v>27.27</v>
      </c>
      <c r="G8567" s="12">
        <f t="shared" si="1283"/>
        <v>0.78</v>
      </c>
    </row>
    <row r="8568" ht="30.0" customHeight="1">
      <c r="A8568" s="10" t="s">
        <v>1745</v>
      </c>
      <c r="B8568" s="10" t="s">
        <v>42</v>
      </c>
      <c r="C8568" s="10" t="s">
        <v>330</v>
      </c>
      <c r="D8568" s="10" t="s">
        <v>1746</v>
      </c>
      <c r="E8568" s="14">
        <v>0.125</v>
      </c>
      <c r="F8568" s="15">
        <f>ROUND(7.93,3)</f>
        <v>7.93</v>
      </c>
      <c r="G8568" s="12">
        <f t="shared" si="1283"/>
        <v>0.99</v>
      </c>
    </row>
    <row r="8569" ht="30.0" customHeight="1">
      <c r="A8569" s="10" t="s">
        <v>1378</v>
      </c>
      <c r="B8569" s="10" t="s">
        <v>42</v>
      </c>
      <c r="C8569" s="10" t="s">
        <v>330</v>
      </c>
      <c r="D8569" s="10" t="s">
        <v>1379</v>
      </c>
      <c r="E8569" s="14">
        <v>0.05</v>
      </c>
      <c r="F8569" s="15">
        <f>ROUND(6.14,3)</f>
        <v>6.14</v>
      </c>
      <c r="G8569" s="12">
        <f t="shared" si="1283"/>
        <v>0.31</v>
      </c>
    </row>
    <row r="8570" ht="39.75" customHeight="1">
      <c r="A8570" s="10" t="s">
        <v>1340</v>
      </c>
      <c r="B8570" s="10" t="s">
        <v>42</v>
      </c>
      <c r="C8570" s="10" t="s">
        <v>1245</v>
      </c>
      <c r="D8570" s="10" t="s">
        <v>1341</v>
      </c>
      <c r="E8570" s="14">
        <v>0.16896</v>
      </c>
      <c r="F8570" s="15">
        <f>ROUND(7.37,3)</f>
        <v>7.37</v>
      </c>
      <c r="G8570" s="12">
        <f t="shared" si="1283"/>
        <v>1.25</v>
      </c>
    </row>
    <row r="8571" ht="21.0" customHeight="1">
      <c r="A8571" s="10" t="s">
        <v>969</v>
      </c>
      <c r="B8571" s="10" t="s">
        <v>112</v>
      </c>
      <c r="C8571" s="10" t="s">
        <v>23</v>
      </c>
      <c r="D8571" s="10" t="s">
        <v>970</v>
      </c>
      <c r="E8571" s="14">
        <v>0.3</v>
      </c>
      <c r="F8571" s="15">
        <f>ROUND(2,3)</f>
        <v>2</v>
      </c>
      <c r="G8571" s="12">
        <f t="shared" si="1283"/>
        <v>0.6</v>
      </c>
    </row>
    <row r="8572" ht="30.0" customHeight="1">
      <c r="A8572" s="10" t="s">
        <v>971</v>
      </c>
      <c r="B8572" s="10" t="s">
        <v>42</v>
      </c>
      <c r="C8572" s="10" t="s">
        <v>231</v>
      </c>
      <c r="D8572" s="10" t="s">
        <v>972</v>
      </c>
      <c r="E8572" s="14">
        <v>0.05</v>
      </c>
      <c r="F8572" s="15">
        <f>ROUND(4.92,3)</f>
        <v>4.92</v>
      </c>
      <c r="G8572" s="12">
        <f t="shared" si="1283"/>
        <v>0.25</v>
      </c>
    </row>
    <row r="8573" ht="21.0" customHeight="1">
      <c r="A8573" s="10" t="s">
        <v>22</v>
      </c>
      <c r="B8573" s="10" t="s">
        <v>18</v>
      </c>
      <c r="C8573" s="10" t="s">
        <v>23</v>
      </c>
      <c r="D8573" s="10" t="s">
        <v>24</v>
      </c>
      <c r="E8573" s="14">
        <v>1.0</v>
      </c>
      <c r="F8573" s="15">
        <f>F8577</f>
        <v>43.8</v>
      </c>
      <c r="G8573" s="12">
        <f t="shared" si="1283"/>
        <v>43.8</v>
      </c>
    </row>
    <row r="8574" ht="24.0" customHeight="1">
      <c r="A8574" s="10" t="s">
        <v>25</v>
      </c>
      <c r="B8574" s="10" t="s">
        <v>26</v>
      </c>
      <c r="C8574" s="10" t="s">
        <v>23</v>
      </c>
      <c r="D8574" s="10" t="s">
        <v>27</v>
      </c>
      <c r="E8574" s="14">
        <v>1.0</v>
      </c>
      <c r="F8574" s="15">
        <f>ROUND(21,3)</f>
        <v>21</v>
      </c>
      <c r="G8574" s="12">
        <f t="shared" si="1283"/>
        <v>21</v>
      </c>
    </row>
    <row r="8575" ht="24.0" customHeight="1">
      <c r="A8575" s="10" t="s">
        <v>28</v>
      </c>
      <c r="B8575" s="10" t="s">
        <v>26</v>
      </c>
      <c r="C8575" s="10" t="s">
        <v>23</v>
      </c>
      <c r="D8575" s="10" t="s">
        <v>29</v>
      </c>
      <c r="E8575" s="14">
        <v>1.0</v>
      </c>
      <c r="F8575" s="15">
        <f t="shared" ref="F8575:F8576" si="1284">ROUND(19,3)</f>
        <v>19</v>
      </c>
      <c r="G8575" s="12">
        <f t="shared" si="1283"/>
        <v>19</v>
      </c>
    </row>
    <row r="8576" ht="24.0" customHeight="1">
      <c r="A8576" s="10" t="s">
        <v>30</v>
      </c>
      <c r="B8576" s="10" t="s">
        <v>26</v>
      </c>
      <c r="C8576" s="10" t="s">
        <v>23</v>
      </c>
      <c r="D8576" s="10" t="s">
        <v>31</v>
      </c>
      <c r="E8576" s="14">
        <v>0.2</v>
      </c>
      <c r="F8576" s="15">
        <f t="shared" si="1284"/>
        <v>19</v>
      </c>
      <c r="G8576" s="12">
        <f t="shared" si="1283"/>
        <v>3.8</v>
      </c>
    </row>
    <row r="8577" ht="15.0" customHeight="1">
      <c r="A8577" s="11"/>
      <c r="B8577" s="11"/>
      <c r="C8577" s="11"/>
      <c r="D8577" s="10" t="s">
        <v>22</v>
      </c>
      <c r="E8577" s="14">
        <v>1.0</v>
      </c>
      <c r="F8577" s="15">
        <f>ROUND((G8574+G8575+G8576),3)</f>
        <v>43.8</v>
      </c>
      <c r="G8577" s="12">
        <f t="shared" si="1283"/>
        <v>43.8</v>
      </c>
    </row>
    <row r="8578" ht="15.0" customHeight="1">
      <c r="A8578" s="10" t="s">
        <v>32</v>
      </c>
      <c r="B8578" s="10"/>
      <c r="C8578" s="10" t="s">
        <v>33</v>
      </c>
      <c r="D8578" s="10" t="s">
        <v>34</v>
      </c>
      <c r="E8578" s="14">
        <v>3.0</v>
      </c>
      <c r="F8578" s="15">
        <f>ROUND(43.8,3)</f>
        <v>43.8</v>
      </c>
      <c r="G8578" s="12">
        <f>ROUND((E8578*F8578)/100,2)</f>
        <v>1.31</v>
      </c>
    </row>
    <row r="8579" ht="15.0" customHeight="1">
      <c r="A8579" s="16"/>
      <c r="B8579" s="16"/>
      <c r="C8579" s="16"/>
      <c r="D8579" s="17" t="s">
        <v>3832</v>
      </c>
      <c r="E8579" s="16"/>
      <c r="F8579" s="18">
        <f>ROUND((G8558+G8559+G8560+G8561+G8562+G8563+G8564+G8565+G8566+G8567+G8568+G8569+G8570+G8571+G8572+G8573+G8578)*(1+G2/100),2)</f>
        <v>192.61</v>
      </c>
      <c r="G8579" s="16"/>
    </row>
    <row r="8580" ht="57.75" customHeight="1">
      <c r="A8580" s="19" t="s">
        <v>3854</v>
      </c>
      <c r="B8580" s="20" t="s">
        <v>18</v>
      </c>
      <c r="C8580" s="20" t="s">
        <v>351</v>
      </c>
      <c r="D8580" s="20" t="s">
        <v>3855</v>
      </c>
      <c r="E8580" s="21"/>
      <c r="F8580" s="22">
        <f>F8603</f>
        <v>211.89</v>
      </c>
      <c r="G8580" s="21"/>
    </row>
    <row r="8581" ht="30.0" customHeight="1">
      <c r="A8581" s="11"/>
      <c r="B8581" s="11"/>
      <c r="C8581" s="11"/>
      <c r="D8581" s="10" t="s">
        <v>3855</v>
      </c>
    </row>
    <row r="8582" ht="30.0" customHeight="1">
      <c r="A8582" s="10" t="s">
        <v>3834</v>
      </c>
      <c r="B8582" s="10" t="s">
        <v>42</v>
      </c>
      <c r="C8582" s="10" t="s">
        <v>344</v>
      </c>
      <c r="D8582" s="10" t="s">
        <v>3835</v>
      </c>
      <c r="E8582" s="14">
        <v>1.1</v>
      </c>
      <c r="F8582" s="15">
        <f>ROUND(47.1,3)</f>
        <v>47.1</v>
      </c>
      <c r="G8582" s="12">
        <f t="shared" ref="G8582:G8601" si="1285">ROUND(E8582*F8582,2)</f>
        <v>51.81</v>
      </c>
    </row>
    <row r="8583" ht="30.0" customHeight="1">
      <c r="A8583" s="10" t="s">
        <v>3836</v>
      </c>
      <c r="B8583" s="10" t="s">
        <v>42</v>
      </c>
      <c r="C8583" s="10" t="s">
        <v>344</v>
      </c>
      <c r="D8583" s="10" t="s">
        <v>3837</v>
      </c>
      <c r="E8583" s="14">
        <v>0.28571</v>
      </c>
      <c r="F8583" s="15">
        <f>ROUND(61.15,3)</f>
        <v>61.15</v>
      </c>
      <c r="G8583" s="12">
        <f t="shared" si="1285"/>
        <v>17.47</v>
      </c>
    </row>
    <row r="8584" ht="30.0" customHeight="1">
      <c r="A8584" s="10" t="s">
        <v>3838</v>
      </c>
      <c r="B8584" s="10" t="s">
        <v>42</v>
      </c>
      <c r="C8584" s="10" t="s">
        <v>344</v>
      </c>
      <c r="D8584" s="10" t="s">
        <v>3839</v>
      </c>
      <c r="E8584" s="14">
        <v>0.28571</v>
      </c>
      <c r="F8584" s="15">
        <f>ROUND(42.14,3)</f>
        <v>42.14</v>
      </c>
      <c r="G8584" s="12">
        <f t="shared" si="1285"/>
        <v>12.04</v>
      </c>
    </row>
    <row r="8585" ht="39.75" customHeight="1">
      <c r="A8585" s="10" t="s">
        <v>3840</v>
      </c>
      <c r="B8585" s="10" t="s">
        <v>42</v>
      </c>
      <c r="C8585" s="10" t="s">
        <v>344</v>
      </c>
      <c r="D8585" s="10" t="s">
        <v>3841</v>
      </c>
      <c r="E8585" s="14">
        <v>0.28571</v>
      </c>
      <c r="F8585" s="15">
        <f>ROUND(37.18,3)</f>
        <v>37.18</v>
      </c>
      <c r="G8585" s="12">
        <f t="shared" si="1285"/>
        <v>10.62</v>
      </c>
    </row>
    <row r="8586" ht="39.75" customHeight="1">
      <c r="A8586" s="10" t="s">
        <v>3842</v>
      </c>
      <c r="B8586" s="10" t="s">
        <v>42</v>
      </c>
      <c r="C8586" s="10" t="s">
        <v>344</v>
      </c>
      <c r="D8586" s="10" t="s">
        <v>3843</v>
      </c>
      <c r="E8586" s="14">
        <v>0.71429</v>
      </c>
      <c r="F8586" s="15">
        <f>ROUND(19,3)</f>
        <v>19</v>
      </c>
      <c r="G8586" s="12">
        <f t="shared" si="1285"/>
        <v>13.57</v>
      </c>
    </row>
    <row r="8587" ht="30.0" customHeight="1">
      <c r="A8587" s="10" t="s">
        <v>3844</v>
      </c>
      <c r="B8587" s="10" t="s">
        <v>42</v>
      </c>
      <c r="C8587" s="10" t="s">
        <v>344</v>
      </c>
      <c r="D8587" s="10" t="s">
        <v>3845</v>
      </c>
      <c r="E8587" s="14">
        <v>0.28571</v>
      </c>
      <c r="F8587" s="15">
        <f>ROUND(23.79,3)</f>
        <v>23.79</v>
      </c>
      <c r="G8587" s="12">
        <f t="shared" si="1285"/>
        <v>6.8</v>
      </c>
    </row>
    <row r="8588" ht="30.0" customHeight="1">
      <c r="A8588" s="10" t="s">
        <v>3846</v>
      </c>
      <c r="B8588" s="10" t="s">
        <v>42</v>
      </c>
      <c r="C8588" s="10" t="s">
        <v>344</v>
      </c>
      <c r="D8588" s="10" t="s">
        <v>3847</v>
      </c>
      <c r="E8588" s="14">
        <v>3.42855</v>
      </c>
      <c r="F8588" s="15">
        <f>ROUND(5.36,3)</f>
        <v>5.36</v>
      </c>
      <c r="G8588" s="12">
        <f t="shared" si="1285"/>
        <v>18.38</v>
      </c>
    </row>
    <row r="8589" ht="39.75" customHeight="1">
      <c r="A8589" s="10" t="s">
        <v>3848</v>
      </c>
      <c r="B8589" s="10" t="s">
        <v>42</v>
      </c>
      <c r="C8589" s="10" t="s">
        <v>344</v>
      </c>
      <c r="D8589" s="10" t="s">
        <v>3849</v>
      </c>
      <c r="E8589" s="14">
        <v>1.0</v>
      </c>
      <c r="F8589" s="15">
        <f>ROUND(10.98,3)</f>
        <v>10.98</v>
      </c>
      <c r="G8589" s="12">
        <f t="shared" si="1285"/>
        <v>10.98</v>
      </c>
    </row>
    <row r="8590" ht="30.0" customHeight="1">
      <c r="A8590" s="10" t="s">
        <v>3850</v>
      </c>
      <c r="B8590" s="10" t="s">
        <v>42</v>
      </c>
      <c r="C8590" s="10" t="s">
        <v>344</v>
      </c>
      <c r="D8590" s="10" t="s">
        <v>3851</v>
      </c>
      <c r="E8590" s="14">
        <v>0.0286</v>
      </c>
      <c r="F8590" s="15">
        <f>ROUND(57.84,3)</f>
        <v>57.84</v>
      </c>
      <c r="G8590" s="12">
        <f t="shared" si="1285"/>
        <v>1.65</v>
      </c>
    </row>
    <row r="8591" ht="30.0" customHeight="1">
      <c r="A8591" s="10" t="s">
        <v>3852</v>
      </c>
      <c r="B8591" s="10" t="s">
        <v>42</v>
      </c>
      <c r="C8591" s="10" t="s">
        <v>344</v>
      </c>
      <c r="D8591" s="10" t="s">
        <v>3853</v>
      </c>
      <c r="E8591" s="14">
        <v>0.0286</v>
      </c>
      <c r="F8591" s="15">
        <f>ROUND(27.27,3)</f>
        <v>27.27</v>
      </c>
      <c r="G8591" s="12">
        <f t="shared" si="1285"/>
        <v>0.78</v>
      </c>
    </row>
    <row r="8592" ht="30.0" customHeight="1">
      <c r="A8592" s="10" t="s">
        <v>1745</v>
      </c>
      <c r="B8592" s="10" t="s">
        <v>42</v>
      </c>
      <c r="C8592" s="10" t="s">
        <v>330</v>
      </c>
      <c r="D8592" s="10" t="s">
        <v>1746</v>
      </c>
      <c r="E8592" s="14">
        <v>0.125</v>
      </c>
      <c r="F8592" s="15">
        <f>ROUND(7.93,3)</f>
        <v>7.93</v>
      </c>
      <c r="G8592" s="12">
        <f t="shared" si="1285"/>
        <v>0.99</v>
      </c>
    </row>
    <row r="8593" ht="30.0" customHeight="1">
      <c r="A8593" s="10" t="s">
        <v>1378</v>
      </c>
      <c r="B8593" s="10" t="s">
        <v>42</v>
      </c>
      <c r="C8593" s="10" t="s">
        <v>330</v>
      </c>
      <c r="D8593" s="10" t="s">
        <v>1379</v>
      </c>
      <c r="E8593" s="14">
        <v>0.05</v>
      </c>
      <c r="F8593" s="15">
        <f>ROUND(6.14,3)</f>
        <v>6.14</v>
      </c>
      <c r="G8593" s="12">
        <f t="shared" si="1285"/>
        <v>0.31</v>
      </c>
    </row>
    <row r="8594" ht="39.75" customHeight="1">
      <c r="A8594" s="10" t="s">
        <v>1340</v>
      </c>
      <c r="B8594" s="10" t="s">
        <v>42</v>
      </c>
      <c r="C8594" s="10" t="s">
        <v>1245</v>
      </c>
      <c r="D8594" s="10" t="s">
        <v>1341</v>
      </c>
      <c r="E8594" s="14">
        <v>0.16896</v>
      </c>
      <c r="F8594" s="15">
        <f>ROUND(7.37,3)</f>
        <v>7.37</v>
      </c>
      <c r="G8594" s="12">
        <f t="shared" si="1285"/>
        <v>1.25</v>
      </c>
    </row>
    <row r="8595" ht="21.0" customHeight="1">
      <c r="A8595" s="10" t="s">
        <v>969</v>
      </c>
      <c r="B8595" s="10" t="s">
        <v>112</v>
      </c>
      <c r="C8595" s="10" t="s">
        <v>23</v>
      </c>
      <c r="D8595" s="10" t="s">
        <v>970</v>
      </c>
      <c r="E8595" s="14">
        <v>0.3</v>
      </c>
      <c r="F8595" s="15">
        <f>ROUND(2,3)</f>
        <v>2</v>
      </c>
      <c r="G8595" s="12">
        <f t="shared" si="1285"/>
        <v>0.6</v>
      </c>
    </row>
    <row r="8596" ht="30.0" customHeight="1">
      <c r="A8596" s="10" t="s">
        <v>971</v>
      </c>
      <c r="B8596" s="10" t="s">
        <v>42</v>
      </c>
      <c r="C8596" s="10" t="s">
        <v>231</v>
      </c>
      <c r="D8596" s="10" t="s">
        <v>972</v>
      </c>
      <c r="E8596" s="14">
        <v>0.05</v>
      </c>
      <c r="F8596" s="15">
        <f>ROUND(4.92,3)</f>
        <v>4.92</v>
      </c>
      <c r="G8596" s="12">
        <f t="shared" si="1285"/>
        <v>0.25</v>
      </c>
    </row>
    <row r="8597" ht="21.0" customHeight="1">
      <c r="A8597" s="10" t="s">
        <v>22</v>
      </c>
      <c r="B8597" s="10" t="s">
        <v>18</v>
      </c>
      <c r="C8597" s="10" t="s">
        <v>23</v>
      </c>
      <c r="D8597" s="10" t="s">
        <v>24</v>
      </c>
      <c r="E8597" s="14">
        <v>1.4</v>
      </c>
      <c r="F8597" s="15">
        <f>F8601</f>
        <v>43.8</v>
      </c>
      <c r="G8597" s="12">
        <f t="shared" si="1285"/>
        <v>61.32</v>
      </c>
    </row>
    <row r="8598" ht="24.0" customHeight="1">
      <c r="A8598" s="10" t="s">
        <v>25</v>
      </c>
      <c r="B8598" s="10" t="s">
        <v>26</v>
      </c>
      <c r="C8598" s="10" t="s">
        <v>23</v>
      </c>
      <c r="D8598" s="10" t="s">
        <v>27</v>
      </c>
      <c r="E8598" s="14">
        <v>1.0</v>
      </c>
      <c r="F8598" s="15">
        <f>ROUND(21,3)</f>
        <v>21</v>
      </c>
      <c r="G8598" s="12">
        <f t="shared" si="1285"/>
        <v>21</v>
      </c>
    </row>
    <row r="8599" ht="24.0" customHeight="1">
      <c r="A8599" s="10" t="s">
        <v>28</v>
      </c>
      <c r="B8599" s="10" t="s">
        <v>26</v>
      </c>
      <c r="C8599" s="10" t="s">
        <v>23</v>
      </c>
      <c r="D8599" s="10" t="s">
        <v>29</v>
      </c>
      <c r="E8599" s="14">
        <v>1.0</v>
      </c>
      <c r="F8599" s="15">
        <f t="shared" ref="F8599:F8600" si="1286">ROUND(19,3)</f>
        <v>19</v>
      </c>
      <c r="G8599" s="12">
        <f t="shared" si="1285"/>
        <v>19</v>
      </c>
    </row>
    <row r="8600" ht="24.0" customHeight="1">
      <c r="A8600" s="10" t="s">
        <v>30</v>
      </c>
      <c r="B8600" s="10" t="s">
        <v>26</v>
      </c>
      <c r="C8600" s="10" t="s">
        <v>23</v>
      </c>
      <c r="D8600" s="10" t="s">
        <v>31</v>
      </c>
      <c r="E8600" s="14">
        <v>0.2</v>
      </c>
      <c r="F8600" s="15">
        <f t="shared" si="1286"/>
        <v>19</v>
      </c>
      <c r="G8600" s="12">
        <f t="shared" si="1285"/>
        <v>3.8</v>
      </c>
    </row>
    <row r="8601" ht="15.0" customHeight="1">
      <c r="A8601" s="11"/>
      <c r="B8601" s="11"/>
      <c r="C8601" s="11"/>
      <c r="D8601" s="10" t="s">
        <v>22</v>
      </c>
      <c r="E8601" s="14">
        <v>1.4</v>
      </c>
      <c r="F8601" s="15">
        <f>ROUND((G8598+G8599+G8600),3)</f>
        <v>43.8</v>
      </c>
      <c r="G8601" s="12">
        <f t="shared" si="1285"/>
        <v>61.32</v>
      </c>
    </row>
    <row r="8602" ht="15.0" customHeight="1">
      <c r="A8602" s="10" t="s">
        <v>32</v>
      </c>
      <c r="B8602" s="10"/>
      <c r="C8602" s="10" t="s">
        <v>33</v>
      </c>
      <c r="D8602" s="10" t="s">
        <v>34</v>
      </c>
      <c r="E8602" s="14">
        <v>5.0</v>
      </c>
      <c r="F8602" s="15">
        <f>ROUND(61.32,3)</f>
        <v>61.32</v>
      </c>
      <c r="G8602" s="12">
        <f>ROUND((E8602*F8602)/100,2)</f>
        <v>3.07</v>
      </c>
    </row>
    <row r="8603" ht="15.0" customHeight="1">
      <c r="A8603" s="16"/>
      <c r="B8603" s="16"/>
      <c r="C8603" s="16"/>
      <c r="D8603" s="17" t="s">
        <v>3854</v>
      </c>
      <c r="E8603" s="16"/>
      <c r="F8603" s="18">
        <f>ROUND((G8582+G8583+G8584+G8585+G8586+G8587+G8588+G8589+G8590+G8591+G8592+G8593+G8594+G8595+G8596+G8597+G8602)*(1+G2/100),2)</f>
        <v>211.89</v>
      </c>
      <c r="G8603" s="16"/>
    </row>
    <row r="8604" ht="67.5" customHeight="1">
      <c r="A8604" s="19" t="s">
        <v>3856</v>
      </c>
      <c r="B8604" s="20" t="s">
        <v>18</v>
      </c>
      <c r="C8604" s="20" t="s">
        <v>351</v>
      </c>
      <c r="D8604" s="20" t="s">
        <v>3857</v>
      </c>
      <c r="E8604" s="21"/>
      <c r="F8604" s="22">
        <f>F8625</f>
        <v>381.15</v>
      </c>
      <c r="G8604" s="21"/>
    </row>
    <row r="8605" ht="30.0" customHeight="1">
      <c r="A8605" s="11"/>
      <c r="B8605" s="11"/>
      <c r="C8605" s="11"/>
      <c r="D8605" s="10" t="s">
        <v>3857</v>
      </c>
    </row>
    <row r="8606" ht="39.75" customHeight="1">
      <c r="A8606" s="10" t="s">
        <v>3858</v>
      </c>
      <c r="B8606" s="10" t="s">
        <v>42</v>
      </c>
      <c r="C8606" s="10" t="s">
        <v>344</v>
      </c>
      <c r="D8606" s="10" t="s">
        <v>3859</v>
      </c>
      <c r="E8606" s="14">
        <v>0.8</v>
      </c>
      <c r="F8606" s="15">
        <f>ROUND(76.27,3)</f>
        <v>76.27</v>
      </c>
      <c r="G8606" s="12">
        <f t="shared" ref="G8606:G8623" si="1287">ROUND(E8606*F8606,2)</f>
        <v>61.02</v>
      </c>
    </row>
    <row r="8607" ht="39.75" customHeight="1">
      <c r="A8607" s="10" t="s">
        <v>3860</v>
      </c>
      <c r="B8607" s="10" t="s">
        <v>42</v>
      </c>
      <c r="C8607" s="10" t="s">
        <v>344</v>
      </c>
      <c r="D8607" s="10" t="s">
        <v>3861</v>
      </c>
      <c r="E8607" s="14">
        <v>0.4</v>
      </c>
      <c r="F8607" s="15">
        <f>ROUND(45.52,3)</f>
        <v>45.52</v>
      </c>
      <c r="G8607" s="12">
        <f t="shared" si="1287"/>
        <v>18.21</v>
      </c>
    </row>
    <row r="8608" ht="39.75" customHeight="1">
      <c r="A8608" s="10" t="s">
        <v>3862</v>
      </c>
      <c r="B8608" s="10" t="s">
        <v>42</v>
      </c>
      <c r="C8608" s="10" t="s">
        <v>344</v>
      </c>
      <c r="D8608" s="10" t="s">
        <v>3863</v>
      </c>
      <c r="E8608" s="14">
        <v>3.0</v>
      </c>
      <c r="F8608" s="15">
        <f>ROUND(56.04,3)</f>
        <v>56.04</v>
      </c>
      <c r="G8608" s="12">
        <f t="shared" si="1287"/>
        <v>168.12</v>
      </c>
    </row>
    <row r="8609" ht="39.75" customHeight="1">
      <c r="A8609" s="10" t="s">
        <v>3864</v>
      </c>
      <c r="B8609" s="10" t="s">
        <v>42</v>
      </c>
      <c r="C8609" s="10" t="s">
        <v>344</v>
      </c>
      <c r="D8609" s="10" t="s">
        <v>3865</v>
      </c>
      <c r="E8609" s="14">
        <v>0.06666</v>
      </c>
      <c r="F8609" s="15">
        <f>ROUND(82.03,3)</f>
        <v>82.03</v>
      </c>
      <c r="G8609" s="12">
        <f t="shared" si="1287"/>
        <v>5.47</v>
      </c>
    </row>
    <row r="8610" ht="39.75" customHeight="1">
      <c r="A8610" s="10" t="s">
        <v>3866</v>
      </c>
      <c r="B8610" s="10" t="s">
        <v>42</v>
      </c>
      <c r="C8610" s="10" t="s">
        <v>344</v>
      </c>
      <c r="D8610" s="10" t="s">
        <v>3867</v>
      </c>
      <c r="E8610" s="14">
        <v>0.06667</v>
      </c>
      <c r="F8610" s="15">
        <f>ROUND(35.42,3)</f>
        <v>35.42</v>
      </c>
      <c r="G8610" s="12">
        <f t="shared" si="1287"/>
        <v>2.36</v>
      </c>
    </row>
    <row r="8611" ht="48.75" customHeight="1">
      <c r="A8611" s="10" t="s">
        <v>3868</v>
      </c>
      <c r="B8611" s="10" t="s">
        <v>42</v>
      </c>
      <c r="C8611" s="10" t="s">
        <v>3869</v>
      </c>
      <c r="D8611" s="10" t="s">
        <v>3870</v>
      </c>
      <c r="E8611" s="14">
        <v>1.15</v>
      </c>
      <c r="F8611" s="15">
        <f>ROUND(41.18,3)</f>
        <v>41.18</v>
      </c>
      <c r="G8611" s="12">
        <f t="shared" si="1287"/>
        <v>47.36</v>
      </c>
    </row>
    <row r="8612" ht="48.75" customHeight="1">
      <c r="A8612" s="10" t="s">
        <v>3871</v>
      </c>
      <c r="B8612" s="10" t="s">
        <v>42</v>
      </c>
      <c r="C8612" s="10" t="s">
        <v>344</v>
      </c>
      <c r="D8612" s="10" t="s">
        <v>3872</v>
      </c>
      <c r="E8612" s="14">
        <v>1.0</v>
      </c>
      <c r="F8612" s="15">
        <f>ROUND(25.58,3)</f>
        <v>25.58</v>
      </c>
      <c r="G8612" s="12">
        <f t="shared" si="1287"/>
        <v>25.58</v>
      </c>
    </row>
    <row r="8613" ht="30.0" customHeight="1">
      <c r="A8613" s="10" t="s">
        <v>1378</v>
      </c>
      <c r="B8613" s="10" t="s">
        <v>42</v>
      </c>
      <c r="C8613" s="10" t="s">
        <v>330</v>
      </c>
      <c r="D8613" s="10" t="s">
        <v>1379</v>
      </c>
      <c r="E8613" s="14">
        <v>0.1</v>
      </c>
      <c r="F8613" s="15">
        <f>ROUND(6.14,3)</f>
        <v>6.14</v>
      </c>
      <c r="G8613" s="12">
        <f t="shared" si="1287"/>
        <v>0.61</v>
      </c>
    </row>
    <row r="8614" ht="39.75" customHeight="1">
      <c r="A8614" s="10" t="s">
        <v>1342</v>
      </c>
      <c r="B8614" s="10" t="s">
        <v>42</v>
      </c>
      <c r="C8614" s="10" t="s">
        <v>330</v>
      </c>
      <c r="D8614" s="10" t="s">
        <v>1343</v>
      </c>
      <c r="E8614" s="14">
        <v>0.25</v>
      </c>
      <c r="F8614" s="15">
        <f>ROUND(11.38,3)</f>
        <v>11.38</v>
      </c>
      <c r="G8614" s="12">
        <f t="shared" si="1287"/>
        <v>2.85</v>
      </c>
    </row>
    <row r="8615" ht="39.75" customHeight="1">
      <c r="A8615" s="10" t="s">
        <v>1340</v>
      </c>
      <c r="B8615" s="10" t="s">
        <v>42</v>
      </c>
      <c r="C8615" s="10" t="s">
        <v>1245</v>
      </c>
      <c r="D8615" s="10" t="s">
        <v>1341</v>
      </c>
      <c r="E8615" s="14">
        <v>0.1</v>
      </c>
      <c r="F8615" s="15">
        <f>ROUND(7.37,3)</f>
        <v>7.37</v>
      </c>
      <c r="G8615" s="12">
        <f t="shared" si="1287"/>
        <v>0.74</v>
      </c>
    </row>
    <row r="8616" ht="48.75" customHeight="1">
      <c r="A8616" s="10" t="s">
        <v>3873</v>
      </c>
      <c r="B8616" s="10" t="s">
        <v>42</v>
      </c>
      <c r="C8616" s="10" t="s">
        <v>344</v>
      </c>
      <c r="D8616" s="10" t="s">
        <v>3874</v>
      </c>
      <c r="E8616" s="14">
        <v>0.03333</v>
      </c>
      <c r="F8616" s="15">
        <f>ROUND(59.84,3)</f>
        <v>59.84</v>
      </c>
      <c r="G8616" s="12">
        <f t="shared" si="1287"/>
        <v>1.99</v>
      </c>
    </row>
    <row r="8617" ht="21.0" customHeight="1">
      <c r="A8617" s="10" t="s">
        <v>969</v>
      </c>
      <c r="B8617" s="10" t="s">
        <v>112</v>
      </c>
      <c r="C8617" s="10" t="s">
        <v>23</v>
      </c>
      <c r="D8617" s="10" t="s">
        <v>970</v>
      </c>
      <c r="E8617" s="14">
        <v>0.3</v>
      </c>
      <c r="F8617" s="15">
        <f>ROUND(2,3)</f>
        <v>2</v>
      </c>
      <c r="G8617" s="12">
        <f t="shared" si="1287"/>
        <v>0.6</v>
      </c>
    </row>
    <row r="8618" ht="30.0" customHeight="1">
      <c r="A8618" s="10" t="s">
        <v>971</v>
      </c>
      <c r="B8618" s="10" t="s">
        <v>42</v>
      </c>
      <c r="C8618" s="10" t="s">
        <v>231</v>
      </c>
      <c r="D8618" s="10" t="s">
        <v>972</v>
      </c>
      <c r="E8618" s="14">
        <v>0.05</v>
      </c>
      <c r="F8618" s="15">
        <f>ROUND(4.92,3)</f>
        <v>4.92</v>
      </c>
      <c r="G8618" s="12">
        <f t="shared" si="1287"/>
        <v>0.25</v>
      </c>
    </row>
    <row r="8619" ht="21.0" customHeight="1">
      <c r="A8619" s="10" t="s">
        <v>22</v>
      </c>
      <c r="B8619" s="10" t="s">
        <v>18</v>
      </c>
      <c r="C8619" s="10" t="s">
        <v>23</v>
      </c>
      <c r="D8619" s="10" t="s">
        <v>24</v>
      </c>
      <c r="E8619" s="14">
        <v>1.0</v>
      </c>
      <c r="F8619" s="15">
        <f>F8623</f>
        <v>43.8</v>
      </c>
      <c r="G8619" s="12">
        <f t="shared" si="1287"/>
        <v>43.8</v>
      </c>
    </row>
    <row r="8620" ht="24.0" customHeight="1">
      <c r="A8620" s="10" t="s">
        <v>25</v>
      </c>
      <c r="B8620" s="10" t="s">
        <v>26</v>
      </c>
      <c r="C8620" s="10" t="s">
        <v>23</v>
      </c>
      <c r="D8620" s="10" t="s">
        <v>27</v>
      </c>
      <c r="E8620" s="14">
        <v>1.0</v>
      </c>
      <c r="F8620" s="15">
        <f>ROUND(21,3)</f>
        <v>21</v>
      </c>
      <c r="G8620" s="12">
        <f t="shared" si="1287"/>
        <v>21</v>
      </c>
    </row>
    <row r="8621" ht="24.0" customHeight="1">
      <c r="A8621" s="10" t="s">
        <v>28</v>
      </c>
      <c r="B8621" s="10" t="s">
        <v>26</v>
      </c>
      <c r="C8621" s="10" t="s">
        <v>23</v>
      </c>
      <c r="D8621" s="10" t="s">
        <v>29</v>
      </c>
      <c r="E8621" s="14">
        <v>1.0</v>
      </c>
      <c r="F8621" s="15">
        <f t="shared" ref="F8621:F8622" si="1288">ROUND(19,3)</f>
        <v>19</v>
      </c>
      <c r="G8621" s="12">
        <f t="shared" si="1287"/>
        <v>19</v>
      </c>
    </row>
    <row r="8622" ht="24.0" customHeight="1">
      <c r="A8622" s="10" t="s">
        <v>30</v>
      </c>
      <c r="B8622" s="10" t="s">
        <v>26</v>
      </c>
      <c r="C8622" s="10" t="s">
        <v>23</v>
      </c>
      <c r="D8622" s="10" t="s">
        <v>31</v>
      </c>
      <c r="E8622" s="14">
        <v>0.2</v>
      </c>
      <c r="F8622" s="15">
        <f t="shared" si="1288"/>
        <v>19</v>
      </c>
      <c r="G8622" s="12">
        <f t="shared" si="1287"/>
        <v>3.8</v>
      </c>
    </row>
    <row r="8623" ht="15.0" customHeight="1">
      <c r="A8623" s="11"/>
      <c r="B8623" s="11"/>
      <c r="C8623" s="11"/>
      <c r="D8623" s="10" t="s">
        <v>22</v>
      </c>
      <c r="E8623" s="14">
        <v>1.0</v>
      </c>
      <c r="F8623" s="15">
        <f>ROUND((G8620+G8621+G8622),3)</f>
        <v>43.8</v>
      </c>
      <c r="G8623" s="12">
        <f t="shared" si="1287"/>
        <v>43.8</v>
      </c>
    </row>
    <row r="8624" ht="15.0" customHeight="1">
      <c r="A8624" s="10" t="s">
        <v>32</v>
      </c>
      <c r="B8624" s="10"/>
      <c r="C8624" s="10" t="s">
        <v>33</v>
      </c>
      <c r="D8624" s="10" t="s">
        <v>34</v>
      </c>
      <c r="E8624" s="14">
        <v>5.0</v>
      </c>
      <c r="F8624" s="15">
        <f>ROUND(43.8,3)</f>
        <v>43.8</v>
      </c>
      <c r="G8624" s="12">
        <f>ROUND((E8624*F8624)/100,2)</f>
        <v>2.19</v>
      </c>
    </row>
    <row r="8625" ht="15.0" customHeight="1">
      <c r="A8625" s="16"/>
      <c r="B8625" s="16"/>
      <c r="C8625" s="16"/>
      <c r="D8625" s="17" t="s">
        <v>3856</v>
      </c>
      <c r="E8625" s="16"/>
      <c r="F8625" s="18">
        <f>ROUND((G8606+G8607+G8608+G8609+G8610+G8611+G8612+G8613+G8614+G8615+G8616+G8617+G8618+G8619+G8624)*(1+G2/100),2)</f>
        <v>381.15</v>
      </c>
      <c r="G8625" s="16"/>
    </row>
    <row r="8626" ht="57.75" customHeight="1">
      <c r="A8626" s="19" t="s">
        <v>3875</v>
      </c>
      <c r="B8626" s="20" t="s">
        <v>18</v>
      </c>
      <c r="C8626" s="20" t="s">
        <v>351</v>
      </c>
      <c r="D8626" s="20" t="s">
        <v>3876</v>
      </c>
      <c r="E8626" s="21"/>
      <c r="F8626" s="22">
        <f>F8647</f>
        <v>82.73</v>
      </c>
      <c r="G8626" s="21"/>
    </row>
    <row r="8627" ht="21.0" customHeight="1">
      <c r="A8627" s="11"/>
      <c r="B8627" s="11"/>
      <c r="C8627" s="11"/>
      <c r="D8627" s="10" t="s">
        <v>3877</v>
      </c>
    </row>
    <row r="8628" ht="30.0" customHeight="1">
      <c r="A8628" s="10" t="s">
        <v>3878</v>
      </c>
      <c r="B8628" s="10" t="s">
        <v>42</v>
      </c>
      <c r="C8628" s="10" t="s">
        <v>344</v>
      </c>
      <c r="D8628" s="10" t="s">
        <v>3879</v>
      </c>
      <c r="E8628" s="14">
        <v>1.05</v>
      </c>
      <c r="F8628" s="15">
        <f>ROUND(20.5,3)</f>
        <v>20.5</v>
      </c>
      <c r="G8628" s="12">
        <f t="shared" ref="G8628:G8645" si="1289">ROUND(E8628*F8628,2)</f>
        <v>21.53</v>
      </c>
    </row>
    <row r="8629" ht="39.75" customHeight="1">
      <c r="A8629" s="10" t="s">
        <v>3880</v>
      </c>
      <c r="B8629" s="10" t="s">
        <v>42</v>
      </c>
      <c r="C8629" s="10" t="s">
        <v>344</v>
      </c>
      <c r="D8629" s="10" t="s">
        <v>3881</v>
      </c>
      <c r="E8629" s="14">
        <v>0.28571</v>
      </c>
      <c r="F8629" s="15">
        <f>ROUND(27.73,3)</f>
        <v>27.73</v>
      </c>
      <c r="G8629" s="12">
        <f t="shared" si="1289"/>
        <v>7.92</v>
      </c>
    </row>
    <row r="8630" ht="30.0" customHeight="1">
      <c r="A8630" s="10" t="s">
        <v>3882</v>
      </c>
      <c r="B8630" s="10" t="s">
        <v>42</v>
      </c>
      <c r="C8630" s="10" t="s">
        <v>344</v>
      </c>
      <c r="D8630" s="10" t="s">
        <v>3883</v>
      </c>
      <c r="E8630" s="14">
        <v>0.28571</v>
      </c>
      <c r="F8630" s="15">
        <f>ROUND(13.64,3)</f>
        <v>13.64</v>
      </c>
      <c r="G8630" s="12">
        <f t="shared" si="1289"/>
        <v>3.9</v>
      </c>
    </row>
    <row r="8631" ht="30.0" customHeight="1">
      <c r="A8631" s="10" t="s">
        <v>3884</v>
      </c>
      <c r="B8631" s="10" t="s">
        <v>42</v>
      </c>
      <c r="C8631" s="10" t="s">
        <v>344</v>
      </c>
      <c r="D8631" s="10" t="s">
        <v>3885</v>
      </c>
      <c r="E8631" s="14">
        <v>0.28571</v>
      </c>
      <c r="F8631" s="15">
        <f>ROUND(12.34,3)</f>
        <v>12.34</v>
      </c>
      <c r="G8631" s="12">
        <f t="shared" si="1289"/>
        <v>3.53</v>
      </c>
    </row>
    <row r="8632" ht="30.0" customHeight="1">
      <c r="A8632" s="10" t="s">
        <v>3886</v>
      </c>
      <c r="B8632" s="10" t="s">
        <v>42</v>
      </c>
      <c r="C8632" s="10" t="s">
        <v>344</v>
      </c>
      <c r="D8632" s="10" t="s">
        <v>3887</v>
      </c>
      <c r="E8632" s="14">
        <v>0.71429</v>
      </c>
      <c r="F8632" s="15">
        <f>ROUND(4.67,3)</f>
        <v>4.67</v>
      </c>
      <c r="G8632" s="12">
        <f t="shared" si="1289"/>
        <v>3.34</v>
      </c>
    </row>
    <row r="8633" ht="30.0" customHeight="1">
      <c r="A8633" s="10" t="s">
        <v>2654</v>
      </c>
      <c r="B8633" s="10" t="s">
        <v>42</v>
      </c>
      <c r="C8633" s="10" t="s">
        <v>344</v>
      </c>
      <c r="D8633" s="10" t="s">
        <v>2655</v>
      </c>
      <c r="E8633" s="14">
        <v>0.0286</v>
      </c>
      <c r="F8633" s="15">
        <f>ROUND(15.74,3)</f>
        <v>15.74</v>
      </c>
      <c r="G8633" s="12">
        <f t="shared" si="1289"/>
        <v>0.45</v>
      </c>
    </row>
    <row r="8634" ht="30.0" customHeight="1">
      <c r="A8634" s="10" t="s">
        <v>2652</v>
      </c>
      <c r="B8634" s="10" t="s">
        <v>42</v>
      </c>
      <c r="C8634" s="10" t="s">
        <v>344</v>
      </c>
      <c r="D8634" s="10" t="s">
        <v>2653</v>
      </c>
      <c r="E8634" s="14">
        <v>0.0286</v>
      </c>
      <c r="F8634" s="15">
        <f>ROUND(4.92,3)</f>
        <v>4.92</v>
      </c>
      <c r="G8634" s="12">
        <f t="shared" si="1289"/>
        <v>0.14</v>
      </c>
    </row>
    <row r="8635" ht="30.0" customHeight="1">
      <c r="A8635" s="10" t="s">
        <v>1745</v>
      </c>
      <c r="B8635" s="10" t="s">
        <v>42</v>
      </c>
      <c r="C8635" s="10" t="s">
        <v>330</v>
      </c>
      <c r="D8635" s="10" t="s">
        <v>1746</v>
      </c>
      <c r="E8635" s="14">
        <v>0.125</v>
      </c>
      <c r="F8635" s="15">
        <f>ROUND(7.93,3)</f>
        <v>7.93</v>
      </c>
      <c r="G8635" s="12">
        <f t="shared" si="1289"/>
        <v>0.99</v>
      </c>
    </row>
    <row r="8636" ht="30.0" customHeight="1">
      <c r="A8636" s="10" t="s">
        <v>1378</v>
      </c>
      <c r="B8636" s="10" t="s">
        <v>42</v>
      </c>
      <c r="C8636" s="10" t="s">
        <v>330</v>
      </c>
      <c r="D8636" s="10" t="s">
        <v>1379</v>
      </c>
      <c r="E8636" s="14">
        <v>0.05</v>
      </c>
      <c r="F8636" s="15">
        <f>ROUND(6.14,3)</f>
        <v>6.14</v>
      </c>
      <c r="G8636" s="12">
        <f t="shared" si="1289"/>
        <v>0.31</v>
      </c>
    </row>
    <row r="8637" ht="39.75" customHeight="1">
      <c r="A8637" s="10" t="s">
        <v>1340</v>
      </c>
      <c r="B8637" s="10" t="s">
        <v>42</v>
      </c>
      <c r="C8637" s="10" t="s">
        <v>1245</v>
      </c>
      <c r="D8637" s="10" t="s">
        <v>1341</v>
      </c>
      <c r="E8637" s="14">
        <v>0.16896</v>
      </c>
      <c r="F8637" s="15">
        <f>ROUND(7.37,3)</f>
        <v>7.37</v>
      </c>
      <c r="G8637" s="12">
        <f t="shared" si="1289"/>
        <v>1.25</v>
      </c>
    </row>
    <row r="8638" ht="30.0" customHeight="1">
      <c r="A8638" s="10" t="s">
        <v>3452</v>
      </c>
      <c r="B8638" s="10" t="s">
        <v>42</v>
      </c>
      <c r="C8638" s="10" t="s">
        <v>344</v>
      </c>
      <c r="D8638" s="10" t="s">
        <v>3453</v>
      </c>
      <c r="E8638" s="14">
        <v>1.0</v>
      </c>
      <c r="F8638" s="15">
        <f>ROUND(1.73,3)</f>
        <v>1.73</v>
      </c>
      <c r="G8638" s="12">
        <f t="shared" si="1289"/>
        <v>1.73</v>
      </c>
    </row>
    <row r="8639" ht="21.0" customHeight="1">
      <c r="A8639" s="10" t="s">
        <v>969</v>
      </c>
      <c r="B8639" s="10" t="s">
        <v>112</v>
      </c>
      <c r="C8639" s="10" t="s">
        <v>23</v>
      </c>
      <c r="D8639" s="10" t="s">
        <v>970</v>
      </c>
      <c r="E8639" s="14">
        <v>0.3</v>
      </c>
      <c r="F8639" s="15">
        <f>ROUND(2,3)</f>
        <v>2</v>
      </c>
      <c r="G8639" s="12">
        <f t="shared" si="1289"/>
        <v>0.6</v>
      </c>
    </row>
    <row r="8640" ht="30.0" customHeight="1">
      <c r="A8640" s="10" t="s">
        <v>971</v>
      </c>
      <c r="B8640" s="10" t="s">
        <v>42</v>
      </c>
      <c r="C8640" s="10" t="s">
        <v>231</v>
      </c>
      <c r="D8640" s="10" t="s">
        <v>972</v>
      </c>
      <c r="E8640" s="14">
        <v>0.05</v>
      </c>
      <c r="F8640" s="15">
        <f>ROUND(4.92,3)</f>
        <v>4.92</v>
      </c>
      <c r="G8640" s="12">
        <f t="shared" si="1289"/>
        <v>0.25</v>
      </c>
    </row>
    <row r="8641" ht="21.0" customHeight="1">
      <c r="A8641" s="10" t="s">
        <v>22</v>
      </c>
      <c r="B8641" s="10" t="s">
        <v>18</v>
      </c>
      <c r="C8641" s="10" t="s">
        <v>23</v>
      </c>
      <c r="D8641" s="10" t="s">
        <v>24</v>
      </c>
      <c r="E8641" s="14">
        <v>0.8</v>
      </c>
      <c r="F8641" s="15">
        <f>F8645</f>
        <v>43.8</v>
      </c>
      <c r="G8641" s="12">
        <f t="shared" si="1289"/>
        <v>35.04</v>
      </c>
    </row>
    <row r="8642" ht="24.0" customHeight="1">
      <c r="A8642" s="10" t="s">
        <v>25</v>
      </c>
      <c r="B8642" s="10" t="s">
        <v>26</v>
      </c>
      <c r="C8642" s="10" t="s">
        <v>23</v>
      </c>
      <c r="D8642" s="10" t="s">
        <v>27</v>
      </c>
      <c r="E8642" s="14">
        <v>1.0</v>
      </c>
      <c r="F8642" s="15">
        <f>ROUND(21,3)</f>
        <v>21</v>
      </c>
      <c r="G8642" s="12">
        <f t="shared" si="1289"/>
        <v>21</v>
      </c>
    </row>
    <row r="8643" ht="24.0" customHeight="1">
      <c r="A8643" s="10" t="s">
        <v>28</v>
      </c>
      <c r="B8643" s="10" t="s">
        <v>26</v>
      </c>
      <c r="C8643" s="10" t="s">
        <v>23</v>
      </c>
      <c r="D8643" s="10" t="s">
        <v>29</v>
      </c>
      <c r="E8643" s="14">
        <v>1.0</v>
      </c>
      <c r="F8643" s="15">
        <f t="shared" ref="F8643:F8644" si="1290">ROUND(19,3)</f>
        <v>19</v>
      </c>
      <c r="G8643" s="12">
        <f t="shared" si="1289"/>
        <v>19</v>
      </c>
    </row>
    <row r="8644" ht="24.0" customHeight="1">
      <c r="A8644" s="10" t="s">
        <v>30</v>
      </c>
      <c r="B8644" s="10" t="s">
        <v>26</v>
      </c>
      <c r="C8644" s="10" t="s">
        <v>23</v>
      </c>
      <c r="D8644" s="10" t="s">
        <v>31</v>
      </c>
      <c r="E8644" s="14">
        <v>0.2</v>
      </c>
      <c r="F8644" s="15">
        <f t="shared" si="1290"/>
        <v>19</v>
      </c>
      <c r="G8644" s="12">
        <f t="shared" si="1289"/>
        <v>3.8</v>
      </c>
    </row>
    <row r="8645" ht="15.0" customHeight="1">
      <c r="A8645" s="11"/>
      <c r="B8645" s="11"/>
      <c r="C8645" s="11"/>
      <c r="D8645" s="10" t="s">
        <v>22</v>
      </c>
      <c r="E8645" s="14">
        <v>0.8</v>
      </c>
      <c r="F8645" s="15">
        <f>ROUND((G8642+G8643+G8644),3)</f>
        <v>43.8</v>
      </c>
      <c r="G8645" s="12">
        <f t="shared" si="1289"/>
        <v>35.04</v>
      </c>
    </row>
    <row r="8646" ht="15.0" customHeight="1">
      <c r="A8646" s="10" t="s">
        <v>32</v>
      </c>
      <c r="B8646" s="10"/>
      <c r="C8646" s="10" t="s">
        <v>33</v>
      </c>
      <c r="D8646" s="10" t="s">
        <v>34</v>
      </c>
      <c r="E8646" s="14">
        <v>5.0</v>
      </c>
      <c r="F8646" s="15">
        <f>ROUND(35.04,3)</f>
        <v>35.04</v>
      </c>
      <c r="G8646" s="12">
        <f>ROUND((E8646*F8646)/100,2)</f>
        <v>1.75</v>
      </c>
    </row>
    <row r="8647" ht="15.0" customHeight="1">
      <c r="A8647" s="16"/>
      <c r="B8647" s="16"/>
      <c r="C8647" s="16"/>
      <c r="D8647" s="17" t="s">
        <v>3875</v>
      </c>
      <c r="E8647" s="16"/>
      <c r="F8647" s="18">
        <f>ROUND((G8628+G8629+G8630+G8631+G8632+G8633+G8634+G8635+G8636+G8637+G8638+G8639+G8640+G8641+G8646)*(1+G2/100),2)</f>
        <v>82.73</v>
      </c>
      <c r="G8647" s="16"/>
    </row>
    <row r="8648" ht="57.75" customHeight="1">
      <c r="A8648" s="19" t="s">
        <v>3888</v>
      </c>
      <c r="B8648" s="20" t="s">
        <v>18</v>
      </c>
      <c r="C8648" s="20" t="s">
        <v>351</v>
      </c>
      <c r="D8648" s="20" t="s">
        <v>3889</v>
      </c>
      <c r="E8648" s="21"/>
      <c r="F8648" s="22">
        <f>F8669</f>
        <v>96.53</v>
      </c>
      <c r="G8648" s="21"/>
    </row>
    <row r="8649" ht="21.0" customHeight="1">
      <c r="A8649" s="11"/>
      <c r="B8649" s="11"/>
      <c r="C8649" s="11"/>
      <c r="D8649" s="10" t="s">
        <v>3890</v>
      </c>
    </row>
    <row r="8650" ht="30.0" customHeight="1">
      <c r="A8650" s="10" t="s">
        <v>3878</v>
      </c>
      <c r="B8650" s="10" t="s">
        <v>42</v>
      </c>
      <c r="C8650" s="10" t="s">
        <v>344</v>
      </c>
      <c r="D8650" s="10" t="s">
        <v>3879</v>
      </c>
      <c r="E8650" s="14">
        <v>1.05</v>
      </c>
      <c r="F8650" s="15">
        <f>ROUND(20.5,3)</f>
        <v>20.5</v>
      </c>
      <c r="G8650" s="12">
        <f t="shared" ref="G8650:G8667" si="1291">ROUND(E8650*F8650,2)</f>
        <v>21.53</v>
      </c>
    </row>
    <row r="8651" ht="39.75" customHeight="1">
      <c r="A8651" s="10" t="s">
        <v>3880</v>
      </c>
      <c r="B8651" s="10" t="s">
        <v>42</v>
      </c>
      <c r="C8651" s="10" t="s">
        <v>344</v>
      </c>
      <c r="D8651" s="10" t="s">
        <v>3881</v>
      </c>
      <c r="E8651" s="14">
        <v>0.28571</v>
      </c>
      <c r="F8651" s="15">
        <f>ROUND(27.73,3)</f>
        <v>27.73</v>
      </c>
      <c r="G8651" s="12">
        <f t="shared" si="1291"/>
        <v>7.92</v>
      </c>
    </row>
    <row r="8652" ht="30.0" customHeight="1">
      <c r="A8652" s="10" t="s">
        <v>3882</v>
      </c>
      <c r="B8652" s="10" t="s">
        <v>42</v>
      </c>
      <c r="C8652" s="10" t="s">
        <v>344</v>
      </c>
      <c r="D8652" s="10" t="s">
        <v>3883</v>
      </c>
      <c r="E8652" s="14">
        <v>0.28571</v>
      </c>
      <c r="F8652" s="15">
        <f>ROUND(13.64,3)</f>
        <v>13.64</v>
      </c>
      <c r="G8652" s="12">
        <f t="shared" si="1291"/>
        <v>3.9</v>
      </c>
    </row>
    <row r="8653" ht="30.0" customHeight="1">
      <c r="A8653" s="10" t="s">
        <v>3884</v>
      </c>
      <c r="B8653" s="10" t="s">
        <v>42</v>
      </c>
      <c r="C8653" s="10" t="s">
        <v>344</v>
      </c>
      <c r="D8653" s="10" t="s">
        <v>3885</v>
      </c>
      <c r="E8653" s="14">
        <v>0.28571</v>
      </c>
      <c r="F8653" s="15">
        <f>ROUND(12.34,3)</f>
        <v>12.34</v>
      </c>
      <c r="G8653" s="12">
        <f t="shared" si="1291"/>
        <v>3.53</v>
      </c>
    </row>
    <row r="8654" ht="30.0" customHeight="1">
      <c r="A8654" s="10" t="s">
        <v>3886</v>
      </c>
      <c r="B8654" s="10" t="s">
        <v>42</v>
      </c>
      <c r="C8654" s="10" t="s">
        <v>344</v>
      </c>
      <c r="D8654" s="10" t="s">
        <v>3887</v>
      </c>
      <c r="E8654" s="14">
        <v>0.71429</v>
      </c>
      <c r="F8654" s="15">
        <f>ROUND(4.67,3)</f>
        <v>4.67</v>
      </c>
      <c r="G8654" s="12">
        <f t="shared" si="1291"/>
        <v>3.34</v>
      </c>
    </row>
    <row r="8655" ht="30.0" customHeight="1">
      <c r="A8655" s="10" t="s">
        <v>2654</v>
      </c>
      <c r="B8655" s="10" t="s">
        <v>42</v>
      </c>
      <c r="C8655" s="10" t="s">
        <v>344</v>
      </c>
      <c r="D8655" s="10" t="s">
        <v>2655</v>
      </c>
      <c r="E8655" s="14">
        <v>0.0286</v>
      </c>
      <c r="F8655" s="15">
        <f>ROUND(15.74,3)</f>
        <v>15.74</v>
      </c>
      <c r="G8655" s="12">
        <f t="shared" si="1291"/>
        <v>0.45</v>
      </c>
    </row>
    <row r="8656" ht="30.0" customHeight="1">
      <c r="A8656" s="10" t="s">
        <v>2652</v>
      </c>
      <c r="B8656" s="10" t="s">
        <v>42</v>
      </c>
      <c r="C8656" s="10" t="s">
        <v>344</v>
      </c>
      <c r="D8656" s="10" t="s">
        <v>2653</v>
      </c>
      <c r="E8656" s="14">
        <v>0.0286</v>
      </c>
      <c r="F8656" s="15">
        <f>ROUND(4.92,3)</f>
        <v>4.92</v>
      </c>
      <c r="G8656" s="12">
        <f t="shared" si="1291"/>
        <v>0.14</v>
      </c>
    </row>
    <row r="8657" ht="30.0" customHeight="1">
      <c r="A8657" s="10" t="s">
        <v>1745</v>
      </c>
      <c r="B8657" s="10" t="s">
        <v>42</v>
      </c>
      <c r="C8657" s="10" t="s">
        <v>330</v>
      </c>
      <c r="D8657" s="10" t="s">
        <v>1746</v>
      </c>
      <c r="E8657" s="14">
        <v>0.125</v>
      </c>
      <c r="F8657" s="15">
        <f>ROUND(7.93,3)</f>
        <v>7.93</v>
      </c>
      <c r="G8657" s="12">
        <f t="shared" si="1291"/>
        <v>0.99</v>
      </c>
    </row>
    <row r="8658" ht="30.0" customHeight="1">
      <c r="A8658" s="10" t="s">
        <v>1378</v>
      </c>
      <c r="B8658" s="10" t="s">
        <v>42</v>
      </c>
      <c r="C8658" s="10" t="s">
        <v>330</v>
      </c>
      <c r="D8658" s="10" t="s">
        <v>1379</v>
      </c>
      <c r="E8658" s="14">
        <v>0.05</v>
      </c>
      <c r="F8658" s="15">
        <f>ROUND(6.14,3)</f>
        <v>6.14</v>
      </c>
      <c r="G8658" s="12">
        <f t="shared" si="1291"/>
        <v>0.31</v>
      </c>
    </row>
    <row r="8659" ht="39.75" customHeight="1">
      <c r="A8659" s="10" t="s">
        <v>1340</v>
      </c>
      <c r="B8659" s="10" t="s">
        <v>42</v>
      </c>
      <c r="C8659" s="10" t="s">
        <v>1245</v>
      </c>
      <c r="D8659" s="10" t="s">
        <v>1341</v>
      </c>
      <c r="E8659" s="14">
        <v>0.16896</v>
      </c>
      <c r="F8659" s="15">
        <f>ROUND(7.37,3)</f>
        <v>7.37</v>
      </c>
      <c r="G8659" s="12">
        <f t="shared" si="1291"/>
        <v>1.25</v>
      </c>
    </row>
    <row r="8660" ht="30.0" customHeight="1">
      <c r="A8660" s="10" t="s">
        <v>3452</v>
      </c>
      <c r="B8660" s="10" t="s">
        <v>42</v>
      </c>
      <c r="C8660" s="10" t="s">
        <v>344</v>
      </c>
      <c r="D8660" s="10" t="s">
        <v>3453</v>
      </c>
      <c r="E8660" s="14">
        <v>1.0</v>
      </c>
      <c r="F8660" s="15">
        <f>ROUND(1.73,3)</f>
        <v>1.73</v>
      </c>
      <c r="G8660" s="12">
        <f t="shared" si="1291"/>
        <v>1.73</v>
      </c>
    </row>
    <row r="8661" ht="21.0" customHeight="1">
      <c r="A8661" s="10" t="s">
        <v>969</v>
      </c>
      <c r="B8661" s="10" t="s">
        <v>112</v>
      </c>
      <c r="C8661" s="10" t="s">
        <v>23</v>
      </c>
      <c r="D8661" s="10" t="s">
        <v>970</v>
      </c>
      <c r="E8661" s="14">
        <v>0.3</v>
      </c>
      <c r="F8661" s="15">
        <f>ROUND(2,3)</f>
        <v>2</v>
      </c>
      <c r="G8661" s="12">
        <f t="shared" si="1291"/>
        <v>0.6</v>
      </c>
    </row>
    <row r="8662" ht="30.0" customHeight="1">
      <c r="A8662" s="10" t="s">
        <v>971</v>
      </c>
      <c r="B8662" s="10" t="s">
        <v>42</v>
      </c>
      <c r="C8662" s="10" t="s">
        <v>231</v>
      </c>
      <c r="D8662" s="10" t="s">
        <v>972</v>
      </c>
      <c r="E8662" s="14">
        <v>0.05</v>
      </c>
      <c r="F8662" s="15">
        <f>ROUND(4.92,3)</f>
        <v>4.92</v>
      </c>
      <c r="G8662" s="12">
        <f t="shared" si="1291"/>
        <v>0.25</v>
      </c>
    </row>
    <row r="8663" ht="21.0" customHeight="1">
      <c r="A8663" s="10" t="s">
        <v>22</v>
      </c>
      <c r="B8663" s="10" t="s">
        <v>18</v>
      </c>
      <c r="C8663" s="10" t="s">
        <v>23</v>
      </c>
      <c r="D8663" s="10" t="s">
        <v>24</v>
      </c>
      <c r="E8663" s="14">
        <v>1.1</v>
      </c>
      <c r="F8663" s="15">
        <f>F8667</f>
        <v>43.8</v>
      </c>
      <c r="G8663" s="12">
        <f t="shared" si="1291"/>
        <v>48.18</v>
      </c>
    </row>
    <row r="8664" ht="24.0" customHeight="1">
      <c r="A8664" s="10" t="s">
        <v>25</v>
      </c>
      <c r="B8664" s="10" t="s">
        <v>26</v>
      </c>
      <c r="C8664" s="10" t="s">
        <v>23</v>
      </c>
      <c r="D8664" s="10" t="s">
        <v>27</v>
      </c>
      <c r="E8664" s="14">
        <v>1.0</v>
      </c>
      <c r="F8664" s="15">
        <f>ROUND(21,3)</f>
        <v>21</v>
      </c>
      <c r="G8664" s="12">
        <f t="shared" si="1291"/>
        <v>21</v>
      </c>
    </row>
    <row r="8665" ht="24.0" customHeight="1">
      <c r="A8665" s="10" t="s">
        <v>28</v>
      </c>
      <c r="B8665" s="10" t="s">
        <v>26</v>
      </c>
      <c r="C8665" s="10" t="s">
        <v>23</v>
      </c>
      <c r="D8665" s="10" t="s">
        <v>29</v>
      </c>
      <c r="E8665" s="14">
        <v>1.0</v>
      </c>
      <c r="F8665" s="15">
        <f t="shared" ref="F8665:F8666" si="1292">ROUND(19,3)</f>
        <v>19</v>
      </c>
      <c r="G8665" s="12">
        <f t="shared" si="1291"/>
        <v>19</v>
      </c>
    </row>
    <row r="8666" ht="24.0" customHeight="1">
      <c r="A8666" s="10" t="s">
        <v>30</v>
      </c>
      <c r="B8666" s="10" t="s">
        <v>26</v>
      </c>
      <c r="C8666" s="10" t="s">
        <v>23</v>
      </c>
      <c r="D8666" s="10" t="s">
        <v>31</v>
      </c>
      <c r="E8666" s="14">
        <v>0.2</v>
      </c>
      <c r="F8666" s="15">
        <f t="shared" si="1292"/>
        <v>19</v>
      </c>
      <c r="G8666" s="12">
        <f t="shared" si="1291"/>
        <v>3.8</v>
      </c>
    </row>
    <row r="8667" ht="15.0" customHeight="1">
      <c r="A8667" s="11"/>
      <c r="B8667" s="11"/>
      <c r="C8667" s="11"/>
      <c r="D8667" s="10" t="s">
        <v>22</v>
      </c>
      <c r="E8667" s="14">
        <v>1.1</v>
      </c>
      <c r="F8667" s="15">
        <f>ROUND((G8664+G8665+G8666),3)</f>
        <v>43.8</v>
      </c>
      <c r="G8667" s="12">
        <f t="shared" si="1291"/>
        <v>48.18</v>
      </c>
    </row>
    <row r="8668" ht="15.0" customHeight="1">
      <c r="A8668" s="10" t="s">
        <v>32</v>
      </c>
      <c r="B8668" s="10"/>
      <c r="C8668" s="10" t="s">
        <v>33</v>
      </c>
      <c r="D8668" s="10" t="s">
        <v>34</v>
      </c>
      <c r="E8668" s="14">
        <v>5.0</v>
      </c>
      <c r="F8668" s="15">
        <f>ROUND(48.18,3)</f>
        <v>48.18</v>
      </c>
      <c r="G8668" s="12">
        <f>ROUND((E8668*F8668)/100,2)</f>
        <v>2.41</v>
      </c>
    </row>
    <row r="8669" ht="15.0" customHeight="1">
      <c r="A8669" s="16"/>
      <c r="B8669" s="16"/>
      <c r="C8669" s="16"/>
      <c r="D8669" s="17" t="s">
        <v>3888</v>
      </c>
      <c r="E8669" s="16"/>
      <c r="F8669" s="18">
        <f>ROUND((G8650+G8651+G8652+G8653+G8654+G8655+G8656+G8657+G8658+G8659+G8660+G8661+G8662+G8663+G8668)*(1+G2/100),2)</f>
        <v>96.53</v>
      </c>
      <c r="G8669" s="16"/>
    </row>
    <row r="8670" ht="48.75" customHeight="1">
      <c r="A8670" s="19" t="s">
        <v>3891</v>
      </c>
      <c r="B8670" s="20" t="s">
        <v>18</v>
      </c>
      <c r="C8670" s="20" t="s">
        <v>351</v>
      </c>
      <c r="D8670" s="20" t="s">
        <v>3892</v>
      </c>
      <c r="E8670" s="21"/>
      <c r="F8670" s="22">
        <f>F8693</f>
        <v>66.58</v>
      </c>
      <c r="G8670" s="21"/>
    </row>
    <row r="8671" ht="21.0" customHeight="1">
      <c r="A8671" s="11"/>
      <c r="B8671" s="11"/>
      <c r="C8671" s="11"/>
      <c r="D8671" s="10" t="s">
        <v>3893</v>
      </c>
    </row>
    <row r="8672" ht="39.75" customHeight="1">
      <c r="A8672" s="10" t="s">
        <v>3894</v>
      </c>
      <c r="B8672" s="10" t="s">
        <v>42</v>
      </c>
      <c r="C8672" s="10" t="s">
        <v>344</v>
      </c>
      <c r="D8672" s="10" t="s">
        <v>3895</v>
      </c>
      <c r="E8672" s="14">
        <v>1.05</v>
      </c>
      <c r="F8672" s="15">
        <f>ROUND(9.16,3)</f>
        <v>9.16</v>
      </c>
      <c r="G8672" s="12">
        <f t="shared" ref="G8672:G8691" si="1293">ROUND(E8672*F8672,2)</f>
        <v>9.62</v>
      </c>
    </row>
    <row r="8673" ht="39.75" customHeight="1">
      <c r="A8673" s="10" t="s">
        <v>3896</v>
      </c>
      <c r="B8673" s="10" t="s">
        <v>42</v>
      </c>
      <c r="C8673" s="10" t="s">
        <v>344</v>
      </c>
      <c r="D8673" s="10" t="s">
        <v>3897</v>
      </c>
      <c r="E8673" s="14">
        <v>0.71429</v>
      </c>
      <c r="F8673" s="15">
        <f>ROUND(3.16,3)</f>
        <v>3.16</v>
      </c>
      <c r="G8673" s="12">
        <f t="shared" si="1293"/>
        <v>2.26</v>
      </c>
    </row>
    <row r="8674" ht="39.75" customHeight="1">
      <c r="A8674" s="10" t="s">
        <v>3880</v>
      </c>
      <c r="B8674" s="10" t="s">
        <v>42</v>
      </c>
      <c r="C8674" s="10" t="s">
        <v>344</v>
      </c>
      <c r="D8674" s="10" t="s">
        <v>3881</v>
      </c>
      <c r="E8674" s="14">
        <v>0.28571</v>
      </c>
      <c r="F8674" s="15">
        <f>ROUND(27.73,3)</f>
        <v>27.73</v>
      </c>
      <c r="G8674" s="12">
        <f t="shared" si="1293"/>
        <v>7.92</v>
      </c>
    </row>
    <row r="8675" ht="39.75" customHeight="1">
      <c r="A8675" s="10" t="s">
        <v>3898</v>
      </c>
      <c r="B8675" s="10" t="s">
        <v>42</v>
      </c>
      <c r="C8675" s="10" t="s">
        <v>344</v>
      </c>
      <c r="D8675" s="10" t="s">
        <v>3899</v>
      </c>
      <c r="E8675" s="14">
        <v>0.28571</v>
      </c>
      <c r="F8675" s="15">
        <f t="shared" ref="F8675:F8676" si="1294">ROUND(6.84,3)</f>
        <v>6.84</v>
      </c>
      <c r="G8675" s="12">
        <f t="shared" si="1293"/>
        <v>1.95</v>
      </c>
    </row>
    <row r="8676" ht="39.75" customHeight="1">
      <c r="A8676" s="10" t="s">
        <v>3900</v>
      </c>
      <c r="B8676" s="10" t="s">
        <v>42</v>
      </c>
      <c r="C8676" s="10" t="s">
        <v>344</v>
      </c>
      <c r="D8676" s="10" t="s">
        <v>3901</v>
      </c>
      <c r="E8676" s="14">
        <v>0.28571</v>
      </c>
      <c r="F8676" s="15">
        <f t="shared" si="1294"/>
        <v>6.84</v>
      </c>
      <c r="G8676" s="12">
        <f t="shared" si="1293"/>
        <v>1.95</v>
      </c>
    </row>
    <row r="8677" ht="30.0" customHeight="1">
      <c r="A8677" s="10" t="s">
        <v>2654</v>
      </c>
      <c r="B8677" s="10" t="s">
        <v>42</v>
      </c>
      <c r="C8677" s="10" t="s">
        <v>344</v>
      </c>
      <c r="D8677" s="10" t="s">
        <v>2655</v>
      </c>
      <c r="E8677" s="14">
        <v>0.0286</v>
      </c>
      <c r="F8677" s="15">
        <f>ROUND(15.74,3)</f>
        <v>15.74</v>
      </c>
      <c r="G8677" s="12">
        <f t="shared" si="1293"/>
        <v>0.45</v>
      </c>
    </row>
    <row r="8678" ht="30.0" customHeight="1">
      <c r="A8678" s="10" t="s">
        <v>2652</v>
      </c>
      <c r="B8678" s="10" t="s">
        <v>42</v>
      </c>
      <c r="C8678" s="10" t="s">
        <v>344</v>
      </c>
      <c r="D8678" s="10" t="s">
        <v>2653</v>
      </c>
      <c r="E8678" s="14">
        <v>0.0286</v>
      </c>
      <c r="F8678" s="15">
        <f>ROUND(4.92,3)</f>
        <v>4.92</v>
      </c>
      <c r="G8678" s="12">
        <f t="shared" si="1293"/>
        <v>0.14</v>
      </c>
    </row>
    <row r="8679" ht="30.0" customHeight="1">
      <c r="A8679" s="10" t="s">
        <v>467</v>
      </c>
      <c r="B8679" s="10" t="s">
        <v>42</v>
      </c>
      <c r="C8679" s="10" t="s">
        <v>43</v>
      </c>
      <c r="D8679" s="10" t="s">
        <v>468</v>
      </c>
      <c r="E8679" s="14">
        <v>0.42</v>
      </c>
      <c r="F8679" s="15">
        <f>ROUND(6.09,3)</f>
        <v>6.09</v>
      </c>
      <c r="G8679" s="12">
        <f t="shared" si="1293"/>
        <v>2.56</v>
      </c>
    </row>
    <row r="8680" ht="30.0" customHeight="1">
      <c r="A8680" s="10" t="s">
        <v>465</v>
      </c>
      <c r="B8680" s="10" t="s">
        <v>42</v>
      </c>
      <c r="C8680" s="10" t="s">
        <v>43</v>
      </c>
      <c r="D8680" s="10" t="s">
        <v>466</v>
      </c>
      <c r="E8680" s="14">
        <v>0.86</v>
      </c>
      <c r="F8680" s="15">
        <f>ROUND(4.58,3)</f>
        <v>4.58</v>
      </c>
      <c r="G8680" s="12">
        <f t="shared" si="1293"/>
        <v>3.94</v>
      </c>
    </row>
    <row r="8681" ht="30.0" customHeight="1">
      <c r="A8681" s="10" t="s">
        <v>1745</v>
      </c>
      <c r="B8681" s="10" t="s">
        <v>42</v>
      </c>
      <c r="C8681" s="10" t="s">
        <v>330</v>
      </c>
      <c r="D8681" s="10" t="s">
        <v>1746</v>
      </c>
      <c r="E8681" s="14">
        <v>0.125</v>
      </c>
      <c r="F8681" s="15">
        <f>ROUND(7.93,3)</f>
        <v>7.93</v>
      </c>
      <c r="G8681" s="12">
        <f t="shared" si="1293"/>
        <v>0.99</v>
      </c>
    </row>
    <row r="8682" ht="30.0" customHeight="1">
      <c r="A8682" s="10" t="s">
        <v>1378</v>
      </c>
      <c r="B8682" s="10" t="s">
        <v>42</v>
      </c>
      <c r="C8682" s="10" t="s">
        <v>330</v>
      </c>
      <c r="D8682" s="10" t="s">
        <v>1379</v>
      </c>
      <c r="E8682" s="14">
        <v>0.05</v>
      </c>
      <c r="F8682" s="15">
        <f>ROUND(6.14,3)</f>
        <v>6.14</v>
      </c>
      <c r="G8682" s="12">
        <f t="shared" si="1293"/>
        <v>0.31</v>
      </c>
    </row>
    <row r="8683" ht="39.75" customHeight="1">
      <c r="A8683" s="10" t="s">
        <v>1340</v>
      </c>
      <c r="B8683" s="10" t="s">
        <v>42</v>
      </c>
      <c r="C8683" s="10" t="s">
        <v>1245</v>
      </c>
      <c r="D8683" s="10" t="s">
        <v>1341</v>
      </c>
      <c r="E8683" s="14">
        <v>0.16896</v>
      </c>
      <c r="F8683" s="15">
        <f>ROUND(7.37,3)</f>
        <v>7.37</v>
      </c>
      <c r="G8683" s="12">
        <f t="shared" si="1293"/>
        <v>1.25</v>
      </c>
    </row>
    <row r="8684" ht="30.0" customHeight="1">
      <c r="A8684" s="10" t="s">
        <v>3452</v>
      </c>
      <c r="B8684" s="10" t="s">
        <v>42</v>
      </c>
      <c r="C8684" s="10" t="s">
        <v>344</v>
      </c>
      <c r="D8684" s="10" t="s">
        <v>3453</v>
      </c>
      <c r="E8684" s="14">
        <v>1.0</v>
      </c>
      <c r="F8684" s="15">
        <f>ROUND(1.73,3)</f>
        <v>1.73</v>
      </c>
      <c r="G8684" s="12">
        <f t="shared" si="1293"/>
        <v>1.73</v>
      </c>
    </row>
    <row r="8685" ht="21.0" customHeight="1">
      <c r="A8685" s="10" t="s">
        <v>969</v>
      </c>
      <c r="B8685" s="10" t="s">
        <v>112</v>
      </c>
      <c r="C8685" s="10" t="s">
        <v>23</v>
      </c>
      <c r="D8685" s="10" t="s">
        <v>970</v>
      </c>
      <c r="E8685" s="14">
        <v>0.3</v>
      </c>
      <c r="F8685" s="15">
        <f>ROUND(2,3)</f>
        <v>2</v>
      </c>
      <c r="G8685" s="12">
        <f t="shared" si="1293"/>
        <v>0.6</v>
      </c>
    </row>
    <row r="8686" ht="30.0" customHeight="1">
      <c r="A8686" s="10" t="s">
        <v>971</v>
      </c>
      <c r="B8686" s="10" t="s">
        <v>42</v>
      </c>
      <c r="C8686" s="10" t="s">
        <v>231</v>
      </c>
      <c r="D8686" s="10" t="s">
        <v>972</v>
      </c>
      <c r="E8686" s="14">
        <v>0.05</v>
      </c>
      <c r="F8686" s="15">
        <f>ROUND(4.92,3)</f>
        <v>4.92</v>
      </c>
      <c r="G8686" s="12">
        <f t="shared" si="1293"/>
        <v>0.25</v>
      </c>
    </row>
    <row r="8687" ht="21.0" customHeight="1">
      <c r="A8687" s="10" t="s">
        <v>22</v>
      </c>
      <c r="B8687" s="10" t="s">
        <v>18</v>
      </c>
      <c r="C8687" s="10" t="s">
        <v>23</v>
      </c>
      <c r="D8687" s="10" t="s">
        <v>24</v>
      </c>
      <c r="E8687" s="14">
        <v>0.66667</v>
      </c>
      <c r="F8687" s="15">
        <f>F8691</f>
        <v>43.8</v>
      </c>
      <c r="G8687" s="12">
        <f t="shared" si="1293"/>
        <v>29.2</v>
      </c>
    </row>
    <row r="8688" ht="24.0" customHeight="1">
      <c r="A8688" s="10" t="s">
        <v>25</v>
      </c>
      <c r="B8688" s="10" t="s">
        <v>26</v>
      </c>
      <c r="C8688" s="10" t="s">
        <v>23</v>
      </c>
      <c r="D8688" s="10" t="s">
        <v>27</v>
      </c>
      <c r="E8688" s="14">
        <v>1.0</v>
      </c>
      <c r="F8688" s="15">
        <f>ROUND(21,3)</f>
        <v>21</v>
      </c>
      <c r="G8688" s="12">
        <f t="shared" si="1293"/>
        <v>21</v>
      </c>
    </row>
    <row r="8689" ht="24.0" customHeight="1">
      <c r="A8689" s="10" t="s">
        <v>28</v>
      </c>
      <c r="B8689" s="10" t="s">
        <v>26</v>
      </c>
      <c r="C8689" s="10" t="s">
        <v>23</v>
      </c>
      <c r="D8689" s="10" t="s">
        <v>29</v>
      </c>
      <c r="E8689" s="14">
        <v>1.0</v>
      </c>
      <c r="F8689" s="15">
        <f t="shared" ref="F8689:F8690" si="1295">ROUND(19,3)</f>
        <v>19</v>
      </c>
      <c r="G8689" s="12">
        <f t="shared" si="1293"/>
        <v>19</v>
      </c>
    </row>
    <row r="8690" ht="24.0" customHeight="1">
      <c r="A8690" s="10" t="s">
        <v>30</v>
      </c>
      <c r="B8690" s="10" t="s">
        <v>26</v>
      </c>
      <c r="C8690" s="10" t="s">
        <v>23</v>
      </c>
      <c r="D8690" s="10" t="s">
        <v>31</v>
      </c>
      <c r="E8690" s="14">
        <v>0.2</v>
      </c>
      <c r="F8690" s="15">
        <f t="shared" si="1295"/>
        <v>19</v>
      </c>
      <c r="G8690" s="12">
        <f t="shared" si="1293"/>
        <v>3.8</v>
      </c>
    </row>
    <row r="8691" ht="15.0" customHeight="1">
      <c r="A8691" s="11"/>
      <c r="B8691" s="11"/>
      <c r="C8691" s="11"/>
      <c r="D8691" s="10" t="s">
        <v>22</v>
      </c>
      <c r="E8691" s="14">
        <v>0.66667</v>
      </c>
      <c r="F8691" s="15">
        <f>ROUND((G8688+G8689+G8690),3)</f>
        <v>43.8</v>
      </c>
      <c r="G8691" s="12">
        <f t="shared" si="1293"/>
        <v>29.2</v>
      </c>
    </row>
    <row r="8692" ht="15.0" customHeight="1">
      <c r="A8692" s="10" t="s">
        <v>32</v>
      </c>
      <c r="B8692" s="10"/>
      <c r="C8692" s="10" t="s">
        <v>33</v>
      </c>
      <c r="D8692" s="10" t="s">
        <v>34</v>
      </c>
      <c r="E8692" s="14">
        <v>5.0</v>
      </c>
      <c r="F8692" s="15">
        <f>ROUND(29.2,3)</f>
        <v>29.2</v>
      </c>
      <c r="G8692" s="12">
        <f>ROUND((E8692*F8692)/100,2)</f>
        <v>1.46</v>
      </c>
    </row>
    <row r="8693" ht="15.0" customHeight="1">
      <c r="A8693" s="16"/>
      <c r="B8693" s="16"/>
      <c r="C8693" s="16"/>
      <c r="D8693" s="17" t="s">
        <v>3891</v>
      </c>
      <c r="E8693" s="16"/>
      <c r="F8693" s="18">
        <f>ROUND((G8672+G8673+G8674+G8675+G8676+G8677+G8678+G8679+G8680+G8681+G8682+G8683+G8684+G8685+G8686+G8687+G8692)*(1+G2/100),2)</f>
        <v>66.58</v>
      </c>
      <c r="G8693" s="16"/>
    </row>
    <row r="8694" ht="48.75" customHeight="1">
      <c r="A8694" s="19" t="s">
        <v>3902</v>
      </c>
      <c r="B8694" s="20" t="s">
        <v>18</v>
      </c>
      <c r="C8694" s="20" t="s">
        <v>351</v>
      </c>
      <c r="D8694" s="20" t="s">
        <v>3903</v>
      </c>
      <c r="E8694" s="21"/>
      <c r="F8694" s="22">
        <f>F8717</f>
        <v>72.71</v>
      </c>
      <c r="G8694" s="21"/>
    </row>
    <row r="8695" ht="21.0" customHeight="1">
      <c r="A8695" s="11"/>
      <c r="B8695" s="11"/>
      <c r="C8695" s="11"/>
      <c r="D8695" s="10" t="s">
        <v>3903</v>
      </c>
    </row>
    <row r="8696" ht="39.75" customHeight="1">
      <c r="A8696" s="10" t="s">
        <v>3894</v>
      </c>
      <c r="B8696" s="10" t="s">
        <v>42</v>
      </c>
      <c r="C8696" s="10" t="s">
        <v>344</v>
      </c>
      <c r="D8696" s="10" t="s">
        <v>3895</v>
      </c>
      <c r="E8696" s="14">
        <v>1.05</v>
      </c>
      <c r="F8696" s="15">
        <f>ROUND(9.16,3)</f>
        <v>9.16</v>
      </c>
      <c r="G8696" s="12">
        <f t="shared" ref="G8696:G8715" si="1296">ROUND(E8696*F8696,2)</f>
        <v>9.62</v>
      </c>
    </row>
    <row r="8697" ht="39.75" customHeight="1">
      <c r="A8697" s="10" t="s">
        <v>3880</v>
      </c>
      <c r="B8697" s="10" t="s">
        <v>42</v>
      </c>
      <c r="C8697" s="10" t="s">
        <v>344</v>
      </c>
      <c r="D8697" s="10" t="s">
        <v>3881</v>
      </c>
      <c r="E8697" s="14">
        <v>0.28571</v>
      </c>
      <c r="F8697" s="15">
        <f>ROUND(27.73,3)</f>
        <v>27.73</v>
      </c>
      <c r="G8697" s="12">
        <f t="shared" si="1296"/>
        <v>7.92</v>
      </c>
    </row>
    <row r="8698" ht="39.75" customHeight="1">
      <c r="A8698" s="10" t="s">
        <v>3898</v>
      </c>
      <c r="B8698" s="10" t="s">
        <v>42</v>
      </c>
      <c r="C8698" s="10" t="s">
        <v>344</v>
      </c>
      <c r="D8698" s="10" t="s">
        <v>3899</v>
      </c>
      <c r="E8698" s="14">
        <v>0.28571</v>
      </c>
      <c r="F8698" s="15">
        <f t="shared" ref="F8698:F8699" si="1297">ROUND(6.84,3)</f>
        <v>6.84</v>
      </c>
      <c r="G8698" s="12">
        <f t="shared" si="1296"/>
        <v>1.95</v>
      </c>
    </row>
    <row r="8699" ht="39.75" customHeight="1">
      <c r="A8699" s="10" t="s">
        <v>3900</v>
      </c>
      <c r="B8699" s="10" t="s">
        <v>42</v>
      </c>
      <c r="C8699" s="10" t="s">
        <v>344</v>
      </c>
      <c r="D8699" s="10" t="s">
        <v>3901</v>
      </c>
      <c r="E8699" s="14">
        <v>0.28571</v>
      </c>
      <c r="F8699" s="15">
        <f t="shared" si="1297"/>
        <v>6.84</v>
      </c>
      <c r="G8699" s="12">
        <f t="shared" si="1296"/>
        <v>1.95</v>
      </c>
    </row>
    <row r="8700" ht="39.75" customHeight="1">
      <c r="A8700" s="10" t="s">
        <v>3896</v>
      </c>
      <c r="B8700" s="10" t="s">
        <v>42</v>
      </c>
      <c r="C8700" s="10" t="s">
        <v>344</v>
      </c>
      <c r="D8700" s="10" t="s">
        <v>3897</v>
      </c>
      <c r="E8700" s="14">
        <v>0.71429</v>
      </c>
      <c r="F8700" s="15">
        <f>ROUND(3.16,3)</f>
        <v>3.16</v>
      </c>
      <c r="G8700" s="12">
        <f t="shared" si="1296"/>
        <v>2.26</v>
      </c>
    </row>
    <row r="8701" ht="30.0" customHeight="1">
      <c r="A8701" s="10" t="s">
        <v>2654</v>
      </c>
      <c r="B8701" s="10" t="s">
        <v>42</v>
      </c>
      <c r="C8701" s="10" t="s">
        <v>344</v>
      </c>
      <c r="D8701" s="10" t="s">
        <v>2655</v>
      </c>
      <c r="E8701" s="14">
        <v>0.0286</v>
      </c>
      <c r="F8701" s="15">
        <f>ROUND(15.74,3)</f>
        <v>15.74</v>
      </c>
      <c r="G8701" s="12">
        <f t="shared" si="1296"/>
        <v>0.45</v>
      </c>
    </row>
    <row r="8702" ht="30.0" customHeight="1">
      <c r="A8702" s="10" t="s">
        <v>2652</v>
      </c>
      <c r="B8702" s="10" t="s">
        <v>42</v>
      </c>
      <c r="C8702" s="10" t="s">
        <v>344</v>
      </c>
      <c r="D8702" s="10" t="s">
        <v>2653</v>
      </c>
      <c r="E8702" s="14">
        <v>0.0286</v>
      </c>
      <c r="F8702" s="15">
        <f>ROUND(4.92,3)</f>
        <v>4.92</v>
      </c>
      <c r="G8702" s="12">
        <f t="shared" si="1296"/>
        <v>0.14</v>
      </c>
    </row>
    <row r="8703" ht="30.0" customHeight="1">
      <c r="A8703" s="10" t="s">
        <v>467</v>
      </c>
      <c r="B8703" s="10" t="s">
        <v>42</v>
      </c>
      <c r="C8703" s="10" t="s">
        <v>43</v>
      </c>
      <c r="D8703" s="10" t="s">
        <v>468</v>
      </c>
      <c r="E8703" s="14">
        <v>0.42</v>
      </c>
      <c r="F8703" s="15">
        <f>ROUND(6.09,3)</f>
        <v>6.09</v>
      </c>
      <c r="G8703" s="12">
        <f t="shared" si="1296"/>
        <v>2.56</v>
      </c>
    </row>
    <row r="8704" ht="30.0" customHeight="1">
      <c r="A8704" s="10" t="s">
        <v>465</v>
      </c>
      <c r="B8704" s="10" t="s">
        <v>42</v>
      </c>
      <c r="C8704" s="10" t="s">
        <v>43</v>
      </c>
      <c r="D8704" s="10" t="s">
        <v>466</v>
      </c>
      <c r="E8704" s="14">
        <v>0.86</v>
      </c>
      <c r="F8704" s="15">
        <f>ROUND(4.58,3)</f>
        <v>4.58</v>
      </c>
      <c r="G8704" s="12">
        <f t="shared" si="1296"/>
        <v>3.94</v>
      </c>
    </row>
    <row r="8705" ht="30.0" customHeight="1">
      <c r="A8705" s="10" t="s">
        <v>1745</v>
      </c>
      <c r="B8705" s="10" t="s">
        <v>42</v>
      </c>
      <c r="C8705" s="10" t="s">
        <v>330</v>
      </c>
      <c r="D8705" s="10" t="s">
        <v>1746</v>
      </c>
      <c r="E8705" s="14">
        <v>0.125</v>
      </c>
      <c r="F8705" s="15">
        <f>ROUND(7.93,3)</f>
        <v>7.93</v>
      </c>
      <c r="G8705" s="12">
        <f t="shared" si="1296"/>
        <v>0.99</v>
      </c>
    </row>
    <row r="8706" ht="30.0" customHeight="1">
      <c r="A8706" s="10" t="s">
        <v>1378</v>
      </c>
      <c r="B8706" s="10" t="s">
        <v>42</v>
      </c>
      <c r="C8706" s="10" t="s">
        <v>330</v>
      </c>
      <c r="D8706" s="10" t="s">
        <v>1379</v>
      </c>
      <c r="E8706" s="14">
        <v>0.05</v>
      </c>
      <c r="F8706" s="15">
        <f>ROUND(6.14,3)</f>
        <v>6.14</v>
      </c>
      <c r="G8706" s="12">
        <f t="shared" si="1296"/>
        <v>0.31</v>
      </c>
    </row>
    <row r="8707" ht="39.75" customHeight="1">
      <c r="A8707" s="10" t="s">
        <v>1340</v>
      </c>
      <c r="B8707" s="10" t="s">
        <v>42</v>
      </c>
      <c r="C8707" s="10" t="s">
        <v>1245</v>
      </c>
      <c r="D8707" s="10" t="s">
        <v>1341</v>
      </c>
      <c r="E8707" s="14">
        <v>0.16896</v>
      </c>
      <c r="F8707" s="15">
        <f>ROUND(7.37,3)</f>
        <v>7.37</v>
      </c>
      <c r="G8707" s="12">
        <f t="shared" si="1296"/>
        <v>1.25</v>
      </c>
    </row>
    <row r="8708" ht="30.0" customHeight="1">
      <c r="A8708" s="10" t="s">
        <v>3452</v>
      </c>
      <c r="B8708" s="10" t="s">
        <v>42</v>
      </c>
      <c r="C8708" s="10" t="s">
        <v>344</v>
      </c>
      <c r="D8708" s="10" t="s">
        <v>3453</v>
      </c>
      <c r="E8708" s="14">
        <v>1.0</v>
      </c>
      <c r="F8708" s="15">
        <f>ROUND(1.73,3)</f>
        <v>1.73</v>
      </c>
      <c r="G8708" s="12">
        <f t="shared" si="1296"/>
        <v>1.73</v>
      </c>
    </row>
    <row r="8709" ht="21.0" customHeight="1">
      <c r="A8709" s="10" t="s">
        <v>969</v>
      </c>
      <c r="B8709" s="10" t="s">
        <v>112</v>
      </c>
      <c r="C8709" s="10" t="s">
        <v>23</v>
      </c>
      <c r="D8709" s="10" t="s">
        <v>970</v>
      </c>
      <c r="E8709" s="14">
        <v>0.3</v>
      </c>
      <c r="F8709" s="15">
        <f>ROUND(2,3)</f>
        <v>2</v>
      </c>
      <c r="G8709" s="12">
        <f t="shared" si="1296"/>
        <v>0.6</v>
      </c>
    </row>
    <row r="8710" ht="30.0" customHeight="1">
      <c r="A8710" s="10" t="s">
        <v>971</v>
      </c>
      <c r="B8710" s="10" t="s">
        <v>42</v>
      </c>
      <c r="C8710" s="10" t="s">
        <v>231</v>
      </c>
      <c r="D8710" s="10" t="s">
        <v>972</v>
      </c>
      <c r="E8710" s="14">
        <v>0.05</v>
      </c>
      <c r="F8710" s="15">
        <f>ROUND(4.92,3)</f>
        <v>4.92</v>
      </c>
      <c r="G8710" s="12">
        <f t="shared" si="1296"/>
        <v>0.25</v>
      </c>
    </row>
    <row r="8711" ht="21.0" customHeight="1">
      <c r="A8711" s="10" t="s">
        <v>22</v>
      </c>
      <c r="B8711" s="10" t="s">
        <v>18</v>
      </c>
      <c r="C8711" s="10" t="s">
        <v>23</v>
      </c>
      <c r="D8711" s="10" t="s">
        <v>24</v>
      </c>
      <c r="E8711" s="14">
        <v>0.8</v>
      </c>
      <c r="F8711" s="15">
        <f>F8715</f>
        <v>43.8</v>
      </c>
      <c r="G8711" s="12">
        <f t="shared" si="1296"/>
        <v>35.04</v>
      </c>
    </row>
    <row r="8712" ht="24.0" customHeight="1">
      <c r="A8712" s="10" t="s">
        <v>25</v>
      </c>
      <c r="B8712" s="10" t="s">
        <v>26</v>
      </c>
      <c r="C8712" s="10" t="s">
        <v>23</v>
      </c>
      <c r="D8712" s="10" t="s">
        <v>27</v>
      </c>
      <c r="E8712" s="14">
        <v>1.0</v>
      </c>
      <c r="F8712" s="15">
        <f>ROUND(21,3)</f>
        <v>21</v>
      </c>
      <c r="G8712" s="12">
        <f t="shared" si="1296"/>
        <v>21</v>
      </c>
    </row>
    <row r="8713" ht="24.0" customHeight="1">
      <c r="A8713" s="10" t="s">
        <v>28</v>
      </c>
      <c r="B8713" s="10" t="s">
        <v>26</v>
      </c>
      <c r="C8713" s="10" t="s">
        <v>23</v>
      </c>
      <c r="D8713" s="10" t="s">
        <v>29</v>
      </c>
      <c r="E8713" s="14">
        <v>1.0</v>
      </c>
      <c r="F8713" s="15">
        <f t="shared" ref="F8713:F8714" si="1298">ROUND(19,3)</f>
        <v>19</v>
      </c>
      <c r="G8713" s="12">
        <f t="shared" si="1296"/>
        <v>19</v>
      </c>
    </row>
    <row r="8714" ht="24.0" customHeight="1">
      <c r="A8714" s="10" t="s">
        <v>30</v>
      </c>
      <c r="B8714" s="10" t="s">
        <v>26</v>
      </c>
      <c r="C8714" s="10" t="s">
        <v>23</v>
      </c>
      <c r="D8714" s="10" t="s">
        <v>31</v>
      </c>
      <c r="E8714" s="14">
        <v>0.2</v>
      </c>
      <c r="F8714" s="15">
        <f t="shared" si="1298"/>
        <v>19</v>
      </c>
      <c r="G8714" s="12">
        <f t="shared" si="1296"/>
        <v>3.8</v>
      </c>
    </row>
    <row r="8715" ht="15.0" customHeight="1">
      <c r="A8715" s="11"/>
      <c r="B8715" s="11"/>
      <c r="C8715" s="11"/>
      <c r="D8715" s="10" t="s">
        <v>22</v>
      </c>
      <c r="E8715" s="14">
        <v>0.8</v>
      </c>
      <c r="F8715" s="15">
        <f>ROUND((G8712+G8713+G8714),3)</f>
        <v>43.8</v>
      </c>
      <c r="G8715" s="12">
        <f t="shared" si="1296"/>
        <v>35.04</v>
      </c>
    </row>
    <row r="8716" ht="15.0" customHeight="1">
      <c r="A8716" s="10" t="s">
        <v>32</v>
      </c>
      <c r="B8716" s="10"/>
      <c r="C8716" s="10" t="s">
        <v>33</v>
      </c>
      <c r="D8716" s="10" t="s">
        <v>34</v>
      </c>
      <c r="E8716" s="14">
        <v>5.0</v>
      </c>
      <c r="F8716" s="15">
        <f>ROUND(35.04,3)</f>
        <v>35.04</v>
      </c>
      <c r="G8716" s="12">
        <f>ROUND((E8716*F8716)/100,2)</f>
        <v>1.75</v>
      </c>
    </row>
    <row r="8717" ht="15.0" customHeight="1">
      <c r="A8717" s="16"/>
      <c r="B8717" s="16"/>
      <c r="C8717" s="16"/>
      <c r="D8717" s="17" t="s">
        <v>3902</v>
      </c>
      <c r="E8717" s="16"/>
      <c r="F8717" s="18">
        <f>ROUND((G8696+G8697+G8698+G8699+G8700+G8701+G8702+G8703+G8704+G8705+G8706+G8707+G8708+G8709+G8710+G8711+G8716)*(1+G2/100),2)</f>
        <v>72.71</v>
      </c>
      <c r="G8717" s="16"/>
    </row>
    <row r="8718" ht="48.75" customHeight="1">
      <c r="A8718" s="19" t="s">
        <v>3904</v>
      </c>
      <c r="B8718" s="20" t="s">
        <v>18</v>
      </c>
      <c r="C8718" s="20" t="s">
        <v>351</v>
      </c>
      <c r="D8718" s="20" t="s">
        <v>3905</v>
      </c>
      <c r="E8718" s="21"/>
      <c r="F8718" s="22">
        <f>F8739</f>
        <v>93.15</v>
      </c>
      <c r="G8718" s="21"/>
    </row>
    <row r="8719" ht="21.0" customHeight="1">
      <c r="A8719" s="11"/>
      <c r="B8719" s="11"/>
      <c r="C8719" s="11"/>
      <c r="D8719" s="10" t="s">
        <v>3905</v>
      </c>
    </row>
    <row r="8720" ht="39.75" customHeight="1">
      <c r="A8720" s="10" t="s">
        <v>3906</v>
      </c>
      <c r="B8720" s="10" t="s">
        <v>42</v>
      </c>
      <c r="C8720" s="10" t="s">
        <v>351</v>
      </c>
      <c r="D8720" s="10" t="s">
        <v>3907</v>
      </c>
      <c r="E8720" s="14">
        <v>1.05</v>
      </c>
      <c r="F8720" s="15">
        <f>ROUND(15,3)</f>
        <v>15</v>
      </c>
      <c r="G8720" s="12">
        <f t="shared" ref="G8720:G8737" si="1299">ROUND(E8720*F8720,2)</f>
        <v>15.75</v>
      </c>
    </row>
    <row r="8721" ht="39.75" customHeight="1">
      <c r="A8721" s="10" t="s">
        <v>3908</v>
      </c>
      <c r="B8721" s="10" t="s">
        <v>42</v>
      </c>
      <c r="C8721" s="10" t="s">
        <v>344</v>
      </c>
      <c r="D8721" s="10" t="s">
        <v>3909</v>
      </c>
      <c r="E8721" s="14">
        <v>0.71429</v>
      </c>
      <c r="F8721" s="15">
        <f>ROUND(5,3)</f>
        <v>5</v>
      </c>
      <c r="G8721" s="12">
        <f t="shared" si="1299"/>
        <v>3.57</v>
      </c>
    </row>
    <row r="8722" ht="39.75" customHeight="1">
      <c r="A8722" s="10" t="s">
        <v>3910</v>
      </c>
      <c r="B8722" s="10" t="s">
        <v>42</v>
      </c>
      <c r="C8722" s="10" t="s">
        <v>344</v>
      </c>
      <c r="D8722" s="10" t="s">
        <v>3911</v>
      </c>
      <c r="E8722" s="14">
        <v>0.28571</v>
      </c>
      <c r="F8722" s="15">
        <f>ROUND(30,3)</f>
        <v>30</v>
      </c>
      <c r="G8722" s="12">
        <f t="shared" si="1299"/>
        <v>8.57</v>
      </c>
    </row>
    <row r="8723" ht="39.75" customHeight="1">
      <c r="A8723" s="10" t="s">
        <v>3912</v>
      </c>
      <c r="B8723" s="10" t="s">
        <v>42</v>
      </c>
      <c r="C8723" s="10" t="s">
        <v>344</v>
      </c>
      <c r="D8723" s="10" t="s">
        <v>3913</v>
      </c>
      <c r="E8723" s="14">
        <v>0.28571</v>
      </c>
      <c r="F8723" s="15">
        <f>ROUND(18,3)</f>
        <v>18</v>
      </c>
      <c r="G8723" s="12">
        <f t="shared" si="1299"/>
        <v>5.14</v>
      </c>
    </row>
    <row r="8724" ht="39.75" customHeight="1">
      <c r="A8724" s="10" t="s">
        <v>3914</v>
      </c>
      <c r="B8724" s="10" t="s">
        <v>42</v>
      </c>
      <c r="C8724" s="10" t="s">
        <v>344</v>
      </c>
      <c r="D8724" s="10" t="s">
        <v>3915</v>
      </c>
      <c r="E8724" s="14">
        <v>0.28571</v>
      </c>
      <c r="F8724" s="15">
        <f>ROUND(12,3)</f>
        <v>12</v>
      </c>
      <c r="G8724" s="12">
        <f t="shared" si="1299"/>
        <v>3.43</v>
      </c>
    </row>
    <row r="8725" ht="30.0" customHeight="1">
      <c r="A8725" s="10" t="s">
        <v>1745</v>
      </c>
      <c r="B8725" s="10" t="s">
        <v>42</v>
      </c>
      <c r="C8725" s="10" t="s">
        <v>330</v>
      </c>
      <c r="D8725" s="10" t="s">
        <v>1746</v>
      </c>
      <c r="E8725" s="14">
        <v>0.125</v>
      </c>
      <c r="F8725" s="15">
        <f>ROUND(7.93,3)</f>
        <v>7.93</v>
      </c>
      <c r="G8725" s="12">
        <f t="shared" si="1299"/>
        <v>0.99</v>
      </c>
    </row>
    <row r="8726" ht="30.0" customHeight="1">
      <c r="A8726" s="10" t="s">
        <v>1378</v>
      </c>
      <c r="B8726" s="10" t="s">
        <v>42</v>
      </c>
      <c r="C8726" s="10" t="s">
        <v>330</v>
      </c>
      <c r="D8726" s="10" t="s">
        <v>1379</v>
      </c>
      <c r="E8726" s="14">
        <v>0.05</v>
      </c>
      <c r="F8726" s="15">
        <f>ROUND(6.14,3)</f>
        <v>6.14</v>
      </c>
      <c r="G8726" s="12">
        <f t="shared" si="1299"/>
        <v>0.31</v>
      </c>
    </row>
    <row r="8727" ht="39.75" customHeight="1">
      <c r="A8727" s="10" t="s">
        <v>1340</v>
      </c>
      <c r="B8727" s="10" t="s">
        <v>42</v>
      </c>
      <c r="C8727" s="10" t="s">
        <v>1245</v>
      </c>
      <c r="D8727" s="10" t="s">
        <v>1341</v>
      </c>
      <c r="E8727" s="14">
        <v>0.16896</v>
      </c>
      <c r="F8727" s="15">
        <f>ROUND(7.37,3)</f>
        <v>7.37</v>
      </c>
      <c r="G8727" s="12">
        <f t="shared" si="1299"/>
        <v>1.25</v>
      </c>
    </row>
    <row r="8728" ht="30.0" customHeight="1">
      <c r="A8728" s="10" t="s">
        <v>3452</v>
      </c>
      <c r="B8728" s="10" t="s">
        <v>42</v>
      </c>
      <c r="C8728" s="10" t="s">
        <v>344</v>
      </c>
      <c r="D8728" s="10" t="s">
        <v>3453</v>
      </c>
      <c r="E8728" s="14">
        <v>1.0</v>
      </c>
      <c r="F8728" s="15">
        <f>ROUND(1.73,3)</f>
        <v>1.73</v>
      </c>
      <c r="G8728" s="12">
        <f t="shared" si="1299"/>
        <v>1.73</v>
      </c>
    </row>
    <row r="8729" ht="39.75" customHeight="1">
      <c r="A8729" s="10" t="s">
        <v>3916</v>
      </c>
      <c r="B8729" s="10" t="s">
        <v>42</v>
      </c>
      <c r="C8729" s="10" t="s">
        <v>344</v>
      </c>
      <c r="D8729" s="10" t="s">
        <v>3917</v>
      </c>
      <c r="E8729" s="14">
        <v>0.0286</v>
      </c>
      <c r="F8729" s="15">
        <f>ROUND(29,3)</f>
        <v>29</v>
      </c>
      <c r="G8729" s="12">
        <f t="shared" si="1299"/>
        <v>0.83</v>
      </c>
    </row>
    <row r="8730" ht="30.0" customHeight="1">
      <c r="A8730" s="10" t="s">
        <v>2652</v>
      </c>
      <c r="B8730" s="10" t="s">
        <v>42</v>
      </c>
      <c r="C8730" s="10" t="s">
        <v>344</v>
      </c>
      <c r="D8730" s="10" t="s">
        <v>2653</v>
      </c>
      <c r="E8730" s="14">
        <v>0.0286</v>
      </c>
      <c r="F8730" s="15">
        <f>ROUND(4.92,3)</f>
        <v>4.92</v>
      </c>
      <c r="G8730" s="12">
        <f t="shared" si="1299"/>
        <v>0.14</v>
      </c>
    </row>
    <row r="8731" ht="21.0" customHeight="1">
      <c r="A8731" s="10" t="s">
        <v>969</v>
      </c>
      <c r="B8731" s="10" t="s">
        <v>112</v>
      </c>
      <c r="C8731" s="10" t="s">
        <v>23</v>
      </c>
      <c r="D8731" s="10" t="s">
        <v>970</v>
      </c>
      <c r="E8731" s="14">
        <v>0.3</v>
      </c>
      <c r="F8731" s="15">
        <f>ROUND(2,3)</f>
        <v>2</v>
      </c>
      <c r="G8731" s="12">
        <f t="shared" si="1299"/>
        <v>0.6</v>
      </c>
    </row>
    <row r="8732" ht="30.0" customHeight="1">
      <c r="A8732" s="10" t="s">
        <v>971</v>
      </c>
      <c r="B8732" s="10" t="s">
        <v>42</v>
      </c>
      <c r="C8732" s="10" t="s">
        <v>231</v>
      </c>
      <c r="D8732" s="10" t="s">
        <v>972</v>
      </c>
      <c r="E8732" s="14">
        <v>0.05</v>
      </c>
      <c r="F8732" s="15">
        <f>ROUND(4.92,3)</f>
        <v>4.92</v>
      </c>
      <c r="G8732" s="12">
        <f t="shared" si="1299"/>
        <v>0.25</v>
      </c>
    </row>
    <row r="8733" ht="21.0" customHeight="1">
      <c r="A8733" s="10" t="s">
        <v>22</v>
      </c>
      <c r="B8733" s="10" t="s">
        <v>18</v>
      </c>
      <c r="C8733" s="10" t="s">
        <v>23</v>
      </c>
      <c r="D8733" s="10" t="s">
        <v>24</v>
      </c>
      <c r="E8733" s="14">
        <v>1.1</v>
      </c>
      <c r="F8733" s="15">
        <f>F8737</f>
        <v>43.8</v>
      </c>
      <c r="G8733" s="12">
        <f t="shared" si="1299"/>
        <v>48.18</v>
      </c>
    </row>
    <row r="8734" ht="24.0" customHeight="1">
      <c r="A8734" s="10" t="s">
        <v>25</v>
      </c>
      <c r="B8734" s="10" t="s">
        <v>26</v>
      </c>
      <c r="C8734" s="10" t="s">
        <v>23</v>
      </c>
      <c r="D8734" s="10" t="s">
        <v>27</v>
      </c>
      <c r="E8734" s="14">
        <v>1.0</v>
      </c>
      <c r="F8734" s="15">
        <f>ROUND(21,3)</f>
        <v>21</v>
      </c>
      <c r="G8734" s="12">
        <f t="shared" si="1299"/>
        <v>21</v>
      </c>
    </row>
    <row r="8735" ht="24.0" customHeight="1">
      <c r="A8735" s="10" t="s">
        <v>28</v>
      </c>
      <c r="B8735" s="10" t="s">
        <v>26</v>
      </c>
      <c r="C8735" s="10" t="s">
        <v>23</v>
      </c>
      <c r="D8735" s="10" t="s">
        <v>29</v>
      </c>
      <c r="E8735" s="14">
        <v>1.0</v>
      </c>
      <c r="F8735" s="15">
        <f t="shared" ref="F8735:F8736" si="1300">ROUND(19,3)</f>
        <v>19</v>
      </c>
      <c r="G8735" s="12">
        <f t="shared" si="1299"/>
        <v>19</v>
      </c>
    </row>
    <row r="8736" ht="24.0" customHeight="1">
      <c r="A8736" s="10" t="s">
        <v>30</v>
      </c>
      <c r="B8736" s="10" t="s">
        <v>26</v>
      </c>
      <c r="C8736" s="10" t="s">
        <v>23</v>
      </c>
      <c r="D8736" s="10" t="s">
        <v>31</v>
      </c>
      <c r="E8736" s="14">
        <v>0.2</v>
      </c>
      <c r="F8736" s="15">
        <f t="shared" si="1300"/>
        <v>19</v>
      </c>
      <c r="G8736" s="12">
        <f t="shared" si="1299"/>
        <v>3.8</v>
      </c>
    </row>
    <row r="8737" ht="15.0" customHeight="1">
      <c r="A8737" s="11"/>
      <c r="B8737" s="11"/>
      <c r="C8737" s="11"/>
      <c r="D8737" s="10" t="s">
        <v>22</v>
      </c>
      <c r="E8737" s="14">
        <v>1.1</v>
      </c>
      <c r="F8737" s="15">
        <f>ROUND((G8734+G8735+G8736),3)</f>
        <v>43.8</v>
      </c>
      <c r="G8737" s="12">
        <f t="shared" si="1299"/>
        <v>48.18</v>
      </c>
    </row>
    <row r="8738" ht="15.0" customHeight="1">
      <c r="A8738" s="10" t="s">
        <v>32</v>
      </c>
      <c r="B8738" s="10"/>
      <c r="C8738" s="10" t="s">
        <v>33</v>
      </c>
      <c r="D8738" s="10" t="s">
        <v>34</v>
      </c>
      <c r="E8738" s="14">
        <v>5.0</v>
      </c>
      <c r="F8738" s="15">
        <f>ROUND(48.18,3)</f>
        <v>48.18</v>
      </c>
      <c r="G8738" s="12">
        <f>ROUND((E8738*F8738)/100,2)</f>
        <v>2.41</v>
      </c>
    </row>
    <row r="8739" ht="15.0" customHeight="1">
      <c r="A8739" s="16"/>
      <c r="B8739" s="16"/>
      <c r="C8739" s="16"/>
      <c r="D8739" s="17" t="s">
        <v>3904</v>
      </c>
      <c r="E8739" s="16"/>
      <c r="F8739" s="18">
        <f>ROUND((G8720+G8721+G8722+G8723+G8724+G8725+G8726+G8727+G8728+G8729+G8730+G8731+G8732+G8733+G8738)*(1+G2/100),2)</f>
        <v>93.15</v>
      </c>
      <c r="G8739" s="16"/>
    </row>
    <row r="8740" ht="48.75" customHeight="1">
      <c r="A8740" s="19" t="s">
        <v>3918</v>
      </c>
      <c r="B8740" s="20" t="s">
        <v>18</v>
      </c>
      <c r="C8740" s="20" t="s">
        <v>351</v>
      </c>
      <c r="D8740" s="20" t="s">
        <v>3919</v>
      </c>
      <c r="E8740" s="21"/>
      <c r="F8740" s="22">
        <f>F8759</f>
        <v>141.24</v>
      </c>
      <c r="G8740" s="21"/>
    </row>
    <row r="8741" ht="21.0" customHeight="1">
      <c r="A8741" s="11"/>
      <c r="B8741" s="11"/>
      <c r="C8741" s="11"/>
      <c r="D8741" s="10" t="s">
        <v>3919</v>
      </c>
    </row>
    <row r="8742" ht="39.75" customHeight="1">
      <c r="A8742" s="10" t="s">
        <v>3920</v>
      </c>
      <c r="B8742" s="10" t="s">
        <v>42</v>
      </c>
      <c r="C8742" s="10" t="s">
        <v>351</v>
      </c>
      <c r="D8742" s="10" t="s">
        <v>3921</v>
      </c>
      <c r="E8742" s="14">
        <v>1.05</v>
      </c>
      <c r="F8742" s="15">
        <f>ROUND(31,3)</f>
        <v>31</v>
      </c>
      <c r="G8742" s="12">
        <f t="shared" ref="G8742:G8757" si="1301">ROUND(E8742*F8742,2)</f>
        <v>32.55</v>
      </c>
    </row>
    <row r="8743" ht="39.75" customHeight="1">
      <c r="A8743" s="10" t="s">
        <v>3922</v>
      </c>
      <c r="B8743" s="10" t="s">
        <v>42</v>
      </c>
      <c r="C8743" s="10" t="s">
        <v>344</v>
      </c>
      <c r="D8743" s="10" t="s">
        <v>3923</v>
      </c>
      <c r="E8743" s="14">
        <v>0.71429</v>
      </c>
      <c r="F8743" s="15">
        <f>ROUND(6,3)</f>
        <v>6</v>
      </c>
      <c r="G8743" s="12">
        <f t="shared" si="1301"/>
        <v>4.29</v>
      </c>
    </row>
    <row r="8744" ht="39.75" customHeight="1">
      <c r="A8744" s="10" t="s">
        <v>3924</v>
      </c>
      <c r="B8744" s="10" t="s">
        <v>42</v>
      </c>
      <c r="C8744" s="10" t="s">
        <v>344</v>
      </c>
      <c r="D8744" s="10" t="s">
        <v>3925</v>
      </c>
      <c r="E8744" s="14">
        <v>0.28571</v>
      </c>
      <c r="F8744" s="15">
        <f>ROUND(71,3)</f>
        <v>71</v>
      </c>
      <c r="G8744" s="12">
        <f t="shared" si="1301"/>
        <v>20.29</v>
      </c>
    </row>
    <row r="8745" ht="39.75" customHeight="1">
      <c r="A8745" s="10" t="s">
        <v>3926</v>
      </c>
      <c r="B8745" s="10" t="s">
        <v>42</v>
      </c>
      <c r="C8745" s="10" t="s">
        <v>344</v>
      </c>
      <c r="D8745" s="10" t="s">
        <v>3927</v>
      </c>
      <c r="E8745" s="14">
        <v>0.28571</v>
      </c>
      <c r="F8745" s="15">
        <f>ROUND(23,3)</f>
        <v>23</v>
      </c>
      <c r="G8745" s="12">
        <f t="shared" si="1301"/>
        <v>6.57</v>
      </c>
    </row>
    <row r="8746" ht="39.75" customHeight="1">
      <c r="A8746" s="10" t="s">
        <v>3928</v>
      </c>
      <c r="B8746" s="10" t="s">
        <v>42</v>
      </c>
      <c r="C8746" s="10" t="s">
        <v>344</v>
      </c>
      <c r="D8746" s="10" t="s">
        <v>3929</v>
      </c>
      <c r="E8746" s="14">
        <v>0.28571</v>
      </c>
      <c r="F8746" s="15">
        <f>ROUND(44,3)</f>
        <v>44</v>
      </c>
      <c r="G8746" s="12">
        <f t="shared" si="1301"/>
        <v>12.57</v>
      </c>
    </row>
    <row r="8747" ht="30.0" customHeight="1">
      <c r="A8747" s="10" t="s">
        <v>1745</v>
      </c>
      <c r="B8747" s="10" t="s">
        <v>42</v>
      </c>
      <c r="C8747" s="10" t="s">
        <v>330</v>
      </c>
      <c r="D8747" s="10" t="s">
        <v>1746</v>
      </c>
      <c r="E8747" s="14">
        <v>0.125</v>
      </c>
      <c r="F8747" s="15">
        <f>ROUND(7.93,3)</f>
        <v>7.93</v>
      </c>
      <c r="G8747" s="12">
        <f t="shared" si="1301"/>
        <v>0.99</v>
      </c>
    </row>
    <row r="8748" ht="30.0" customHeight="1">
      <c r="A8748" s="10" t="s">
        <v>1378</v>
      </c>
      <c r="B8748" s="10" t="s">
        <v>42</v>
      </c>
      <c r="C8748" s="10" t="s">
        <v>330</v>
      </c>
      <c r="D8748" s="10" t="s">
        <v>1379</v>
      </c>
      <c r="E8748" s="14">
        <v>0.05</v>
      </c>
      <c r="F8748" s="15">
        <f>ROUND(6.14,3)</f>
        <v>6.14</v>
      </c>
      <c r="G8748" s="12">
        <f t="shared" si="1301"/>
        <v>0.31</v>
      </c>
    </row>
    <row r="8749" ht="39.75" customHeight="1">
      <c r="A8749" s="10" t="s">
        <v>1340</v>
      </c>
      <c r="B8749" s="10" t="s">
        <v>42</v>
      </c>
      <c r="C8749" s="10" t="s">
        <v>1245</v>
      </c>
      <c r="D8749" s="10" t="s">
        <v>1341</v>
      </c>
      <c r="E8749" s="14">
        <v>0.16896</v>
      </c>
      <c r="F8749" s="15">
        <f>ROUND(7.37,3)</f>
        <v>7.37</v>
      </c>
      <c r="G8749" s="12">
        <f t="shared" si="1301"/>
        <v>1.25</v>
      </c>
    </row>
    <row r="8750" ht="39.75" customHeight="1">
      <c r="A8750" s="10" t="s">
        <v>3848</v>
      </c>
      <c r="B8750" s="10" t="s">
        <v>42</v>
      </c>
      <c r="C8750" s="10" t="s">
        <v>344</v>
      </c>
      <c r="D8750" s="10" t="s">
        <v>3849</v>
      </c>
      <c r="E8750" s="14">
        <v>1.0</v>
      </c>
      <c r="F8750" s="15">
        <f>ROUND(10.98,3)</f>
        <v>10.98</v>
      </c>
      <c r="G8750" s="12">
        <f t="shared" si="1301"/>
        <v>10.98</v>
      </c>
    </row>
    <row r="8751" ht="21.0" customHeight="1">
      <c r="A8751" s="10" t="s">
        <v>969</v>
      </c>
      <c r="B8751" s="10" t="s">
        <v>112</v>
      </c>
      <c r="C8751" s="10" t="s">
        <v>23</v>
      </c>
      <c r="D8751" s="10" t="s">
        <v>970</v>
      </c>
      <c r="E8751" s="14">
        <v>0.3</v>
      </c>
      <c r="F8751" s="15">
        <f>ROUND(2,3)</f>
        <v>2</v>
      </c>
      <c r="G8751" s="12">
        <f t="shared" si="1301"/>
        <v>0.6</v>
      </c>
    </row>
    <row r="8752" ht="30.0" customHeight="1">
      <c r="A8752" s="10" t="s">
        <v>971</v>
      </c>
      <c r="B8752" s="10" t="s">
        <v>42</v>
      </c>
      <c r="C8752" s="10" t="s">
        <v>231</v>
      </c>
      <c r="D8752" s="10" t="s">
        <v>972</v>
      </c>
      <c r="E8752" s="14">
        <v>0.05</v>
      </c>
      <c r="F8752" s="15">
        <f>ROUND(4.92,3)</f>
        <v>4.92</v>
      </c>
      <c r="G8752" s="12">
        <f t="shared" si="1301"/>
        <v>0.25</v>
      </c>
    </row>
    <row r="8753" ht="21.0" customHeight="1">
      <c r="A8753" s="10" t="s">
        <v>22</v>
      </c>
      <c r="B8753" s="10" t="s">
        <v>18</v>
      </c>
      <c r="C8753" s="10" t="s">
        <v>23</v>
      </c>
      <c r="D8753" s="10" t="s">
        <v>24</v>
      </c>
      <c r="E8753" s="14">
        <v>1.1</v>
      </c>
      <c r="F8753" s="15">
        <f>F8757</f>
        <v>43.8</v>
      </c>
      <c r="G8753" s="12">
        <f t="shared" si="1301"/>
        <v>48.18</v>
      </c>
    </row>
    <row r="8754" ht="24.0" customHeight="1">
      <c r="A8754" s="10" t="s">
        <v>25</v>
      </c>
      <c r="B8754" s="10" t="s">
        <v>26</v>
      </c>
      <c r="C8754" s="10" t="s">
        <v>23</v>
      </c>
      <c r="D8754" s="10" t="s">
        <v>27</v>
      </c>
      <c r="E8754" s="14">
        <v>1.0</v>
      </c>
      <c r="F8754" s="15">
        <f>ROUND(21,3)</f>
        <v>21</v>
      </c>
      <c r="G8754" s="12">
        <f t="shared" si="1301"/>
        <v>21</v>
      </c>
    </row>
    <row r="8755" ht="24.0" customHeight="1">
      <c r="A8755" s="10" t="s">
        <v>28</v>
      </c>
      <c r="B8755" s="10" t="s">
        <v>26</v>
      </c>
      <c r="C8755" s="10" t="s">
        <v>23</v>
      </c>
      <c r="D8755" s="10" t="s">
        <v>29</v>
      </c>
      <c r="E8755" s="14">
        <v>1.0</v>
      </c>
      <c r="F8755" s="15">
        <f t="shared" ref="F8755:F8756" si="1302">ROUND(19,3)</f>
        <v>19</v>
      </c>
      <c r="G8755" s="12">
        <f t="shared" si="1301"/>
        <v>19</v>
      </c>
    </row>
    <row r="8756" ht="24.0" customHeight="1">
      <c r="A8756" s="10" t="s">
        <v>30</v>
      </c>
      <c r="B8756" s="10" t="s">
        <v>26</v>
      </c>
      <c r="C8756" s="10" t="s">
        <v>23</v>
      </c>
      <c r="D8756" s="10" t="s">
        <v>31</v>
      </c>
      <c r="E8756" s="14">
        <v>0.2</v>
      </c>
      <c r="F8756" s="15">
        <f t="shared" si="1302"/>
        <v>19</v>
      </c>
      <c r="G8756" s="12">
        <f t="shared" si="1301"/>
        <v>3.8</v>
      </c>
    </row>
    <row r="8757" ht="15.0" customHeight="1">
      <c r="A8757" s="11"/>
      <c r="B8757" s="11"/>
      <c r="C8757" s="11"/>
      <c r="D8757" s="10" t="s">
        <v>22</v>
      </c>
      <c r="E8757" s="14">
        <v>1.1</v>
      </c>
      <c r="F8757" s="15">
        <f>ROUND((G8754+G8755+G8756),3)</f>
        <v>43.8</v>
      </c>
      <c r="G8757" s="12">
        <f t="shared" si="1301"/>
        <v>48.18</v>
      </c>
    </row>
    <row r="8758" ht="15.0" customHeight="1">
      <c r="A8758" s="10" t="s">
        <v>32</v>
      </c>
      <c r="B8758" s="10"/>
      <c r="C8758" s="10" t="s">
        <v>33</v>
      </c>
      <c r="D8758" s="10" t="s">
        <v>34</v>
      </c>
      <c r="E8758" s="14">
        <v>5.0</v>
      </c>
      <c r="F8758" s="15">
        <f>ROUND(48.18,3)</f>
        <v>48.18</v>
      </c>
      <c r="G8758" s="12">
        <f>ROUND((E8758*F8758)/100,2)</f>
        <v>2.41</v>
      </c>
    </row>
    <row r="8759" ht="15.0" customHeight="1">
      <c r="A8759" s="16"/>
      <c r="B8759" s="16"/>
      <c r="C8759" s="16"/>
      <c r="D8759" s="17" t="s">
        <v>3918</v>
      </c>
      <c r="E8759" s="16"/>
      <c r="F8759" s="18">
        <f>ROUND((G8742+G8743+G8744+G8745+G8746+G8747+G8748+G8749+G8750+G8751+G8752+G8753+G8758)*(1+G2/100),2)</f>
        <v>141.24</v>
      </c>
      <c r="G8759" s="16"/>
    </row>
    <row r="8760" ht="48.75" customHeight="1">
      <c r="A8760" s="19" t="s">
        <v>3930</v>
      </c>
      <c r="B8760" s="20" t="s">
        <v>18</v>
      </c>
      <c r="C8760" s="20" t="s">
        <v>351</v>
      </c>
      <c r="D8760" s="20" t="s">
        <v>3931</v>
      </c>
      <c r="E8760" s="21"/>
      <c r="F8760" s="22">
        <f>F8779</f>
        <v>155.04</v>
      </c>
      <c r="G8760" s="21"/>
    </row>
    <row r="8761" ht="21.0" customHeight="1">
      <c r="A8761" s="11"/>
      <c r="B8761" s="11"/>
      <c r="C8761" s="11"/>
      <c r="D8761" s="10" t="s">
        <v>3931</v>
      </c>
    </row>
    <row r="8762" ht="39.75" customHeight="1">
      <c r="A8762" s="10" t="s">
        <v>3920</v>
      </c>
      <c r="B8762" s="10" t="s">
        <v>42</v>
      </c>
      <c r="C8762" s="10" t="s">
        <v>351</v>
      </c>
      <c r="D8762" s="10" t="s">
        <v>3921</v>
      </c>
      <c r="E8762" s="14">
        <v>1.05</v>
      </c>
      <c r="F8762" s="15">
        <f>ROUND(31,3)</f>
        <v>31</v>
      </c>
      <c r="G8762" s="12">
        <f t="shared" ref="G8762:G8777" si="1303">ROUND(E8762*F8762,2)</f>
        <v>32.55</v>
      </c>
    </row>
    <row r="8763" ht="39.75" customHeight="1">
      <c r="A8763" s="10" t="s">
        <v>3922</v>
      </c>
      <c r="B8763" s="10" t="s">
        <v>42</v>
      </c>
      <c r="C8763" s="10" t="s">
        <v>344</v>
      </c>
      <c r="D8763" s="10" t="s">
        <v>3923</v>
      </c>
      <c r="E8763" s="14">
        <v>0.71429</v>
      </c>
      <c r="F8763" s="15">
        <f>ROUND(6,3)</f>
        <v>6</v>
      </c>
      <c r="G8763" s="12">
        <f t="shared" si="1303"/>
        <v>4.29</v>
      </c>
    </row>
    <row r="8764" ht="39.75" customHeight="1">
      <c r="A8764" s="10" t="s">
        <v>3924</v>
      </c>
      <c r="B8764" s="10" t="s">
        <v>42</v>
      </c>
      <c r="C8764" s="10" t="s">
        <v>344</v>
      </c>
      <c r="D8764" s="10" t="s">
        <v>3925</v>
      </c>
      <c r="E8764" s="14">
        <v>0.28571</v>
      </c>
      <c r="F8764" s="15">
        <f>ROUND(71,3)</f>
        <v>71</v>
      </c>
      <c r="G8764" s="12">
        <f t="shared" si="1303"/>
        <v>20.29</v>
      </c>
    </row>
    <row r="8765" ht="39.75" customHeight="1">
      <c r="A8765" s="10" t="s">
        <v>3926</v>
      </c>
      <c r="B8765" s="10" t="s">
        <v>42</v>
      </c>
      <c r="C8765" s="10" t="s">
        <v>344</v>
      </c>
      <c r="D8765" s="10" t="s">
        <v>3927</v>
      </c>
      <c r="E8765" s="14">
        <v>0.28571</v>
      </c>
      <c r="F8765" s="15">
        <f>ROUND(23,3)</f>
        <v>23</v>
      </c>
      <c r="G8765" s="12">
        <f t="shared" si="1303"/>
        <v>6.57</v>
      </c>
    </row>
    <row r="8766" ht="39.75" customHeight="1">
      <c r="A8766" s="10" t="s">
        <v>3928</v>
      </c>
      <c r="B8766" s="10" t="s">
        <v>42</v>
      </c>
      <c r="C8766" s="10" t="s">
        <v>344</v>
      </c>
      <c r="D8766" s="10" t="s">
        <v>3929</v>
      </c>
      <c r="E8766" s="14">
        <v>0.28571</v>
      </c>
      <c r="F8766" s="15">
        <f>ROUND(44,3)</f>
        <v>44</v>
      </c>
      <c r="G8766" s="12">
        <f t="shared" si="1303"/>
        <v>12.57</v>
      </c>
    </row>
    <row r="8767" ht="30.0" customHeight="1">
      <c r="A8767" s="10" t="s">
        <v>1745</v>
      </c>
      <c r="B8767" s="10" t="s">
        <v>42</v>
      </c>
      <c r="C8767" s="10" t="s">
        <v>330</v>
      </c>
      <c r="D8767" s="10" t="s">
        <v>1746</v>
      </c>
      <c r="E8767" s="14">
        <v>0.125</v>
      </c>
      <c r="F8767" s="15">
        <f>ROUND(7.93,3)</f>
        <v>7.93</v>
      </c>
      <c r="G8767" s="12">
        <f t="shared" si="1303"/>
        <v>0.99</v>
      </c>
    </row>
    <row r="8768" ht="30.0" customHeight="1">
      <c r="A8768" s="10" t="s">
        <v>1378</v>
      </c>
      <c r="B8768" s="10" t="s">
        <v>42</v>
      </c>
      <c r="C8768" s="10" t="s">
        <v>330</v>
      </c>
      <c r="D8768" s="10" t="s">
        <v>1379</v>
      </c>
      <c r="E8768" s="14">
        <v>0.05</v>
      </c>
      <c r="F8768" s="15">
        <f>ROUND(6.14,3)</f>
        <v>6.14</v>
      </c>
      <c r="G8768" s="12">
        <f t="shared" si="1303"/>
        <v>0.31</v>
      </c>
    </row>
    <row r="8769" ht="39.75" customHeight="1">
      <c r="A8769" s="10" t="s">
        <v>1340</v>
      </c>
      <c r="B8769" s="10" t="s">
        <v>42</v>
      </c>
      <c r="C8769" s="10" t="s">
        <v>1245</v>
      </c>
      <c r="D8769" s="10" t="s">
        <v>1341</v>
      </c>
      <c r="E8769" s="14">
        <v>0.16896</v>
      </c>
      <c r="F8769" s="15">
        <f>ROUND(7.37,3)</f>
        <v>7.37</v>
      </c>
      <c r="G8769" s="12">
        <f t="shared" si="1303"/>
        <v>1.25</v>
      </c>
    </row>
    <row r="8770" ht="39.75" customHeight="1">
      <c r="A8770" s="10" t="s">
        <v>3848</v>
      </c>
      <c r="B8770" s="10" t="s">
        <v>42</v>
      </c>
      <c r="C8770" s="10" t="s">
        <v>344</v>
      </c>
      <c r="D8770" s="10" t="s">
        <v>3849</v>
      </c>
      <c r="E8770" s="14">
        <v>1.0</v>
      </c>
      <c r="F8770" s="15">
        <f>ROUND(10.98,3)</f>
        <v>10.98</v>
      </c>
      <c r="G8770" s="12">
        <f t="shared" si="1303"/>
        <v>10.98</v>
      </c>
    </row>
    <row r="8771" ht="21.0" customHeight="1">
      <c r="A8771" s="10" t="s">
        <v>969</v>
      </c>
      <c r="B8771" s="10" t="s">
        <v>112</v>
      </c>
      <c r="C8771" s="10" t="s">
        <v>23</v>
      </c>
      <c r="D8771" s="10" t="s">
        <v>970</v>
      </c>
      <c r="E8771" s="14">
        <v>0.3</v>
      </c>
      <c r="F8771" s="15">
        <f>ROUND(2,3)</f>
        <v>2</v>
      </c>
      <c r="G8771" s="12">
        <f t="shared" si="1303"/>
        <v>0.6</v>
      </c>
    </row>
    <row r="8772" ht="30.0" customHeight="1">
      <c r="A8772" s="10" t="s">
        <v>971</v>
      </c>
      <c r="B8772" s="10" t="s">
        <v>42</v>
      </c>
      <c r="C8772" s="10" t="s">
        <v>231</v>
      </c>
      <c r="D8772" s="10" t="s">
        <v>972</v>
      </c>
      <c r="E8772" s="14">
        <v>0.05</v>
      </c>
      <c r="F8772" s="15">
        <f>ROUND(4.92,3)</f>
        <v>4.92</v>
      </c>
      <c r="G8772" s="12">
        <f t="shared" si="1303"/>
        <v>0.25</v>
      </c>
    </row>
    <row r="8773" ht="21.0" customHeight="1">
      <c r="A8773" s="10" t="s">
        <v>22</v>
      </c>
      <c r="B8773" s="10" t="s">
        <v>18</v>
      </c>
      <c r="C8773" s="10" t="s">
        <v>23</v>
      </c>
      <c r="D8773" s="10" t="s">
        <v>24</v>
      </c>
      <c r="E8773" s="14">
        <v>1.4</v>
      </c>
      <c r="F8773" s="15">
        <f>F8777</f>
        <v>43.8</v>
      </c>
      <c r="G8773" s="12">
        <f t="shared" si="1303"/>
        <v>61.32</v>
      </c>
    </row>
    <row r="8774" ht="24.0" customHeight="1">
      <c r="A8774" s="10" t="s">
        <v>25</v>
      </c>
      <c r="B8774" s="10" t="s">
        <v>26</v>
      </c>
      <c r="C8774" s="10" t="s">
        <v>23</v>
      </c>
      <c r="D8774" s="10" t="s">
        <v>27</v>
      </c>
      <c r="E8774" s="14">
        <v>1.0</v>
      </c>
      <c r="F8774" s="15">
        <f>ROUND(21,3)</f>
        <v>21</v>
      </c>
      <c r="G8774" s="12">
        <f t="shared" si="1303"/>
        <v>21</v>
      </c>
    </row>
    <row r="8775" ht="24.0" customHeight="1">
      <c r="A8775" s="10" t="s">
        <v>28</v>
      </c>
      <c r="B8775" s="10" t="s">
        <v>26</v>
      </c>
      <c r="C8775" s="10" t="s">
        <v>23</v>
      </c>
      <c r="D8775" s="10" t="s">
        <v>29</v>
      </c>
      <c r="E8775" s="14">
        <v>1.0</v>
      </c>
      <c r="F8775" s="15">
        <f t="shared" ref="F8775:F8776" si="1304">ROUND(19,3)</f>
        <v>19</v>
      </c>
      <c r="G8775" s="12">
        <f t="shared" si="1303"/>
        <v>19</v>
      </c>
    </row>
    <row r="8776" ht="24.0" customHeight="1">
      <c r="A8776" s="10" t="s">
        <v>30</v>
      </c>
      <c r="B8776" s="10" t="s">
        <v>26</v>
      </c>
      <c r="C8776" s="10" t="s">
        <v>23</v>
      </c>
      <c r="D8776" s="10" t="s">
        <v>31</v>
      </c>
      <c r="E8776" s="14">
        <v>0.2</v>
      </c>
      <c r="F8776" s="15">
        <f t="shared" si="1304"/>
        <v>19</v>
      </c>
      <c r="G8776" s="12">
        <f t="shared" si="1303"/>
        <v>3.8</v>
      </c>
    </row>
    <row r="8777" ht="15.0" customHeight="1">
      <c r="A8777" s="11"/>
      <c r="B8777" s="11"/>
      <c r="C8777" s="11"/>
      <c r="D8777" s="10" t="s">
        <v>22</v>
      </c>
      <c r="E8777" s="14">
        <v>1.4</v>
      </c>
      <c r="F8777" s="15">
        <f>ROUND((G8774+G8775+G8776),3)</f>
        <v>43.8</v>
      </c>
      <c r="G8777" s="12">
        <f t="shared" si="1303"/>
        <v>61.32</v>
      </c>
    </row>
    <row r="8778" ht="15.0" customHeight="1">
      <c r="A8778" s="10" t="s">
        <v>32</v>
      </c>
      <c r="B8778" s="10"/>
      <c r="C8778" s="10" t="s">
        <v>33</v>
      </c>
      <c r="D8778" s="10" t="s">
        <v>34</v>
      </c>
      <c r="E8778" s="14">
        <v>5.0</v>
      </c>
      <c r="F8778" s="15">
        <f>ROUND(61.32,3)</f>
        <v>61.32</v>
      </c>
      <c r="G8778" s="12">
        <f>ROUND((E8778*F8778)/100,2)</f>
        <v>3.07</v>
      </c>
    </row>
    <row r="8779" ht="15.0" customHeight="1">
      <c r="A8779" s="16"/>
      <c r="B8779" s="16"/>
      <c r="C8779" s="16"/>
      <c r="D8779" s="17" t="s">
        <v>3930</v>
      </c>
      <c r="E8779" s="16"/>
      <c r="F8779" s="18">
        <f>ROUND((G8762+G8763+G8764+G8765+G8766+G8767+G8768+G8769+G8770+G8771+G8772+G8773+G8778)*(1+G2/100),2)</f>
        <v>155.04</v>
      </c>
      <c r="G8779" s="16"/>
    </row>
    <row r="8780" ht="48.75" customHeight="1">
      <c r="A8780" s="19" t="s">
        <v>3932</v>
      </c>
      <c r="B8780" s="20" t="s">
        <v>18</v>
      </c>
      <c r="C8780" s="20" t="s">
        <v>351</v>
      </c>
      <c r="D8780" s="20" t="s">
        <v>3933</v>
      </c>
      <c r="E8780" s="21"/>
      <c r="F8780" s="22">
        <f>F8801</f>
        <v>79.35</v>
      </c>
      <c r="G8780" s="21"/>
    </row>
    <row r="8781" ht="21.0" customHeight="1">
      <c r="A8781" s="11"/>
      <c r="B8781" s="11"/>
      <c r="C8781" s="11"/>
      <c r="D8781" s="10" t="s">
        <v>3933</v>
      </c>
    </row>
    <row r="8782" ht="39.75" customHeight="1">
      <c r="A8782" s="10" t="s">
        <v>3906</v>
      </c>
      <c r="B8782" s="10" t="s">
        <v>42</v>
      </c>
      <c r="C8782" s="10" t="s">
        <v>351</v>
      </c>
      <c r="D8782" s="10" t="s">
        <v>3907</v>
      </c>
      <c r="E8782" s="14">
        <v>1.05</v>
      </c>
      <c r="F8782" s="15">
        <f>ROUND(15,3)</f>
        <v>15</v>
      </c>
      <c r="G8782" s="12">
        <f t="shared" ref="G8782:G8799" si="1305">ROUND(E8782*F8782,2)</f>
        <v>15.75</v>
      </c>
    </row>
    <row r="8783" ht="39.75" customHeight="1">
      <c r="A8783" s="10" t="s">
        <v>3908</v>
      </c>
      <c r="B8783" s="10" t="s">
        <v>42</v>
      </c>
      <c r="C8783" s="10" t="s">
        <v>344</v>
      </c>
      <c r="D8783" s="10" t="s">
        <v>3909</v>
      </c>
      <c r="E8783" s="14">
        <v>0.71429</v>
      </c>
      <c r="F8783" s="15">
        <f>ROUND(5,3)</f>
        <v>5</v>
      </c>
      <c r="G8783" s="12">
        <f t="shared" si="1305"/>
        <v>3.57</v>
      </c>
    </row>
    <row r="8784" ht="39.75" customHeight="1">
      <c r="A8784" s="10" t="s">
        <v>3910</v>
      </c>
      <c r="B8784" s="10" t="s">
        <v>42</v>
      </c>
      <c r="C8784" s="10" t="s">
        <v>344</v>
      </c>
      <c r="D8784" s="10" t="s">
        <v>3911</v>
      </c>
      <c r="E8784" s="14">
        <v>0.28571</v>
      </c>
      <c r="F8784" s="15">
        <f>ROUND(30,3)</f>
        <v>30</v>
      </c>
      <c r="G8784" s="12">
        <f t="shared" si="1305"/>
        <v>8.57</v>
      </c>
    </row>
    <row r="8785" ht="39.75" customHeight="1">
      <c r="A8785" s="10" t="s">
        <v>3912</v>
      </c>
      <c r="B8785" s="10" t="s">
        <v>42</v>
      </c>
      <c r="C8785" s="10" t="s">
        <v>344</v>
      </c>
      <c r="D8785" s="10" t="s">
        <v>3913</v>
      </c>
      <c r="E8785" s="14">
        <v>0.28571</v>
      </c>
      <c r="F8785" s="15">
        <f>ROUND(18,3)</f>
        <v>18</v>
      </c>
      <c r="G8785" s="12">
        <f t="shared" si="1305"/>
        <v>5.14</v>
      </c>
    </row>
    <row r="8786" ht="39.75" customHeight="1">
      <c r="A8786" s="10" t="s">
        <v>3914</v>
      </c>
      <c r="B8786" s="10" t="s">
        <v>42</v>
      </c>
      <c r="C8786" s="10" t="s">
        <v>344</v>
      </c>
      <c r="D8786" s="10" t="s">
        <v>3915</v>
      </c>
      <c r="E8786" s="14">
        <v>0.28571</v>
      </c>
      <c r="F8786" s="15">
        <f>ROUND(12,3)</f>
        <v>12</v>
      </c>
      <c r="G8786" s="12">
        <f t="shared" si="1305"/>
        <v>3.43</v>
      </c>
    </row>
    <row r="8787" ht="30.0" customHeight="1">
      <c r="A8787" s="10" t="s">
        <v>1745</v>
      </c>
      <c r="B8787" s="10" t="s">
        <v>42</v>
      </c>
      <c r="C8787" s="10" t="s">
        <v>330</v>
      </c>
      <c r="D8787" s="10" t="s">
        <v>1746</v>
      </c>
      <c r="E8787" s="14">
        <v>0.125</v>
      </c>
      <c r="F8787" s="15">
        <f>ROUND(7.93,3)</f>
        <v>7.93</v>
      </c>
      <c r="G8787" s="12">
        <f t="shared" si="1305"/>
        <v>0.99</v>
      </c>
    </row>
    <row r="8788" ht="30.0" customHeight="1">
      <c r="A8788" s="10" t="s">
        <v>1378</v>
      </c>
      <c r="B8788" s="10" t="s">
        <v>42</v>
      </c>
      <c r="C8788" s="10" t="s">
        <v>330</v>
      </c>
      <c r="D8788" s="10" t="s">
        <v>1379</v>
      </c>
      <c r="E8788" s="14">
        <v>0.05</v>
      </c>
      <c r="F8788" s="15">
        <f>ROUND(6.14,3)</f>
        <v>6.14</v>
      </c>
      <c r="G8788" s="12">
        <f t="shared" si="1305"/>
        <v>0.31</v>
      </c>
    </row>
    <row r="8789" ht="39.75" customHeight="1">
      <c r="A8789" s="10" t="s">
        <v>1340</v>
      </c>
      <c r="B8789" s="10" t="s">
        <v>42</v>
      </c>
      <c r="C8789" s="10" t="s">
        <v>1245</v>
      </c>
      <c r="D8789" s="10" t="s">
        <v>1341</v>
      </c>
      <c r="E8789" s="14">
        <v>0.16896</v>
      </c>
      <c r="F8789" s="15">
        <f>ROUND(7.37,3)</f>
        <v>7.37</v>
      </c>
      <c r="G8789" s="12">
        <f t="shared" si="1305"/>
        <v>1.25</v>
      </c>
    </row>
    <row r="8790" ht="30.0" customHeight="1">
      <c r="A8790" s="10" t="s">
        <v>3452</v>
      </c>
      <c r="B8790" s="10" t="s">
        <v>42</v>
      </c>
      <c r="C8790" s="10" t="s">
        <v>344</v>
      </c>
      <c r="D8790" s="10" t="s">
        <v>3453</v>
      </c>
      <c r="E8790" s="14">
        <v>1.0</v>
      </c>
      <c r="F8790" s="15">
        <f>ROUND(1.73,3)</f>
        <v>1.73</v>
      </c>
      <c r="G8790" s="12">
        <f t="shared" si="1305"/>
        <v>1.73</v>
      </c>
    </row>
    <row r="8791" ht="39.75" customHeight="1">
      <c r="A8791" s="10" t="s">
        <v>3916</v>
      </c>
      <c r="B8791" s="10" t="s">
        <v>42</v>
      </c>
      <c r="C8791" s="10" t="s">
        <v>344</v>
      </c>
      <c r="D8791" s="10" t="s">
        <v>3917</v>
      </c>
      <c r="E8791" s="14">
        <v>0.0286</v>
      </c>
      <c r="F8791" s="15">
        <f>ROUND(29,3)</f>
        <v>29</v>
      </c>
      <c r="G8791" s="12">
        <f t="shared" si="1305"/>
        <v>0.83</v>
      </c>
    </row>
    <row r="8792" ht="30.0" customHeight="1">
      <c r="A8792" s="10" t="s">
        <v>2652</v>
      </c>
      <c r="B8792" s="10" t="s">
        <v>42</v>
      </c>
      <c r="C8792" s="10" t="s">
        <v>344</v>
      </c>
      <c r="D8792" s="10" t="s">
        <v>2653</v>
      </c>
      <c r="E8792" s="14">
        <v>0.0286</v>
      </c>
      <c r="F8792" s="15">
        <f>ROUND(4.92,3)</f>
        <v>4.92</v>
      </c>
      <c r="G8792" s="12">
        <f t="shared" si="1305"/>
        <v>0.14</v>
      </c>
    </row>
    <row r="8793" ht="21.0" customHeight="1">
      <c r="A8793" s="10" t="s">
        <v>969</v>
      </c>
      <c r="B8793" s="10" t="s">
        <v>112</v>
      </c>
      <c r="C8793" s="10" t="s">
        <v>23</v>
      </c>
      <c r="D8793" s="10" t="s">
        <v>970</v>
      </c>
      <c r="E8793" s="14">
        <v>0.3</v>
      </c>
      <c r="F8793" s="15">
        <f>ROUND(2,3)</f>
        <v>2</v>
      </c>
      <c r="G8793" s="12">
        <f t="shared" si="1305"/>
        <v>0.6</v>
      </c>
    </row>
    <row r="8794" ht="30.0" customHeight="1">
      <c r="A8794" s="10" t="s">
        <v>971</v>
      </c>
      <c r="B8794" s="10" t="s">
        <v>42</v>
      </c>
      <c r="C8794" s="10" t="s">
        <v>231</v>
      </c>
      <c r="D8794" s="10" t="s">
        <v>972</v>
      </c>
      <c r="E8794" s="14">
        <v>0.05</v>
      </c>
      <c r="F8794" s="15">
        <f>ROUND(4.92,3)</f>
        <v>4.92</v>
      </c>
      <c r="G8794" s="12">
        <f t="shared" si="1305"/>
        <v>0.25</v>
      </c>
    </row>
    <row r="8795" ht="21.0" customHeight="1">
      <c r="A8795" s="10" t="s">
        <v>22</v>
      </c>
      <c r="B8795" s="10" t="s">
        <v>18</v>
      </c>
      <c r="C8795" s="10" t="s">
        <v>23</v>
      </c>
      <c r="D8795" s="10" t="s">
        <v>24</v>
      </c>
      <c r="E8795" s="14">
        <v>0.8</v>
      </c>
      <c r="F8795" s="15">
        <f>F8799</f>
        <v>43.8</v>
      </c>
      <c r="G8795" s="12">
        <f t="shared" si="1305"/>
        <v>35.04</v>
      </c>
    </row>
    <row r="8796" ht="24.0" customHeight="1">
      <c r="A8796" s="10" t="s">
        <v>25</v>
      </c>
      <c r="B8796" s="10" t="s">
        <v>26</v>
      </c>
      <c r="C8796" s="10" t="s">
        <v>23</v>
      </c>
      <c r="D8796" s="10" t="s">
        <v>27</v>
      </c>
      <c r="E8796" s="14">
        <v>1.0</v>
      </c>
      <c r="F8796" s="15">
        <f>ROUND(21,3)</f>
        <v>21</v>
      </c>
      <c r="G8796" s="12">
        <f t="shared" si="1305"/>
        <v>21</v>
      </c>
    </row>
    <row r="8797" ht="24.0" customHeight="1">
      <c r="A8797" s="10" t="s">
        <v>28</v>
      </c>
      <c r="B8797" s="10" t="s">
        <v>26</v>
      </c>
      <c r="C8797" s="10" t="s">
        <v>23</v>
      </c>
      <c r="D8797" s="10" t="s">
        <v>29</v>
      </c>
      <c r="E8797" s="14">
        <v>1.0</v>
      </c>
      <c r="F8797" s="15">
        <f t="shared" ref="F8797:F8798" si="1306">ROUND(19,3)</f>
        <v>19</v>
      </c>
      <c r="G8797" s="12">
        <f t="shared" si="1305"/>
        <v>19</v>
      </c>
    </row>
    <row r="8798" ht="24.0" customHeight="1">
      <c r="A8798" s="10" t="s">
        <v>30</v>
      </c>
      <c r="B8798" s="10" t="s">
        <v>26</v>
      </c>
      <c r="C8798" s="10" t="s">
        <v>23</v>
      </c>
      <c r="D8798" s="10" t="s">
        <v>31</v>
      </c>
      <c r="E8798" s="14">
        <v>0.2</v>
      </c>
      <c r="F8798" s="15">
        <f t="shared" si="1306"/>
        <v>19</v>
      </c>
      <c r="G8798" s="12">
        <f t="shared" si="1305"/>
        <v>3.8</v>
      </c>
    </row>
    <row r="8799" ht="15.0" customHeight="1">
      <c r="A8799" s="11"/>
      <c r="B8799" s="11"/>
      <c r="C8799" s="11"/>
      <c r="D8799" s="10" t="s">
        <v>22</v>
      </c>
      <c r="E8799" s="14">
        <v>0.8</v>
      </c>
      <c r="F8799" s="15">
        <f>ROUND((G8796+G8797+G8798),3)</f>
        <v>43.8</v>
      </c>
      <c r="G8799" s="12">
        <f t="shared" si="1305"/>
        <v>35.04</v>
      </c>
    </row>
    <row r="8800" ht="15.0" customHeight="1">
      <c r="A8800" s="10" t="s">
        <v>32</v>
      </c>
      <c r="B8800" s="10"/>
      <c r="C8800" s="10" t="s">
        <v>33</v>
      </c>
      <c r="D8800" s="10" t="s">
        <v>34</v>
      </c>
      <c r="E8800" s="14">
        <v>5.0</v>
      </c>
      <c r="F8800" s="15">
        <f>ROUND(35.04,3)</f>
        <v>35.04</v>
      </c>
      <c r="G8800" s="12">
        <f>ROUND((E8800*F8800)/100,2)</f>
        <v>1.75</v>
      </c>
    </row>
    <row r="8801" ht="15.0" customHeight="1">
      <c r="A8801" s="16"/>
      <c r="B8801" s="16"/>
      <c r="C8801" s="16"/>
      <c r="D8801" s="17" t="s">
        <v>3932</v>
      </c>
      <c r="E8801" s="16"/>
      <c r="F8801" s="18">
        <f>ROUND((G8782+G8783+G8784+G8785+G8786+G8787+G8788+G8789+G8790+G8791+G8792+G8793+G8794+G8795+G8800)*(1+G2/100),2)</f>
        <v>79.35</v>
      </c>
      <c r="G8801" s="16"/>
    </row>
    <row r="8802" ht="15.0" customHeight="1">
      <c r="A8802" s="23"/>
      <c r="B8802" s="23"/>
      <c r="C8802" s="23"/>
      <c r="D8802" s="32" t="s">
        <v>3818</v>
      </c>
      <c r="E8802" s="33"/>
      <c r="F8802" s="33"/>
      <c r="G8802" s="33"/>
    </row>
    <row r="8803" ht="15.0" customHeight="1">
      <c r="A8803" s="34" t="s">
        <v>3934</v>
      </c>
      <c r="B8803" s="34" t="s">
        <v>10</v>
      </c>
      <c r="C8803" s="35"/>
      <c r="D8803" s="34" t="s">
        <v>3935</v>
      </c>
      <c r="E8803" s="35"/>
      <c r="F8803" s="35"/>
      <c r="G8803" s="35"/>
    </row>
    <row r="8804" ht="15.0" customHeight="1">
      <c r="A8804" s="42" t="s">
        <v>3936</v>
      </c>
      <c r="B8804" s="42" t="s">
        <v>10</v>
      </c>
      <c r="C8804" s="43"/>
      <c r="D8804" s="42" t="s">
        <v>3937</v>
      </c>
      <c r="E8804" s="43"/>
      <c r="F8804" s="57">
        <v>0.0</v>
      </c>
      <c r="G8804" s="43"/>
    </row>
    <row r="8805" ht="15.0" customHeight="1">
      <c r="A8805" s="16"/>
      <c r="B8805" s="16"/>
      <c r="C8805" s="16"/>
      <c r="D8805" s="45" t="s">
        <v>3936</v>
      </c>
      <c r="E8805" s="46"/>
      <c r="F8805" s="46"/>
      <c r="G8805" s="46"/>
    </row>
    <row r="8806" ht="15.0" customHeight="1">
      <c r="A8806" s="23"/>
      <c r="B8806" s="23"/>
      <c r="C8806" s="23"/>
      <c r="D8806" s="32" t="s">
        <v>3934</v>
      </c>
      <c r="E8806" s="33"/>
      <c r="F8806" s="33"/>
      <c r="G8806" s="33"/>
    </row>
    <row r="8807" ht="24.75" customHeight="1">
      <c r="A8807" s="34" t="s">
        <v>3938</v>
      </c>
      <c r="B8807" s="34" t="s">
        <v>10</v>
      </c>
      <c r="C8807" s="35"/>
      <c r="D8807" s="34" t="s">
        <v>3939</v>
      </c>
      <c r="E8807" s="35"/>
      <c r="F8807" s="35"/>
      <c r="G8807" s="35"/>
    </row>
    <row r="8808" ht="15.0" customHeight="1">
      <c r="A8808" s="42" t="s">
        <v>3940</v>
      </c>
      <c r="B8808" s="42" t="s">
        <v>10</v>
      </c>
      <c r="C8808" s="43"/>
      <c r="D8808" s="42" t="s">
        <v>3941</v>
      </c>
      <c r="E8808" s="43"/>
      <c r="F8808" s="57">
        <v>0.0</v>
      </c>
      <c r="G8808" s="43"/>
    </row>
    <row r="8809" ht="15.0" customHeight="1">
      <c r="A8809" s="16"/>
      <c r="B8809" s="16"/>
      <c r="C8809" s="16"/>
      <c r="D8809" s="45" t="s">
        <v>3940</v>
      </c>
      <c r="E8809" s="46"/>
      <c r="F8809" s="46"/>
      <c r="G8809" s="46"/>
    </row>
    <row r="8810" ht="21.75" customHeight="1">
      <c r="A8810" s="26" t="s">
        <v>3942</v>
      </c>
      <c r="B8810" s="26" t="s">
        <v>10</v>
      </c>
      <c r="C8810" s="27"/>
      <c r="D8810" s="26" t="s">
        <v>3943</v>
      </c>
      <c r="E8810" s="27"/>
      <c r="F8810" s="27"/>
      <c r="G8810" s="27"/>
    </row>
    <row r="8811" ht="24.75" customHeight="1">
      <c r="A8811" s="28" t="s">
        <v>3944</v>
      </c>
      <c r="B8811" s="28" t="s">
        <v>10</v>
      </c>
      <c r="C8811" s="29"/>
      <c r="D8811" s="28" t="s">
        <v>3945</v>
      </c>
      <c r="E8811" s="29"/>
      <c r="F8811" s="29"/>
      <c r="G8811" s="29"/>
    </row>
    <row r="8812" ht="48.75" customHeight="1">
      <c r="A8812" s="13" t="s">
        <v>3946</v>
      </c>
      <c r="B8812" s="10" t="s">
        <v>18</v>
      </c>
      <c r="C8812" s="10" t="s">
        <v>351</v>
      </c>
      <c r="D8812" s="10" t="s">
        <v>3947</v>
      </c>
      <c r="E8812" s="11"/>
      <c r="F8812" s="12">
        <f>F8824</f>
        <v>8.27</v>
      </c>
      <c r="G8812" s="11"/>
    </row>
    <row r="8813" ht="21.0" customHeight="1">
      <c r="A8813" s="11"/>
      <c r="B8813" s="11"/>
      <c r="C8813" s="11"/>
      <c r="D8813" s="10" t="s">
        <v>3947</v>
      </c>
    </row>
    <row r="8814" ht="30.0" customHeight="1">
      <c r="A8814" s="10" t="s">
        <v>3948</v>
      </c>
      <c r="B8814" s="10" t="s">
        <v>42</v>
      </c>
      <c r="C8814" s="10" t="s">
        <v>226</v>
      </c>
      <c r="D8814" s="10" t="s">
        <v>3949</v>
      </c>
      <c r="E8814" s="14">
        <v>0.011</v>
      </c>
      <c r="F8814" s="15">
        <f>ROUND(26.68,3)</f>
        <v>26.68</v>
      </c>
      <c r="G8814" s="12">
        <f t="shared" ref="G8814:G8822" si="1307">ROUND(E8814*F8814,2)</f>
        <v>0.29</v>
      </c>
    </row>
    <row r="8815" ht="30.0" customHeight="1">
      <c r="A8815" s="10" t="s">
        <v>3950</v>
      </c>
      <c r="B8815" s="10" t="s">
        <v>42</v>
      </c>
      <c r="C8815" s="10" t="s">
        <v>330</v>
      </c>
      <c r="D8815" s="10" t="s">
        <v>3951</v>
      </c>
      <c r="E8815" s="14">
        <v>0.03</v>
      </c>
      <c r="F8815" s="15">
        <f>ROUND(2.43,3)</f>
        <v>2.43</v>
      </c>
      <c r="G8815" s="12">
        <f t="shared" si="1307"/>
        <v>0.07</v>
      </c>
    </row>
    <row r="8816" ht="21.0" customHeight="1">
      <c r="A8816" s="10" t="s">
        <v>969</v>
      </c>
      <c r="B8816" s="10" t="s">
        <v>112</v>
      </c>
      <c r="C8816" s="10" t="s">
        <v>23</v>
      </c>
      <c r="D8816" s="10" t="s">
        <v>970</v>
      </c>
      <c r="E8816" s="14">
        <v>0.1</v>
      </c>
      <c r="F8816" s="15">
        <f>ROUND(2,3)</f>
        <v>2</v>
      </c>
      <c r="G8816" s="12">
        <f t="shared" si="1307"/>
        <v>0.2</v>
      </c>
    </row>
    <row r="8817" ht="30.0" customHeight="1">
      <c r="A8817" s="10" t="s">
        <v>971</v>
      </c>
      <c r="B8817" s="10" t="s">
        <v>42</v>
      </c>
      <c r="C8817" s="10" t="s">
        <v>231</v>
      </c>
      <c r="D8817" s="10" t="s">
        <v>972</v>
      </c>
      <c r="E8817" s="14">
        <v>0.1</v>
      </c>
      <c r="F8817" s="15">
        <f>ROUND(4.92,3)</f>
        <v>4.92</v>
      </c>
      <c r="G8817" s="12">
        <f t="shared" si="1307"/>
        <v>0.49</v>
      </c>
    </row>
    <row r="8818" ht="21.0" customHeight="1">
      <c r="A8818" s="10" t="s">
        <v>22</v>
      </c>
      <c r="B8818" s="10" t="s">
        <v>18</v>
      </c>
      <c r="C8818" s="10" t="s">
        <v>23</v>
      </c>
      <c r="D8818" s="10" t="s">
        <v>24</v>
      </c>
      <c r="E8818" s="14">
        <v>0.16</v>
      </c>
      <c r="F8818" s="15">
        <f>F8822</f>
        <v>43.8</v>
      </c>
      <c r="G8818" s="12">
        <f t="shared" si="1307"/>
        <v>7.01</v>
      </c>
    </row>
    <row r="8819" ht="24.0" customHeight="1">
      <c r="A8819" s="10" t="s">
        <v>25</v>
      </c>
      <c r="B8819" s="10" t="s">
        <v>26</v>
      </c>
      <c r="C8819" s="10" t="s">
        <v>23</v>
      </c>
      <c r="D8819" s="10" t="s">
        <v>27</v>
      </c>
      <c r="E8819" s="14">
        <v>1.0</v>
      </c>
      <c r="F8819" s="15">
        <f>ROUND(21,3)</f>
        <v>21</v>
      </c>
      <c r="G8819" s="12">
        <f t="shared" si="1307"/>
        <v>21</v>
      </c>
    </row>
    <row r="8820" ht="24.0" customHeight="1">
      <c r="A8820" s="10" t="s">
        <v>28</v>
      </c>
      <c r="B8820" s="10" t="s">
        <v>26</v>
      </c>
      <c r="C8820" s="10" t="s">
        <v>23</v>
      </c>
      <c r="D8820" s="10" t="s">
        <v>29</v>
      </c>
      <c r="E8820" s="14">
        <v>1.0</v>
      </c>
      <c r="F8820" s="15">
        <f t="shared" ref="F8820:F8821" si="1308">ROUND(19,3)</f>
        <v>19</v>
      </c>
      <c r="G8820" s="12">
        <f t="shared" si="1307"/>
        <v>19</v>
      </c>
    </row>
    <row r="8821" ht="24.0" customHeight="1">
      <c r="A8821" s="10" t="s">
        <v>30</v>
      </c>
      <c r="B8821" s="10" t="s">
        <v>26</v>
      </c>
      <c r="C8821" s="10" t="s">
        <v>23</v>
      </c>
      <c r="D8821" s="10" t="s">
        <v>31</v>
      </c>
      <c r="E8821" s="14">
        <v>0.2</v>
      </c>
      <c r="F8821" s="15">
        <f t="shared" si="1308"/>
        <v>19</v>
      </c>
      <c r="G8821" s="12">
        <f t="shared" si="1307"/>
        <v>3.8</v>
      </c>
    </row>
    <row r="8822" ht="15.0" customHeight="1">
      <c r="A8822" s="11"/>
      <c r="B8822" s="11"/>
      <c r="C8822" s="11"/>
      <c r="D8822" s="10" t="s">
        <v>22</v>
      </c>
      <c r="E8822" s="14">
        <v>0.16</v>
      </c>
      <c r="F8822" s="15">
        <f>ROUND((G8819+G8820+G8821),3)</f>
        <v>43.8</v>
      </c>
      <c r="G8822" s="12">
        <f t="shared" si="1307"/>
        <v>7.01</v>
      </c>
    </row>
    <row r="8823" ht="15.0" customHeight="1">
      <c r="A8823" s="10" t="s">
        <v>32</v>
      </c>
      <c r="B8823" s="10"/>
      <c r="C8823" s="10" t="s">
        <v>33</v>
      </c>
      <c r="D8823" s="10" t="s">
        <v>34</v>
      </c>
      <c r="E8823" s="14">
        <v>3.0</v>
      </c>
      <c r="F8823" s="15">
        <f>ROUND(7.01,3)</f>
        <v>7.01</v>
      </c>
      <c r="G8823" s="12">
        <f>ROUND((E8823*F8823)/100,2)</f>
        <v>0.21</v>
      </c>
    </row>
    <row r="8824" ht="24.75" customHeight="1">
      <c r="A8824" s="16"/>
      <c r="B8824" s="16"/>
      <c r="C8824" s="16"/>
      <c r="D8824" s="17" t="s">
        <v>3946</v>
      </c>
      <c r="E8824" s="16"/>
      <c r="F8824" s="18">
        <f>ROUND((G8814+G8815+G8816+G8817+G8818+G8823)*(1+G2/100),2)</f>
        <v>8.27</v>
      </c>
      <c r="G8824" s="16"/>
    </row>
    <row r="8825" ht="15.0" customHeight="1">
      <c r="A8825" s="23"/>
      <c r="B8825" s="23"/>
      <c r="C8825" s="23"/>
      <c r="D8825" s="30" t="s">
        <v>3944</v>
      </c>
      <c r="E8825" s="31"/>
      <c r="F8825" s="31"/>
      <c r="G8825" s="31"/>
    </row>
    <row r="8826" ht="15.0" customHeight="1">
      <c r="A8826" s="23"/>
      <c r="B8826" s="23"/>
      <c r="C8826" s="23"/>
      <c r="D8826" s="24" t="s">
        <v>3942</v>
      </c>
      <c r="E8826" s="25"/>
      <c r="F8826" s="25"/>
      <c r="G8826" s="25"/>
    </row>
    <row r="8827" ht="21.75" customHeight="1">
      <c r="A8827" s="26" t="s">
        <v>3952</v>
      </c>
      <c r="B8827" s="26" t="s">
        <v>10</v>
      </c>
      <c r="C8827" s="27"/>
      <c r="D8827" s="26" t="s">
        <v>3953</v>
      </c>
      <c r="E8827" s="27"/>
      <c r="F8827" s="27"/>
      <c r="G8827" s="27"/>
    </row>
    <row r="8828" ht="30.0" customHeight="1">
      <c r="A8828" s="13" t="s">
        <v>3954</v>
      </c>
      <c r="B8828" s="10" t="s">
        <v>18</v>
      </c>
      <c r="C8828" s="10" t="s">
        <v>231</v>
      </c>
      <c r="D8828" s="10" t="s">
        <v>3955</v>
      </c>
      <c r="E8828" s="11"/>
      <c r="F8828" s="12">
        <f>F8840</f>
        <v>249.58</v>
      </c>
      <c r="G8828" s="11"/>
    </row>
    <row r="8829" ht="21.0" customHeight="1">
      <c r="A8829" s="11"/>
      <c r="B8829" s="11"/>
      <c r="C8829" s="11"/>
      <c r="D8829" s="10" t="s">
        <v>3955</v>
      </c>
    </row>
    <row r="8830" ht="30.0" customHeight="1">
      <c r="A8830" s="10" t="s">
        <v>3956</v>
      </c>
      <c r="B8830" s="10" t="s">
        <v>42</v>
      </c>
      <c r="C8830" s="10" t="s">
        <v>344</v>
      </c>
      <c r="D8830" s="10" t="s">
        <v>3957</v>
      </c>
      <c r="E8830" s="14">
        <v>1.0</v>
      </c>
      <c r="F8830" s="15">
        <f>ROUND(25.77,3)</f>
        <v>25.77</v>
      </c>
      <c r="G8830" s="12">
        <f t="shared" ref="G8830:G8838" si="1309">ROUND(E8830*F8830,2)</f>
        <v>25.77</v>
      </c>
    </row>
    <row r="8831" ht="30.0" customHeight="1">
      <c r="A8831" s="10" t="s">
        <v>3958</v>
      </c>
      <c r="B8831" s="10" t="s">
        <v>42</v>
      </c>
      <c r="C8831" s="10" t="s">
        <v>344</v>
      </c>
      <c r="D8831" s="10" t="s">
        <v>3959</v>
      </c>
      <c r="E8831" s="14">
        <v>1.0</v>
      </c>
      <c r="F8831" s="15">
        <f>ROUND(19.73,3)</f>
        <v>19.73</v>
      </c>
      <c r="G8831" s="12">
        <f t="shared" si="1309"/>
        <v>19.73</v>
      </c>
    </row>
    <row r="8832" ht="30.0" customHeight="1">
      <c r="A8832" s="10" t="s">
        <v>3960</v>
      </c>
      <c r="B8832" s="10" t="s">
        <v>42</v>
      </c>
      <c r="C8832" s="10" t="s">
        <v>226</v>
      </c>
      <c r="D8832" s="10" t="s">
        <v>3961</v>
      </c>
      <c r="E8832" s="14">
        <v>0.44</v>
      </c>
      <c r="F8832" s="15">
        <f>ROUND(32.59,3)</f>
        <v>32.59</v>
      </c>
      <c r="G8832" s="12">
        <f t="shared" si="1309"/>
        <v>14.34</v>
      </c>
    </row>
    <row r="8833" ht="30.0" customHeight="1">
      <c r="A8833" s="10" t="s">
        <v>3962</v>
      </c>
      <c r="B8833" s="10" t="s">
        <v>42</v>
      </c>
      <c r="C8833" s="10" t="s">
        <v>344</v>
      </c>
      <c r="D8833" s="10" t="s">
        <v>3963</v>
      </c>
      <c r="E8833" s="14">
        <v>6.0</v>
      </c>
      <c r="F8833" s="15">
        <f>ROUND(0.38,3)</f>
        <v>0.38</v>
      </c>
      <c r="G8833" s="12">
        <f t="shared" si="1309"/>
        <v>2.28</v>
      </c>
    </row>
    <row r="8834" ht="21.0" customHeight="1">
      <c r="A8834" s="10" t="s">
        <v>22</v>
      </c>
      <c r="B8834" s="10" t="s">
        <v>18</v>
      </c>
      <c r="C8834" s="10" t="s">
        <v>23</v>
      </c>
      <c r="D8834" s="10" t="s">
        <v>24</v>
      </c>
      <c r="E8834" s="14">
        <v>4.0</v>
      </c>
      <c r="F8834" s="15">
        <f>F8838</f>
        <v>43.8</v>
      </c>
      <c r="G8834" s="12">
        <f t="shared" si="1309"/>
        <v>175.2</v>
      </c>
    </row>
    <row r="8835" ht="24.0" customHeight="1">
      <c r="A8835" s="10" t="s">
        <v>25</v>
      </c>
      <c r="B8835" s="10" t="s">
        <v>26</v>
      </c>
      <c r="C8835" s="10" t="s">
        <v>23</v>
      </c>
      <c r="D8835" s="10" t="s">
        <v>27</v>
      </c>
      <c r="E8835" s="14">
        <v>1.0</v>
      </c>
      <c r="F8835" s="15">
        <f>ROUND(21,3)</f>
        <v>21</v>
      </c>
      <c r="G8835" s="12">
        <f t="shared" si="1309"/>
        <v>21</v>
      </c>
    </row>
    <row r="8836" ht="24.0" customHeight="1">
      <c r="A8836" s="10" t="s">
        <v>28</v>
      </c>
      <c r="B8836" s="10" t="s">
        <v>26</v>
      </c>
      <c r="C8836" s="10" t="s">
        <v>23</v>
      </c>
      <c r="D8836" s="10" t="s">
        <v>29</v>
      </c>
      <c r="E8836" s="14">
        <v>1.0</v>
      </c>
      <c r="F8836" s="15">
        <f t="shared" ref="F8836:F8837" si="1310">ROUND(19,3)</f>
        <v>19</v>
      </c>
      <c r="G8836" s="12">
        <f t="shared" si="1309"/>
        <v>19</v>
      </c>
    </row>
    <row r="8837" ht="24.0" customHeight="1">
      <c r="A8837" s="10" t="s">
        <v>30</v>
      </c>
      <c r="B8837" s="10" t="s">
        <v>26</v>
      </c>
      <c r="C8837" s="10" t="s">
        <v>23</v>
      </c>
      <c r="D8837" s="10" t="s">
        <v>31</v>
      </c>
      <c r="E8837" s="14">
        <v>0.2</v>
      </c>
      <c r="F8837" s="15">
        <f t="shared" si="1310"/>
        <v>19</v>
      </c>
      <c r="G8837" s="12">
        <f t="shared" si="1309"/>
        <v>3.8</v>
      </c>
    </row>
    <row r="8838" ht="15.0" customHeight="1">
      <c r="A8838" s="11"/>
      <c r="B8838" s="11"/>
      <c r="C8838" s="11"/>
      <c r="D8838" s="10" t="s">
        <v>22</v>
      </c>
      <c r="E8838" s="14">
        <v>4.0</v>
      </c>
      <c r="F8838" s="15">
        <f>ROUND((G8835+G8836+G8837),3)</f>
        <v>43.8</v>
      </c>
      <c r="G8838" s="12">
        <f t="shared" si="1309"/>
        <v>175.2</v>
      </c>
    </row>
    <row r="8839" ht="15.0" customHeight="1">
      <c r="A8839" s="10" t="s">
        <v>32</v>
      </c>
      <c r="B8839" s="10"/>
      <c r="C8839" s="10" t="s">
        <v>33</v>
      </c>
      <c r="D8839" s="10" t="s">
        <v>34</v>
      </c>
      <c r="E8839" s="14">
        <v>7.0</v>
      </c>
      <c r="F8839" s="15">
        <f>ROUND(175.2,3)</f>
        <v>175.2</v>
      </c>
      <c r="G8839" s="12">
        <f>ROUND((E8839*F8839)/100,2)</f>
        <v>12.26</v>
      </c>
    </row>
    <row r="8840" ht="15.0" customHeight="1">
      <c r="A8840" s="16"/>
      <c r="B8840" s="16"/>
      <c r="C8840" s="16"/>
      <c r="D8840" s="17" t="s">
        <v>3954</v>
      </c>
      <c r="E8840" s="16"/>
      <c r="F8840" s="18">
        <f>ROUND((G8830+G8831+G8832+G8833+G8834+G8839)*(1+G2/100),2)</f>
        <v>249.58</v>
      </c>
      <c r="G8840" s="16"/>
    </row>
    <row r="8841" ht="30.0" customHeight="1">
      <c r="A8841" s="19" t="s">
        <v>3964</v>
      </c>
      <c r="B8841" s="20" t="s">
        <v>18</v>
      </c>
      <c r="C8841" s="20" t="s">
        <v>231</v>
      </c>
      <c r="D8841" s="20" t="s">
        <v>3965</v>
      </c>
      <c r="E8841" s="21"/>
      <c r="F8841" s="22">
        <f>F8853</f>
        <v>245.31</v>
      </c>
      <c r="G8841" s="21"/>
    </row>
    <row r="8842" ht="12.0" customHeight="1">
      <c r="A8842" s="11"/>
      <c r="B8842" s="11"/>
      <c r="C8842" s="11"/>
      <c r="D8842" s="10" t="s">
        <v>3966</v>
      </c>
    </row>
    <row r="8843" ht="39.75" customHeight="1">
      <c r="A8843" s="10" t="s">
        <v>3967</v>
      </c>
      <c r="B8843" s="10" t="s">
        <v>42</v>
      </c>
      <c r="C8843" s="10" t="s">
        <v>231</v>
      </c>
      <c r="D8843" s="10" t="s">
        <v>3968</v>
      </c>
      <c r="E8843" s="14">
        <v>1.0</v>
      </c>
      <c r="F8843" s="15">
        <f>ROUND(34.29,3)</f>
        <v>34.29</v>
      </c>
      <c r="G8843" s="12">
        <f t="shared" ref="G8843:G8851" si="1311">ROUND(E8843*F8843,2)</f>
        <v>34.29</v>
      </c>
    </row>
    <row r="8844" ht="21.0" customHeight="1">
      <c r="A8844" s="10" t="s">
        <v>967</v>
      </c>
      <c r="B8844" s="10" t="s">
        <v>42</v>
      </c>
      <c r="C8844" s="10" t="s">
        <v>325</v>
      </c>
      <c r="D8844" s="10" t="s">
        <v>968</v>
      </c>
      <c r="E8844" s="14">
        <v>4.0</v>
      </c>
      <c r="F8844" s="15">
        <f>ROUND(6.49,3)</f>
        <v>6.49</v>
      </c>
      <c r="G8844" s="12">
        <f t="shared" si="1311"/>
        <v>25.96</v>
      </c>
    </row>
    <row r="8845" ht="21.0" customHeight="1">
      <c r="A8845" s="10" t="s">
        <v>969</v>
      </c>
      <c r="B8845" s="10" t="s">
        <v>112</v>
      </c>
      <c r="C8845" s="10" t="s">
        <v>23</v>
      </c>
      <c r="D8845" s="10" t="s">
        <v>970</v>
      </c>
      <c r="E8845" s="14">
        <v>0.5</v>
      </c>
      <c r="F8845" s="15">
        <f>ROUND(2,3)</f>
        <v>2</v>
      </c>
      <c r="G8845" s="12">
        <f t="shared" si="1311"/>
        <v>1</v>
      </c>
    </row>
    <row r="8846" ht="30.0" customHeight="1">
      <c r="A8846" s="10" t="s">
        <v>971</v>
      </c>
      <c r="B8846" s="10" t="s">
        <v>42</v>
      </c>
      <c r="C8846" s="10" t="s">
        <v>231</v>
      </c>
      <c r="D8846" s="10" t="s">
        <v>972</v>
      </c>
      <c r="E8846" s="14">
        <v>0.02</v>
      </c>
      <c r="F8846" s="15">
        <f>ROUND(4.92,3)</f>
        <v>4.92</v>
      </c>
      <c r="G8846" s="12">
        <f t="shared" si="1311"/>
        <v>0.1</v>
      </c>
    </row>
    <row r="8847" ht="21.0" customHeight="1">
      <c r="A8847" s="10" t="s">
        <v>22</v>
      </c>
      <c r="B8847" s="10" t="s">
        <v>18</v>
      </c>
      <c r="C8847" s="10" t="s">
        <v>23</v>
      </c>
      <c r="D8847" s="10" t="s">
        <v>24</v>
      </c>
      <c r="E8847" s="14">
        <v>4.0</v>
      </c>
      <c r="F8847" s="15">
        <f>F8851</f>
        <v>43.8</v>
      </c>
      <c r="G8847" s="12">
        <f t="shared" si="1311"/>
        <v>175.2</v>
      </c>
    </row>
    <row r="8848" ht="24.0" customHeight="1">
      <c r="A8848" s="10" t="s">
        <v>25</v>
      </c>
      <c r="B8848" s="10" t="s">
        <v>26</v>
      </c>
      <c r="C8848" s="10" t="s">
        <v>23</v>
      </c>
      <c r="D8848" s="10" t="s">
        <v>27</v>
      </c>
      <c r="E8848" s="14">
        <v>1.0</v>
      </c>
      <c r="F8848" s="15">
        <f>ROUND(21,3)</f>
        <v>21</v>
      </c>
      <c r="G8848" s="12">
        <f t="shared" si="1311"/>
        <v>21</v>
      </c>
    </row>
    <row r="8849" ht="24.0" customHeight="1">
      <c r="A8849" s="10" t="s">
        <v>28</v>
      </c>
      <c r="B8849" s="10" t="s">
        <v>26</v>
      </c>
      <c r="C8849" s="10" t="s">
        <v>23</v>
      </c>
      <c r="D8849" s="10" t="s">
        <v>29</v>
      </c>
      <c r="E8849" s="14">
        <v>1.0</v>
      </c>
      <c r="F8849" s="15">
        <f t="shared" ref="F8849:F8850" si="1312">ROUND(19,3)</f>
        <v>19</v>
      </c>
      <c r="G8849" s="12">
        <f t="shared" si="1311"/>
        <v>19</v>
      </c>
    </row>
    <row r="8850" ht="24.0" customHeight="1">
      <c r="A8850" s="10" t="s">
        <v>30</v>
      </c>
      <c r="B8850" s="10" t="s">
        <v>26</v>
      </c>
      <c r="C8850" s="10" t="s">
        <v>23</v>
      </c>
      <c r="D8850" s="10" t="s">
        <v>31</v>
      </c>
      <c r="E8850" s="14">
        <v>0.2</v>
      </c>
      <c r="F8850" s="15">
        <f t="shared" si="1312"/>
        <v>19</v>
      </c>
      <c r="G8850" s="12">
        <f t="shared" si="1311"/>
        <v>3.8</v>
      </c>
    </row>
    <row r="8851" ht="15.0" customHeight="1">
      <c r="A8851" s="11"/>
      <c r="B8851" s="11"/>
      <c r="C8851" s="11"/>
      <c r="D8851" s="10" t="s">
        <v>22</v>
      </c>
      <c r="E8851" s="14">
        <v>4.0</v>
      </c>
      <c r="F8851" s="15">
        <f>ROUND((G8848+G8849+G8850),3)</f>
        <v>43.8</v>
      </c>
      <c r="G8851" s="12">
        <f t="shared" si="1311"/>
        <v>175.2</v>
      </c>
    </row>
    <row r="8852" ht="15.0" customHeight="1">
      <c r="A8852" s="10" t="s">
        <v>32</v>
      </c>
      <c r="B8852" s="10"/>
      <c r="C8852" s="10" t="s">
        <v>33</v>
      </c>
      <c r="D8852" s="10" t="s">
        <v>34</v>
      </c>
      <c r="E8852" s="14">
        <v>5.0</v>
      </c>
      <c r="F8852" s="15">
        <f>ROUND(175.2,3)</f>
        <v>175.2</v>
      </c>
      <c r="G8852" s="12">
        <f>ROUND((E8852*F8852)/100,2)</f>
        <v>8.76</v>
      </c>
    </row>
    <row r="8853" ht="15.0" customHeight="1">
      <c r="A8853" s="16"/>
      <c r="B8853" s="16"/>
      <c r="C8853" s="16"/>
      <c r="D8853" s="17" t="s">
        <v>3964</v>
      </c>
      <c r="E8853" s="16"/>
      <c r="F8853" s="18">
        <f>ROUND((G8843+G8844+G8845+G8846+G8847+G8852)*(1+G2/100),2)</f>
        <v>245.31</v>
      </c>
      <c r="G8853" s="16"/>
    </row>
    <row r="8854" ht="15.0" customHeight="1">
      <c r="A8854" s="23"/>
      <c r="B8854" s="23"/>
      <c r="C8854" s="23"/>
      <c r="D8854" s="24" t="s">
        <v>3952</v>
      </c>
      <c r="E8854" s="25"/>
      <c r="F8854" s="25"/>
      <c r="G8854" s="25"/>
    </row>
    <row r="8855" ht="15.0" customHeight="1">
      <c r="A8855" s="23"/>
      <c r="B8855" s="23"/>
      <c r="C8855" s="23"/>
      <c r="D8855" s="32" t="s">
        <v>3938</v>
      </c>
      <c r="E8855" s="33"/>
      <c r="F8855" s="33"/>
      <c r="G8855" s="33"/>
    </row>
    <row r="8856" ht="15.0" customHeight="1">
      <c r="A8856" s="23"/>
      <c r="B8856" s="23"/>
      <c r="C8856" s="23"/>
      <c r="D8856" s="36" t="s">
        <v>3091</v>
      </c>
      <c r="E8856" s="37"/>
      <c r="F8856" s="37"/>
      <c r="G8856" s="37"/>
    </row>
    <row r="8857" ht="21.75" customHeight="1">
      <c r="A8857" s="38" t="s">
        <v>3969</v>
      </c>
      <c r="B8857" s="38" t="s">
        <v>10</v>
      </c>
      <c r="C8857" s="39"/>
      <c r="D8857" s="38" t="s">
        <v>3970</v>
      </c>
      <c r="E8857" s="39"/>
      <c r="F8857" s="39"/>
      <c r="G8857" s="39"/>
    </row>
    <row r="8858" ht="15.0" customHeight="1">
      <c r="A8858" s="40" t="s">
        <v>3971</v>
      </c>
      <c r="B8858" s="40" t="s">
        <v>10</v>
      </c>
      <c r="C8858" s="41"/>
      <c r="D8858" s="40" t="s">
        <v>3972</v>
      </c>
      <c r="E8858" s="41"/>
      <c r="F8858" s="41"/>
      <c r="G8858" s="41"/>
    </row>
    <row r="8859" ht="30.0" customHeight="1">
      <c r="A8859" s="13" t="s">
        <v>3973</v>
      </c>
      <c r="B8859" s="10" t="s">
        <v>18</v>
      </c>
      <c r="C8859" s="10" t="s">
        <v>251</v>
      </c>
      <c r="D8859" s="10" t="s">
        <v>3974</v>
      </c>
      <c r="E8859" s="11"/>
      <c r="F8859" s="12">
        <f>F8867</f>
        <v>30.93</v>
      </c>
      <c r="G8859" s="11"/>
    </row>
    <row r="8860" ht="67.5" customHeight="1">
      <c r="A8860" s="11"/>
      <c r="B8860" s="11"/>
      <c r="C8860" s="11"/>
      <c r="D8860" s="10" t="s">
        <v>3975</v>
      </c>
    </row>
    <row r="8861" ht="30.0" customHeight="1">
      <c r="A8861" s="10" t="s">
        <v>3976</v>
      </c>
      <c r="B8861" s="10" t="s">
        <v>42</v>
      </c>
      <c r="C8861" s="10" t="s">
        <v>351</v>
      </c>
      <c r="D8861" s="10" t="s">
        <v>3977</v>
      </c>
      <c r="E8861" s="14">
        <v>1.0</v>
      </c>
      <c r="F8861" s="15">
        <f>ROUND(1.5,3)</f>
        <v>1.5</v>
      </c>
      <c r="G8861" s="12">
        <f t="shared" ref="G8861:G8866" si="1313">ROUND(E8861*F8861,2)</f>
        <v>1.5</v>
      </c>
    </row>
    <row r="8862" ht="15.0" customHeight="1">
      <c r="A8862" s="10" t="s">
        <v>3978</v>
      </c>
      <c r="B8862" s="10" t="s">
        <v>42</v>
      </c>
      <c r="C8862" s="10" t="s">
        <v>304</v>
      </c>
      <c r="D8862" s="10" t="s">
        <v>3979</v>
      </c>
      <c r="E8862" s="14">
        <v>6.0</v>
      </c>
      <c r="F8862" s="15">
        <f>ROUND(0.5,3)</f>
        <v>0.5</v>
      </c>
      <c r="G8862" s="12">
        <f t="shared" si="1313"/>
        <v>3</v>
      </c>
    </row>
    <row r="8863" ht="30.0" customHeight="1">
      <c r="A8863" s="10" t="s">
        <v>3980</v>
      </c>
      <c r="B8863" s="10" t="s">
        <v>42</v>
      </c>
      <c r="C8863" s="10" t="s">
        <v>19</v>
      </c>
      <c r="D8863" s="10" t="s">
        <v>3981</v>
      </c>
      <c r="E8863" s="14">
        <v>1.1</v>
      </c>
      <c r="F8863" s="15">
        <f>ROUND(9,3)</f>
        <v>9</v>
      </c>
      <c r="G8863" s="12">
        <f t="shared" si="1313"/>
        <v>9.9</v>
      </c>
    </row>
    <row r="8864" ht="21.0" customHeight="1">
      <c r="A8864" s="10" t="s">
        <v>3982</v>
      </c>
      <c r="B8864" s="10" t="s">
        <v>42</v>
      </c>
      <c r="C8864" s="10" t="s">
        <v>304</v>
      </c>
      <c r="D8864" s="10" t="s">
        <v>3983</v>
      </c>
      <c r="E8864" s="14">
        <v>6.0</v>
      </c>
      <c r="F8864" s="15">
        <f>ROUND(0.15,3)</f>
        <v>0.15</v>
      </c>
      <c r="G8864" s="12">
        <f t="shared" si="1313"/>
        <v>0.9</v>
      </c>
    </row>
    <row r="8865" ht="30.0" customHeight="1">
      <c r="A8865" s="10" t="s">
        <v>3984</v>
      </c>
      <c r="B8865" s="10" t="s">
        <v>42</v>
      </c>
      <c r="C8865" s="10" t="s">
        <v>351</v>
      </c>
      <c r="D8865" s="10" t="s">
        <v>3985</v>
      </c>
      <c r="E8865" s="14">
        <v>0.4</v>
      </c>
      <c r="F8865" s="15">
        <f>ROUND(1.95,3)</f>
        <v>1.95</v>
      </c>
      <c r="G8865" s="12">
        <f t="shared" si="1313"/>
        <v>0.78</v>
      </c>
    </row>
    <row r="8866" ht="24.0" customHeight="1">
      <c r="A8866" s="10" t="s">
        <v>1186</v>
      </c>
      <c r="B8866" s="10" t="s">
        <v>26</v>
      </c>
      <c r="C8866" s="10" t="s">
        <v>23</v>
      </c>
      <c r="D8866" s="10" t="s">
        <v>1187</v>
      </c>
      <c r="E8866" s="14">
        <v>0.3</v>
      </c>
      <c r="F8866" s="15">
        <f>ROUND(49.5,3)</f>
        <v>49.5</v>
      </c>
      <c r="G8866" s="12">
        <f t="shared" si="1313"/>
        <v>14.85</v>
      </c>
    </row>
    <row r="8867" ht="15.0" customHeight="1">
      <c r="A8867" s="16"/>
      <c r="B8867" s="16"/>
      <c r="C8867" s="16"/>
      <c r="D8867" s="17" t="s">
        <v>3973</v>
      </c>
      <c r="E8867" s="16"/>
      <c r="F8867" s="18">
        <f>ROUND((G8861+G8862+G8863+G8864+G8865+G8866)*(1+G2/100),2)</f>
        <v>30.93</v>
      </c>
      <c r="G8867" s="16"/>
    </row>
    <row r="8868" ht="15.0" customHeight="1">
      <c r="A8868" s="23"/>
      <c r="B8868" s="23"/>
      <c r="C8868" s="23"/>
      <c r="D8868" s="32" t="s">
        <v>3971</v>
      </c>
      <c r="E8868" s="33"/>
      <c r="F8868" s="33"/>
      <c r="G8868" s="33"/>
    </row>
    <row r="8869" ht="21.0" customHeight="1">
      <c r="A8869" s="19" t="s">
        <v>3986</v>
      </c>
      <c r="B8869" s="20" t="s">
        <v>18</v>
      </c>
      <c r="C8869" s="20" t="s">
        <v>251</v>
      </c>
      <c r="D8869" s="20" t="s">
        <v>3987</v>
      </c>
      <c r="E8869" s="21"/>
      <c r="F8869" s="22">
        <f>F8879</f>
        <v>18.87</v>
      </c>
      <c r="G8869" s="21"/>
    </row>
    <row r="8870" ht="12.0" customHeight="1">
      <c r="A8870" s="11"/>
      <c r="B8870" s="11"/>
      <c r="C8870" s="11"/>
      <c r="D8870" s="10" t="s">
        <v>3987</v>
      </c>
    </row>
    <row r="8871" ht="30.0" customHeight="1">
      <c r="A8871" s="10" t="s">
        <v>3988</v>
      </c>
      <c r="B8871" s="10" t="s">
        <v>42</v>
      </c>
      <c r="C8871" s="10" t="s">
        <v>184</v>
      </c>
      <c r="D8871" s="10" t="s">
        <v>3989</v>
      </c>
      <c r="E8871" s="14">
        <v>0.3</v>
      </c>
      <c r="F8871" s="15">
        <f>ROUND(41.6,3)</f>
        <v>41.6</v>
      </c>
      <c r="G8871" s="12">
        <f t="shared" ref="G8871:G8877" si="1314">ROUND(E8871*F8871,2)</f>
        <v>12.48</v>
      </c>
    </row>
    <row r="8872" ht="30.0" customHeight="1">
      <c r="A8872" s="10" t="s">
        <v>1227</v>
      </c>
      <c r="B8872" s="10" t="s">
        <v>42</v>
      </c>
      <c r="C8872" s="10" t="s">
        <v>226</v>
      </c>
      <c r="D8872" s="10" t="s">
        <v>1228</v>
      </c>
      <c r="E8872" s="14">
        <v>0.022</v>
      </c>
      <c r="F8872" s="15">
        <f>ROUND(27.5,3)</f>
        <v>27.5</v>
      </c>
      <c r="G8872" s="12">
        <f t="shared" si="1314"/>
        <v>0.61</v>
      </c>
    </row>
    <row r="8873" ht="21.0" customHeight="1">
      <c r="A8873" s="10" t="s">
        <v>22</v>
      </c>
      <c r="B8873" s="10" t="s">
        <v>18</v>
      </c>
      <c r="C8873" s="10" t="s">
        <v>23</v>
      </c>
      <c r="D8873" s="10" t="s">
        <v>24</v>
      </c>
      <c r="E8873" s="14">
        <v>0.128</v>
      </c>
      <c r="F8873" s="15">
        <f>F8877</f>
        <v>43.8</v>
      </c>
      <c r="G8873" s="12">
        <f t="shared" si="1314"/>
        <v>5.61</v>
      </c>
    </row>
    <row r="8874" ht="24.0" customHeight="1">
      <c r="A8874" s="10" t="s">
        <v>25</v>
      </c>
      <c r="B8874" s="10" t="s">
        <v>26</v>
      </c>
      <c r="C8874" s="10" t="s">
        <v>23</v>
      </c>
      <c r="D8874" s="10" t="s">
        <v>27</v>
      </c>
      <c r="E8874" s="14">
        <v>1.0</v>
      </c>
      <c r="F8874" s="15">
        <f>ROUND(21,3)</f>
        <v>21</v>
      </c>
      <c r="G8874" s="12">
        <f t="shared" si="1314"/>
        <v>21</v>
      </c>
    </row>
    <row r="8875" ht="24.0" customHeight="1">
      <c r="A8875" s="10" t="s">
        <v>28</v>
      </c>
      <c r="B8875" s="10" t="s">
        <v>26</v>
      </c>
      <c r="C8875" s="10" t="s">
        <v>23</v>
      </c>
      <c r="D8875" s="10" t="s">
        <v>29</v>
      </c>
      <c r="E8875" s="14">
        <v>1.0</v>
      </c>
      <c r="F8875" s="15">
        <f t="shared" ref="F8875:F8876" si="1315">ROUND(19,3)</f>
        <v>19</v>
      </c>
      <c r="G8875" s="12">
        <f t="shared" si="1314"/>
        <v>19</v>
      </c>
    </row>
    <row r="8876" ht="24.0" customHeight="1">
      <c r="A8876" s="10" t="s">
        <v>30</v>
      </c>
      <c r="B8876" s="10" t="s">
        <v>26</v>
      </c>
      <c r="C8876" s="10" t="s">
        <v>23</v>
      </c>
      <c r="D8876" s="10" t="s">
        <v>31</v>
      </c>
      <c r="E8876" s="14">
        <v>0.2</v>
      </c>
      <c r="F8876" s="15">
        <f t="shared" si="1315"/>
        <v>19</v>
      </c>
      <c r="G8876" s="12">
        <f t="shared" si="1314"/>
        <v>3.8</v>
      </c>
    </row>
    <row r="8877" ht="15.0" customHeight="1">
      <c r="A8877" s="11"/>
      <c r="B8877" s="11"/>
      <c r="C8877" s="11"/>
      <c r="D8877" s="10" t="s">
        <v>22</v>
      </c>
      <c r="E8877" s="14">
        <v>0.128</v>
      </c>
      <c r="F8877" s="15">
        <f>ROUND((G8874+G8875+G8876),3)</f>
        <v>43.8</v>
      </c>
      <c r="G8877" s="12">
        <f t="shared" si="1314"/>
        <v>5.61</v>
      </c>
    </row>
    <row r="8878" ht="15.0" customHeight="1">
      <c r="A8878" s="10" t="s">
        <v>32</v>
      </c>
      <c r="B8878" s="10"/>
      <c r="C8878" s="10" t="s">
        <v>33</v>
      </c>
      <c r="D8878" s="10" t="s">
        <v>34</v>
      </c>
      <c r="E8878" s="14">
        <v>3.0</v>
      </c>
      <c r="F8878" s="15">
        <f>ROUND(5.61,3)</f>
        <v>5.61</v>
      </c>
      <c r="G8878" s="12">
        <f>ROUND((E8878*F8878)/100,2)</f>
        <v>0.17</v>
      </c>
    </row>
    <row r="8879" ht="15.0" customHeight="1">
      <c r="A8879" s="16"/>
      <c r="B8879" s="16"/>
      <c r="C8879" s="16"/>
      <c r="D8879" s="17" t="s">
        <v>3986</v>
      </c>
      <c r="E8879" s="16"/>
      <c r="F8879" s="18">
        <f>ROUND((G8871+G8872+G8873+G8878)*(1+G2/100),2)</f>
        <v>18.87</v>
      </c>
      <c r="G8879" s="16"/>
    </row>
    <row r="8880" ht="21.0" customHeight="1">
      <c r="A8880" s="19" t="s">
        <v>3990</v>
      </c>
      <c r="B8880" s="20" t="s">
        <v>18</v>
      </c>
      <c r="C8880" s="20" t="s">
        <v>251</v>
      </c>
      <c r="D8880" s="20" t="s">
        <v>3991</v>
      </c>
      <c r="E8880" s="21"/>
      <c r="F8880" s="22">
        <f>F8890</f>
        <v>73.79</v>
      </c>
      <c r="G8880" s="21"/>
    </row>
    <row r="8881" ht="30.0" customHeight="1">
      <c r="A8881" s="11"/>
      <c r="B8881" s="11"/>
      <c r="C8881" s="11"/>
      <c r="D8881" s="10" t="s">
        <v>3992</v>
      </c>
    </row>
    <row r="8882" ht="30.0" customHeight="1">
      <c r="A8882" s="10" t="s">
        <v>3988</v>
      </c>
      <c r="B8882" s="10" t="s">
        <v>42</v>
      </c>
      <c r="C8882" s="10" t="s">
        <v>184</v>
      </c>
      <c r="D8882" s="10" t="s">
        <v>3989</v>
      </c>
      <c r="E8882" s="14">
        <v>1.0</v>
      </c>
      <c r="F8882" s="15">
        <f>ROUND(41.6,3)</f>
        <v>41.6</v>
      </c>
      <c r="G8882" s="12">
        <f t="shared" ref="G8882:G8888" si="1316">ROUND(E8882*F8882,2)</f>
        <v>41.6</v>
      </c>
    </row>
    <row r="8883" ht="30.0" customHeight="1">
      <c r="A8883" s="10" t="s">
        <v>1227</v>
      </c>
      <c r="B8883" s="10" t="s">
        <v>42</v>
      </c>
      <c r="C8883" s="10" t="s">
        <v>226</v>
      </c>
      <c r="D8883" s="10" t="s">
        <v>1228</v>
      </c>
      <c r="E8883" s="14">
        <v>0.022</v>
      </c>
      <c r="F8883" s="15">
        <f>ROUND(27.5,3)</f>
        <v>27.5</v>
      </c>
      <c r="G8883" s="12">
        <f t="shared" si="1316"/>
        <v>0.61</v>
      </c>
    </row>
    <row r="8884" ht="21.0" customHeight="1">
      <c r="A8884" s="10" t="s">
        <v>22</v>
      </c>
      <c r="B8884" s="10" t="s">
        <v>18</v>
      </c>
      <c r="C8884" s="10" t="s">
        <v>23</v>
      </c>
      <c r="D8884" s="10" t="s">
        <v>24</v>
      </c>
      <c r="E8884" s="14">
        <v>0.7</v>
      </c>
      <c r="F8884" s="15">
        <f>F8888</f>
        <v>43.8</v>
      </c>
      <c r="G8884" s="12">
        <f t="shared" si="1316"/>
        <v>30.66</v>
      </c>
    </row>
    <row r="8885" ht="24.0" customHeight="1">
      <c r="A8885" s="10" t="s">
        <v>25</v>
      </c>
      <c r="B8885" s="10" t="s">
        <v>26</v>
      </c>
      <c r="C8885" s="10" t="s">
        <v>23</v>
      </c>
      <c r="D8885" s="10" t="s">
        <v>27</v>
      </c>
      <c r="E8885" s="14">
        <v>1.0</v>
      </c>
      <c r="F8885" s="15">
        <f>ROUND(21,3)</f>
        <v>21</v>
      </c>
      <c r="G8885" s="12">
        <f t="shared" si="1316"/>
        <v>21</v>
      </c>
    </row>
    <row r="8886" ht="24.0" customHeight="1">
      <c r="A8886" s="10" t="s">
        <v>28</v>
      </c>
      <c r="B8886" s="10" t="s">
        <v>26</v>
      </c>
      <c r="C8886" s="10" t="s">
        <v>23</v>
      </c>
      <c r="D8886" s="10" t="s">
        <v>29</v>
      </c>
      <c r="E8886" s="14">
        <v>1.0</v>
      </c>
      <c r="F8886" s="15">
        <f t="shared" ref="F8886:F8887" si="1317">ROUND(19,3)</f>
        <v>19</v>
      </c>
      <c r="G8886" s="12">
        <f t="shared" si="1316"/>
        <v>19</v>
      </c>
    </row>
    <row r="8887" ht="24.0" customHeight="1">
      <c r="A8887" s="10" t="s">
        <v>30</v>
      </c>
      <c r="B8887" s="10" t="s">
        <v>26</v>
      </c>
      <c r="C8887" s="10" t="s">
        <v>23</v>
      </c>
      <c r="D8887" s="10" t="s">
        <v>31</v>
      </c>
      <c r="E8887" s="14">
        <v>0.2</v>
      </c>
      <c r="F8887" s="15">
        <f t="shared" si="1317"/>
        <v>19</v>
      </c>
      <c r="G8887" s="12">
        <f t="shared" si="1316"/>
        <v>3.8</v>
      </c>
    </row>
    <row r="8888" ht="15.0" customHeight="1">
      <c r="A8888" s="11"/>
      <c r="B8888" s="11"/>
      <c r="C8888" s="11"/>
      <c r="D8888" s="10" t="s">
        <v>22</v>
      </c>
      <c r="E8888" s="14">
        <v>0.7</v>
      </c>
      <c r="F8888" s="15">
        <f>ROUND((G8885+G8886+G8887),3)</f>
        <v>43.8</v>
      </c>
      <c r="G8888" s="12">
        <f t="shared" si="1316"/>
        <v>30.66</v>
      </c>
    </row>
    <row r="8889" ht="15.0" customHeight="1">
      <c r="A8889" s="10" t="s">
        <v>32</v>
      </c>
      <c r="B8889" s="10"/>
      <c r="C8889" s="10" t="s">
        <v>33</v>
      </c>
      <c r="D8889" s="10" t="s">
        <v>34</v>
      </c>
      <c r="E8889" s="14">
        <v>3.0</v>
      </c>
      <c r="F8889" s="15">
        <f>ROUND(30.66,3)</f>
        <v>30.66</v>
      </c>
      <c r="G8889" s="12">
        <f>ROUND((E8889*F8889)/100,2)</f>
        <v>0.92</v>
      </c>
    </row>
    <row r="8890" ht="15.0" customHeight="1">
      <c r="A8890" s="16"/>
      <c r="B8890" s="16"/>
      <c r="C8890" s="16"/>
      <c r="D8890" s="17" t="s">
        <v>3990</v>
      </c>
      <c r="E8890" s="16"/>
      <c r="F8890" s="18">
        <f>ROUND((G8882+G8883+G8884+G8889)*(1+G2/100),2)</f>
        <v>73.79</v>
      </c>
      <c r="G8890" s="16"/>
    </row>
    <row r="8891" ht="21.0" customHeight="1">
      <c r="A8891" s="19" t="s">
        <v>3993</v>
      </c>
      <c r="B8891" s="20" t="s">
        <v>18</v>
      </c>
      <c r="C8891" s="20" t="s">
        <v>251</v>
      </c>
      <c r="D8891" s="20" t="s">
        <v>3994</v>
      </c>
      <c r="E8891" s="21"/>
      <c r="F8891" s="22">
        <f>F8901</f>
        <v>80.77</v>
      </c>
      <c r="G8891" s="21"/>
    </row>
    <row r="8892" ht="39.75" customHeight="1">
      <c r="A8892" s="11"/>
      <c r="B8892" s="11"/>
      <c r="C8892" s="11"/>
      <c r="D8892" s="10" t="s">
        <v>3995</v>
      </c>
    </row>
    <row r="8893" ht="21.0" customHeight="1">
      <c r="A8893" s="10" t="s">
        <v>3996</v>
      </c>
      <c r="B8893" s="10" t="s">
        <v>42</v>
      </c>
      <c r="C8893" s="10" t="s">
        <v>1207</v>
      </c>
      <c r="D8893" s="10" t="s">
        <v>3997</v>
      </c>
      <c r="E8893" s="14">
        <v>40.0</v>
      </c>
      <c r="F8893" s="15">
        <f>ROUND(0.6,3)</f>
        <v>0.6</v>
      </c>
      <c r="G8893" s="12">
        <f t="shared" ref="G8893:G8899" si="1318">ROUND(E8893*F8893,2)</f>
        <v>24</v>
      </c>
    </row>
    <row r="8894" ht="24.0" customHeight="1">
      <c r="A8894" s="10" t="s">
        <v>1186</v>
      </c>
      <c r="B8894" s="10" t="s">
        <v>26</v>
      </c>
      <c r="C8894" s="10" t="s">
        <v>23</v>
      </c>
      <c r="D8894" s="10" t="s">
        <v>1187</v>
      </c>
      <c r="E8894" s="14">
        <v>0.6</v>
      </c>
      <c r="F8894" s="15">
        <f>ROUND(49.5,3)</f>
        <v>49.5</v>
      </c>
      <c r="G8894" s="12">
        <f t="shared" si="1318"/>
        <v>29.7</v>
      </c>
    </row>
    <row r="8895" ht="21.0" customHeight="1">
      <c r="A8895" s="10" t="s">
        <v>22</v>
      </c>
      <c r="B8895" s="10" t="s">
        <v>18</v>
      </c>
      <c r="C8895" s="10" t="s">
        <v>23</v>
      </c>
      <c r="D8895" s="10" t="s">
        <v>24</v>
      </c>
      <c r="E8895" s="14">
        <v>0.6</v>
      </c>
      <c r="F8895" s="15">
        <f>F8899</f>
        <v>43.8</v>
      </c>
      <c r="G8895" s="12">
        <f t="shared" si="1318"/>
        <v>26.28</v>
      </c>
    </row>
    <row r="8896" ht="24.0" customHeight="1">
      <c r="A8896" s="10" t="s">
        <v>25</v>
      </c>
      <c r="B8896" s="10" t="s">
        <v>26</v>
      </c>
      <c r="C8896" s="10" t="s">
        <v>23</v>
      </c>
      <c r="D8896" s="10" t="s">
        <v>27</v>
      </c>
      <c r="E8896" s="14">
        <v>1.0</v>
      </c>
      <c r="F8896" s="15">
        <f>ROUND(21,3)</f>
        <v>21</v>
      </c>
      <c r="G8896" s="12">
        <f t="shared" si="1318"/>
        <v>21</v>
      </c>
    </row>
    <row r="8897" ht="24.0" customHeight="1">
      <c r="A8897" s="10" t="s">
        <v>28</v>
      </c>
      <c r="B8897" s="10" t="s">
        <v>26</v>
      </c>
      <c r="C8897" s="10" t="s">
        <v>23</v>
      </c>
      <c r="D8897" s="10" t="s">
        <v>29</v>
      </c>
      <c r="E8897" s="14">
        <v>1.0</v>
      </c>
      <c r="F8897" s="15">
        <f t="shared" ref="F8897:F8898" si="1319">ROUND(19,3)</f>
        <v>19</v>
      </c>
      <c r="G8897" s="12">
        <f t="shared" si="1318"/>
        <v>19</v>
      </c>
    </row>
    <row r="8898" ht="24.0" customHeight="1">
      <c r="A8898" s="10" t="s">
        <v>30</v>
      </c>
      <c r="B8898" s="10" t="s">
        <v>26</v>
      </c>
      <c r="C8898" s="10" t="s">
        <v>23</v>
      </c>
      <c r="D8898" s="10" t="s">
        <v>31</v>
      </c>
      <c r="E8898" s="14">
        <v>0.2</v>
      </c>
      <c r="F8898" s="15">
        <f t="shared" si="1319"/>
        <v>19</v>
      </c>
      <c r="G8898" s="12">
        <f t="shared" si="1318"/>
        <v>3.8</v>
      </c>
    </row>
    <row r="8899" ht="15.0" customHeight="1">
      <c r="A8899" s="11"/>
      <c r="B8899" s="11"/>
      <c r="C8899" s="11"/>
      <c r="D8899" s="10" t="s">
        <v>22</v>
      </c>
      <c r="E8899" s="14">
        <v>0.6</v>
      </c>
      <c r="F8899" s="15">
        <f>ROUND((G8896+G8897+G8898),3)</f>
        <v>43.8</v>
      </c>
      <c r="G8899" s="12">
        <f t="shared" si="1318"/>
        <v>26.28</v>
      </c>
    </row>
    <row r="8900" ht="15.0" customHeight="1">
      <c r="A8900" s="10" t="s">
        <v>32</v>
      </c>
      <c r="B8900" s="10"/>
      <c r="C8900" s="10" t="s">
        <v>33</v>
      </c>
      <c r="D8900" s="10" t="s">
        <v>34</v>
      </c>
      <c r="E8900" s="14">
        <v>3.0</v>
      </c>
      <c r="F8900" s="15">
        <f>ROUND(26.28,3)</f>
        <v>26.28</v>
      </c>
      <c r="G8900" s="12">
        <f>ROUND((E8900*F8900)/100,2)</f>
        <v>0.79</v>
      </c>
    </row>
    <row r="8901" ht="15.0" customHeight="1">
      <c r="A8901" s="16"/>
      <c r="B8901" s="16"/>
      <c r="C8901" s="16"/>
      <c r="D8901" s="17" t="s">
        <v>3993</v>
      </c>
      <c r="E8901" s="16"/>
      <c r="F8901" s="18">
        <f>ROUND((G8893+G8894+G8895+G8900)*(1+G2/100),2)</f>
        <v>80.77</v>
      </c>
      <c r="G8901" s="16"/>
    </row>
    <row r="8902" ht="21.0" customHeight="1">
      <c r="A8902" s="19" t="s">
        <v>3998</v>
      </c>
      <c r="B8902" s="20" t="s">
        <v>18</v>
      </c>
      <c r="C8902" s="20" t="s">
        <v>251</v>
      </c>
      <c r="D8902" s="20" t="s">
        <v>3999</v>
      </c>
      <c r="E8902" s="21"/>
      <c r="F8902" s="22">
        <f>F8911</f>
        <v>52.08</v>
      </c>
      <c r="G8902" s="21"/>
    </row>
    <row r="8903" ht="39.75" customHeight="1">
      <c r="A8903" s="11"/>
      <c r="B8903" s="11"/>
      <c r="C8903" s="11"/>
      <c r="D8903" s="10" t="s">
        <v>4000</v>
      </c>
    </row>
    <row r="8904" ht="21.0" customHeight="1">
      <c r="A8904" s="10" t="s">
        <v>4001</v>
      </c>
      <c r="B8904" s="10" t="s">
        <v>42</v>
      </c>
      <c r="C8904" s="10" t="s">
        <v>1207</v>
      </c>
      <c r="D8904" s="10" t="s">
        <v>4002</v>
      </c>
      <c r="E8904" s="14">
        <v>26.0</v>
      </c>
      <c r="F8904" s="15">
        <f>ROUND(0.9,3)</f>
        <v>0.9</v>
      </c>
      <c r="G8904" s="12">
        <f t="shared" ref="G8904:G8909" si="1320">ROUND(E8904*F8904,2)</f>
        <v>23.4</v>
      </c>
    </row>
    <row r="8905" ht="21.0" customHeight="1">
      <c r="A8905" s="10" t="s">
        <v>22</v>
      </c>
      <c r="B8905" s="10" t="s">
        <v>18</v>
      </c>
      <c r="C8905" s="10" t="s">
        <v>23</v>
      </c>
      <c r="D8905" s="10" t="s">
        <v>24</v>
      </c>
      <c r="E8905" s="14">
        <v>0.62</v>
      </c>
      <c r="F8905" s="15">
        <f>F8909</f>
        <v>43.8</v>
      </c>
      <c r="G8905" s="12">
        <f t="shared" si="1320"/>
        <v>27.16</v>
      </c>
    </row>
    <row r="8906" ht="24.0" customHeight="1">
      <c r="A8906" s="10" t="s">
        <v>25</v>
      </c>
      <c r="B8906" s="10" t="s">
        <v>26</v>
      </c>
      <c r="C8906" s="10" t="s">
        <v>23</v>
      </c>
      <c r="D8906" s="10" t="s">
        <v>27</v>
      </c>
      <c r="E8906" s="14">
        <v>1.0</v>
      </c>
      <c r="F8906" s="15">
        <f>ROUND(21,3)</f>
        <v>21</v>
      </c>
      <c r="G8906" s="12">
        <f t="shared" si="1320"/>
        <v>21</v>
      </c>
    </row>
    <row r="8907" ht="24.0" customHeight="1">
      <c r="A8907" s="10" t="s">
        <v>28</v>
      </c>
      <c r="B8907" s="10" t="s">
        <v>26</v>
      </c>
      <c r="C8907" s="10" t="s">
        <v>23</v>
      </c>
      <c r="D8907" s="10" t="s">
        <v>29</v>
      </c>
      <c r="E8907" s="14">
        <v>1.0</v>
      </c>
      <c r="F8907" s="15">
        <f t="shared" ref="F8907:F8908" si="1321">ROUND(19,3)</f>
        <v>19</v>
      </c>
      <c r="G8907" s="12">
        <f t="shared" si="1320"/>
        <v>19</v>
      </c>
    </row>
    <row r="8908" ht="24.0" customHeight="1">
      <c r="A8908" s="10" t="s">
        <v>30</v>
      </c>
      <c r="B8908" s="10" t="s">
        <v>26</v>
      </c>
      <c r="C8908" s="10" t="s">
        <v>23</v>
      </c>
      <c r="D8908" s="10" t="s">
        <v>31</v>
      </c>
      <c r="E8908" s="14">
        <v>0.2</v>
      </c>
      <c r="F8908" s="15">
        <f t="shared" si="1321"/>
        <v>19</v>
      </c>
      <c r="G8908" s="12">
        <f t="shared" si="1320"/>
        <v>3.8</v>
      </c>
    </row>
    <row r="8909" ht="15.0" customHeight="1">
      <c r="A8909" s="11"/>
      <c r="B8909" s="11"/>
      <c r="C8909" s="11"/>
      <c r="D8909" s="10" t="s">
        <v>22</v>
      </c>
      <c r="E8909" s="14">
        <v>0.62</v>
      </c>
      <c r="F8909" s="15">
        <f>ROUND((G8906+G8907+G8908),3)</f>
        <v>43.8</v>
      </c>
      <c r="G8909" s="12">
        <f t="shared" si="1320"/>
        <v>27.16</v>
      </c>
    </row>
    <row r="8910" ht="15.0" customHeight="1">
      <c r="A8910" s="10" t="s">
        <v>32</v>
      </c>
      <c r="B8910" s="10"/>
      <c r="C8910" s="10" t="s">
        <v>33</v>
      </c>
      <c r="D8910" s="10" t="s">
        <v>34</v>
      </c>
      <c r="E8910" s="14">
        <v>3.0</v>
      </c>
      <c r="F8910" s="15">
        <f>ROUND(50.56,3)</f>
        <v>50.56</v>
      </c>
      <c r="G8910" s="12">
        <f>ROUND((E8910*F8910)/100,2)</f>
        <v>1.52</v>
      </c>
    </row>
    <row r="8911" ht="15.0" customHeight="1">
      <c r="A8911" s="16"/>
      <c r="B8911" s="16"/>
      <c r="C8911" s="16"/>
      <c r="D8911" s="17" t="s">
        <v>3998</v>
      </c>
      <c r="E8911" s="16"/>
      <c r="F8911" s="18">
        <f>ROUND((G8904+G8905+G8910)*(1+G2/100),2)</f>
        <v>52.08</v>
      </c>
      <c r="G8911" s="16"/>
    </row>
    <row r="8912" ht="30.0" customHeight="1">
      <c r="A8912" s="19" t="s">
        <v>4003</v>
      </c>
      <c r="B8912" s="20" t="s">
        <v>18</v>
      </c>
      <c r="C8912" s="20" t="s">
        <v>251</v>
      </c>
      <c r="D8912" s="20" t="s">
        <v>4004</v>
      </c>
      <c r="E8912" s="21"/>
      <c r="F8912" s="22">
        <f>F8916</f>
        <v>27.72</v>
      </c>
      <c r="G8912" s="21"/>
    </row>
    <row r="8913" ht="39.75" customHeight="1">
      <c r="A8913" s="11"/>
      <c r="B8913" s="11"/>
      <c r="C8913" s="11"/>
      <c r="D8913" s="10" t="s">
        <v>4005</v>
      </c>
    </row>
    <row r="8914" ht="30.0" customHeight="1">
      <c r="A8914" s="10" t="s">
        <v>4006</v>
      </c>
      <c r="B8914" s="10" t="s">
        <v>42</v>
      </c>
      <c r="C8914" s="10" t="s">
        <v>1207</v>
      </c>
      <c r="D8914" s="10" t="s">
        <v>4007</v>
      </c>
      <c r="E8914" s="14">
        <v>15.0</v>
      </c>
      <c r="F8914" s="15">
        <f>ROUND(0.858,3)</f>
        <v>0.858</v>
      </c>
      <c r="G8914" s="12">
        <f t="shared" ref="G8914:G8915" si="1322">ROUND(E8914*F8914,2)</f>
        <v>12.87</v>
      </c>
    </row>
    <row r="8915" ht="24.0" customHeight="1">
      <c r="A8915" s="10" t="s">
        <v>1186</v>
      </c>
      <c r="B8915" s="10" t="s">
        <v>26</v>
      </c>
      <c r="C8915" s="10" t="s">
        <v>23</v>
      </c>
      <c r="D8915" s="10" t="s">
        <v>1187</v>
      </c>
      <c r="E8915" s="14">
        <v>0.3</v>
      </c>
      <c r="F8915" s="15">
        <f>ROUND(49.5,3)</f>
        <v>49.5</v>
      </c>
      <c r="G8915" s="12">
        <f t="shared" si="1322"/>
        <v>14.85</v>
      </c>
    </row>
    <row r="8916" ht="15.0" customHeight="1">
      <c r="A8916" s="16"/>
      <c r="B8916" s="16"/>
      <c r="C8916" s="16"/>
      <c r="D8916" s="17" t="s">
        <v>4003</v>
      </c>
      <c r="E8916" s="16"/>
      <c r="F8916" s="18">
        <f>ROUND((G8914+G8915)*(1+G2/100),2)</f>
        <v>27.72</v>
      </c>
      <c r="G8916" s="16"/>
    </row>
    <row r="8917" ht="30.0" customHeight="1">
      <c r="A8917" s="19" t="s">
        <v>4008</v>
      </c>
      <c r="B8917" s="20" t="s">
        <v>18</v>
      </c>
      <c r="C8917" s="20" t="s">
        <v>251</v>
      </c>
      <c r="D8917" s="20" t="s">
        <v>4009</v>
      </c>
      <c r="E8917" s="21"/>
      <c r="F8917" s="22">
        <f>F8921</f>
        <v>15.06</v>
      </c>
      <c r="G8917" s="21"/>
    </row>
    <row r="8918" ht="12.0" customHeight="1">
      <c r="A8918" s="11"/>
      <c r="B8918" s="11"/>
      <c r="C8918" s="11"/>
      <c r="D8918" s="10" t="s">
        <v>4009</v>
      </c>
    </row>
    <row r="8919" ht="30.0" customHeight="1">
      <c r="A8919" s="10" t="s">
        <v>4010</v>
      </c>
      <c r="B8919" s="10" t="s">
        <v>42</v>
      </c>
      <c r="C8919" s="10" t="s">
        <v>1207</v>
      </c>
      <c r="D8919" s="10" t="s">
        <v>4011</v>
      </c>
      <c r="E8919" s="14">
        <v>6.0</v>
      </c>
      <c r="F8919" s="15">
        <f>ROUND(0.86,3)</f>
        <v>0.86</v>
      </c>
      <c r="G8919" s="12">
        <f t="shared" ref="G8919:G8920" si="1323">ROUND(E8919*F8919,2)</f>
        <v>5.16</v>
      </c>
    </row>
    <row r="8920" ht="24.0" customHeight="1">
      <c r="A8920" s="10" t="s">
        <v>1186</v>
      </c>
      <c r="B8920" s="10" t="s">
        <v>26</v>
      </c>
      <c r="C8920" s="10" t="s">
        <v>23</v>
      </c>
      <c r="D8920" s="10" t="s">
        <v>1187</v>
      </c>
      <c r="E8920" s="14">
        <v>0.2</v>
      </c>
      <c r="F8920" s="15">
        <f>ROUND(49.5,3)</f>
        <v>49.5</v>
      </c>
      <c r="G8920" s="12">
        <f t="shared" si="1323"/>
        <v>9.9</v>
      </c>
    </row>
    <row r="8921" ht="15.0" customHeight="1">
      <c r="A8921" s="16"/>
      <c r="B8921" s="16"/>
      <c r="C8921" s="16"/>
      <c r="D8921" s="17" t="s">
        <v>4008</v>
      </c>
      <c r="E8921" s="16"/>
      <c r="F8921" s="18">
        <f>ROUND((G8919+G8920)*(1+G2/100),2)</f>
        <v>15.06</v>
      </c>
      <c r="G8921" s="16"/>
    </row>
    <row r="8922" ht="21.0" customHeight="1">
      <c r="A8922" s="19" t="s">
        <v>4012</v>
      </c>
      <c r="B8922" s="20" t="s">
        <v>18</v>
      </c>
      <c r="C8922" s="20" t="s">
        <v>251</v>
      </c>
      <c r="D8922" s="20" t="s">
        <v>4013</v>
      </c>
      <c r="E8922" s="21"/>
      <c r="F8922" s="22">
        <f>F8927</f>
        <v>36.08</v>
      </c>
      <c r="G8922" s="21"/>
    </row>
    <row r="8923" ht="57.75" customHeight="1">
      <c r="A8923" s="11"/>
      <c r="B8923" s="11"/>
      <c r="C8923" s="11"/>
      <c r="D8923" s="10" t="s">
        <v>4014</v>
      </c>
    </row>
    <row r="8924" ht="15.0" customHeight="1">
      <c r="A8924" s="10" t="s">
        <v>4015</v>
      </c>
      <c r="B8924" s="10" t="s">
        <v>42</v>
      </c>
      <c r="C8924" s="10" t="s">
        <v>1207</v>
      </c>
      <c r="D8924" s="10" t="s">
        <v>4016</v>
      </c>
      <c r="E8924" s="14">
        <v>2.5</v>
      </c>
      <c r="F8924" s="15">
        <f>ROUND(4.23,3)</f>
        <v>4.23</v>
      </c>
      <c r="G8924" s="12">
        <f t="shared" ref="G8924:G8926" si="1324">ROUND(E8924*F8924,2)</f>
        <v>10.58</v>
      </c>
    </row>
    <row r="8925" ht="21.0" customHeight="1">
      <c r="A8925" s="10" t="s">
        <v>4017</v>
      </c>
      <c r="B8925" s="10" t="s">
        <v>42</v>
      </c>
      <c r="C8925" s="10" t="s">
        <v>19</v>
      </c>
      <c r="D8925" s="10" t="s">
        <v>4018</v>
      </c>
      <c r="E8925" s="14">
        <v>1.1</v>
      </c>
      <c r="F8925" s="15">
        <f>ROUND(0.68,3)</f>
        <v>0.68</v>
      </c>
      <c r="G8925" s="12">
        <f t="shared" si="1324"/>
        <v>0.75</v>
      </c>
    </row>
    <row r="8926" ht="24.0" customHeight="1">
      <c r="A8926" s="10" t="s">
        <v>1186</v>
      </c>
      <c r="B8926" s="10" t="s">
        <v>26</v>
      </c>
      <c r="C8926" s="10" t="s">
        <v>23</v>
      </c>
      <c r="D8926" s="10" t="s">
        <v>1187</v>
      </c>
      <c r="E8926" s="14">
        <v>0.5</v>
      </c>
      <c r="F8926" s="15">
        <f>ROUND(49.5,3)</f>
        <v>49.5</v>
      </c>
      <c r="G8926" s="12">
        <f t="shared" si="1324"/>
        <v>24.75</v>
      </c>
    </row>
    <row r="8927" ht="15.0" customHeight="1">
      <c r="A8927" s="16"/>
      <c r="B8927" s="16"/>
      <c r="C8927" s="16"/>
      <c r="D8927" s="17" t="s">
        <v>4012</v>
      </c>
      <c r="E8927" s="16"/>
      <c r="F8927" s="18">
        <f>ROUND((G8924+G8925+G8926)*(1+G2/100),2)</f>
        <v>36.08</v>
      </c>
      <c r="G8927" s="16"/>
    </row>
    <row r="8928" ht="21.0" customHeight="1">
      <c r="A8928" s="19" t="s">
        <v>4019</v>
      </c>
      <c r="B8928" s="20" t="s">
        <v>18</v>
      </c>
      <c r="C8928" s="20" t="s">
        <v>251</v>
      </c>
      <c r="D8928" s="20" t="s">
        <v>4020</v>
      </c>
      <c r="E8928" s="21"/>
      <c r="F8928" s="22">
        <f>F8937</f>
        <v>23.47</v>
      </c>
      <c r="G8928" s="21"/>
    </row>
    <row r="8929" ht="30.0" customHeight="1">
      <c r="A8929" s="11"/>
      <c r="B8929" s="11"/>
      <c r="C8929" s="11"/>
      <c r="D8929" s="10" t="s">
        <v>4021</v>
      </c>
    </row>
    <row r="8930" ht="24.0" customHeight="1">
      <c r="A8930" s="10" t="s">
        <v>4022</v>
      </c>
      <c r="B8930" s="10" t="s">
        <v>42</v>
      </c>
      <c r="C8930" s="10" t="s">
        <v>304</v>
      </c>
      <c r="D8930" s="10" t="s">
        <v>4023</v>
      </c>
      <c r="E8930" s="14">
        <v>0.13</v>
      </c>
      <c r="F8930" s="15">
        <f>ROUND(104.13,3)</f>
        <v>104.13</v>
      </c>
      <c r="G8930" s="12">
        <f t="shared" ref="G8930:G8935" si="1325">ROUND(E8930*F8930,2)</f>
        <v>13.54</v>
      </c>
    </row>
    <row r="8931" ht="21.0" customHeight="1">
      <c r="A8931" s="10" t="s">
        <v>22</v>
      </c>
      <c r="B8931" s="10" t="s">
        <v>18</v>
      </c>
      <c r="C8931" s="10" t="s">
        <v>23</v>
      </c>
      <c r="D8931" s="10" t="s">
        <v>24</v>
      </c>
      <c r="E8931" s="14">
        <v>0.22</v>
      </c>
      <c r="F8931" s="15">
        <f>F8935</f>
        <v>43.8</v>
      </c>
      <c r="G8931" s="12">
        <f t="shared" si="1325"/>
        <v>9.64</v>
      </c>
    </row>
    <row r="8932" ht="24.0" customHeight="1">
      <c r="A8932" s="10" t="s">
        <v>25</v>
      </c>
      <c r="B8932" s="10" t="s">
        <v>26</v>
      </c>
      <c r="C8932" s="10" t="s">
        <v>23</v>
      </c>
      <c r="D8932" s="10" t="s">
        <v>27</v>
      </c>
      <c r="E8932" s="14">
        <v>1.0</v>
      </c>
      <c r="F8932" s="15">
        <f>ROUND(21,3)</f>
        <v>21</v>
      </c>
      <c r="G8932" s="12">
        <f t="shared" si="1325"/>
        <v>21</v>
      </c>
    </row>
    <row r="8933" ht="24.0" customHeight="1">
      <c r="A8933" s="10" t="s">
        <v>28</v>
      </c>
      <c r="B8933" s="10" t="s">
        <v>26</v>
      </c>
      <c r="C8933" s="10" t="s">
        <v>23</v>
      </c>
      <c r="D8933" s="10" t="s">
        <v>29</v>
      </c>
      <c r="E8933" s="14">
        <v>1.0</v>
      </c>
      <c r="F8933" s="15">
        <f t="shared" ref="F8933:F8934" si="1326">ROUND(19,3)</f>
        <v>19</v>
      </c>
      <c r="G8933" s="12">
        <f t="shared" si="1325"/>
        <v>19</v>
      </c>
    </row>
    <row r="8934" ht="24.0" customHeight="1">
      <c r="A8934" s="10" t="s">
        <v>30</v>
      </c>
      <c r="B8934" s="10" t="s">
        <v>26</v>
      </c>
      <c r="C8934" s="10" t="s">
        <v>23</v>
      </c>
      <c r="D8934" s="10" t="s">
        <v>31</v>
      </c>
      <c r="E8934" s="14">
        <v>0.2</v>
      </c>
      <c r="F8934" s="15">
        <f t="shared" si="1326"/>
        <v>19</v>
      </c>
      <c r="G8934" s="12">
        <f t="shared" si="1325"/>
        <v>3.8</v>
      </c>
    </row>
    <row r="8935" ht="15.0" customHeight="1">
      <c r="A8935" s="11"/>
      <c r="B8935" s="11"/>
      <c r="C8935" s="11"/>
      <c r="D8935" s="10" t="s">
        <v>22</v>
      </c>
      <c r="E8935" s="14">
        <v>0.22</v>
      </c>
      <c r="F8935" s="15">
        <f>ROUND((G8932+G8933+G8934),3)</f>
        <v>43.8</v>
      </c>
      <c r="G8935" s="12">
        <f t="shared" si="1325"/>
        <v>9.64</v>
      </c>
    </row>
    <row r="8936" ht="15.0" customHeight="1">
      <c r="A8936" s="10" t="s">
        <v>32</v>
      </c>
      <c r="B8936" s="10"/>
      <c r="C8936" s="10" t="s">
        <v>33</v>
      </c>
      <c r="D8936" s="10" t="s">
        <v>34</v>
      </c>
      <c r="E8936" s="14">
        <v>3.0</v>
      </c>
      <c r="F8936" s="15">
        <f>ROUND(9.64,3)</f>
        <v>9.64</v>
      </c>
      <c r="G8936" s="12">
        <f>ROUND((E8936*F8936)/100,2)</f>
        <v>0.29</v>
      </c>
    </row>
    <row r="8937" ht="15.0" customHeight="1">
      <c r="A8937" s="16"/>
      <c r="B8937" s="16"/>
      <c r="C8937" s="16"/>
      <c r="D8937" s="17" t="s">
        <v>4019</v>
      </c>
      <c r="E8937" s="16"/>
      <c r="F8937" s="18">
        <f>ROUND((G8930+G8931+G8936)*(1+G2/100),2)</f>
        <v>23.47</v>
      </c>
      <c r="G8937" s="16"/>
    </row>
    <row r="8938" ht="21.0" customHeight="1">
      <c r="A8938" s="19" t="s">
        <v>4024</v>
      </c>
      <c r="B8938" s="20" t="s">
        <v>18</v>
      </c>
      <c r="C8938" s="20" t="s">
        <v>251</v>
      </c>
      <c r="D8938" s="20" t="s">
        <v>4025</v>
      </c>
      <c r="E8938" s="21"/>
      <c r="F8938" s="22">
        <f>F8943</f>
        <v>24.65</v>
      </c>
      <c r="G8938" s="21"/>
    </row>
    <row r="8939" ht="48.75" customHeight="1">
      <c r="A8939" s="11"/>
      <c r="B8939" s="11"/>
      <c r="C8939" s="11"/>
      <c r="D8939" s="10" t="s">
        <v>4026</v>
      </c>
    </row>
    <row r="8940" ht="30.0" customHeight="1">
      <c r="A8940" s="10" t="s">
        <v>4027</v>
      </c>
      <c r="B8940" s="10" t="s">
        <v>42</v>
      </c>
      <c r="C8940" s="10" t="s">
        <v>1207</v>
      </c>
      <c r="D8940" s="10" t="s">
        <v>4028</v>
      </c>
      <c r="E8940" s="14">
        <v>5.0</v>
      </c>
      <c r="F8940" s="15">
        <f>ROUND(2.8,3)</f>
        <v>2.8</v>
      </c>
      <c r="G8940" s="12">
        <f t="shared" ref="G8940:G8942" si="1327">ROUND(E8940*F8940,2)</f>
        <v>14</v>
      </c>
    </row>
    <row r="8941" ht="21.0" customHeight="1">
      <c r="A8941" s="10" t="s">
        <v>4017</v>
      </c>
      <c r="B8941" s="10" t="s">
        <v>42</v>
      </c>
      <c r="C8941" s="10" t="s">
        <v>19</v>
      </c>
      <c r="D8941" s="10" t="s">
        <v>4018</v>
      </c>
      <c r="E8941" s="14">
        <v>1.1</v>
      </c>
      <c r="F8941" s="15">
        <f>ROUND(0.68,3)</f>
        <v>0.68</v>
      </c>
      <c r="G8941" s="12">
        <f t="shared" si="1327"/>
        <v>0.75</v>
      </c>
    </row>
    <row r="8942" ht="24.0" customHeight="1">
      <c r="A8942" s="10" t="s">
        <v>1186</v>
      </c>
      <c r="B8942" s="10" t="s">
        <v>26</v>
      </c>
      <c r="C8942" s="10" t="s">
        <v>23</v>
      </c>
      <c r="D8942" s="10" t="s">
        <v>1187</v>
      </c>
      <c r="E8942" s="14">
        <v>0.2</v>
      </c>
      <c r="F8942" s="15">
        <f>ROUND(49.5,3)</f>
        <v>49.5</v>
      </c>
      <c r="G8942" s="12">
        <f t="shared" si="1327"/>
        <v>9.9</v>
      </c>
    </row>
    <row r="8943" ht="15.0" customHeight="1">
      <c r="A8943" s="16"/>
      <c r="B8943" s="16"/>
      <c r="C8943" s="16"/>
      <c r="D8943" s="17" t="s">
        <v>4024</v>
      </c>
      <c r="E8943" s="16"/>
      <c r="F8943" s="18">
        <f>ROUND((G8940+G8941+G8942)*(1+G2/100),2)</f>
        <v>24.65</v>
      </c>
      <c r="G8943" s="16"/>
    </row>
    <row r="8944" ht="21.0" customHeight="1">
      <c r="A8944" s="19" t="s">
        <v>4029</v>
      </c>
      <c r="B8944" s="20" t="s">
        <v>18</v>
      </c>
      <c r="C8944" s="20" t="s">
        <v>251</v>
      </c>
      <c r="D8944" s="20" t="s">
        <v>4030</v>
      </c>
      <c r="E8944" s="21"/>
      <c r="F8944" s="22">
        <f>F8949</f>
        <v>20.7</v>
      </c>
      <c r="G8944" s="21"/>
    </row>
    <row r="8945" ht="39.75" customHeight="1">
      <c r="A8945" s="11"/>
      <c r="B8945" s="11"/>
      <c r="C8945" s="11"/>
      <c r="D8945" s="10" t="s">
        <v>4031</v>
      </c>
    </row>
    <row r="8946" ht="21.0" customHeight="1">
      <c r="A8946" s="10" t="s">
        <v>4032</v>
      </c>
      <c r="B8946" s="10" t="s">
        <v>42</v>
      </c>
      <c r="C8946" s="10" t="s">
        <v>1207</v>
      </c>
      <c r="D8946" s="10" t="s">
        <v>4033</v>
      </c>
      <c r="E8946" s="14">
        <v>4.0</v>
      </c>
      <c r="F8946" s="15">
        <f>ROUND(2,3)</f>
        <v>2</v>
      </c>
      <c r="G8946" s="12">
        <f t="shared" ref="G8946:G8948" si="1328">ROUND(E8946*F8946,2)</f>
        <v>8</v>
      </c>
    </row>
    <row r="8947" ht="39.75" customHeight="1">
      <c r="A8947" s="10" t="s">
        <v>1269</v>
      </c>
      <c r="B8947" s="10" t="s">
        <v>42</v>
      </c>
      <c r="C8947" s="10" t="s">
        <v>226</v>
      </c>
      <c r="D8947" s="10" t="s">
        <v>1270</v>
      </c>
      <c r="E8947" s="14">
        <v>0.022</v>
      </c>
      <c r="F8947" s="15">
        <f>ROUND(71.07,3)</f>
        <v>71.07</v>
      </c>
      <c r="G8947" s="12">
        <f t="shared" si="1328"/>
        <v>1.56</v>
      </c>
    </row>
    <row r="8948" ht="24.0" customHeight="1">
      <c r="A8948" s="10" t="s">
        <v>1186</v>
      </c>
      <c r="B8948" s="10" t="s">
        <v>26</v>
      </c>
      <c r="C8948" s="10" t="s">
        <v>23</v>
      </c>
      <c r="D8948" s="10" t="s">
        <v>1187</v>
      </c>
      <c r="E8948" s="14">
        <v>0.225</v>
      </c>
      <c r="F8948" s="15">
        <f>ROUND(49.5,3)</f>
        <v>49.5</v>
      </c>
      <c r="G8948" s="12">
        <f t="shared" si="1328"/>
        <v>11.14</v>
      </c>
    </row>
    <row r="8949" ht="15.0" customHeight="1">
      <c r="A8949" s="16"/>
      <c r="B8949" s="16"/>
      <c r="C8949" s="16"/>
      <c r="D8949" s="17" t="s">
        <v>4029</v>
      </c>
      <c r="E8949" s="16"/>
      <c r="F8949" s="18">
        <f>ROUND((G8946+G8947+G8948)*(1+G2/100),2)</f>
        <v>20.7</v>
      </c>
      <c r="G8949" s="16"/>
    </row>
    <row r="8950" ht="30.0" customHeight="1">
      <c r="A8950" s="19" t="s">
        <v>4034</v>
      </c>
      <c r="B8950" s="20" t="s">
        <v>18</v>
      </c>
      <c r="C8950" s="20" t="s">
        <v>537</v>
      </c>
      <c r="D8950" s="20" t="s">
        <v>4035</v>
      </c>
      <c r="E8950" s="21"/>
      <c r="F8950" s="22">
        <f>F8960</f>
        <v>70.04</v>
      </c>
      <c r="G8950" s="21"/>
    </row>
    <row r="8951" ht="48.75" customHeight="1">
      <c r="A8951" s="11"/>
      <c r="B8951" s="11"/>
      <c r="C8951" s="11"/>
      <c r="D8951" s="10" t="s">
        <v>4036</v>
      </c>
    </row>
    <row r="8952" ht="15.0" customHeight="1">
      <c r="A8952" s="10" t="s">
        <v>4037</v>
      </c>
      <c r="B8952" s="10" t="s">
        <v>42</v>
      </c>
      <c r="C8952" s="10" t="s">
        <v>1207</v>
      </c>
      <c r="D8952" s="10" t="s">
        <v>4038</v>
      </c>
      <c r="E8952" s="14">
        <v>2.0</v>
      </c>
      <c r="F8952" s="15">
        <f>ROUND(0.27,3)</f>
        <v>0.27</v>
      </c>
      <c r="G8952" s="12">
        <f t="shared" ref="G8952:G8959" si="1329">ROUND(E8952*F8952,2)</f>
        <v>0.54</v>
      </c>
    </row>
    <row r="8953" ht="30.0" customHeight="1">
      <c r="A8953" s="10" t="s">
        <v>4039</v>
      </c>
      <c r="B8953" s="10" t="s">
        <v>42</v>
      </c>
      <c r="C8953" s="10" t="s">
        <v>304</v>
      </c>
      <c r="D8953" s="10" t="s">
        <v>4040</v>
      </c>
      <c r="E8953" s="14">
        <v>0.54</v>
      </c>
      <c r="F8953" s="15">
        <f>ROUND(22.97,3)</f>
        <v>22.97</v>
      </c>
      <c r="G8953" s="12">
        <f t="shared" si="1329"/>
        <v>12.4</v>
      </c>
    </row>
    <row r="8954" ht="21.0" customHeight="1">
      <c r="A8954" s="10" t="s">
        <v>4041</v>
      </c>
      <c r="B8954" s="10" t="s">
        <v>42</v>
      </c>
      <c r="C8954" s="10" t="s">
        <v>304</v>
      </c>
      <c r="D8954" s="10" t="s">
        <v>4042</v>
      </c>
      <c r="E8954" s="14">
        <v>0.02</v>
      </c>
      <c r="F8954" s="15">
        <f>ROUND(8.02,3)</f>
        <v>8.02</v>
      </c>
      <c r="G8954" s="12">
        <f t="shared" si="1329"/>
        <v>0.16</v>
      </c>
    </row>
    <row r="8955" ht="21.0" customHeight="1">
      <c r="A8955" s="10" t="s">
        <v>22</v>
      </c>
      <c r="B8955" s="10" t="s">
        <v>18</v>
      </c>
      <c r="C8955" s="10" t="s">
        <v>23</v>
      </c>
      <c r="D8955" s="10" t="s">
        <v>24</v>
      </c>
      <c r="E8955" s="14">
        <v>1.3</v>
      </c>
      <c r="F8955" s="15">
        <f>F8959</f>
        <v>43.8</v>
      </c>
      <c r="G8955" s="12">
        <f t="shared" si="1329"/>
        <v>56.94</v>
      </c>
    </row>
    <row r="8956" ht="24.0" customHeight="1">
      <c r="A8956" s="10" t="s">
        <v>25</v>
      </c>
      <c r="B8956" s="10" t="s">
        <v>26</v>
      </c>
      <c r="C8956" s="10" t="s">
        <v>23</v>
      </c>
      <c r="D8956" s="10" t="s">
        <v>27</v>
      </c>
      <c r="E8956" s="14">
        <v>1.0</v>
      </c>
      <c r="F8956" s="15">
        <f>ROUND(21,3)</f>
        <v>21</v>
      </c>
      <c r="G8956" s="12">
        <f t="shared" si="1329"/>
        <v>21</v>
      </c>
    </row>
    <row r="8957" ht="24.0" customHeight="1">
      <c r="A8957" s="10" t="s">
        <v>28</v>
      </c>
      <c r="B8957" s="10" t="s">
        <v>26</v>
      </c>
      <c r="C8957" s="10" t="s">
        <v>23</v>
      </c>
      <c r="D8957" s="10" t="s">
        <v>29</v>
      </c>
      <c r="E8957" s="14">
        <v>1.0</v>
      </c>
      <c r="F8957" s="15">
        <f t="shared" ref="F8957:F8958" si="1330">ROUND(19,3)</f>
        <v>19</v>
      </c>
      <c r="G8957" s="12">
        <f t="shared" si="1329"/>
        <v>19</v>
      </c>
    </row>
    <row r="8958" ht="24.0" customHeight="1">
      <c r="A8958" s="10" t="s">
        <v>30</v>
      </c>
      <c r="B8958" s="10" t="s">
        <v>26</v>
      </c>
      <c r="C8958" s="10" t="s">
        <v>23</v>
      </c>
      <c r="D8958" s="10" t="s">
        <v>31</v>
      </c>
      <c r="E8958" s="14">
        <v>0.2</v>
      </c>
      <c r="F8958" s="15">
        <f t="shared" si="1330"/>
        <v>19</v>
      </c>
      <c r="G8958" s="12">
        <f t="shared" si="1329"/>
        <v>3.8</v>
      </c>
    </row>
    <row r="8959" ht="15.0" customHeight="1">
      <c r="A8959" s="11"/>
      <c r="B8959" s="11"/>
      <c r="C8959" s="11"/>
      <c r="D8959" s="10" t="s">
        <v>22</v>
      </c>
      <c r="E8959" s="14">
        <v>1.3</v>
      </c>
      <c r="F8959" s="15">
        <f>ROUND((G8956+G8957+G8958),3)</f>
        <v>43.8</v>
      </c>
      <c r="G8959" s="12">
        <f t="shared" si="1329"/>
        <v>56.94</v>
      </c>
    </row>
    <row r="8960" ht="15.0" customHeight="1">
      <c r="A8960" s="16"/>
      <c r="B8960" s="16"/>
      <c r="C8960" s="16"/>
      <c r="D8960" s="17" t="s">
        <v>4034</v>
      </c>
      <c r="E8960" s="16"/>
      <c r="F8960" s="18">
        <f>ROUND((G8952+G8953+G8954+G8955)*(1+G2/100),2)</f>
        <v>70.04</v>
      </c>
      <c r="G8960" s="16"/>
    </row>
    <row r="8961" ht="21.0" customHeight="1">
      <c r="A8961" s="19" t="s">
        <v>4043</v>
      </c>
      <c r="B8961" s="20" t="s">
        <v>18</v>
      </c>
      <c r="C8961" s="20" t="s">
        <v>251</v>
      </c>
      <c r="D8961" s="20" t="s">
        <v>4044</v>
      </c>
      <c r="E8961" s="21"/>
      <c r="F8961" s="22">
        <f>F8965</f>
        <v>21.18</v>
      </c>
      <c r="G8961" s="21"/>
    </row>
    <row r="8962" ht="39.75" customHeight="1">
      <c r="A8962" s="11"/>
      <c r="B8962" s="11"/>
      <c r="C8962" s="11"/>
      <c r="D8962" s="10" t="s">
        <v>4045</v>
      </c>
    </row>
    <row r="8963" ht="30.0" customHeight="1">
      <c r="A8963" s="10" t="s">
        <v>4046</v>
      </c>
      <c r="B8963" s="10" t="s">
        <v>42</v>
      </c>
      <c r="C8963" s="10" t="s">
        <v>1207</v>
      </c>
      <c r="D8963" s="10" t="s">
        <v>4047</v>
      </c>
      <c r="E8963" s="14">
        <v>1.0</v>
      </c>
      <c r="F8963" s="15">
        <f>ROUND(6.33,3)</f>
        <v>6.33</v>
      </c>
      <c r="G8963" s="12">
        <f t="shared" ref="G8963:G8964" si="1331">ROUND(E8963*F8963,2)</f>
        <v>6.33</v>
      </c>
    </row>
    <row r="8964" ht="24.0" customHeight="1">
      <c r="A8964" s="10" t="s">
        <v>1186</v>
      </c>
      <c r="B8964" s="10" t="s">
        <v>26</v>
      </c>
      <c r="C8964" s="10" t="s">
        <v>23</v>
      </c>
      <c r="D8964" s="10" t="s">
        <v>1187</v>
      </c>
      <c r="E8964" s="14">
        <v>0.3</v>
      </c>
      <c r="F8964" s="15">
        <f>ROUND(49.5,3)</f>
        <v>49.5</v>
      </c>
      <c r="G8964" s="12">
        <f t="shared" si="1331"/>
        <v>14.85</v>
      </c>
    </row>
    <row r="8965" ht="15.0" customHeight="1">
      <c r="A8965" s="16"/>
      <c r="B8965" s="16"/>
      <c r="C8965" s="16"/>
      <c r="D8965" s="17" t="s">
        <v>4043</v>
      </c>
      <c r="E8965" s="16"/>
      <c r="F8965" s="18">
        <f>ROUND((G8963+G8964)*(1+G2/100),2)</f>
        <v>21.18</v>
      </c>
      <c r="G8965" s="16"/>
    </row>
    <row r="8966" ht="30.0" customHeight="1">
      <c r="A8966" s="19" t="s">
        <v>4048</v>
      </c>
      <c r="B8966" s="20" t="s">
        <v>18</v>
      </c>
      <c r="C8966" s="20" t="s">
        <v>19</v>
      </c>
      <c r="D8966" s="20" t="s">
        <v>4049</v>
      </c>
      <c r="E8966" s="21"/>
      <c r="F8966" s="22">
        <f>F8976</f>
        <v>19.71</v>
      </c>
      <c r="G8966" s="21"/>
    </row>
    <row r="8967" ht="12.0" customHeight="1">
      <c r="A8967" s="11"/>
      <c r="B8967" s="11"/>
      <c r="C8967" s="11"/>
      <c r="D8967" s="10" t="s">
        <v>4050</v>
      </c>
    </row>
    <row r="8968" ht="30.0" customHeight="1">
      <c r="A8968" s="10" t="s">
        <v>1787</v>
      </c>
      <c r="B8968" s="10" t="s">
        <v>42</v>
      </c>
      <c r="C8968" s="10" t="s">
        <v>226</v>
      </c>
      <c r="D8968" s="10" t="s">
        <v>1788</v>
      </c>
      <c r="E8968" s="14">
        <v>0.022</v>
      </c>
      <c r="F8968" s="15">
        <f>ROUND(30.51,3)</f>
        <v>30.51</v>
      </c>
      <c r="G8968" s="12">
        <f t="shared" ref="G8968:G8974" si="1332">ROUND(E8968*F8968,2)</f>
        <v>0.67</v>
      </c>
    </row>
    <row r="8969" ht="30.0" customHeight="1">
      <c r="A8969" s="10" t="s">
        <v>4051</v>
      </c>
      <c r="B8969" s="10" t="s">
        <v>42</v>
      </c>
      <c r="C8969" s="10" t="s">
        <v>276</v>
      </c>
      <c r="D8969" s="10" t="s">
        <v>4052</v>
      </c>
      <c r="E8969" s="14">
        <v>0.13333</v>
      </c>
      <c r="F8969" s="15">
        <f>ROUND(63.95,3)</f>
        <v>63.95</v>
      </c>
      <c r="G8969" s="12">
        <f t="shared" si="1332"/>
        <v>8.53</v>
      </c>
    </row>
    <row r="8970" ht="21.0" customHeight="1">
      <c r="A8970" s="10" t="s">
        <v>22</v>
      </c>
      <c r="B8970" s="10" t="s">
        <v>18</v>
      </c>
      <c r="C8970" s="10" t="s">
        <v>23</v>
      </c>
      <c r="D8970" s="10" t="s">
        <v>24</v>
      </c>
      <c r="E8970" s="14">
        <v>0.22857</v>
      </c>
      <c r="F8970" s="15">
        <f>F8974</f>
        <v>43.8</v>
      </c>
      <c r="G8970" s="12">
        <f t="shared" si="1332"/>
        <v>10.01</v>
      </c>
    </row>
    <row r="8971" ht="24.0" customHeight="1">
      <c r="A8971" s="10" t="s">
        <v>25</v>
      </c>
      <c r="B8971" s="10" t="s">
        <v>26</v>
      </c>
      <c r="C8971" s="10" t="s">
        <v>23</v>
      </c>
      <c r="D8971" s="10" t="s">
        <v>27</v>
      </c>
      <c r="E8971" s="14">
        <v>1.0</v>
      </c>
      <c r="F8971" s="15">
        <f>ROUND(21,3)</f>
        <v>21</v>
      </c>
      <c r="G8971" s="12">
        <f t="shared" si="1332"/>
        <v>21</v>
      </c>
    </row>
    <row r="8972" ht="24.0" customHeight="1">
      <c r="A8972" s="10" t="s">
        <v>28</v>
      </c>
      <c r="B8972" s="10" t="s">
        <v>26</v>
      </c>
      <c r="C8972" s="10" t="s">
        <v>23</v>
      </c>
      <c r="D8972" s="10" t="s">
        <v>29</v>
      </c>
      <c r="E8972" s="14">
        <v>1.0</v>
      </c>
      <c r="F8972" s="15">
        <f t="shared" ref="F8972:F8973" si="1333">ROUND(19,3)</f>
        <v>19</v>
      </c>
      <c r="G8972" s="12">
        <f t="shared" si="1332"/>
        <v>19</v>
      </c>
    </row>
    <row r="8973" ht="24.0" customHeight="1">
      <c r="A8973" s="10" t="s">
        <v>30</v>
      </c>
      <c r="B8973" s="10" t="s">
        <v>26</v>
      </c>
      <c r="C8973" s="10" t="s">
        <v>23</v>
      </c>
      <c r="D8973" s="10" t="s">
        <v>31</v>
      </c>
      <c r="E8973" s="14">
        <v>0.2</v>
      </c>
      <c r="F8973" s="15">
        <f t="shared" si="1333"/>
        <v>19</v>
      </c>
      <c r="G8973" s="12">
        <f t="shared" si="1332"/>
        <v>3.8</v>
      </c>
    </row>
    <row r="8974" ht="15.0" customHeight="1">
      <c r="A8974" s="11"/>
      <c r="B8974" s="11"/>
      <c r="C8974" s="11"/>
      <c r="D8974" s="10" t="s">
        <v>22</v>
      </c>
      <c r="E8974" s="14">
        <v>0.22857</v>
      </c>
      <c r="F8974" s="15">
        <f>ROUND((G8971+G8972+G8973),3)</f>
        <v>43.8</v>
      </c>
      <c r="G8974" s="12">
        <f t="shared" si="1332"/>
        <v>10.01</v>
      </c>
    </row>
    <row r="8975" ht="15.0" customHeight="1">
      <c r="A8975" s="10" t="s">
        <v>32</v>
      </c>
      <c r="B8975" s="10"/>
      <c r="C8975" s="10" t="s">
        <v>33</v>
      </c>
      <c r="D8975" s="10" t="s">
        <v>34</v>
      </c>
      <c r="E8975" s="14">
        <v>5.0</v>
      </c>
      <c r="F8975" s="15">
        <f>ROUND(10.01,3)</f>
        <v>10.01</v>
      </c>
      <c r="G8975" s="12">
        <f>ROUND((E8975*F8975)/100,2)</f>
        <v>0.5</v>
      </c>
    </row>
    <row r="8976" ht="15.0" customHeight="1">
      <c r="A8976" s="16"/>
      <c r="B8976" s="16"/>
      <c r="C8976" s="16"/>
      <c r="D8976" s="17" t="s">
        <v>4048</v>
      </c>
      <c r="E8976" s="16"/>
      <c r="F8976" s="18">
        <f>ROUND((G8968+G8969+G8970+G8975)*(1+G2/100),2)</f>
        <v>19.71</v>
      </c>
      <c r="G8976" s="16"/>
    </row>
    <row r="8977" ht="15.0" customHeight="1">
      <c r="A8977" s="19" t="s">
        <v>4053</v>
      </c>
      <c r="B8977" s="20" t="s">
        <v>18</v>
      </c>
      <c r="C8977" s="20" t="s">
        <v>251</v>
      </c>
      <c r="D8977" s="20" t="s">
        <v>4054</v>
      </c>
      <c r="E8977" s="21"/>
      <c r="F8977" s="22">
        <f>F8985</f>
        <v>28.34</v>
      </c>
      <c r="G8977" s="21"/>
    </row>
    <row r="8978" ht="21.0" customHeight="1">
      <c r="A8978" s="11"/>
      <c r="B8978" s="11"/>
      <c r="C8978" s="11"/>
      <c r="D8978" s="10" t="s">
        <v>4055</v>
      </c>
    </row>
    <row r="8979" ht="30.0" customHeight="1">
      <c r="A8979" s="10" t="s">
        <v>4056</v>
      </c>
      <c r="B8979" s="10" t="s">
        <v>42</v>
      </c>
      <c r="C8979" s="10" t="s">
        <v>43</v>
      </c>
      <c r="D8979" s="10" t="s">
        <v>4057</v>
      </c>
      <c r="E8979" s="14">
        <v>0.2</v>
      </c>
      <c r="F8979" s="15">
        <f>ROUND(70.3,3)</f>
        <v>70.3</v>
      </c>
      <c r="G8979" s="12">
        <f t="shared" ref="G8979:G8984" si="1334">ROUND(E8979*F8979,2)</f>
        <v>14.06</v>
      </c>
    </row>
    <row r="8980" ht="21.0" customHeight="1">
      <c r="A8980" s="10" t="s">
        <v>22</v>
      </c>
      <c r="B8980" s="10" t="s">
        <v>18</v>
      </c>
      <c r="C8980" s="10" t="s">
        <v>23</v>
      </c>
      <c r="D8980" s="10" t="s">
        <v>24</v>
      </c>
      <c r="E8980" s="14">
        <v>0.326</v>
      </c>
      <c r="F8980" s="15">
        <f>F8984</f>
        <v>43.8</v>
      </c>
      <c r="G8980" s="12">
        <f t="shared" si="1334"/>
        <v>14.28</v>
      </c>
    </row>
    <row r="8981" ht="24.0" customHeight="1">
      <c r="A8981" s="10" t="s">
        <v>25</v>
      </c>
      <c r="B8981" s="10" t="s">
        <v>26</v>
      </c>
      <c r="C8981" s="10" t="s">
        <v>23</v>
      </c>
      <c r="D8981" s="10" t="s">
        <v>27</v>
      </c>
      <c r="E8981" s="14">
        <v>1.0</v>
      </c>
      <c r="F8981" s="15">
        <f>ROUND(21,3)</f>
        <v>21</v>
      </c>
      <c r="G8981" s="12">
        <f t="shared" si="1334"/>
        <v>21</v>
      </c>
    </row>
    <row r="8982" ht="24.0" customHeight="1">
      <c r="A8982" s="10" t="s">
        <v>28</v>
      </c>
      <c r="B8982" s="10" t="s">
        <v>26</v>
      </c>
      <c r="C8982" s="10" t="s">
        <v>23</v>
      </c>
      <c r="D8982" s="10" t="s">
        <v>29</v>
      </c>
      <c r="E8982" s="14">
        <v>1.0</v>
      </c>
      <c r="F8982" s="15">
        <f t="shared" ref="F8982:F8983" si="1335">ROUND(19,3)</f>
        <v>19</v>
      </c>
      <c r="G8982" s="12">
        <f t="shared" si="1334"/>
        <v>19</v>
      </c>
    </row>
    <row r="8983" ht="24.0" customHeight="1">
      <c r="A8983" s="10" t="s">
        <v>30</v>
      </c>
      <c r="B8983" s="10" t="s">
        <v>26</v>
      </c>
      <c r="C8983" s="10" t="s">
        <v>23</v>
      </c>
      <c r="D8983" s="10" t="s">
        <v>31</v>
      </c>
      <c r="E8983" s="14">
        <v>0.2</v>
      </c>
      <c r="F8983" s="15">
        <f t="shared" si="1335"/>
        <v>19</v>
      </c>
      <c r="G8983" s="12">
        <f t="shared" si="1334"/>
        <v>3.8</v>
      </c>
    </row>
    <row r="8984" ht="15.0" customHeight="1">
      <c r="A8984" s="11"/>
      <c r="B8984" s="11"/>
      <c r="C8984" s="11"/>
      <c r="D8984" s="10" t="s">
        <v>22</v>
      </c>
      <c r="E8984" s="14">
        <v>0.326</v>
      </c>
      <c r="F8984" s="15">
        <f>ROUND((G8981+G8982+G8983),3)</f>
        <v>43.8</v>
      </c>
      <c r="G8984" s="12">
        <f t="shared" si="1334"/>
        <v>14.28</v>
      </c>
    </row>
    <row r="8985" ht="15.0" customHeight="1">
      <c r="A8985" s="16"/>
      <c r="B8985" s="16"/>
      <c r="C8985" s="16"/>
      <c r="D8985" s="17" t="s">
        <v>4053</v>
      </c>
      <c r="E8985" s="16"/>
      <c r="F8985" s="18">
        <f>ROUND((G8979+G8980)*(1+G2/100),2)</f>
        <v>28.34</v>
      </c>
      <c r="G8985" s="16"/>
    </row>
    <row r="8986" ht="39.75" customHeight="1">
      <c r="A8986" s="19" t="s">
        <v>4058</v>
      </c>
      <c r="B8986" s="20" t="s">
        <v>18</v>
      </c>
      <c r="C8986" s="20" t="s">
        <v>19</v>
      </c>
      <c r="D8986" s="20" t="s">
        <v>4059</v>
      </c>
      <c r="E8986" s="21"/>
      <c r="F8986" s="22">
        <f>F8996</f>
        <v>26.87</v>
      </c>
      <c r="G8986" s="21"/>
    </row>
    <row r="8987" ht="21.0" customHeight="1">
      <c r="A8987" s="11"/>
      <c r="B8987" s="11"/>
      <c r="C8987" s="11"/>
      <c r="D8987" s="10" t="s">
        <v>4059</v>
      </c>
    </row>
    <row r="8988" ht="39.75" customHeight="1">
      <c r="A8988" s="10" t="s">
        <v>4060</v>
      </c>
      <c r="B8988" s="10" t="s">
        <v>42</v>
      </c>
      <c r="C8988" s="10" t="s">
        <v>4061</v>
      </c>
      <c r="D8988" s="10" t="s">
        <v>4062</v>
      </c>
      <c r="E8988" s="14">
        <v>0.11</v>
      </c>
      <c r="F8988" s="15">
        <f>ROUND(126.72,3)</f>
        <v>126.72</v>
      </c>
      <c r="G8988" s="12">
        <f t="shared" ref="G8988:G8994" si="1336">ROUND(E8988*F8988,2)</f>
        <v>13.94</v>
      </c>
    </row>
    <row r="8989" ht="30.0" customHeight="1">
      <c r="A8989" s="10" t="s">
        <v>1787</v>
      </c>
      <c r="B8989" s="10" t="s">
        <v>42</v>
      </c>
      <c r="C8989" s="10" t="s">
        <v>226</v>
      </c>
      <c r="D8989" s="10" t="s">
        <v>1788</v>
      </c>
      <c r="E8989" s="14">
        <v>0.022</v>
      </c>
      <c r="F8989" s="15">
        <f>ROUND(30.51,3)</f>
        <v>30.51</v>
      </c>
      <c r="G8989" s="12">
        <f t="shared" si="1336"/>
        <v>0.67</v>
      </c>
    </row>
    <row r="8990" ht="21.0" customHeight="1">
      <c r="A8990" s="10" t="s">
        <v>22</v>
      </c>
      <c r="B8990" s="10" t="s">
        <v>18</v>
      </c>
      <c r="C8990" s="10" t="s">
        <v>23</v>
      </c>
      <c r="D8990" s="10" t="s">
        <v>24</v>
      </c>
      <c r="E8990" s="14">
        <v>0.26667</v>
      </c>
      <c r="F8990" s="15">
        <f>F8994</f>
        <v>43.8</v>
      </c>
      <c r="G8990" s="12">
        <f t="shared" si="1336"/>
        <v>11.68</v>
      </c>
    </row>
    <row r="8991" ht="24.0" customHeight="1">
      <c r="A8991" s="10" t="s">
        <v>25</v>
      </c>
      <c r="B8991" s="10" t="s">
        <v>26</v>
      </c>
      <c r="C8991" s="10" t="s">
        <v>23</v>
      </c>
      <c r="D8991" s="10" t="s">
        <v>27</v>
      </c>
      <c r="E8991" s="14">
        <v>1.0</v>
      </c>
      <c r="F8991" s="15">
        <f>ROUND(21,3)</f>
        <v>21</v>
      </c>
      <c r="G8991" s="12">
        <f t="shared" si="1336"/>
        <v>21</v>
      </c>
    </row>
    <row r="8992" ht="24.0" customHeight="1">
      <c r="A8992" s="10" t="s">
        <v>28</v>
      </c>
      <c r="B8992" s="10" t="s">
        <v>26</v>
      </c>
      <c r="C8992" s="10" t="s">
        <v>23</v>
      </c>
      <c r="D8992" s="10" t="s">
        <v>29</v>
      </c>
      <c r="E8992" s="14">
        <v>1.0</v>
      </c>
      <c r="F8992" s="15">
        <f t="shared" ref="F8992:F8993" si="1337">ROUND(19,3)</f>
        <v>19</v>
      </c>
      <c r="G8992" s="12">
        <f t="shared" si="1336"/>
        <v>19</v>
      </c>
    </row>
    <row r="8993" ht="24.0" customHeight="1">
      <c r="A8993" s="10" t="s">
        <v>30</v>
      </c>
      <c r="B8993" s="10" t="s">
        <v>26</v>
      </c>
      <c r="C8993" s="10" t="s">
        <v>23</v>
      </c>
      <c r="D8993" s="10" t="s">
        <v>31</v>
      </c>
      <c r="E8993" s="14">
        <v>0.2</v>
      </c>
      <c r="F8993" s="15">
        <f t="shared" si="1337"/>
        <v>19</v>
      </c>
      <c r="G8993" s="12">
        <f t="shared" si="1336"/>
        <v>3.8</v>
      </c>
    </row>
    <row r="8994" ht="15.0" customHeight="1">
      <c r="A8994" s="11"/>
      <c r="B8994" s="11"/>
      <c r="C8994" s="11"/>
      <c r="D8994" s="10" t="s">
        <v>22</v>
      </c>
      <c r="E8994" s="14">
        <v>0.26667</v>
      </c>
      <c r="F8994" s="15">
        <f>ROUND((G8991+G8992+G8993),3)</f>
        <v>43.8</v>
      </c>
      <c r="G8994" s="12">
        <f t="shared" si="1336"/>
        <v>11.68</v>
      </c>
    </row>
    <row r="8995" ht="15.0" customHeight="1">
      <c r="A8995" s="10" t="s">
        <v>32</v>
      </c>
      <c r="B8995" s="10"/>
      <c r="C8995" s="10" t="s">
        <v>33</v>
      </c>
      <c r="D8995" s="10" t="s">
        <v>34</v>
      </c>
      <c r="E8995" s="14">
        <v>5.0</v>
      </c>
      <c r="F8995" s="15">
        <f>ROUND(11.68,3)</f>
        <v>11.68</v>
      </c>
      <c r="G8995" s="12">
        <f>ROUND((E8995*F8995)/100,2)</f>
        <v>0.58</v>
      </c>
    </row>
    <row r="8996" ht="15.0" customHeight="1">
      <c r="A8996" s="16"/>
      <c r="B8996" s="16"/>
      <c r="C8996" s="16"/>
      <c r="D8996" s="17" t="s">
        <v>4058</v>
      </c>
      <c r="E8996" s="16"/>
      <c r="F8996" s="18">
        <f>ROUND((G8988+G8989+G8990+G8995)*(1+G2/100),2)</f>
        <v>26.87</v>
      </c>
      <c r="G8996" s="16"/>
    </row>
    <row r="8997" ht="48.75" customHeight="1">
      <c r="A8997" s="19" t="s">
        <v>4063</v>
      </c>
      <c r="B8997" s="20" t="s">
        <v>18</v>
      </c>
      <c r="C8997" s="20" t="s">
        <v>19</v>
      </c>
      <c r="D8997" s="20" t="s">
        <v>4064</v>
      </c>
      <c r="E8997" s="21"/>
      <c r="F8997" s="22">
        <f>F9007</f>
        <v>29.33</v>
      </c>
      <c r="G8997" s="21"/>
    </row>
    <row r="8998" ht="21.0" customHeight="1">
      <c r="A8998" s="11"/>
      <c r="B8998" s="11"/>
      <c r="C8998" s="11"/>
      <c r="D8998" s="10" t="s">
        <v>4064</v>
      </c>
    </row>
    <row r="8999" ht="39.75" customHeight="1">
      <c r="A8999" s="10" t="s">
        <v>4060</v>
      </c>
      <c r="B8999" s="10" t="s">
        <v>42</v>
      </c>
      <c r="C8999" s="10" t="s">
        <v>4061</v>
      </c>
      <c r="D8999" s="10" t="s">
        <v>4062</v>
      </c>
      <c r="E8999" s="14">
        <v>0.11</v>
      </c>
      <c r="F8999" s="15">
        <f>ROUND(126.72,3)</f>
        <v>126.72</v>
      </c>
      <c r="G8999" s="12">
        <f t="shared" ref="G8999:G9005" si="1338">ROUND(E8999*F8999,2)</f>
        <v>13.94</v>
      </c>
    </row>
    <row r="9000" ht="30.0" customHeight="1">
      <c r="A9000" s="10" t="s">
        <v>1787</v>
      </c>
      <c r="B9000" s="10" t="s">
        <v>42</v>
      </c>
      <c r="C9000" s="10" t="s">
        <v>226</v>
      </c>
      <c r="D9000" s="10" t="s">
        <v>1788</v>
      </c>
      <c r="E9000" s="14">
        <v>0.022</v>
      </c>
      <c r="F9000" s="15">
        <f>ROUND(30.51,3)</f>
        <v>30.51</v>
      </c>
      <c r="G9000" s="12">
        <f t="shared" si="1338"/>
        <v>0.67</v>
      </c>
    </row>
    <row r="9001" ht="21.0" customHeight="1">
      <c r="A9001" s="10" t="s">
        <v>22</v>
      </c>
      <c r="B9001" s="10" t="s">
        <v>18</v>
      </c>
      <c r="C9001" s="10" t="s">
        <v>23</v>
      </c>
      <c r="D9001" s="10" t="s">
        <v>24</v>
      </c>
      <c r="E9001" s="14">
        <v>0.32</v>
      </c>
      <c r="F9001" s="15">
        <f>F9005</f>
        <v>43.8</v>
      </c>
      <c r="G9001" s="12">
        <f t="shared" si="1338"/>
        <v>14.02</v>
      </c>
    </row>
    <row r="9002" ht="24.0" customHeight="1">
      <c r="A9002" s="10" t="s">
        <v>25</v>
      </c>
      <c r="B9002" s="10" t="s">
        <v>26</v>
      </c>
      <c r="C9002" s="10" t="s">
        <v>23</v>
      </c>
      <c r="D9002" s="10" t="s">
        <v>27</v>
      </c>
      <c r="E9002" s="14">
        <v>1.0</v>
      </c>
      <c r="F9002" s="15">
        <f>ROUND(21,3)</f>
        <v>21</v>
      </c>
      <c r="G9002" s="12">
        <f t="shared" si="1338"/>
        <v>21</v>
      </c>
    </row>
    <row r="9003" ht="24.0" customHeight="1">
      <c r="A9003" s="10" t="s">
        <v>28</v>
      </c>
      <c r="B9003" s="10" t="s">
        <v>26</v>
      </c>
      <c r="C9003" s="10" t="s">
        <v>23</v>
      </c>
      <c r="D9003" s="10" t="s">
        <v>29</v>
      </c>
      <c r="E9003" s="14">
        <v>1.0</v>
      </c>
      <c r="F9003" s="15">
        <f t="shared" ref="F9003:F9004" si="1339">ROUND(19,3)</f>
        <v>19</v>
      </c>
      <c r="G9003" s="12">
        <f t="shared" si="1338"/>
        <v>19</v>
      </c>
    </row>
    <row r="9004" ht="24.0" customHeight="1">
      <c r="A9004" s="10" t="s">
        <v>30</v>
      </c>
      <c r="B9004" s="10" t="s">
        <v>26</v>
      </c>
      <c r="C9004" s="10" t="s">
        <v>23</v>
      </c>
      <c r="D9004" s="10" t="s">
        <v>31</v>
      </c>
      <c r="E9004" s="14">
        <v>0.2</v>
      </c>
      <c r="F9004" s="15">
        <f t="shared" si="1339"/>
        <v>19</v>
      </c>
      <c r="G9004" s="12">
        <f t="shared" si="1338"/>
        <v>3.8</v>
      </c>
    </row>
    <row r="9005" ht="15.0" customHeight="1">
      <c r="A9005" s="11"/>
      <c r="B9005" s="11"/>
      <c r="C9005" s="11"/>
      <c r="D9005" s="10" t="s">
        <v>22</v>
      </c>
      <c r="E9005" s="14">
        <v>0.32</v>
      </c>
      <c r="F9005" s="15">
        <f>ROUND((G9002+G9003+G9004),3)</f>
        <v>43.8</v>
      </c>
      <c r="G9005" s="12">
        <f t="shared" si="1338"/>
        <v>14.02</v>
      </c>
    </row>
    <row r="9006" ht="15.0" customHeight="1">
      <c r="A9006" s="10" t="s">
        <v>32</v>
      </c>
      <c r="B9006" s="10"/>
      <c r="C9006" s="10" t="s">
        <v>33</v>
      </c>
      <c r="D9006" s="10" t="s">
        <v>34</v>
      </c>
      <c r="E9006" s="14">
        <v>5.0</v>
      </c>
      <c r="F9006" s="15">
        <f>ROUND(14.02,3)</f>
        <v>14.02</v>
      </c>
      <c r="G9006" s="12">
        <f>ROUND((E9006*F9006)/100,2)</f>
        <v>0.7</v>
      </c>
    </row>
    <row r="9007" ht="15.0" customHeight="1">
      <c r="A9007" s="16"/>
      <c r="B9007" s="16"/>
      <c r="C9007" s="16"/>
      <c r="D9007" s="17" t="s">
        <v>4063</v>
      </c>
      <c r="E9007" s="16"/>
      <c r="F9007" s="18">
        <f>ROUND((G8999+G9000+G9001+G9006)*(1+G2/100),2)</f>
        <v>29.33</v>
      </c>
      <c r="G9007" s="16"/>
    </row>
    <row r="9008" ht="21.0" customHeight="1">
      <c r="A9008" s="19" t="s">
        <v>4065</v>
      </c>
      <c r="B9008" s="20" t="s">
        <v>18</v>
      </c>
      <c r="C9008" s="20" t="s">
        <v>251</v>
      </c>
      <c r="D9008" s="20" t="s">
        <v>4066</v>
      </c>
      <c r="E9008" s="21"/>
      <c r="F9008" s="22">
        <f>F9018</f>
        <v>108.73</v>
      </c>
      <c r="G9008" s="21"/>
    </row>
    <row r="9009" ht="39.75" customHeight="1">
      <c r="A9009" s="11"/>
      <c r="B9009" s="11"/>
      <c r="C9009" s="11"/>
      <c r="D9009" s="10" t="s">
        <v>4067</v>
      </c>
    </row>
    <row r="9010" ht="15.0" customHeight="1">
      <c r="A9010" s="10" t="s">
        <v>4068</v>
      </c>
      <c r="B9010" s="10" t="s">
        <v>42</v>
      </c>
      <c r="C9010" s="10" t="s">
        <v>304</v>
      </c>
      <c r="D9010" s="10" t="s">
        <v>4069</v>
      </c>
      <c r="E9010" s="14">
        <v>0.052</v>
      </c>
      <c r="F9010" s="15">
        <f>ROUND(71.87,3)</f>
        <v>71.87</v>
      </c>
      <c r="G9010" s="12">
        <f t="shared" ref="G9010:G9017" si="1340">ROUND(E9010*F9010,2)</f>
        <v>3.74</v>
      </c>
    </row>
    <row r="9011" ht="21.0" customHeight="1">
      <c r="A9011" s="10" t="s">
        <v>4070</v>
      </c>
      <c r="B9011" s="10" t="s">
        <v>42</v>
      </c>
      <c r="C9011" s="10" t="s">
        <v>304</v>
      </c>
      <c r="D9011" s="10" t="s">
        <v>4071</v>
      </c>
      <c r="E9011" s="14">
        <v>0.052</v>
      </c>
      <c r="F9011" s="15">
        <f>ROUND(62.66,3)</f>
        <v>62.66</v>
      </c>
      <c r="G9011" s="12">
        <f t="shared" si="1340"/>
        <v>3.26</v>
      </c>
    </row>
    <row r="9012" ht="21.0" customHeight="1">
      <c r="A9012" s="10" t="s">
        <v>4072</v>
      </c>
      <c r="B9012" s="10" t="s">
        <v>42</v>
      </c>
      <c r="C9012" s="10" t="s">
        <v>304</v>
      </c>
      <c r="D9012" s="10" t="s">
        <v>4073</v>
      </c>
      <c r="E9012" s="14">
        <v>0.052</v>
      </c>
      <c r="F9012" s="15">
        <f>ROUND(8.63,3)</f>
        <v>8.63</v>
      </c>
      <c r="G9012" s="12">
        <f t="shared" si="1340"/>
        <v>0.45</v>
      </c>
    </row>
    <row r="9013" ht="24.0" customHeight="1">
      <c r="A9013" s="10" t="s">
        <v>4074</v>
      </c>
      <c r="B9013" s="10" t="s">
        <v>42</v>
      </c>
      <c r="C9013" s="10" t="s">
        <v>304</v>
      </c>
      <c r="D9013" s="10" t="s">
        <v>4071</v>
      </c>
      <c r="E9013" s="14">
        <v>0.052</v>
      </c>
      <c r="F9013" s="15">
        <f>ROUND(62.66,3)</f>
        <v>62.66</v>
      </c>
      <c r="G9013" s="12">
        <f t="shared" si="1340"/>
        <v>3.26</v>
      </c>
    </row>
    <row r="9014" ht="15.0" customHeight="1">
      <c r="A9014" s="10" t="s">
        <v>4075</v>
      </c>
      <c r="B9014" s="10" t="s">
        <v>42</v>
      </c>
      <c r="C9014" s="10" t="s">
        <v>304</v>
      </c>
      <c r="D9014" s="10" t="s">
        <v>4076</v>
      </c>
      <c r="E9014" s="14">
        <v>0.079</v>
      </c>
      <c r="F9014" s="15">
        <f>ROUND(16.01,3)</f>
        <v>16.01</v>
      </c>
      <c r="G9014" s="12">
        <f t="shared" si="1340"/>
        <v>1.26</v>
      </c>
    </row>
    <row r="9015" ht="15.0" customHeight="1">
      <c r="A9015" s="10" t="s">
        <v>4077</v>
      </c>
      <c r="B9015" s="10" t="s">
        <v>42</v>
      </c>
      <c r="C9015" s="10" t="s">
        <v>304</v>
      </c>
      <c r="D9015" s="10" t="s">
        <v>4078</v>
      </c>
      <c r="E9015" s="14">
        <v>0.052</v>
      </c>
      <c r="F9015" s="15">
        <f>ROUND(117.25,3)</f>
        <v>117.25</v>
      </c>
      <c r="G9015" s="12">
        <f t="shared" si="1340"/>
        <v>6.1</v>
      </c>
    </row>
    <row r="9016" ht="39.75" customHeight="1">
      <c r="A9016" s="10" t="s">
        <v>1269</v>
      </c>
      <c r="B9016" s="10" t="s">
        <v>42</v>
      </c>
      <c r="C9016" s="10" t="s">
        <v>226</v>
      </c>
      <c r="D9016" s="10" t="s">
        <v>1270</v>
      </c>
      <c r="E9016" s="14">
        <v>0.022</v>
      </c>
      <c r="F9016" s="15">
        <f>ROUND(71.07,3)</f>
        <v>71.07</v>
      </c>
      <c r="G9016" s="12">
        <f t="shared" si="1340"/>
        <v>1.56</v>
      </c>
    </row>
    <row r="9017" ht="24.0" customHeight="1">
      <c r="A9017" s="10" t="s">
        <v>1186</v>
      </c>
      <c r="B9017" s="10" t="s">
        <v>26</v>
      </c>
      <c r="C9017" s="10" t="s">
        <v>23</v>
      </c>
      <c r="D9017" s="10" t="s">
        <v>1187</v>
      </c>
      <c r="E9017" s="14">
        <v>1.8</v>
      </c>
      <c r="F9017" s="15">
        <f>ROUND(49.5,3)</f>
        <v>49.5</v>
      </c>
      <c r="G9017" s="12">
        <f t="shared" si="1340"/>
        <v>89.1</v>
      </c>
    </row>
    <row r="9018" ht="15.0" customHeight="1">
      <c r="A9018" s="16"/>
      <c r="B9018" s="16"/>
      <c r="C9018" s="16"/>
      <c r="D9018" s="17" t="s">
        <v>4065</v>
      </c>
      <c r="E9018" s="16"/>
      <c r="F9018" s="18">
        <f>ROUND((G9010+G9011+G9012+G9013+G9014+G9015+G9016+G9017)*(1+G2/100),2)</f>
        <v>108.73</v>
      </c>
      <c r="G9018" s="16"/>
    </row>
    <row r="9019" ht="21.0" customHeight="1">
      <c r="A9019" s="19" t="s">
        <v>4079</v>
      </c>
      <c r="B9019" s="20" t="s">
        <v>18</v>
      </c>
      <c r="C9019" s="20" t="s">
        <v>251</v>
      </c>
      <c r="D9019" s="20" t="s">
        <v>4080</v>
      </c>
      <c r="E9019" s="21"/>
      <c r="F9019" s="22">
        <f>F9028</f>
        <v>12.9</v>
      </c>
      <c r="G9019" s="21"/>
    </row>
    <row r="9020" ht="39.75" customHeight="1">
      <c r="A9020" s="11"/>
      <c r="B9020" s="11"/>
      <c r="C9020" s="11"/>
      <c r="D9020" s="10" t="s">
        <v>4081</v>
      </c>
    </row>
    <row r="9021" ht="24.0" customHeight="1">
      <c r="A9021" s="10" t="s">
        <v>4082</v>
      </c>
      <c r="B9021" s="10" t="s">
        <v>42</v>
      </c>
      <c r="C9021" s="10" t="s">
        <v>255</v>
      </c>
      <c r="D9021" s="10" t="s">
        <v>4083</v>
      </c>
      <c r="E9021" s="14">
        <v>0.1</v>
      </c>
      <c r="F9021" s="15">
        <f>ROUND(38.75,3)</f>
        <v>38.75</v>
      </c>
      <c r="G9021" s="12">
        <f t="shared" ref="G9021:G9026" si="1341">ROUND(E9021*F9021,2)</f>
        <v>3.88</v>
      </c>
    </row>
    <row r="9022" ht="21.0" customHeight="1">
      <c r="A9022" s="10" t="s">
        <v>22</v>
      </c>
      <c r="B9022" s="10" t="s">
        <v>18</v>
      </c>
      <c r="C9022" s="10" t="s">
        <v>23</v>
      </c>
      <c r="D9022" s="10" t="s">
        <v>24</v>
      </c>
      <c r="E9022" s="14">
        <v>0.2</v>
      </c>
      <c r="F9022" s="15">
        <f>F9026</f>
        <v>43.8</v>
      </c>
      <c r="G9022" s="12">
        <f t="shared" si="1341"/>
        <v>8.76</v>
      </c>
    </row>
    <row r="9023" ht="24.0" customHeight="1">
      <c r="A9023" s="10" t="s">
        <v>25</v>
      </c>
      <c r="B9023" s="10" t="s">
        <v>26</v>
      </c>
      <c r="C9023" s="10" t="s">
        <v>23</v>
      </c>
      <c r="D9023" s="10" t="s">
        <v>27</v>
      </c>
      <c r="E9023" s="14">
        <v>1.0</v>
      </c>
      <c r="F9023" s="15">
        <f>ROUND(21,3)</f>
        <v>21</v>
      </c>
      <c r="G9023" s="12">
        <f t="shared" si="1341"/>
        <v>21</v>
      </c>
    </row>
    <row r="9024" ht="24.0" customHeight="1">
      <c r="A9024" s="10" t="s">
        <v>28</v>
      </c>
      <c r="B9024" s="10" t="s">
        <v>26</v>
      </c>
      <c r="C9024" s="10" t="s">
        <v>23</v>
      </c>
      <c r="D9024" s="10" t="s">
        <v>29</v>
      </c>
      <c r="E9024" s="14">
        <v>1.0</v>
      </c>
      <c r="F9024" s="15">
        <f t="shared" ref="F9024:F9025" si="1342">ROUND(19,3)</f>
        <v>19</v>
      </c>
      <c r="G9024" s="12">
        <f t="shared" si="1341"/>
        <v>19</v>
      </c>
    </row>
    <row r="9025" ht="24.0" customHeight="1">
      <c r="A9025" s="10" t="s">
        <v>30</v>
      </c>
      <c r="B9025" s="10" t="s">
        <v>26</v>
      </c>
      <c r="C9025" s="10" t="s">
        <v>23</v>
      </c>
      <c r="D9025" s="10" t="s">
        <v>31</v>
      </c>
      <c r="E9025" s="14">
        <v>0.2</v>
      </c>
      <c r="F9025" s="15">
        <f t="shared" si="1342"/>
        <v>19</v>
      </c>
      <c r="G9025" s="12">
        <f t="shared" si="1341"/>
        <v>3.8</v>
      </c>
    </row>
    <row r="9026" ht="15.0" customHeight="1">
      <c r="A9026" s="11"/>
      <c r="B9026" s="11"/>
      <c r="C9026" s="11"/>
      <c r="D9026" s="10" t="s">
        <v>22</v>
      </c>
      <c r="E9026" s="14">
        <v>0.2</v>
      </c>
      <c r="F9026" s="15">
        <f>ROUND((G9023+G9024+G9025),3)</f>
        <v>43.8</v>
      </c>
      <c r="G9026" s="12">
        <f t="shared" si="1341"/>
        <v>8.76</v>
      </c>
    </row>
    <row r="9027" ht="15.0" customHeight="1">
      <c r="A9027" s="10" t="s">
        <v>32</v>
      </c>
      <c r="B9027" s="10"/>
      <c r="C9027" s="10" t="s">
        <v>33</v>
      </c>
      <c r="D9027" s="10" t="s">
        <v>34</v>
      </c>
      <c r="E9027" s="14">
        <v>3.0</v>
      </c>
      <c r="F9027" s="15">
        <f>ROUND(8.76,3)</f>
        <v>8.76</v>
      </c>
      <c r="G9027" s="12">
        <f>ROUND((E9027*F9027)/100,2)</f>
        <v>0.26</v>
      </c>
    </row>
    <row r="9028" ht="15.0" customHeight="1">
      <c r="A9028" s="16"/>
      <c r="B9028" s="16"/>
      <c r="C9028" s="16"/>
      <c r="D9028" s="17" t="s">
        <v>4079</v>
      </c>
      <c r="E9028" s="16"/>
      <c r="F9028" s="18">
        <f>ROUND((G9021+G9022+G9027)*(1+G2/100),2)</f>
        <v>12.9</v>
      </c>
      <c r="G9028" s="16"/>
    </row>
    <row r="9029" ht="15.0" customHeight="1">
      <c r="A9029" s="19" t="s">
        <v>4084</v>
      </c>
      <c r="B9029" s="20" t="s">
        <v>18</v>
      </c>
      <c r="C9029" s="20" t="s">
        <v>251</v>
      </c>
      <c r="D9029" s="20" t="s">
        <v>4085</v>
      </c>
      <c r="E9029" s="21"/>
      <c r="F9029" s="22">
        <f>F9034</f>
        <v>41.8</v>
      </c>
      <c r="G9029" s="21"/>
    </row>
    <row r="9030" ht="39.75" customHeight="1">
      <c r="A9030" s="11"/>
      <c r="B9030" s="11"/>
      <c r="C9030" s="11"/>
      <c r="D9030" s="10" t="s">
        <v>4086</v>
      </c>
    </row>
    <row r="9031" ht="39.75" customHeight="1">
      <c r="A9031" s="10" t="s">
        <v>4087</v>
      </c>
      <c r="B9031" s="10" t="s">
        <v>42</v>
      </c>
      <c r="C9031" s="10" t="s">
        <v>184</v>
      </c>
      <c r="D9031" s="10" t="s">
        <v>4088</v>
      </c>
      <c r="E9031" s="14">
        <v>0.16</v>
      </c>
      <c r="F9031" s="15">
        <f>ROUND(50.82,3)</f>
        <v>50.82</v>
      </c>
      <c r="G9031" s="12">
        <f t="shared" ref="G9031:G9033" si="1343">ROUND(E9031*F9031,2)</f>
        <v>8.13</v>
      </c>
    </row>
    <row r="9032" ht="39.75" customHeight="1">
      <c r="A9032" s="10" t="s">
        <v>1269</v>
      </c>
      <c r="B9032" s="10" t="s">
        <v>42</v>
      </c>
      <c r="C9032" s="10" t="s">
        <v>226</v>
      </c>
      <c r="D9032" s="10" t="s">
        <v>1270</v>
      </c>
      <c r="E9032" s="14">
        <v>0.021</v>
      </c>
      <c r="F9032" s="15">
        <f>ROUND(71.07,3)</f>
        <v>71.07</v>
      </c>
      <c r="G9032" s="12">
        <f t="shared" si="1343"/>
        <v>1.49</v>
      </c>
    </row>
    <row r="9033" ht="24.0" customHeight="1">
      <c r="A9033" s="10" t="s">
        <v>1186</v>
      </c>
      <c r="B9033" s="10" t="s">
        <v>26</v>
      </c>
      <c r="C9033" s="10" t="s">
        <v>23</v>
      </c>
      <c r="D9033" s="10" t="s">
        <v>1187</v>
      </c>
      <c r="E9033" s="14">
        <v>0.65</v>
      </c>
      <c r="F9033" s="15">
        <f>ROUND(49.5,3)</f>
        <v>49.5</v>
      </c>
      <c r="G9033" s="12">
        <f t="shared" si="1343"/>
        <v>32.18</v>
      </c>
    </row>
    <row r="9034" ht="15.0" customHeight="1">
      <c r="A9034" s="16"/>
      <c r="B9034" s="16"/>
      <c r="C9034" s="16"/>
      <c r="D9034" s="17" t="s">
        <v>4084</v>
      </c>
      <c r="E9034" s="16"/>
      <c r="F9034" s="18">
        <f>ROUND((G9031+G9032+G9033)*(1+G2/100),2)</f>
        <v>41.8</v>
      </c>
      <c r="G9034" s="16"/>
    </row>
    <row r="9035" ht="30.0" customHeight="1">
      <c r="A9035" s="19" t="s">
        <v>4089</v>
      </c>
      <c r="B9035" s="20" t="s">
        <v>18</v>
      </c>
      <c r="C9035" s="20" t="s">
        <v>19</v>
      </c>
      <c r="D9035" s="20" t="s">
        <v>4090</v>
      </c>
      <c r="E9035" s="21"/>
      <c r="F9035" s="22">
        <f>F9045</f>
        <v>35.93</v>
      </c>
      <c r="G9035" s="21"/>
    </row>
    <row r="9036" ht="12.0" customHeight="1">
      <c r="A9036" s="11"/>
      <c r="B9036" s="11"/>
      <c r="C9036" s="11"/>
      <c r="D9036" s="10" t="s">
        <v>4091</v>
      </c>
    </row>
    <row r="9037" ht="30.0" customHeight="1">
      <c r="A9037" s="10" t="s">
        <v>3988</v>
      </c>
      <c r="B9037" s="10" t="s">
        <v>42</v>
      </c>
      <c r="C9037" s="10" t="s">
        <v>184</v>
      </c>
      <c r="D9037" s="10" t="s">
        <v>3989</v>
      </c>
      <c r="E9037" s="14">
        <v>0.4</v>
      </c>
      <c r="F9037" s="15">
        <f>ROUND(41.6,3)</f>
        <v>41.6</v>
      </c>
      <c r="G9037" s="12">
        <f t="shared" ref="G9037:G9043" si="1344">ROUND(E9037*F9037,2)</f>
        <v>16.64</v>
      </c>
    </row>
    <row r="9038" ht="30.0" customHeight="1">
      <c r="A9038" s="10" t="s">
        <v>4092</v>
      </c>
      <c r="B9038" s="10" t="s">
        <v>42</v>
      </c>
      <c r="C9038" s="10" t="s">
        <v>226</v>
      </c>
      <c r="D9038" s="10" t="s">
        <v>4093</v>
      </c>
      <c r="E9038" s="14">
        <v>0.14667</v>
      </c>
      <c r="F9038" s="15">
        <f>ROUND(49.5,3)</f>
        <v>49.5</v>
      </c>
      <c r="G9038" s="12">
        <f t="shared" si="1344"/>
        <v>7.26</v>
      </c>
    </row>
    <row r="9039" ht="21.0" customHeight="1">
      <c r="A9039" s="10" t="s">
        <v>22</v>
      </c>
      <c r="B9039" s="10" t="s">
        <v>18</v>
      </c>
      <c r="C9039" s="10" t="s">
        <v>23</v>
      </c>
      <c r="D9039" s="10" t="s">
        <v>24</v>
      </c>
      <c r="E9039" s="14">
        <v>0.26667</v>
      </c>
      <c r="F9039" s="15">
        <f>F9043</f>
        <v>43.8</v>
      </c>
      <c r="G9039" s="12">
        <f t="shared" si="1344"/>
        <v>11.68</v>
      </c>
    </row>
    <row r="9040" ht="24.0" customHeight="1">
      <c r="A9040" s="10" t="s">
        <v>25</v>
      </c>
      <c r="B9040" s="10" t="s">
        <v>26</v>
      </c>
      <c r="C9040" s="10" t="s">
        <v>23</v>
      </c>
      <c r="D9040" s="10" t="s">
        <v>27</v>
      </c>
      <c r="E9040" s="14">
        <v>1.0</v>
      </c>
      <c r="F9040" s="15">
        <f>ROUND(21,3)</f>
        <v>21</v>
      </c>
      <c r="G9040" s="12">
        <f t="shared" si="1344"/>
        <v>21</v>
      </c>
    </row>
    <row r="9041" ht="24.0" customHeight="1">
      <c r="A9041" s="10" t="s">
        <v>28</v>
      </c>
      <c r="B9041" s="10" t="s">
        <v>26</v>
      </c>
      <c r="C9041" s="10" t="s">
        <v>23</v>
      </c>
      <c r="D9041" s="10" t="s">
        <v>29</v>
      </c>
      <c r="E9041" s="14">
        <v>1.0</v>
      </c>
      <c r="F9041" s="15">
        <f t="shared" ref="F9041:F9042" si="1345">ROUND(19,3)</f>
        <v>19</v>
      </c>
      <c r="G9041" s="12">
        <f t="shared" si="1344"/>
        <v>19</v>
      </c>
    </row>
    <row r="9042" ht="24.0" customHeight="1">
      <c r="A9042" s="10" t="s">
        <v>30</v>
      </c>
      <c r="B9042" s="10" t="s">
        <v>26</v>
      </c>
      <c r="C9042" s="10" t="s">
        <v>23</v>
      </c>
      <c r="D9042" s="10" t="s">
        <v>31</v>
      </c>
      <c r="E9042" s="14">
        <v>0.2</v>
      </c>
      <c r="F9042" s="15">
        <f t="shared" si="1345"/>
        <v>19</v>
      </c>
      <c r="G9042" s="12">
        <f t="shared" si="1344"/>
        <v>3.8</v>
      </c>
    </row>
    <row r="9043" ht="15.0" customHeight="1">
      <c r="A9043" s="11"/>
      <c r="B9043" s="11"/>
      <c r="C9043" s="11"/>
      <c r="D9043" s="10" t="s">
        <v>22</v>
      </c>
      <c r="E9043" s="14">
        <v>0.26667</v>
      </c>
      <c r="F9043" s="15">
        <f>ROUND((G9040+G9041+G9042),3)</f>
        <v>43.8</v>
      </c>
      <c r="G9043" s="12">
        <f t="shared" si="1344"/>
        <v>11.68</v>
      </c>
    </row>
    <row r="9044" ht="15.0" customHeight="1">
      <c r="A9044" s="10" t="s">
        <v>32</v>
      </c>
      <c r="B9044" s="10"/>
      <c r="C9044" s="10" t="s">
        <v>33</v>
      </c>
      <c r="D9044" s="10" t="s">
        <v>34</v>
      </c>
      <c r="E9044" s="14">
        <v>3.0</v>
      </c>
      <c r="F9044" s="15">
        <f>ROUND(11.68,3)</f>
        <v>11.68</v>
      </c>
      <c r="G9044" s="12">
        <f>ROUND((E9044*F9044)/100,2)</f>
        <v>0.35</v>
      </c>
    </row>
    <row r="9045" ht="15.0" customHeight="1">
      <c r="A9045" s="16"/>
      <c r="B9045" s="16"/>
      <c r="C9045" s="16"/>
      <c r="D9045" s="17" t="s">
        <v>4089</v>
      </c>
      <c r="E9045" s="16"/>
      <c r="F9045" s="18">
        <f>ROUND((G9037+G9038+G9039+G9044)*(1+G2/100),2)</f>
        <v>35.93</v>
      </c>
      <c r="G9045" s="16"/>
    </row>
    <row r="9046" ht="39.75" customHeight="1">
      <c r="A9046" s="19" t="s">
        <v>4094</v>
      </c>
      <c r="B9046" s="20" t="s">
        <v>18</v>
      </c>
      <c r="C9046" s="20" t="s">
        <v>19</v>
      </c>
      <c r="D9046" s="20" t="s">
        <v>4095</v>
      </c>
      <c r="E9046" s="21"/>
      <c r="F9046" s="22">
        <f>F9056</f>
        <v>28.15</v>
      </c>
      <c r="G9046" s="21"/>
    </row>
    <row r="9047" ht="12.0" customHeight="1">
      <c r="A9047" s="11"/>
      <c r="B9047" s="11"/>
      <c r="C9047" s="11"/>
      <c r="D9047" s="10" t="s">
        <v>4096</v>
      </c>
    </row>
    <row r="9048" ht="39.75" customHeight="1">
      <c r="A9048" s="10" t="s">
        <v>4097</v>
      </c>
      <c r="B9048" s="10" t="s">
        <v>42</v>
      </c>
      <c r="C9048" s="10" t="s">
        <v>184</v>
      </c>
      <c r="D9048" s="10" t="s">
        <v>4098</v>
      </c>
      <c r="E9048" s="14">
        <v>0.189</v>
      </c>
      <c r="F9048" s="15">
        <f>ROUND(46.88,3)</f>
        <v>46.88</v>
      </c>
      <c r="G9048" s="12">
        <f t="shared" ref="G9048:G9054" si="1346">ROUND(E9048*F9048,2)</f>
        <v>8.86</v>
      </c>
    </row>
    <row r="9049" ht="30.0" customHeight="1">
      <c r="A9049" s="10" t="s">
        <v>4092</v>
      </c>
      <c r="B9049" s="10" t="s">
        <v>42</v>
      </c>
      <c r="C9049" s="10" t="s">
        <v>226</v>
      </c>
      <c r="D9049" s="10" t="s">
        <v>4093</v>
      </c>
      <c r="E9049" s="14">
        <v>0.14667</v>
      </c>
      <c r="F9049" s="15">
        <f>ROUND(49.5,3)</f>
        <v>49.5</v>
      </c>
      <c r="G9049" s="12">
        <f t="shared" si="1346"/>
        <v>7.26</v>
      </c>
    </row>
    <row r="9050" ht="21.0" customHeight="1">
      <c r="A9050" s="10" t="s">
        <v>22</v>
      </c>
      <c r="B9050" s="10" t="s">
        <v>18</v>
      </c>
      <c r="C9050" s="10" t="s">
        <v>23</v>
      </c>
      <c r="D9050" s="10" t="s">
        <v>24</v>
      </c>
      <c r="E9050" s="14">
        <v>0.26667</v>
      </c>
      <c r="F9050" s="15">
        <f>F9054</f>
        <v>43.8</v>
      </c>
      <c r="G9050" s="12">
        <f t="shared" si="1346"/>
        <v>11.68</v>
      </c>
    </row>
    <row r="9051" ht="24.0" customHeight="1">
      <c r="A9051" s="10" t="s">
        <v>25</v>
      </c>
      <c r="B9051" s="10" t="s">
        <v>26</v>
      </c>
      <c r="C9051" s="10" t="s">
        <v>23</v>
      </c>
      <c r="D9051" s="10" t="s">
        <v>27</v>
      </c>
      <c r="E9051" s="14">
        <v>1.0</v>
      </c>
      <c r="F9051" s="15">
        <f>ROUND(21,3)</f>
        <v>21</v>
      </c>
      <c r="G9051" s="12">
        <f t="shared" si="1346"/>
        <v>21</v>
      </c>
    </row>
    <row r="9052" ht="24.0" customHeight="1">
      <c r="A9052" s="10" t="s">
        <v>28</v>
      </c>
      <c r="B9052" s="10" t="s">
        <v>26</v>
      </c>
      <c r="C9052" s="10" t="s">
        <v>23</v>
      </c>
      <c r="D9052" s="10" t="s">
        <v>29</v>
      </c>
      <c r="E9052" s="14">
        <v>1.0</v>
      </c>
      <c r="F9052" s="15">
        <f t="shared" ref="F9052:F9053" si="1347">ROUND(19,3)</f>
        <v>19</v>
      </c>
      <c r="G9052" s="12">
        <f t="shared" si="1346"/>
        <v>19</v>
      </c>
    </row>
    <row r="9053" ht="24.0" customHeight="1">
      <c r="A9053" s="10" t="s">
        <v>30</v>
      </c>
      <c r="B9053" s="10" t="s">
        <v>26</v>
      </c>
      <c r="C9053" s="10" t="s">
        <v>23</v>
      </c>
      <c r="D9053" s="10" t="s">
        <v>31</v>
      </c>
      <c r="E9053" s="14">
        <v>0.2</v>
      </c>
      <c r="F9053" s="15">
        <f t="shared" si="1347"/>
        <v>19</v>
      </c>
      <c r="G9053" s="12">
        <f t="shared" si="1346"/>
        <v>3.8</v>
      </c>
    </row>
    <row r="9054" ht="15.0" customHeight="1">
      <c r="A9054" s="11"/>
      <c r="B9054" s="11"/>
      <c r="C9054" s="11"/>
      <c r="D9054" s="10" t="s">
        <v>22</v>
      </c>
      <c r="E9054" s="14">
        <v>0.26667</v>
      </c>
      <c r="F9054" s="15">
        <f>ROUND((G9051+G9052+G9053),3)</f>
        <v>43.8</v>
      </c>
      <c r="G9054" s="12">
        <f t="shared" si="1346"/>
        <v>11.68</v>
      </c>
    </row>
    <row r="9055" ht="15.0" customHeight="1">
      <c r="A9055" s="10" t="s">
        <v>32</v>
      </c>
      <c r="B9055" s="10"/>
      <c r="C9055" s="10" t="s">
        <v>33</v>
      </c>
      <c r="D9055" s="10" t="s">
        <v>34</v>
      </c>
      <c r="E9055" s="14">
        <v>3.0</v>
      </c>
      <c r="F9055" s="15">
        <f>ROUND(11.68,3)</f>
        <v>11.68</v>
      </c>
      <c r="G9055" s="12">
        <f>ROUND((E9055*F9055)/100,2)</f>
        <v>0.35</v>
      </c>
    </row>
    <row r="9056" ht="15.0" customHeight="1">
      <c r="A9056" s="16"/>
      <c r="B9056" s="16"/>
      <c r="C9056" s="16"/>
      <c r="D9056" s="17" t="s">
        <v>4094</v>
      </c>
      <c r="E9056" s="16"/>
      <c r="F9056" s="18">
        <f>ROUND((G9048+G9049+G9050+G9055)*(1+G2/100),2)</f>
        <v>28.15</v>
      </c>
      <c r="G9056" s="16"/>
    </row>
    <row r="9057" ht="15.0" customHeight="1">
      <c r="A9057" s="23"/>
      <c r="B9057" s="23"/>
      <c r="C9057" s="23"/>
      <c r="D9057" s="36" t="s">
        <v>3969</v>
      </c>
      <c r="E9057" s="37"/>
      <c r="F9057" s="37"/>
      <c r="G9057" s="37"/>
    </row>
    <row r="9058" ht="15.0" customHeight="1">
      <c r="A9058" s="38" t="s">
        <v>4099</v>
      </c>
      <c r="B9058" s="38" t="s">
        <v>10</v>
      </c>
      <c r="C9058" s="39"/>
      <c r="D9058" s="38" t="s">
        <v>4100</v>
      </c>
      <c r="E9058" s="39"/>
      <c r="F9058" s="39"/>
      <c r="G9058" s="39"/>
    </row>
    <row r="9059" ht="21.0" customHeight="1">
      <c r="A9059" s="13" t="s">
        <v>4101</v>
      </c>
      <c r="B9059" s="10" t="s">
        <v>18</v>
      </c>
      <c r="C9059" s="10" t="s">
        <v>251</v>
      </c>
      <c r="D9059" s="10" t="s">
        <v>4102</v>
      </c>
      <c r="E9059" s="11"/>
      <c r="F9059" s="12">
        <f>F9069</f>
        <v>32.93</v>
      </c>
      <c r="G9059" s="11"/>
    </row>
    <row r="9060" ht="39.75" customHeight="1">
      <c r="A9060" s="11"/>
      <c r="B9060" s="11"/>
      <c r="C9060" s="11"/>
      <c r="D9060" s="10" t="s">
        <v>4103</v>
      </c>
    </row>
    <row r="9061" ht="30.0" customHeight="1">
      <c r="A9061" s="10" t="s">
        <v>748</v>
      </c>
      <c r="B9061" s="10" t="s">
        <v>112</v>
      </c>
      <c r="C9061" s="10" t="s">
        <v>23</v>
      </c>
      <c r="D9061" s="10" t="s">
        <v>749</v>
      </c>
      <c r="E9061" s="14">
        <v>0.2</v>
      </c>
      <c r="F9061" s="15">
        <f>ROUND(3.74,3)</f>
        <v>3.74</v>
      </c>
      <c r="G9061" s="12">
        <f t="shared" ref="G9061:G9067" si="1348">ROUND(E9061*F9061,2)</f>
        <v>0.75</v>
      </c>
    </row>
    <row r="9062" ht="39.75" customHeight="1">
      <c r="A9062" s="10" t="s">
        <v>188</v>
      </c>
      <c r="B9062" s="10" t="s">
        <v>112</v>
      </c>
      <c r="C9062" s="10" t="s">
        <v>23</v>
      </c>
      <c r="D9062" s="10" t="s">
        <v>189</v>
      </c>
      <c r="E9062" s="14">
        <v>0.2</v>
      </c>
      <c r="F9062" s="15">
        <f>ROUND(7.565,3)</f>
        <v>7.565</v>
      </c>
      <c r="G9062" s="12">
        <f t="shared" si="1348"/>
        <v>1.51</v>
      </c>
    </row>
    <row r="9063" ht="21.0" customHeight="1">
      <c r="A9063" s="10" t="s">
        <v>22</v>
      </c>
      <c r="B9063" s="10" t="s">
        <v>18</v>
      </c>
      <c r="C9063" s="10" t="s">
        <v>23</v>
      </c>
      <c r="D9063" s="10" t="s">
        <v>24</v>
      </c>
      <c r="E9063" s="14">
        <v>0.68</v>
      </c>
      <c r="F9063" s="15">
        <f>F9067</f>
        <v>43.8</v>
      </c>
      <c r="G9063" s="12">
        <f t="shared" si="1348"/>
        <v>29.78</v>
      </c>
    </row>
    <row r="9064" ht="24.0" customHeight="1">
      <c r="A9064" s="10" t="s">
        <v>25</v>
      </c>
      <c r="B9064" s="10" t="s">
        <v>26</v>
      </c>
      <c r="C9064" s="10" t="s">
        <v>23</v>
      </c>
      <c r="D9064" s="10" t="s">
        <v>27</v>
      </c>
      <c r="E9064" s="14">
        <v>1.0</v>
      </c>
      <c r="F9064" s="15">
        <f>ROUND(21,3)</f>
        <v>21</v>
      </c>
      <c r="G9064" s="12">
        <f t="shared" si="1348"/>
        <v>21</v>
      </c>
    </row>
    <row r="9065" ht="24.0" customHeight="1">
      <c r="A9065" s="10" t="s">
        <v>28</v>
      </c>
      <c r="B9065" s="10" t="s">
        <v>26</v>
      </c>
      <c r="C9065" s="10" t="s">
        <v>23</v>
      </c>
      <c r="D9065" s="10" t="s">
        <v>29</v>
      </c>
      <c r="E9065" s="14">
        <v>1.0</v>
      </c>
      <c r="F9065" s="15">
        <f t="shared" ref="F9065:F9066" si="1349">ROUND(19,3)</f>
        <v>19</v>
      </c>
      <c r="G9065" s="12">
        <f t="shared" si="1348"/>
        <v>19</v>
      </c>
    </row>
    <row r="9066" ht="24.0" customHeight="1">
      <c r="A9066" s="10" t="s">
        <v>30</v>
      </c>
      <c r="B9066" s="10" t="s">
        <v>26</v>
      </c>
      <c r="C9066" s="10" t="s">
        <v>23</v>
      </c>
      <c r="D9066" s="10" t="s">
        <v>31</v>
      </c>
      <c r="E9066" s="14">
        <v>0.2</v>
      </c>
      <c r="F9066" s="15">
        <f t="shared" si="1349"/>
        <v>19</v>
      </c>
      <c r="G9066" s="12">
        <f t="shared" si="1348"/>
        <v>3.8</v>
      </c>
    </row>
    <row r="9067" ht="15.0" customHeight="1">
      <c r="A9067" s="11"/>
      <c r="B9067" s="11"/>
      <c r="C9067" s="11"/>
      <c r="D9067" s="10" t="s">
        <v>22</v>
      </c>
      <c r="E9067" s="14">
        <v>0.68</v>
      </c>
      <c r="F9067" s="15">
        <f>ROUND((G9064+G9065+G9066),3)</f>
        <v>43.8</v>
      </c>
      <c r="G9067" s="12">
        <f t="shared" si="1348"/>
        <v>29.78</v>
      </c>
    </row>
    <row r="9068" ht="15.0" customHeight="1">
      <c r="A9068" s="10" t="s">
        <v>32</v>
      </c>
      <c r="B9068" s="10"/>
      <c r="C9068" s="10" t="s">
        <v>33</v>
      </c>
      <c r="D9068" s="10" t="s">
        <v>34</v>
      </c>
      <c r="E9068" s="14">
        <v>3.0</v>
      </c>
      <c r="F9068" s="15">
        <f>ROUND(29.78,3)</f>
        <v>29.78</v>
      </c>
      <c r="G9068" s="12">
        <f>ROUND((E9068*F9068)/100,2)</f>
        <v>0.89</v>
      </c>
    </row>
    <row r="9069" ht="15.0" customHeight="1">
      <c r="A9069" s="16"/>
      <c r="B9069" s="16"/>
      <c r="C9069" s="16"/>
      <c r="D9069" s="17" t="s">
        <v>4101</v>
      </c>
      <c r="E9069" s="16"/>
      <c r="F9069" s="18">
        <f>ROUND((G9061+G9062+G9063+G9068)*(1+G2/100),2)</f>
        <v>32.93</v>
      </c>
      <c r="G9069" s="16"/>
    </row>
    <row r="9070" ht="21.0" customHeight="1">
      <c r="A9070" s="19" t="s">
        <v>4104</v>
      </c>
      <c r="B9070" s="20" t="s">
        <v>18</v>
      </c>
      <c r="C9070" s="20" t="s">
        <v>537</v>
      </c>
      <c r="D9070" s="20" t="s">
        <v>4105</v>
      </c>
      <c r="E9070" s="21"/>
      <c r="F9070" s="22">
        <f>F9078</f>
        <v>12.03</v>
      </c>
      <c r="G9070" s="21"/>
    </row>
    <row r="9071" ht="21.0" customHeight="1">
      <c r="A9071" s="11"/>
      <c r="B9071" s="11"/>
      <c r="C9071" s="11"/>
      <c r="D9071" s="10" t="s">
        <v>4106</v>
      </c>
    </row>
    <row r="9072" ht="21.0" customHeight="1">
      <c r="A9072" s="10" t="s">
        <v>22</v>
      </c>
      <c r="B9072" s="10" t="s">
        <v>18</v>
      </c>
      <c r="C9072" s="10" t="s">
        <v>23</v>
      </c>
      <c r="D9072" s="10" t="s">
        <v>24</v>
      </c>
      <c r="E9072" s="14">
        <v>0.2666</v>
      </c>
      <c r="F9072" s="15">
        <f>F9076</f>
        <v>43.8</v>
      </c>
      <c r="G9072" s="12">
        <f t="shared" ref="G9072:G9076" si="1350">ROUND(E9072*F9072,2)</f>
        <v>11.68</v>
      </c>
    </row>
    <row r="9073" ht="24.0" customHeight="1">
      <c r="A9073" s="10" t="s">
        <v>25</v>
      </c>
      <c r="B9073" s="10" t="s">
        <v>26</v>
      </c>
      <c r="C9073" s="10" t="s">
        <v>23</v>
      </c>
      <c r="D9073" s="10" t="s">
        <v>27</v>
      </c>
      <c r="E9073" s="14">
        <v>1.0</v>
      </c>
      <c r="F9073" s="15">
        <f>ROUND(21,3)</f>
        <v>21</v>
      </c>
      <c r="G9073" s="12">
        <f t="shared" si="1350"/>
        <v>21</v>
      </c>
    </row>
    <row r="9074" ht="24.0" customHeight="1">
      <c r="A9074" s="10" t="s">
        <v>28</v>
      </c>
      <c r="B9074" s="10" t="s">
        <v>26</v>
      </c>
      <c r="C9074" s="10" t="s">
        <v>23</v>
      </c>
      <c r="D9074" s="10" t="s">
        <v>29</v>
      </c>
      <c r="E9074" s="14">
        <v>1.0</v>
      </c>
      <c r="F9074" s="15">
        <f t="shared" ref="F9074:F9075" si="1351">ROUND(19,3)</f>
        <v>19</v>
      </c>
      <c r="G9074" s="12">
        <f t="shared" si="1350"/>
        <v>19</v>
      </c>
    </row>
    <row r="9075" ht="24.0" customHeight="1">
      <c r="A9075" s="10" t="s">
        <v>30</v>
      </c>
      <c r="B9075" s="10" t="s">
        <v>26</v>
      </c>
      <c r="C9075" s="10" t="s">
        <v>23</v>
      </c>
      <c r="D9075" s="10" t="s">
        <v>31</v>
      </c>
      <c r="E9075" s="14">
        <v>0.2</v>
      </c>
      <c r="F9075" s="15">
        <f t="shared" si="1351"/>
        <v>19</v>
      </c>
      <c r="G9075" s="12">
        <f t="shared" si="1350"/>
        <v>3.8</v>
      </c>
    </row>
    <row r="9076" ht="15.0" customHeight="1">
      <c r="A9076" s="11"/>
      <c r="B9076" s="11"/>
      <c r="C9076" s="11"/>
      <c r="D9076" s="10" t="s">
        <v>22</v>
      </c>
      <c r="E9076" s="14">
        <v>0.2666</v>
      </c>
      <c r="F9076" s="15">
        <f>ROUND((G9073+G9074+G9075),3)</f>
        <v>43.8</v>
      </c>
      <c r="G9076" s="12">
        <f t="shared" si="1350"/>
        <v>11.68</v>
      </c>
    </row>
    <row r="9077" ht="15.0" customHeight="1">
      <c r="A9077" s="10" t="s">
        <v>32</v>
      </c>
      <c r="B9077" s="10"/>
      <c r="C9077" s="10" t="s">
        <v>33</v>
      </c>
      <c r="D9077" s="10" t="s">
        <v>34</v>
      </c>
      <c r="E9077" s="14">
        <v>3.0</v>
      </c>
      <c r="F9077" s="15">
        <f>ROUND(11.68,3)</f>
        <v>11.68</v>
      </c>
      <c r="G9077" s="12">
        <f>ROUND((E9077*F9077)/100,2)</f>
        <v>0.35</v>
      </c>
    </row>
    <row r="9078" ht="15.0" customHeight="1">
      <c r="A9078" s="16"/>
      <c r="B9078" s="16"/>
      <c r="C9078" s="16"/>
      <c r="D9078" s="17" t="s">
        <v>4104</v>
      </c>
      <c r="E9078" s="16"/>
      <c r="F9078" s="18">
        <f>ROUND((G9072+G9077)*(1+G2/100),2)</f>
        <v>12.03</v>
      </c>
      <c r="G9078" s="16"/>
    </row>
    <row r="9079" ht="15.0" customHeight="1">
      <c r="A9079" s="19" t="s">
        <v>4107</v>
      </c>
      <c r="B9079" s="20" t="s">
        <v>18</v>
      </c>
      <c r="C9079" s="20" t="s">
        <v>321</v>
      </c>
      <c r="D9079" s="20" t="s">
        <v>4108</v>
      </c>
      <c r="E9079" s="21"/>
      <c r="F9079" s="22">
        <f>F9089</f>
        <v>9.43</v>
      </c>
      <c r="G9079" s="21"/>
    </row>
    <row r="9080" ht="21.0" customHeight="1">
      <c r="A9080" s="11"/>
      <c r="B9080" s="11"/>
      <c r="C9080" s="11"/>
      <c r="D9080" s="10" t="s">
        <v>4109</v>
      </c>
    </row>
    <row r="9081" ht="30.0" customHeight="1">
      <c r="A9081" s="10" t="s">
        <v>1787</v>
      </c>
      <c r="B9081" s="10" t="s">
        <v>42</v>
      </c>
      <c r="C9081" s="10" t="s">
        <v>226</v>
      </c>
      <c r="D9081" s="10" t="s">
        <v>1788</v>
      </c>
      <c r="E9081" s="14">
        <v>0.0084</v>
      </c>
      <c r="F9081" s="15">
        <f>ROUND(30.51,3)</f>
        <v>30.51</v>
      </c>
      <c r="G9081" s="12">
        <f t="shared" ref="G9081:G9087" si="1352">ROUND(E9081*F9081,2)</f>
        <v>0.26</v>
      </c>
    </row>
    <row r="9082" ht="30.0" customHeight="1">
      <c r="A9082" s="10" t="s">
        <v>1382</v>
      </c>
      <c r="B9082" s="10" t="s">
        <v>42</v>
      </c>
      <c r="C9082" s="10" t="s">
        <v>184</v>
      </c>
      <c r="D9082" s="10" t="s">
        <v>1383</v>
      </c>
      <c r="E9082" s="14">
        <v>0.1</v>
      </c>
      <c r="F9082" s="15">
        <f>ROUND(1.47,3)</f>
        <v>1.47</v>
      </c>
      <c r="G9082" s="12">
        <f t="shared" si="1352"/>
        <v>0.15</v>
      </c>
    </row>
    <row r="9083" ht="21.0" customHeight="1">
      <c r="A9083" s="10" t="s">
        <v>22</v>
      </c>
      <c r="B9083" s="10" t="s">
        <v>18</v>
      </c>
      <c r="C9083" s="10" t="s">
        <v>23</v>
      </c>
      <c r="D9083" s="10" t="s">
        <v>24</v>
      </c>
      <c r="E9083" s="14">
        <v>0.2</v>
      </c>
      <c r="F9083" s="15">
        <f>F9087</f>
        <v>43.8</v>
      </c>
      <c r="G9083" s="12">
        <f t="shared" si="1352"/>
        <v>8.76</v>
      </c>
    </row>
    <row r="9084" ht="24.0" customHeight="1">
      <c r="A9084" s="10" t="s">
        <v>25</v>
      </c>
      <c r="B9084" s="10" t="s">
        <v>26</v>
      </c>
      <c r="C9084" s="10" t="s">
        <v>23</v>
      </c>
      <c r="D9084" s="10" t="s">
        <v>27</v>
      </c>
      <c r="E9084" s="14">
        <v>1.0</v>
      </c>
      <c r="F9084" s="15">
        <f>ROUND(21,3)</f>
        <v>21</v>
      </c>
      <c r="G9084" s="12">
        <f t="shared" si="1352"/>
        <v>21</v>
      </c>
    </row>
    <row r="9085" ht="24.0" customHeight="1">
      <c r="A9085" s="10" t="s">
        <v>28</v>
      </c>
      <c r="B9085" s="10" t="s">
        <v>26</v>
      </c>
      <c r="C9085" s="10" t="s">
        <v>23</v>
      </c>
      <c r="D9085" s="10" t="s">
        <v>29</v>
      </c>
      <c r="E9085" s="14">
        <v>1.0</v>
      </c>
      <c r="F9085" s="15">
        <f t="shared" ref="F9085:F9086" si="1353">ROUND(19,3)</f>
        <v>19</v>
      </c>
      <c r="G9085" s="12">
        <f t="shared" si="1352"/>
        <v>19</v>
      </c>
    </row>
    <row r="9086" ht="24.0" customHeight="1">
      <c r="A9086" s="10" t="s">
        <v>30</v>
      </c>
      <c r="B9086" s="10" t="s">
        <v>26</v>
      </c>
      <c r="C9086" s="10" t="s">
        <v>23</v>
      </c>
      <c r="D9086" s="10" t="s">
        <v>31</v>
      </c>
      <c r="E9086" s="14">
        <v>0.2</v>
      </c>
      <c r="F9086" s="15">
        <f t="shared" si="1353"/>
        <v>19</v>
      </c>
      <c r="G9086" s="12">
        <f t="shared" si="1352"/>
        <v>3.8</v>
      </c>
    </row>
    <row r="9087" ht="15.0" customHeight="1">
      <c r="A9087" s="11"/>
      <c r="B9087" s="11"/>
      <c r="C9087" s="11"/>
      <c r="D9087" s="10" t="s">
        <v>22</v>
      </c>
      <c r="E9087" s="14">
        <v>0.2</v>
      </c>
      <c r="F9087" s="15">
        <f>ROUND((G9084+G9085+G9086),3)</f>
        <v>43.8</v>
      </c>
      <c r="G9087" s="12">
        <f t="shared" si="1352"/>
        <v>8.76</v>
      </c>
    </row>
    <row r="9088" ht="15.0" customHeight="1">
      <c r="A9088" s="10" t="s">
        <v>32</v>
      </c>
      <c r="B9088" s="10"/>
      <c r="C9088" s="10" t="s">
        <v>33</v>
      </c>
      <c r="D9088" s="10" t="s">
        <v>34</v>
      </c>
      <c r="E9088" s="14">
        <v>3.0</v>
      </c>
      <c r="F9088" s="15">
        <f>ROUND(8.76,3)</f>
        <v>8.76</v>
      </c>
      <c r="G9088" s="12">
        <f>ROUND((E9088*F9088)/100,2)</f>
        <v>0.26</v>
      </c>
    </row>
    <row r="9089" ht="15.0" customHeight="1">
      <c r="A9089" s="16"/>
      <c r="B9089" s="16"/>
      <c r="C9089" s="16"/>
      <c r="D9089" s="17" t="s">
        <v>4107</v>
      </c>
      <c r="E9089" s="16"/>
      <c r="F9089" s="18">
        <f>ROUND((G9081+G9082+G9083+G9088)*(1+G2/100),2)</f>
        <v>9.43</v>
      </c>
      <c r="G9089" s="16"/>
    </row>
    <row r="9090" ht="15.0" customHeight="1">
      <c r="A9090" s="19" t="s">
        <v>4110</v>
      </c>
      <c r="B9090" s="20" t="s">
        <v>18</v>
      </c>
      <c r="C9090" s="20" t="s">
        <v>251</v>
      </c>
      <c r="D9090" s="20" t="s">
        <v>4111</v>
      </c>
      <c r="E9090" s="21"/>
      <c r="F9090" s="22">
        <f>F9099</f>
        <v>21.35</v>
      </c>
      <c r="G9090" s="21"/>
    </row>
    <row r="9091" ht="48.75" customHeight="1">
      <c r="A9091" s="11"/>
      <c r="B9091" s="11"/>
      <c r="C9091" s="11"/>
      <c r="D9091" s="10" t="s">
        <v>4112</v>
      </c>
    </row>
    <row r="9092" ht="30.0" customHeight="1">
      <c r="A9092" s="10" t="s">
        <v>3813</v>
      </c>
      <c r="B9092" s="10" t="s">
        <v>18</v>
      </c>
      <c r="C9092" s="10" t="s">
        <v>251</v>
      </c>
      <c r="D9092" s="10" t="s">
        <v>3814</v>
      </c>
      <c r="E9092" s="14">
        <v>1.0</v>
      </c>
      <c r="F9092" s="15">
        <f>F9098</f>
        <v>21.35</v>
      </c>
      <c r="G9092" s="12">
        <f t="shared" ref="G9092:G9096" si="1354">ROUND(E9092*F9092,2)</f>
        <v>21.35</v>
      </c>
    </row>
    <row r="9093" ht="21.0" customHeight="1">
      <c r="A9093" s="10" t="s">
        <v>3816</v>
      </c>
      <c r="B9093" s="10" t="s">
        <v>42</v>
      </c>
      <c r="C9093" s="10" t="s">
        <v>19</v>
      </c>
      <c r="D9093" s="10" t="s">
        <v>3817</v>
      </c>
      <c r="E9093" s="14">
        <v>0.05</v>
      </c>
      <c r="F9093" s="15">
        <f>ROUND(2,3)</f>
        <v>2</v>
      </c>
      <c r="G9093" s="12">
        <f t="shared" si="1354"/>
        <v>0.1</v>
      </c>
    </row>
    <row r="9094" ht="30.0" customHeight="1">
      <c r="A9094" s="10" t="s">
        <v>1382</v>
      </c>
      <c r="B9094" s="10" t="s">
        <v>42</v>
      </c>
      <c r="C9094" s="10" t="s">
        <v>184</v>
      </c>
      <c r="D9094" s="10" t="s">
        <v>1383</v>
      </c>
      <c r="E9094" s="14">
        <v>3.2</v>
      </c>
      <c r="F9094" s="15">
        <f>ROUND(1.47,3)</f>
        <v>1.47</v>
      </c>
      <c r="G9094" s="12">
        <f t="shared" si="1354"/>
        <v>4.7</v>
      </c>
    </row>
    <row r="9095" ht="39.75" customHeight="1">
      <c r="A9095" s="10" t="s">
        <v>1380</v>
      </c>
      <c r="B9095" s="10" t="s">
        <v>42</v>
      </c>
      <c r="C9095" s="10" t="s">
        <v>344</v>
      </c>
      <c r="D9095" s="10" t="s">
        <v>1381</v>
      </c>
      <c r="E9095" s="14">
        <v>0.15</v>
      </c>
      <c r="F9095" s="15">
        <f>ROUND(20.13,3)</f>
        <v>20.13</v>
      </c>
      <c r="G9095" s="12">
        <f t="shared" si="1354"/>
        <v>3.02</v>
      </c>
    </row>
    <row r="9096" ht="21.0" customHeight="1">
      <c r="A9096" s="10" t="s">
        <v>22</v>
      </c>
      <c r="B9096" s="10" t="s">
        <v>18</v>
      </c>
      <c r="C9096" s="10" t="s">
        <v>23</v>
      </c>
      <c r="D9096" s="10" t="s">
        <v>24</v>
      </c>
      <c r="E9096" s="14">
        <v>0.3</v>
      </c>
      <c r="F9096" s="15">
        <f>ROUND(43.8,3)</f>
        <v>43.8</v>
      </c>
      <c r="G9096" s="12">
        <f t="shared" si="1354"/>
        <v>13.14</v>
      </c>
    </row>
    <row r="9097" ht="15.0" customHeight="1">
      <c r="A9097" s="10" t="s">
        <v>32</v>
      </c>
      <c r="B9097" s="10"/>
      <c r="C9097" s="10" t="s">
        <v>33</v>
      </c>
      <c r="D9097" s="10" t="s">
        <v>34</v>
      </c>
      <c r="E9097" s="14">
        <v>3.0</v>
      </c>
      <c r="F9097" s="15">
        <f>ROUND(13.14,3)</f>
        <v>13.14</v>
      </c>
      <c r="G9097" s="12">
        <f>ROUND((E9097*F9097)/100,2)</f>
        <v>0.39</v>
      </c>
    </row>
    <row r="9098" ht="15.0" customHeight="1">
      <c r="A9098" s="11"/>
      <c r="B9098" s="11"/>
      <c r="C9098" s="11"/>
      <c r="D9098" s="10" t="s">
        <v>3813</v>
      </c>
      <c r="E9098" s="14">
        <v>1.0</v>
      </c>
      <c r="F9098" s="15">
        <f>ROUND((G9093+G9094+G9095+G9096+G9097),3)</f>
        <v>21.35</v>
      </c>
      <c r="G9098" s="12">
        <f>ROUND(E9098*F9098,2)</f>
        <v>21.35</v>
      </c>
    </row>
    <row r="9099" ht="15.0" customHeight="1">
      <c r="A9099" s="16"/>
      <c r="B9099" s="16"/>
      <c r="C9099" s="16"/>
      <c r="D9099" s="17" t="s">
        <v>4110</v>
      </c>
      <c r="E9099" s="16"/>
      <c r="F9099" s="18">
        <f>ROUND((G9092)*(1+G2/100),2)</f>
        <v>21.35</v>
      </c>
      <c r="G9099" s="16"/>
    </row>
    <row r="9100" ht="30.0" customHeight="1">
      <c r="A9100" s="19" t="s">
        <v>4113</v>
      </c>
      <c r="B9100" s="20" t="s">
        <v>18</v>
      </c>
      <c r="C9100" s="20" t="s">
        <v>251</v>
      </c>
      <c r="D9100" s="20" t="s">
        <v>4114</v>
      </c>
      <c r="E9100" s="21"/>
      <c r="F9100" s="22">
        <f>F9110</f>
        <v>28.23</v>
      </c>
      <c r="G9100" s="21"/>
    </row>
    <row r="9101" ht="30.0" customHeight="1">
      <c r="A9101" s="11"/>
      <c r="B9101" s="11"/>
      <c r="C9101" s="11"/>
      <c r="D9101" s="10" t="s">
        <v>4115</v>
      </c>
    </row>
    <row r="9102" ht="39.75" customHeight="1">
      <c r="A9102" s="10" t="s">
        <v>4116</v>
      </c>
      <c r="B9102" s="10" t="s">
        <v>42</v>
      </c>
      <c r="C9102" s="10" t="s">
        <v>1939</v>
      </c>
      <c r="D9102" s="10" t="s">
        <v>4117</v>
      </c>
      <c r="E9102" s="14">
        <v>0.042</v>
      </c>
      <c r="F9102" s="15">
        <f>ROUND(44.84,3)</f>
        <v>44.84</v>
      </c>
      <c r="G9102" s="12">
        <f t="shared" ref="G9102:G9108" si="1355">ROUND(E9102*F9102,2)</f>
        <v>1.88</v>
      </c>
    </row>
    <row r="9103" ht="48.75" customHeight="1">
      <c r="A9103" s="10" t="s">
        <v>4118</v>
      </c>
      <c r="B9103" s="10" t="s">
        <v>42</v>
      </c>
      <c r="C9103" s="10" t="s">
        <v>226</v>
      </c>
      <c r="D9103" s="10" t="s">
        <v>4119</v>
      </c>
      <c r="E9103" s="14">
        <v>0.13333</v>
      </c>
      <c r="F9103" s="15">
        <f>ROUND(28.4,3)</f>
        <v>28.4</v>
      </c>
      <c r="G9103" s="12">
        <f t="shared" si="1355"/>
        <v>3.79</v>
      </c>
    </row>
    <row r="9104" ht="21.0" customHeight="1">
      <c r="A9104" s="10" t="s">
        <v>22</v>
      </c>
      <c r="B9104" s="10" t="s">
        <v>18</v>
      </c>
      <c r="C9104" s="10" t="s">
        <v>23</v>
      </c>
      <c r="D9104" s="10" t="s">
        <v>24</v>
      </c>
      <c r="E9104" s="14">
        <v>0.5</v>
      </c>
      <c r="F9104" s="15">
        <f>F9108</f>
        <v>43.8</v>
      </c>
      <c r="G9104" s="12">
        <f t="shared" si="1355"/>
        <v>21.9</v>
      </c>
    </row>
    <row r="9105" ht="24.0" customHeight="1">
      <c r="A9105" s="10" t="s">
        <v>25</v>
      </c>
      <c r="B9105" s="10" t="s">
        <v>26</v>
      </c>
      <c r="C9105" s="10" t="s">
        <v>23</v>
      </c>
      <c r="D9105" s="10" t="s">
        <v>27</v>
      </c>
      <c r="E9105" s="14">
        <v>1.0</v>
      </c>
      <c r="F9105" s="15">
        <f>ROUND(21,3)</f>
        <v>21</v>
      </c>
      <c r="G9105" s="12">
        <f t="shared" si="1355"/>
        <v>21</v>
      </c>
    </row>
    <row r="9106" ht="24.0" customHeight="1">
      <c r="A9106" s="10" t="s">
        <v>28</v>
      </c>
      <c r="B9106" s="10" t="s">
        <v>26</v>
      </c>
      <c r="C9106" s="10" t="s">
        <v>23</v>
      </c>
      <c r="D9106" s="10" t="s">
        <v>29</v>
      </c>
      <c r="E9106" s="14">
        <v>1.0</v>
      </c>
      <c r="F9106" s="15">
        <f t="shared" ref="F9106:F9107" si="1356">ROUND(19,3)</f>
        <v>19</v>
      </c>
      <c r="G9106" s="12">
        <f t="shared" si="1355"/>
        <v>19</v>
      </c>
    </row>
    <row r="9107" ht="24.0" customHeight="1">
      <c r="A9107" s="10" t="s">
        <v>30</v>
      </c>
      <c r="B9107" s="10" t="s">
        <v>26</v>
      </c>
      <c r="C9107" s="10" t="s">
        <v>23</v>
      </c>
      <c r="D9107" s="10" t="s">
        <v>31</v>
      </c>
      <c r="E9107" s="14">
        <v>0.2</v>
      </c>
      <c r="F9107" s="15">
        <f t="shared" si="1356"/>
        <v>19</v>
      </c>
      <c r="G9107" s="12">
        <f t="shared" si="1355"/>
        <v>3.8</v>
      </c>
    </row>
    <row r="9108" ht="15.0" customHeight="1">
      <c r="A9108" s="11"/>
      <c r="B9108" s="11"/>
      <c r="C9108" s="11"/>
      <c r="D9108" s="10" t="s">
        <v>22</v>
      </c>
      <c r="E9108" s="14">
        <v>0.5</v>
      </c>
      <c r="F9108" s="15">
        <f>ROUND((G9105+G9106+G9107),3)</f>
        <v>43.8</v>
      </c>
      <c r="G9108" s="12">
        <f t="shared" si="1355"/>
        <v>21.9</v>
      </c>
    </row>
    <row r="9109" ht="15.0" customHeight="1">
      <c r="A9109" s="10" t="s">
        <v>32</v>
      </c>
      <c r="B9109" s="10"/>
      <c r="C9109" s="10" t="s">
        <v>33</v>
      </c>
      <c r="D9109" s="10" t="s">
        <v>34</v>
      </c>
      <c r="E9109" s="14">
        <v>3.0</v>
      </c>
      <c r="F9109" s="15">
        <f>ROUND(21.9,3)</f>
        <v>21.9</v>
      </c>
      <c r="G9109" s="12">
        <f>ROUND((E9109*F9109)/100,2)</f>
        <v>0.66</v>
      </c>
    </row>
    <row r="9110" ht="15.0" customHeight="1">
      <c r="A9110" s="16"/>
      <c r="B9110" s="16"/>
      <c r="C9110" s="16"/>
      <c r="D9110" s="17" t="s">
        <v>4113</v>
      </c>
      <c r="E9110" s="16"/>
      <c r="F9110" s="18">
        <f>ROUND((G9102+G9103+G9104+G9109)*(1+G2/100),2)</f>
        <v>28.23</v>
      </c>
      <c r="G9110" s="16"/>
    </row>
    <row r="9111" ht="15.0" customHeight="1">
      <c r="A9111" s="19" t="s">
        <v>4120</v>
      </c>
      <c r="B9111" s="20" t="s">
        <v>18</v>
      </c>
      <c r="C9111" s="20" t="s">
        <v>251</v>
      </c>
      <c r="D9111" s="20" t="s">
        <v>4121</v>
      </c>
      <c r="E9111" s="21"/>
      <c r="F9111" s="22">
        <f>F9120</f>
        <v>4.52</v>
      </c>
      <c r="G9111" s="21"/>
    </row>
    <row r="9112" ht="21.0" customHeight="1">
      <c r="A9112" s="11"/>
      <c r="B9112" s="11"/>
      <c r="C9112" s="11"/>
      <c r="D9112" s="10" t="s">
        <v>4122</v>
      </c>
    </row>
    <row r="9113" ht="39.75" customHeight="1">
      <c r="A9113" s="10" t="s">
        <v>4123</v>
      </c>
      <c r="B9113" s="10" t="s">
        <v>42</v>
      </c>
      <c r="C9113" s="10" t="s">
        <v>226</v>
      </c>
      <c r="D9113" s="10" t="s">
        <v>4124</v>
      </c>
      <c r="E9113" s="14">
        <v>0.022</v>
      </c>
      <c r="F9113" s="15">
        <f>ROUND(41.25,3)</f>
        <v>41.25</v>
      </c>
      <c r="G9113" s="12">
        <f t="shared" ref="G9113:G9118" si="1357">ROUND(E9113*F9113,2)</f>
        <v>0.91</v>
      </c>
    </row>
    <row r="9114" ht="21.0" customHeight="1">
      <c r="A9114" s="10" t="s">
        <v>22</v>
      </c>
      <c r="B9114" s="10" t="s">
        <v>18</v>
      </c>
      <c r="C9114" s="10" t="s">
        <v>23</v>
      </c>
      <c r="D9114" s="10" t="s">
        <v>24</v>
      </c>
      <c r="E9114" s="14">
        <v>0.08</v>
      </c>
      <c r="F9114" s="15">
        <f>F9118</f>
        <v>43.8</v>
      </c>
      <c r="G9114" s="12">
        <f t="shared" si="1357"/>
        <v>3.5</v>
      </c>
    </row>
    <row r="9115" ht="24.0" customHeight="1">
      <c r="A9115" s="10" t="s">
        <v>25</v>
      </c>
      <c r="B9115" s="10" t="s">
        <v>26</v>
      </c>
      <c r="C9115" s="10" t="s">
        <v>23</v>
      </c>
      <c r="D9115" s="10" t="s">
        <v>27</v>
      </c>
      <c r="E9115" s="14">
        <v>1.0</v>
      </c>
      <c r="F9115" s="15">
        <f>ROUND(21,3)</f>
        <v>21</v>
      </c>
      <c r="G9115" s="12">
        <f t="shared" si="1357"/>
        <v>21</v>
      </c>
    </row>
    <row r="9116" ht="24.0" customHeight="1">
      <c r="A9116" s="10" t="s">
        <v>28</v>
      </c>
      <c r="B9116" s="10" t="s">
        <v>26</v>
      </c>
      <c r="C9116" s="10" t="s">
        <v>23</v>
      </c>
      <c r="D9116" s="10" t="s">
        <v>29</v>
      </c>
      <c r="E9116" s="14">
        <v>1.0</v>
      </c>
      <c r="F9116" s="15">
        <f t="shared" ref="F9116:F9117" si="1358">ROUND(19,3)</f>
        <v>19</v>
      </c>
      <c r="G9116" s="12">
        <f t="shared" si="1357"/>
        <v>19</v>
      </c>
    </row>
    <row r="9117" ht="24.0" customHeight="1">
      <c r="A9117" s="10" t="s">
        <v>30</v>
      </c>
      <c r="B9117" s="10" t="s">
        <v>26</v>
      </c>
      <c r="C9117" s="10" t="s">
        <v>23</v>
      </c>
      <c r="D9117" s="10" t="s">
        <v>31</v>
      </c>
      <c r="E9117" s="14">
        <v>0.2</v>
      </c>
      <c r="F9117" s="15">
        <f t="shared" si="1358"/>
        <v>19</v>
      </c>
      <c r="G9117" s="12">
        <f t="shared" si="1357"/>
        <v>3.8</v>
      </c>
    </row>
    <row r="9118" ht="15.0" customHeight="1">
      <c r="A9118" s="11"/>
      <c r="B9118" s="11"/>
      <c r="C9118" s="11"/>
      <c r="D9118" s="10" t="s">
        <v>22</v>
      </c>
      <c r="E9118" s="14">
        <v>0.08</v>
      </c>
      <c r="F9118" s="15">
        <f>ROUND((G9115+G9116+G9117),3)</f>
        <v>43.8</v>
      </c>
      <c r="G9118" s="12">
        <f t="shared" si="1357"/>
        <v>3.5</v>
      </c>
    </row>
    <row r="9119" ht="15.0" customHeight="1">
      <c r="A9119" s="10" t="s">
        <v>32</v>
      </c>
      <c r="B9119" s="10"/>
      <c r="C9119" s="10" t="s">
        <v>33</v>
      </c>
      <c r="D9119" s="10" t="s">
        <v>34</v>
      </c>
      <c r="E9119" s="14">
        <v>3.0</v>
      </c>
      <c r="F9119" s="15">
        <f>ROUND(3.5,3)</f>
        <v>3.5</v>
      </c>
      <c r="G9119" s="12">
        <f>ROUND((E9119*F9119)/100,2)</f>
        <v>0.11</v>
      </c>
    </row>
    <row r="9120" ht="15.0" customHeight="1">
      <c r="A9120" s="16"/>
      <c r="B9120" s="16"/>
      <c r="C9120" s="16"/>
      <c r="D9120" s="17" t="s">
        <v>4120</v>
      </c>
      <c r="E9120" s="16"/>
      <c r="F9120" s="18">
        <f>ROUND((G9113+G9114+G9119)*(1+G2/100),2)</f>
        <v>4.52</v>
      </c>
      <c r="G9120" s="16"/>
    </row>
    <row r="9121" ht="15.0" customHeight="1">
      <c r="A9121" s="19" t="s">
        <v>4125</v>
      </c>
      <c r="B9121" s="20" t="s">
        <v>18</v>
      </c>
      <c r="C9121" s="20" t="s">
        <v>251</v>
      </c>
      <c r="D9121" s="20" t="s">
        <v>4126</v>
      </c>
      <c r="E9121" s="21"/>
      <c r="F9121" s="22">
        <f>F9132</f>
        <v>45.41</v>
      </c>
      <c r="G9121" s="21"/>
    </row>
    <row r="9122" ht="39.75" customHeight="1">
      <c r="A9122" s="11"/>
      <c r="B9122" s="11"/>
      <c r="C9122" s="11"/>
      <c r="D9122" s="10" t="s">
        <v>4127</v>
      </c>
    </row>
    <row r="9123" ht="30.0" customHeight="1">
      <c r="A9123" s="10" t="s">
        <v>2755</v>
      </c>
      <c r="B9123" s="10" t="s">
        <v>42</v>
      </c>
      <c r="C9123" s="10" t="s">
        <v>344</v>
      </c>
      <c r="D9123" s="10" t="s">
        <v>2756</v>
      </c>
      <c r="E9123" s="14">
        <v>30.0</v>
      </c>
      <c r="F9123" s="15">
        <f>ROUND(0.4,3)</f>
        <v>0.4</v>
      </c>
      <c r="G9123" s="12">
        <f t="shared" ref="G9123:G9130" si="1359">ROUND(E9123*F9123,2)</f>
        <v>12</v>
      </c>
    </row>
    <row r="9124" ht="30.0" customHeight="1">
      <c r="A9124" s="10" t="s">
        <v>2053</v>
      </c>
      <c r="B9124" s="10" t="s">
        <v>42</v>
      </c>
      <c r="C9124" s="10" t="s">
        <v>184</v>
      </c>
      <c r="D9124" s="10" t="s">
        <v>2054</v>
      </c>
      <c r="E9124" s="14">
        <v>0.1</v>
      </c>
      <c r="F9124" s="15">
        <f>ROUND(11.74,3)</f>
        <v>11.74</v>
      </c>
      <c r="G9124" s="12">
        <f t="shared" si="1359"/>
        <v>1.17</v>
      </c>
    </row>
    <row r="9125" ht="48.75" customHeight="1">
      <c r="A9125" s="10" t="s">
        <v>2069</v>
      </c>
      <c r="B9125" s="10" t="s">
        <v>42</v>
      </c>
      <c r="C9125" s="10" t="s">
        <v>184</v>
      </c>
      <c r="D9125" s="10" t="s">
        <v>2070</v>
      </c>
      <c r="E9125" s="14">
        <v>0.504</v>
      </c>
      <c r="F9125" s="15">
        <f>ROUND(10.25,3)</f>
        <v>10.25</v>
      </c>
      <c r="G9125" s="12">
        <f t="shared" si="1359"/>
        <v>5.17</v>
      </c>
    </row>
    <row r="9126" ht="21.0" customHeight="1">
      <c r="A9126" s="10" t="s">
        <v>22</v>
      </c>
      <c r="B9126" s="10" t="s">
        <v>18</v>
      </c>
      <c r="C9126" s="10" t="s">
        <v>23</v>
      </c>
      <c r="D9126" s="10" t="s">
        <v>24</v>
      </c>
      <c r="E9126" s="14">
        <v>0.6</v>
      </c>
      <c r="F9126" s="15">
        <f>F9130</f>
        <v>43.8</v>
      </c>
      <c r="G9126" s="12">
        <f t="shared" si="1359"/>
        <v>26.28</v>
      </c>
    </row>
    <row r="9127" ht="24.0" customHeight="1">
      <c r="A9127" s="10" t="s">
        <v>25</v>
      </c>
      <c r="B9127" s="10" t="s">
        <v>26</v>
      </c>
      <c r="C9127" s="10" t="s">
        <v>23</v>
      </c>
      <c r="D9127" s="10" t="s">
        <v>27</v>
      </c>
      <c r="E9127" s="14">
        <v>1.0</v>
      </c>
      <c r="F9127" s="15">
        <f>ROUND(21,3)</f>
        <v>21</v>
      </c>
      <c r="G9127" s="12">
        <f t="shared" si="1359"/>
        <v>21</v>
      </c>
    </row>
    <row r="9128" ht="24.0" customHeight="1">
      <c r="A9128" s="10" t="s">
        <v>28</v>
      </c>
      <c r="B9128" s="10" t="s">
        <v>26</v>
      </c>
      <c r="C9128" s="10" t="s">
        <v>23</v>
      </c>
      <c r="D9128" s="10" t="s">
        <v>29</v>
      </c>
      <c r="E9128" s="14">
        <v>1.0</v>
      </c>
      <c r="F9128" s="15">
        <f t="shared" ref="F9128:F9129" si="1360">ROUND(19,3)</f>
        <v>19</v>
      </c>
      <c r="G9128" s="12">
        <f t="shared" si="1359"/>
        <v>19</v>
      </c>
    </row>
    <row r="9129" ht="24.0" customHeight="1">
      <c r="A9129" s="10" t="s">
        <v>30</v>
      </c>
      <c r="B9129" s="10" t="s">
        <v>26</v>
      </c>
      <c r="C9129" s="10" t="s">
        <v>23</v>
      </c>
      <c r="D9129" s="10" t="s">
        <v>31</v>
      </c>
      <c r="E9129" s="14">
        <v>0.2</v>
      </c>
      <c r="F9129" s="15">
        <f t="shared" si="1360"/>
        <v>19</v>
      </c>
      <c r="G9129" s="12">
        <f t="shared" si="1359"/>
        <v>3.8</v>
      </c>
    </row>
    <row r="9130" ht="15.0" customHeight="1">
      <c r="A9130" s="11"/>
      <c r="B9130" s="11"/>
      <c r="C9130" s="11"/>
      <c r="D9130" s="10" t="s">
        <v>22</v>
      </c>
      <c r="E9130" s="14">
        <v>0.6</v>
      </c>
      <c r="F9130" s="15">
        <f>ROUND((G9127+G9128+G9129),3)</f>
        <v>43.8</v>
      </c>
      <c r="G9130" s="12">
        <f t="shared" si="1359"/>
        <v>26.28</v>
      </c>
    </row>
    <row r="9131" ht="15.0" customHeight="1">
      <c r="A9131" s="10" t="s">
        <v>32</v>
      </c>
      <c r="B9131" s="10"/>
      <c r="C9131" s="10" t="s">
        <v>33</v>
      </c>
      <c r="D9131" s="10" t="s">
        <v>34</v>
      </c>
      <c r="E9131" s="14">
        <v>3.0</v>
      </c>
      <c r="F9131" s="15">
        <f>ROUND(26.28,3)</f>
        <v>26.28</v>
      </c>
      <c r="G9131" s="12">
        <f>ROUND((E9131*F9131)/100,2)</f>
        <v>0.79</v>
      </c>
    </row>
    <row r="9132" ht="15.0" customHeight="1">
      <c r="A9132" s="16"/>
      <c r="B9132" s="16"/>
      <c r="C9132" s="16"/>
      <c r="D9132" s="17" t="s">
        <v>4125</v>
      </c>
      <c r="E9132" s="16"/>
      <c r="F9132" s="18">
        <f>ROUND((G9123+G9124+G9125+G9126+G9131)*(1+G2/100),2)</f>
        <v>45.41</v>
      </c>
      <c r="G9132" s="16"/>
    </row>
    <row r="9133" ht="21.0" customHeight="1">
      <c r="A9133" s="19" t="s">
        <v>3628</v>
      </c>
      <c r="B9133" s="20" t="s">
        <v>18</v>
      </c>
      <c r="C9133" s="20" t="s">
        <v>251</v>
      </c>
      <c r="D9133" s="20" t="s">
        <v>3629</v>
      </c>
      <c r="E9133" s="21"/>
      <c r="F9133" s="22">
        <f>F9147</f>
        <v>57.74</v>
      </c>
      <c r="G9133" s="21"/>
    </row>
    <row r="9134" ht="30.0" customHeight="1">
      <c r="A9134" s="11"/>
      <c r="B9134" s="11"/>
      <c r="C9134" s="11"/>
      <c r="D9134" s="10" t="s">
        <v>3630</v>
      </c>
    </row>
    <row r="9135" ht="21.0" customHeight="1">
      <c r="A9135" s="10" t="s">
        <v>3631</v>
      </c>
      <c r="B9135" s="10" t="s">
        <v>42</v>
      </c>
      <c r="C9135" s="10" t="s">
        <v>19</v>
      </c>
      <c r="D9135" s="10" t="s">
        <v>3632</v>
      </c>
      <c r="E9135" s="14">
        <v>1.05</v>
      </c>
      <c r="F9135" s="15">
        <f>ROUND(22.86,3)</f>
        <v>22.86</v>
      </c>
      <c r="G9135" s="12">
        <f t="shared" ref="G9135:G9145" si="1361">ROUND(E9135*F9135,2)</f>
        <v>24</v>
      </c>
    </row>
    <row r="9136" ht="48.75" customHeight="1">
      <c r="A9136" s="10" t="s">
        <v>2069</v>
      </c>
      <c r="B9136" s="10" t="s">
        <v>42</v>
      </c>
      <c r="C9136" s="10" t="s">
        <v>184</v>
      </c>
      <c r="D9136" s="10" t="s">
        <v>2070</v>
      </c>
      <c r="E9136" s="14">
        <v>0.252</v>
      </c>
      <c r="F9136" s="15">
        <f>ROUND(10.25,3)</f>
        <v>10.25</v>
      </c>
      <c r="G9136" s="12">
        <f t="shared" si="1361"/>
        <v>2.58</v>
      </c>
    </row>
    <row r="9137" ht="30.0" customHeight="1">
      <c r="A9137" s="10" t="s">
        <v>3633</v>
      </c>
      <c r="B9137" s="10" t="s">
        <v>42</v>
      </c>
      <c r="C9137" s="10" t="s">
        <v>184</v>
      </c>
      <c r="D9137" s="10" t="s">
        <v>3634</v>
      </c>
      <c r="E9137" s="14">
        <v>0.5</v>
      </c>
      <c r="F9137" s="15">
        <f>ROUND(11,3)</f>
        <v>11</v>
      </c>
      <c r="G9137" s="12">
        <f t="shared" si="1361"/>
        <v>5.5</v>
      </c>
    </row>
    <row r="9138" ht="39.75" customHeight="1">
      <c r="A9138" s="10" t="s">
        <v>3635</v>
      </c>
      <c r="B9138" s="10" t="s">
        <v>42</v>
      </c>
      <c r="C9138" s="10" t="s">
        <v>330</v>
      </c>
      <c r="D9138" s="10" t="s">
        <v>3636</v>
      </c>
      <c r="E9138" s="14">
        <v>0.05</v>
      </c>
      <c r="F9138" s="15">
        <f>ROUND(27.85,3)</f>
        <v>27.85</v>
      </c>
      <c r="G9138" s="12">
        <f t="shared" si="1361"/>
        <v>1.39</v>
      </c>
    </row>
    <row r="9139" ht="39.75" customHeight="1">
      <c r="A9139" s="10" t="s">
        <v>3637</v>
      </c>
      <c r="B9139" s="10" t="s">
        <v>42</v>
      </c>
      <c r="C9139" s="10" t="s">
        <v>330</v>
      </c>
      <c r="D9139" s="10" t="s">
        <v>3638</v>
      </c>
      <c r="E9139" s="14">
        <v>0.05</v>
      </c>
      <c r="F9139" s="15">
        <f>ROUND(18.8,3)</f>
        <v>18.8</v>
      </c>
      <c r="G9139" s="12">
        <f t="shared" si="1361"/>
        <v>0.94</v>
      </c>
    </row>
    <row r="9140" ht="30.0" customHeight="1">
      <c r="A9140" s="10" t="s">
        <v>3639</v>
      </c>
      <c r="B9140" s="10" t="s">
        <v>42</v>
      </c>
      <c r="C9140" s="10" t="s">
        <v>304</v>
      </c>
      <c r="D9140" s="10" t="s">
        <v>3640</v>
      </c>
      <c r="E9140" s="14">
        <v>0.05</v>
      </c>
      <c r="F9140" s="15">
        <f>ROUND(15.4,3)</f>
        <v>15.4</v>
      </c>
      <c r="G9140" s="12">
        <f t="shared" si="1361"/>
        <v>0.77</v>
      </c>
    </row>
    <row r="9141" ht="21.0" customHeight="1">
      <c r="A9141" s="10" t="s">
        <v>22</v>
      </c>
      <c r="B9141" s="10" t="s">
        <v>18</v>
      </c>
      <c r="C9141" s="10" t="s">
        <v>23</v>
      </c>
      <c r="D9141" s="10" t="s">
        <v>24</v>
      </c>
      <c r="E9141" s="14">
        <v>0.5</v>
      </c>
      <c r="F9141" s="15">
        <f>F9145</f>
        <v>43.8</v>
      </c>
      <c r="G9141" s="12">
        <f t="shared" si="1361"/>
        <v>21.9</v>
      </c>
    </row>
    <row r="9142" ht="24.0" customHeight="1">
      <c r="A9142" s="10" t="s">
        <v>25</v>
      </c>
      <c r="B9142" s="10" t="s">
        <v>26</v>
      </c>
      <c r="C9142" s="10" t="s">
        <v>23</v>
      </c>
      <c r="D9142" s="10" t="s">
        <v>27</v>
      </c>
      <c r="E9142" s="14">
        <v>1.0</v>
      </c>
      <c r="F9142" s="15">
        <f>ROUND(21,3)</f>
        <v>21</v>
      </c>
      <c r="G9142" s="12">
        <f t="shared" si="1361"/>
        <v>21</v>
      </c>
    </row>
    <row r="9143" ht="24.0" customHeight="1">
      <c r="A9143" s="10" t="s">
        <v>28</v>
      </c>
      <c r="B9143" s="10" t="s">
        <v>26</v>
      </c>
      <c r="C9143" s="10" t="s">
        <v>23</v>
      </c>
      <c r="D9143" s="10" t="s">
        <v>29</v>
      </c>
      <c r="E9143" s="14">
        <v>1.0</v>
      </c>
      <c r="F9143" s="15">
        <f t="shared" ref="F9143:F9144" si="1362">ROUND(19,3)</f>
        <v>19</v>
      </c>
      <c r="G9143" s="12">
        <f t="shared" si="1361"/>
        <v>19</v>
      </c>
    </row>
    <row r="9144" ht="24.0" customHeight="1">
      <c r="A9144" s="10" t="s">
        <v>30</v>
      </c>
      <c r="B9144" s="10" t="s">
        <v>26</v>
      </c>
      <c r="C9144" s="10" t="s">
        <v>23</v>
      </c>
      <c r="D9144" s="10" t="s">
        <v>31</v>
      </c>
      <c r="E9144" s="14">
        <v>0.2</v>
      </c>
      <c r="F9144" s="15">
        <f t="shared" si="1362"/>
        <v>19</v>
      </c>
      <c r="G9144" s="12">
        <f t="shared" si="1361"/>
        <v>3.8</v>
      </c>
    </row>
    <row r="9145" ht="15.0" customHeight="1">
      <c r="A9145" s="11"/>
      <c r="B9145" s="11"/>
      <c r="C9145" s="11"/>
      <c r="D9145" s="10" t="s">
        <v>22</v>
      </c>
      <c r="E9145" s="14">
        <v>0.5</v>
      </c>
      <c r="F9145" s="15">
        <f>ROUND((G9142+G9143+G9144),3)</f>
        <v>43.8</v>
      </c>
      <c r="G9145" s="12">
        <f t="shared" si="1361"/>
        <v>21.9</v>
      </c>
    </row>
    <row r="9146" ht="15.0" customHeight="1">
      <c r="A9146" s="10" t="s">
        <v>32</v>
      </c>
      <c r="B9146" s="10"/>
      <c r="C9146" s="10" t="s">
        <v>33</v>
      </c>
      <c r="D9146" s="10" t="s">
        <v>34</v>
      </c>
      <c r="E9146" s="14">
        <v>3.0</v>
      </c>
      <c r="F9146" s="15">
        <f>ROUND(21.9,3)</f>
        <v>21.9</v>
      </c>
      <c r="G9146" s="12">
        <f>ROUND((E9146*F9146)/100,2)</f>
        <v>0.66</v>
      </c>
    </row>
    <row r="9147" ht="15.0" customHeight="1">
      <c r="A9147" s="16"/>
      <c r="B9147" s="16"/>
      <c r="C9147" s="16"/>
      <c r="D9147" s="17" t="s">
        <v>3628</v>
      </c>
      <c r="E9147" s="16"/>
      <c r="F9147" s="18">
        <f>ROUND((G9135+G9136+G9137+G9138+G9139+G9140+G9141+G9146)*(1+G2/100),2)</f>
        <v>57.74</v>
      </c>
      <c r="G9147" s="16"/>
    </row>
    <row r="9148" ht="21.0" customHeight="1">
      <c r="A9148" s="19" t="s">
        <v>4128</v>
      </c>
      <c r="B9148" s="20" t="s">
        <v>18</v>
      </c>
      <c r="C9148" s="20" t="s">
        <v>321</v>
      </c>
      <c r="D9148" s="20" t="s">
        <v>4129</v>
      </c>
      <c r="E9148" s="21"/>
      <c r="F9148" s="22">
        <f>F9159</f>
        <v>10.58</v>
      </c>
      <c r="G9148" s="21"/>
    </row>
    <row r="9149" ht="21.0" customHeight="1">
      <c r="A9149" s="11"/>
      <c r="B9149" s="11"/>
      <c r="C9149" s="11"/>
      <c r="D9149" s="10" t="s">
        <v>2870</v>
      </c>
    </row>
    <row r="9150" ht="48.75" customHeight="1">
      <c r="A9150" s="10" t="s">
        <v>2069</v>
      </c>
      <c r="B9150" s="10" t="s">
        <v>42</v>
      </c>
      <c r="C9150" s="10" t="s">
        <v>184</v>
      </c>
      <c r="D9150" s="10" t="s">
        <v>2070</v>
      </c>
      <c r="E9150" s="14">
        <v>0.033</v>
      </c>
      <c r="F9150" s="15">
        <f>ROUND(10.25,3)</f>
        <v>10.25</v>
      </c>
      <c r="G9150" s="12">
        <f t="shared" ref="G9150:G9157" si="1363">ROUND(E9150*F9150,2)</f>
        <v>0.34</v>
      </c>
    </row>
    <row r="9151" ht="30.0" customHeight="1">
      <c r="A9151" s="10" t="s">
        <v>2755</v>
      </c>
      <c r="B9151" s="10" t="s">
        <v>42</v>
      </c>
      <c r="C9151" s="10" t="s">
        <v>344</v>
      </c>
      <c r="D9151" s="10" t="s">
        <v>2756</v>
      </c>
      <c r="E9151" s="14">
        <v>5.0</v>
      </c>
      <c r="F9151" s="15">
        <f>ROUND(0.4,3)</f>
        <v>0.4</v>
      </c>
      <c r="G9151" s="12">
        <f t="shared" si="1363"/>
        <v>2</v>
      </c>
    </row>
    <row r="9152" ht="30.0" customHeight="1">
      <c r="A9152" s="10" t="s">
        <v>2053</v>
      </c>
      <c r="B9152" s="10" t="s">
        <v>42</v>
      </c>
      <c r="C9152" s="10" t="s">
        <v>184</v>
      </c>
      <c r="D9152" s="10" t="s">
        <v>2054</v>
      </c>
      <c r="E9152" s="14">
        <v>0.01</v>
      </c>
      <c r="F9152" s="15">
        <f>ROUND(11.74,3)</f>
        <v>11.74</v>
      </c>
      <c r="G9152" s="12">
        <f t="shared" si="1363"/>
        <v>0.12</v>
      </c>
    </row>
    <row r="9153" ht="21.0" customHeight="1">
      <c r="A9153" s="10" t="s">
        <v>22</v>
      </c>
      <c r="B9153" s="10" t="s">
        <v>18</v>
      </c>
      <c r="C9153" s="10" t="s">
        <v>23</v>
      </c>
      <c r="D9153" s="10" t="s">
        <v>24</v>
      </c>
      <c r="E9153" s="14">
        <v>0.18</v>
      </c>
      <c r="F9153" s="15">
        <f>F9157</f>
        <v>43.8</v>
      </c>
      <c r="G9153" s="12">
        <f t="shared" si="1363"/>
        <v>7.88</v>
      </c>
    </row>
    <row r="9154" ht="24.0" customHeight="1">
      <c r="A9154" s="10" t="s">
        <v>25</v>
      </c>
      <c r="B9154" s="10" t="s">
        <v>26</v>
      </c>
      <c r="C9154" s="10" t="s">
        <v>23</v>
      </c>
      <c r="D9154" s="10" t="s">
        <v>27</v>
      </c>
      <c r="E9154" s="14">
        <v>1.0</v>
      </c>
      <c r="F9154" s="15">
        <f>ROUND(21,3)</f>
        <v>21</v>
      </c>
      <c r="G9154" s="12">
        <f t="shared" si="1363"/>
        <v>21</v>
      </c>
    </row>
    <row r="9155" ht="24.0" customHeight="1">
      <c r="A9155" s="10" t="s">
        <v>28</v>
      </c>
      <c r="B9155" s="10" t="s">
        <v>26</v>
      </c>
      <c r="C9155" s="10" t="s">
        <v>23</v>
      </c>
      <c r="D9155" s="10" t="s">
        <v>29</v>
      </c>
      <c r="E9155" s="14">
        <v>1.0</v>
      </c>
      <c r="F9155" s="15">
        <f t="shared" ref="F9155:F9156" si="1364">ROUND(19,3)</f>
        <v>19</v>
      </c>
      <c r="G9155" s="12">
        <f t="shared" si="1363"/>
        <v>19</v>
      </c>
    </row>
    <row r="9156" ht="24.0" customHeight="1">
      <c r="A9156" s="10" t="s">
        <v>30</v>
      </c>
      <c r="B9156" s="10" t="s">
        <v>26</v>
      </c>
      <c r="C9156" s="10" t="s">
        <v>23</v>
      </c>
      <c r="D9156" s="10" t="s">
        <v>31</v>
      </c>
      <c r="E9156" s="14">
        <v>0.2</v>
      </c>
      <c r="F9156" s="15">
        <f t="shared" si="1364"/>
        <v>19</v>
      </c>
      <c r="G9156" s="12">
        <f t="shared" si="1363"/>
        <v>3.8</v>
      </c>
    </row>
    <row r="9157" ht="15.0" customHeight="1">
      <c r="A9157" s="11"/>
      <c r="B9157" s="11"/>
      <c r="C9157" s="11"/>
      <c r="D9157" s="10" t="s">
        <v>22</v>
      </c>
      <c r="E9157" s="14">
        <v>0.18</v>
      </c>
      <c r="F9157" s="15">
        <f>ROUND((G9154+G9155+G9156),3)</f>
        <v>43.8</v>
      </c>
      <c r="G9157" s="12">
        <f t="shared" si="1363"/>
        <v>7.88</v>
      </c>
    </row>
    <row r="9158" ht="15.0" customHeight="1">
      <c r="A9158" s="10" t="s">
        <v>32</v>
      </c>
      <c r="B9158" s="10"/>
      <c r="C9158" s="10" t="s">
        <v>33</v>
      </c>
      <c r="D9158" s="10" t="s">
        <v>34</v>
      </c>
      <c r="E9158" s="14">
        <v>3.0</v>
      </c>
      <c r="F9158" s="15">
        <f>ROUND(7.88,3)</f>
        <v>7.88</v>
      </c>
      <c r="G9158" s="12">
        <f>ROUND((E9158*F9158)/100,2)</f>
        <v>0.24</v>
      </c>
    </row>
    <row r="9159" ht="15.0" customHeight="1">
      <c r="A9159" s="16"/>
      <c r="B9159" s="16"/>
      <c r="C9159" s="16"/>
      <c r="D9159" s="17" t="s">
        <v>4128</v>
      </c>
      <c r="E9159" s="16"/>
      <c r="F9159" s="18">
        <f>ROUND((G9150+G9151+G9152+G9153+G9158)*(1+G2/100),2)</f>
        <v>10.58</v>
      </c>
      <c r="G9159" s="16"/>
    </row>
    <row r="9160" ht="21.0" customHeight="1">
      <c r="A9160" s="19" t="s">
        <v>4130</v>
      </c>
      <c r="B9160" s="20" t="s">
        <v>18</v>
      </c>
      <c r="C9160" s="20" t="s">
        <v>321</v>
      </c>
      <c r="D9160" s="20" t="s">
        <v>4131</v>
      </c>
      <c r="E9160" s="21"/>
      <c r="F9160" s="22">
        <f>F9171</f>
        <v>12.93</v>
      </c>
      <c r="G9160" s="21"/>
    </row>
    <row r="9161" ht="12.0" customHeight="1">
      <c r="A9161" s="11"/>
      <c r="B9161" s="11"/>
      <c r="C9161" s="11"/>
      <c r="D9161" s="10" t="s">
        <v>4132</v>
      </c>
    </row>
    <row r="9162" ht="21.0" customHeight="1">
      <c r="A9162" s="10" t="s">
        <v>3631</v>
      </c>
      <c r="B9162" s="10" t="s">
        <v>42</v>
      </c>
      <c r="C9162" s="10" t="s">
        <v>19</v>
      </c>
      <c r="D9162" s="10" t="s">
        <v>3632</v>
      </c>
      <c r="E9162" s="14">
        <v>0.2</v>
      </c>
      <c r="F9162" s="15">
        <f>ROUND(22.86,3)</f>
        <v>22.86</v>
      </c>
      <c r="G9162" s="12">
        <f t="shared" ref="G9162:G9169" si="1365">ROUND(E9162*F9162,2)</f>
        <v>4.57</v>
      </c>
    </row>
    <row r="9163" ht="48.75" customHeight="1">
      <c r="A9163" s="10" t="s">
        <v>2069</v>
      </c>
      <c r="B9163" s="10" t="s">
        <v>42</v>
      </c>
      <c r="C9163" s="10" t="s">
        <v>184</v>
      </c>
      <c r="D9163" s="10" t="s">
        <v>2070</v>
      </c>
      <c r="E9163" s="14">
        <v>0.08</v>
      </c>
      <c r="F9163" s="15">
        <f>ROUND(10.25,3)</f>
        <v>10.25</v>
      </c>
      <c r="G9163" s="12">
        <f t="shared" si="1365"/>
        <v>0.82</v>
      </c>
    </row>
    <row r="9164" ht="30.0" customHeight="1">
      <c r="A9164" s="10" t="s">
        <v>3633</v>
      </c>
      <c r="B9164" s="10" t="s">
        <v>42</v>
      </c>
      <c r="C9164" s="10" t="s">
        <v>184</v>
      </c>
      <c r="D9164" s="10" t="s">
        <v>3634</v>
      </c>
      <c r="E9164" s="14">
        <v>0.07</v>
      </c>
      <c r="F9164" s="15">
        <f>ROUND(11,3)</f>
        <v>11</v>
      </c>
      <c r="G9164" s="12">
        <f t="shared" si="1365"/>
        <v>0.77</v>
      </c>
    </row>
    <row r="9165" ht="21.0" customHeight="1">
      <c r="A9165" s="10" t="s">
        <v>22</v>
      </c>
      <c r="B9165" s="10" t="s">
        <v>18</v>
      </c>
      <c r="C9165" s="10" t="s">
        <v>23</v>
      </c>
      <c r="D9165" s="10" t="s">
        <v>24</v>
      </c>
      <c r="E9165" s="14">
        <v>0.15</v>
      </c>
      <c r="F9165" s="15">
        <f>F9169</f>
        <v>43.8</v>
      </c>
      <c r="G9165" s="12">
        <f t="shared" si="1365"/>
        <v>6.57</v>
      </c>
    </row>
    <row r="9166" ht="24.0" customHeight="1">
      <c r="A9166" s="10" t="s">
        <v>25</v>
      </c>
      <c r="B9166" s="10" t="s">
        <v>26</v>
      </c>
      <c r="C9166" s="10" t="s">
        <v>23</v>
      </c>
      <c r="D9166" s="10" t="s">
        <v>27</v>
      </c>
      <c r="E9166" s="14">
        <v>1.0</v>
      </c>
      <c r="F9166" s="15">
        <f>ROUND(21,3)</f>
        <v>21</v>
      </c>
      <c r="G9166" s="12">
        <f t="shared" si="1365"/>
        <v>21</v>
      </c>
    </row>
    <row r="9167" ht="24.0" customHeight="1">
      <c r="A9167" s="10" t="s">
        <v>28</v>
      </c>
      <c r="B9167" s="10" t="s">
        <v>26</v>
      </c>
      <c r="C9167" s="10" t="s">
        <v>23</v>
      </c>
      <c r="D9167" s="10" t="s">
        <v>29</v>
      </c>
      <c r="E9167" s="14">
        <v>1.0</v>
      </c>
      <c r="F9167" s="15">
        <f t="shared" ref="F9167:F9168" si="1366">ROUND(19,3)</f>
        <v>19</v>
      </c>
      <c r="G9167" s="12">
        <f t="shared" si="1365"/>
        <v>19</v>
      </c>
    </row>
    <row r="9168" ht="24.0" customHeight="1">
      <c r="A9168" s="10" t="s">
        <v>30</v>
      </c>
      <c r="B9168" s="10" t="s">
        <v>26</v>
      </c>
      <c r="C9168" s="10" t="s">
        <v>23</v>
      </c>
      <c r="D9168" s="10" t="s">
        <v>31</v>
      </c>
      <c r="E9168" s="14">
        <v>0.2</v>
      </c>
      <c r="F9168" s="15">
        <f t="shared" si="1366"/>
        <v>19</v>
      </c>
      <c r="G9168" s="12">
        <f t="shared" si="1365"/>
        <v>3.8</v>
      </c>
    </row>
    <row r="9169" ht="15.0" customHeight="1">
      <c r="A9169" s="11"/>
      <c r="B9169" s="11"/>
      <c r="C9169" s="11"/>
      <c r="D9169" s="10" t="s">
        <v>22</v>
      </c>
      <c r="E9169" s="14">
        <v>0.15</v>
      </c>
      <c r="F9169" s="15">
        <f>ROUND((G9166+G9167+G9168),3)</f>
        <v>43.8</v>
      </c>
      <c r="G9169" s="12">
        <f t="shared" si="1365"/>
        <v>6.57</v>
      </c>
    </row>
    <row r="9170" ht="15.0" customHeight="1">
      <c r="A9170" s="10" t="s">
        <v>32</v>
      </c>
      <c r="B9170" s="10"/>
      <c r="C9170" s="10" t="s">
        <v>33</v>
      </c>
      <c r="D9170" s="10" t="s">
        <v>34</v>
      </c>
      <c r="E9170" s="14">
        <v>3.0</v>
      </c>
      <c r="F9170" s="15">
        <f>ROUND(6.57,3)</f>
        <v>6.57</v>
      </c>
      <c r="G9170" s="12">
        <f>ROUND((E9170*F9170)/100,2)</f>
        <v>0.2</v>
      </c>
    </row>
    <row r="9171" ht="15.0" customHeight="1">
      <c r="A9171" s="16"/>
      <c r="B9171" s="16"/>
      <c r="C9171" s="16"/>
      <c r="D9171" s="17" t="s">
        <v>4130</v>
      </c>
      <c r="E9171" s="16"/>
      <c r="F9171" s="18">
        <f>ROUND((G9162+G9163+G9164+G9165+G9170)*(1+G2/100),2)</f>
        <v>12.93</v>
      </c>
      <c r="G9171" s="16"/>
    </row>
    <row r="9172" ht="15.0" customHeight="1">
      <c r="A9172" s="19" t="s">
        <v>4133</v>
      </c>
      <c r="B9172" s="20" t="s">
        <v>18</v>
      </c>
      <c r="C9172" s="20" t="s">
        <v>295</v>
      </c>
      <c r="D9172" s="20" t="s">
        <v>4134</v>
      </c>
      <c r="E9172" s="21"/>
      <c r="F9172" s="22">
        <f>F9182</f>
        <v>57.26</v>
      </c>
      <c r="G9172" s="21"/>
    </row>
    <row r="9173" ht="21.0" customHeight="1">
      <c r="A9173" s="11"/>
      <c r="B9173" s="11"/>
      <c r="C9173" s="11"/>
      <c r="D9173" s="10" t="s">
        <v>4135</v>
      </c>
    </row>
    <row r="9174" ht="30.0" customHeight="1">
      <c r="A9174" s="10" t="s">
        <v>4136</v>
      </c>
      <c r="B9174" s="10" t="s">
        <v>42</v>
      </c>
      <c r="C9174" s="10" t="s">
        <v>344</v>
      </c>
      <c r="D9174" s="10" t="s">
        <v>4137</v>
      </c>
      <c r="E9174" s="14">
        <v>1.0</v>
      </c>
      <c r="F9174" s="15">
        <f>ROUND(20,3)</f>
        <v>20</v>
      </c>
      <c r="G9174" s="12">
        <f t="shared" ref="G9174:G9180" si="1367">ROUND(E9174*F9174,2)</f>
        <v>20</v>
      </c>
    </row>
    <row r="9175" ht="39.75" customHeight="1">
      <c r="A9175" s="10" t="s">
        <v>4138</v>
      </c>
      <c r="B9175" s="10" t="s">
        <v>42</v>
      </c>
      <c r="C9175" s="10" t="s">
        <v>344</v>
      </c>
      <c r="D9175" s="10" t="s">
        <v>4139</v>
      </c>
      <c r="E9175" s="14">
        <v>1.0</v>
      </c>
      <c r="F9175" s="15">
        <f>ROUND(8.84,3)</f>
        <v>8.84</v>
      </c>
      <c r="G9175" s="12">
        <f t="shared" si="1367"/>
        <v>8.84</v>
      </c>
    </row>
    <row r="9176" ht="21.0" customHeight="1">
      <c r="A9176" s="10" t="s">
        <v>22</v>
      </c>
      <c r="B9176" s="10" t="s">
        <v>18</v>
      </c>
      <c r="C9176" s="10" t="s">
        <v>23</v>
      </c>
      <c r="D9176" s="10" t="s">
        <v>24</v>
      </c>
      <c r="E9176" s="14">
        <v>0.63</v>
      </c>
      <c r="F9176" s="15">
        <f>F9180</f>
        <v>43.8</v>
      </c>
      <c r="G9176" s="12">
        <f t="shared" si="1367"/>
        <v>27.59</v>
      </c>
    </row>
    <row r="9177" ht="24.0" customHeight="1">
      <c r="A9177" s="10" t="s">
        <v>25</v>
      </c>
      <c r="B9177" s="10" t="s">
        <v>26</v>
      </c>
      <c r="C9177" s="10" t="s">
        <v>23</v>
      </c>
      <c r="D9177" s="10" t="s">
        <v>27</v>
      </c>
      <c r="E9177" s="14">
        <v>1.0</v>
      </c>
      <c r="F9177" s="15">
        <f>ROUND(21,3)</f>
        <v>21</v>
      </c>
      <c r="G9177" s="12">
        <f t="shared" si="1367"/>
        <v>21</v>
      </c>
    </row>
    <row r="9178" ht="24.0" customHeight="1">
      <c r="A9178" s="10" t="s">
        <v>28</v>
      </c>
      <c r="B9178" s="10" t="s">
        <v>26</v>
      </c>
      <c r="C9178" s="10" t="s">
        <v>23</v>
      </c>
      <c r="D9178" s="10" t="s">
        <v>29</v>
      </c>
      <c r="E9178" s="14">
        <v>1.0</v>
      </c>
      <c r="F9178" s="15">
        <f t="shared" ref="F9178:F9179" si="1368">ROUND(19,3)</f>
        <v>19</v>
      </c>
      <c r="G9178" s="12">
        <f t="shared" si="1367"/>
        <v>19</v>
      </c>
    </row>
    <row r="9179" ht="24.0" customHeight="1">
      <c r="A9179" s="10" t="s">
        <v>30</v>
      </c>
      <c r="B9179" s="10" t="s">
        <v>26</v>
      </c>
      <c r="C9179" s="10" t="s">
        <v>23</v>
      </c>
      <c r="D9179" s="10" t="s">
        <v>31</v>
      </c>
      <c r="E9179" s="14">
        <v>0.2</v>
      </c>
      <c r="F9179" s="15">
        <f t="shared" si="1368"/>
        <v>19</v>
      </c>
      <c r="G9179" s="12">
        <f t="shared" si="1367"/>
        <v>3.8</v>
      </c>
    </row>
    <row r="9180" ht="15.0" customHeight="1">
      <c r="A9180" s="11"/>
      <c r="B9180" s="11"/>
      <c r="C9180" s="11"/>
      <c r="D9180" s="10" t="s">
        <v>22</v>
      </c>
      <c r="E9180" s="14">
        <v>0.63</v>
      </c>
      <c r="F9180" s="15">
        <f>ROUND((G9177+G9178+G9179),3)</f>
        <v>43.8</v>
      </c>
      <c r="G9180" s="12">
        <f t="shared" si="1367"/>
        <v>27.59</v>
      </c>
    </row>
    <row r="9181" ht="15.0" customHeight="1">
      <c r="A9181" s="10" t="s">
        <v>32</v>
      </c>
      <c r="B9181" s="10"/>
      <c r="C9181" s="10" t="s">
        <v>33</v>
      </c>
      <c r="D9181" s="10" t="s">
        <v>34</v>
      </c>
      <c r="E9181" s="14">
        <v>3.0</v>
      </c>
      <c r="F9181" s="15">
        <f>ROUND(27.59,3)</f>
        <v>27.59</v>
      </c>
      <c r="G9181" s="12">
        <f>ROUND((E9181*F9181)/100,2)</f>
        <v>0.83</v>
      </c>
    </row>
    <row r="9182" ht="15.0" customHeight="1">
      <c r="A9182" s="16"/>
      <c r="B9182" s="16"/>
      <c r="C9182" s="16"/>
      <c r="D9182" s="17" t="s">
        <v>4133</v>
      </c>
      <c r="E9182" s="16"/>
      <c r="F9182" s="18">
        <f>ROUND((G9174+G9175+G9176+G9181)*(1+G2/100),2)</f>
        <v>57.26</v>
      </c>
      <c r="G9182" s="16"/>
    </row>
    <row r="9183" ht="30.0" customHeight="1">
      <c r="A9183" s="19" t="s">
        <v>4140</v>
      </c>
      <c r="B9183" s="20" t="s">
        <v>18</v>
      </c>
      <c r="C9183" s="20" t="s">
        <v>251</v>
      </c>
      <c r="D9183" s="20" t="s">
        <v>4141</v>
      </c>
      <c r="E9183" s="21"/>
      <c r="F9183" s="22">
        <f>F9193</f>
        <v>25.11</v>
      </c>
      <c r="G9183" s="21"/>
    </row>
    <row r="9184" ht="30.0" customHeight="1">
      <c r="A9184" s="11"/>
      <c r="B9184" s="11"/>
      <c r="C9184" s="11"/>
      <c r="D9184" s="10" t="s">
        <v>4142</v>
      </c>
    </row>
    <row r="9185" ht="30.0" customHeight="1">
      <c r="A9185" s="10" t="s">
        <v>2053</v>
      </c>
      <c r="B9185" s="10" t="s">
        <v>42</v>
      </c>
      <c r="C9185" s="10" t="s">
        <v>184</v>
      </c>
      <c r="D9185" s="10" t="s">
        <v>2054</v>
      </c>
      <c r="E9185" s="14">
        <v>0.2</v>
      </c>
      <c r="F9185" s="15">
        <f>ROUND(11.74,3)</f>
        <v>11.74</v>
      </c>
      <c r="G9185" s="12">
        <f t="shared" ref="G9185:G9191" si="1369">ROUND(E9185*F9185,2)</f>
        <v>2.35</v>
      </c>
    </row>
    <row r="9186" ht="30.0" customHeight="1">
      <c r="A9186" s="10" t="s">
        <v>4143</v>
      </c>
      <c r="B9186" s="10" t="s">
        <v>42</v>
      </c>
      <c r="C9186" s="10" t="s">
        <v>43</v>
      </c>
      <c r="D9186" s="10" t="s">
        <v>4144</v>
      </c>
      <c r="E9186" s="14">
        <v>0.0063</v>
      </c>
      <c r="F9186" s="15">
        <f>ROUND(31.65,3)</f>
        <v>31.65</v>
      </c>
      <c r="G9186" s="12">
        <f t="shared" si="1369"/>
        <v>0.2</v>
      </c>
    </row>
    <row r="9187" ht="21.0" customHeight="1">
      <c r="A9187" s="10" t="s">
        <v>22</v>
      </c>
      <c r="B9187" s="10" t="s">
        <v>18</v>
      </c>
      <c r="C9187" s="10" t="s">
        <v>23</v>
      </c>
      <c r="D9187" s="10" t="s">
        <v>24</v>
      </c>
      <c r="E9187" s="14">
        <v>0.5</v>
      </c>
      <c r="F9187" s="15">
        <f>F9191</f>
        <v>43.8</v>
      </c>
      <c r="G9187" s="12">
        <f t="shared" si="1369"/>
        <v>21.9</v>
      </c>
    </row>
    <row r="9188" ht="24.0" customHeight="1">
      <c r="A9188" s="10" t="s">
        <v>25</v>
      </c>
      <c r="B9188" s="10" t="s">
        <v>26</v>
      </c>
      <c r="C9188" s="10" t="s">
        <v>23</v>
      </c>
      <c r="D9188" s="10" t="s">
        <v>27</v>
      </c>
      <c r="E9188" s="14">
        <v>1.0</v>
      </c>
      <c r="F9188" s="15">
        <f>ROUND(21,3)</f>
        <v>21</v>
      </c>
      <c r="G9188" s="12">
        <f t="shared" si="1369"/>
        <v>21</v>
      </c>
    </row>
    <row r="9189" ht="24.0" customHeight="1">
      <c r="A9189" s="10" t="s">
        <v>28</v>
      </c>
      <c r="B9189" s="10" t="s">
        <v>26</v>
      </c>
      <c r="C9189" s="10" t="s">
        <v>23</v>
      </c>
      <c r="D9189" s="10" t="s">
        <v>29</v>
      </c>
      <c r="E9189" s="14">
        <v>1.0</v>
      </c>
      <c r="F9189" s="15">
        <f t="shared" ref="F9189:F9190" si="1370">ROUND(19,3)</f>
        <v>19</v>
      </c>
      <c r="G9189" s="12">
        <f t="shared" si="1369"/>
        <v>19</v>
      </c>
    </row>
    <row r="9190" ht="24.0" customHeight="1">
      <c r="A9190" s="10" t="s">
        <v>30</v>
      </c>
      <c r="B9190" s="10" t="s">
        <v>26</v>
      </c>
      <c r="C9190" s="10" t="s">
        <v>23</v>
      </c>
      <c r="D9190" s="10" t="s">
        <v>31</v>
      </c>
      <c r="E9190" s="14">
        <v>0.2</v>
      </c>
      <c r="F9190" s="15">
        <f t="shared" si="1370"/>
        <v>19</v>
      </c>
      <c r="G9190" s="12">
        <f t="shared" si="1369"/>
        <v>3.8</v>
      </c>
    </row>
    <row r="9191" ht="15.0" customHeight="1">
      <c r="A9191" s="11"/>
      <c r="B9191" s="11"/>
      <c r="C9191" s="11"/>
      <c r="D9191" s="10" t="s">
        <v>22</v>
      </c>
      <c r="E9191" s="14">
        <v>0.5</v>
      </c>
      <c r="F9191" s="15">
        <f>ROUND((G9188+G9189+G9190),3)</f>
        <v>43.8</v>
      </c>
      <c r="G9191" s="12">
        <f t="shared" si="1369"/>
        <v>21.9</v>
      </c>
    </row>
    <row r="9192" ht="15.0" customHeight="1">
      <c r="A9192" s="10" t="s">
        <v>32</v>
      </c>
      <c r="B9192" s="10"/>
      <c r="C9192" s="10" t="s">
        <v>33</v>
      </c>
      <c r="D9192" s="10" t="s">
        <v>34</v>
      </c>
      <c r="E9192" s="14">
        <v>3.0</v>
      </c>
      <c r="F9192" s="15">
        <f>ROUND(21.9,3)</f>
        <v>21.9</v>
      </c>
      <c r="G9192" s="12">
        <f>ROUND((E9192*F9192)/100,2)</f>
        <v>0.66</v>
      </c>
    </row>
    <row r="9193" ht="15.0" customHeight="1">
      <c r="A9193" s="16"/>
      <c r="B9193" s="16"/>
      <c r="C9193" s="16"/>
      <c r="D9193" s="17" t="s">
        <v>4140</v>
      </c>
      <c r="E9193" s="16"/>
      <c r="F9193" s="18">
        <f>ROUND((G9185+G9186+G9187+G9192)*(1+G2/100),2)</f>
        <v>25.11</v>
      </c>
      <c r="G9193" s="16"/>
    </row>
    <row r="9194" ht="21.0" customHeight="1">
      <c r="A9194" s="19" t="s">
        <v>4145</v>
      </c>
      <c r="B9194" s="20" t="s">
        <v>18</v>
      </c>
      <c r="C9194" s="20" t="s">
        <v>321</v>
      </c>
      <c r="D9194" s="20" t="s">
        <v>4146</v>
      </c>
      <c r="E9194" s="21"/>
      <c r="F9194" s="22">
        <f>F9204</f>
        <v>12.12</v>
      </c>
      <c r="G9194" s="21"/>
    </row>
    <row r="9195" ht="39.75" customHeight="1">
      <c r="A9195" s="11"/>
      <c r="B9195" s="11"/>
      <c r="C9195" s="11"/>
      <c r="D9195" s="10" t="s">
        <v>4147</v>
      </c>
    </row>
    <row r="9196" ht="30.0" customHeight="1">
      <c r="A9196" s="10" t="s">
        <v>4148</v>
      </c>
      <c r="B9196" s="10" t="s">
        <v>42</v>
      </c>
      <c r="C9196" s="10" t="s">
        <v>19</v>
      </c>
      <c r="D9196" s="10" t="s">
        <v>4149</v>
      </c>
      <c r="E9196" s="14">
        <v>0.1</v>
      </c>
      <c r="F9196" s="15">
        <f>ROUND(14,3)</f>
        <v>14</v>
      </c>
      <c r="G9196" s="12">
        <f t="shared" ref="G9196:G9202" si="1371">ROUND(E9196*F9196,2)</f>
        <v>1.4</v>
      </c>
    </row>
    <row r="9197" ht="21.0" customHeight="1">
      <c r="A9197" s="10" t="s">
        <v>2585</v>
      </c>
      <c r="B9197" s="10" t="s">
        <v>42</v>
      </c>
      <c r="C9197" s="10" t="s">
        <v>304</v>
      </c>
      <c r="D9197" s="10" t="s">
        <v>2586</v>
      </c>
      <c r="E9197" s="14">
        <v>0.2</v>
      </c>
      <c r="F9197" s="15">
        <f>ROUND(8.5,3)</f>
        <v>8.5</v>
      </c>
      <c r="G9197" s="12">
        <f t="shared" si="1371"/>
        <v>1.7</v>
      </c>
    </row>
    <row r="9198" ht="21.0" customHeight="1">
      <c r="A9198" s="10" t="s">
        <v>22</v>
      </c>
      <c r="B9198" s="10" t="s">
        <v>18</v>
      </c>
      <c r="C9198" s="10" t="s">
        <v>23</v>
      </c>
      <c r="D9198" s="10" t="s">
        <v>24</v>
      </c>
      <c r="E9198" s="14">
        <v>0.2</v>
      </c>
      <c r="F9198" s="15">
        <f>F9202</f>
        <v>43.8</v>
      </c>
      <c r="G9198" s="12">
        <f t="shared" si="1371"/>
        <v>8.76</v>
      </c>
    </row>
    <row r="9199" ht="24.0" customHeight="1">
      <c r="A9199" s="10" t="s">
        <v>25</v>
      </c>
      <c r="B9199" s="10" t="s">
        <v>26</v>
      </c>
      <c r="C9199" s="10" t="s">
        <v>23</v>
      </c>
      <c r="D9199" s="10" t="s">
        <v>27</v>
      </c>
      <c r="E9199" s="14">
        <v>1.0</v>
      </c>
      <c r="F9199" s="15">
        <f>ROUND(21,3)</f>
        <v>21</v>
      </c>
      <c r="G9199" s="12">
        <f t="shared" si="1371"/>
        <v>21</v>
      </c>
    </row>
    <row r="9200" ht="24.0" customHeight="1">
      <c r="A9200" s="10" t="s">
        <v>28</v>
      </c>
      <c r="B9200" s="10" t="s">
        <v>26</v>
      </c>
      <c r="C9200" s="10" t="s">
        <v>23</v>
      </c>
      <c r="D9200" s="10" t="s">
        <v>29</v>
      </c>
      <c r="E9200" s="14">
        <v>1.0</v>
      </c>
      <c r="F9200" s="15">
        <f t="shared" ref="F9200:F9201" si="1372">ROUND(19,3)</f>
        <v>19</v>
      </c>
      <c r="G9200" s="12">
        <f t="shared" si="1371"/>
        <v>19</v>
      </c>
    </row>
    <row r="9201" ht="24.0" customHeight="1">
      <c r="A9201" s="10" t="s">
        <v>30</v>
      </c>
      <c r="B9201" s="10" t="s">
        <v>26</v>
      </c>
      <c r="C9201" s="10" t="s">
        <v>23</v>
      </c>
      <c r="D9201" s="10" t="s">
        <v>31</v>
      </c>
      <c r="E9201" s="14">
        <v>0.2</v>
      </c>
      <c r="F9201" s="15">
        <f t="shared" si="1372"/>
        <v>19</v>
      </c>
      <c r="G9201" s="12">
        <f t="shared" si="1371"/>
        <v>3.8</v>
      </c>
    </row>
    <row r="9202" ht="15.0" customHeight="1">
      <c r="A9202" s="11"/>
      <c r="B9202" s="11"/>
      <c r="C9202" s="11"/>
      <c r="D9202" s="10" t="s">
        <v>22</v>
      </c>
      <c r="E9202" s="14">
        <v>0.2</v>
      </c>
      <c r="F9202" s="15">
        <f>ROUND((G9199+G9200+G9201),3)</f>
        <v>43.8</v>
      </c>
      <c r="G9202" s="12">
        <f t="shared" si="1371"/>
        <v>8.76</v>
      </c>
    </row>
    <row r="9203" ht="15.0" customHeight="1">
      <c r="A9203" s="10" t="s">
        <v>32</v>
      </c>
      <c r="B9203" s="10"/>
      <c r="C9203" s="10" t="s">
        <v>33</v>
      </c>
      <c r="D9203" s="10" t="s">
        <v>34</v>
      </c>
      <c r="E9203" s="14">
        <v>3.0</v>
      </c>
      <c r="F9203" s="15">
        <f>ROUND(8.76,3)</f>
        <v>8.76</v>
      </c>
      <c r="G9203" s="12">
        <f>ROUND((E9203*F9203)/100,2)</f>
        <v>0.26</v>
      </c>
    </row>
    <row r="9204" ht="15.0" customHeight="1">
      <c r="A9204" s="16"/>
      <c r="B9204" s="16"/>
      <c r="C9204" s="16"/>
      <c r="D9204" s="17" t="s">
        <v>4145</v>
      </c>
      <c r="E9204" s="16"/>
      <c r="F9204" s="18">
        <f>ROUND((G9196+G9197+G9198+G9203)*(1+G2/100),2)</f>
        <v>12.12</v>
      </c>
      <c r="G9204" s="16"/>
    </row>
    <row r="9205" ht="21.0" customHeight="1">
      <c r="A9205" s="19" t="s">
        <v>4150</v>
      </c>
      <c r="B9205" s="20" t="s">
        <v>18</v>
      </c>
      <c r="C9205" s="20" t="s">
        <v>321</v>
      </c>
      <c r="D9205" s="20" t="s">
        <v>4151</v>
      </c>
      <c r="E9205" s="21"/>
      <c r="F9205" s="22">
        <f>F9215</f>
        <v>11.84</v>
      </c>
      <c r="G9205" s="21"/>
    </row>
    <row r="9206" ht="39.75" customHeight="1">
      <c r="A9206" s="11"/>
      <c r="B9206" s="11"/>
      <c r="C9206" s="11"/>
      <c r="D9206" s="10" t="s">
        <v>4152</v>
      </c>
    </row>
    <row r="9207" ht="30.0" customHeight="1">
      <c r="A9207" s="10" t="s">
        <v>4153</v>
      </c>
      <c r="B9207" s="10" t="s">
        <v>42</v>
      </c>
      <c r="C9207" s="10" t="s">
        <v>344</v>
      </c>
      <c r="D9207" s="10" t="s">
        <v>4154</v>
      </c>
      <c r="E9207" s="14">
        <v>1.06</v>
      </c>
      <c r="F9207" s="15">
        <f>ROUND(1.06,3)</f>
        <v>1.06</v>
      </c>
      <c r="G9207" s="12">
        <f t="shared" ref="G9207:G9213" si="1373">ROUND(E9207*F9207,2)</f>
        <v>1.12</v>
      </c>
    </row>
    <row r="9208" ht="21.0" customHeight="1">
      <c r="A9208" s="10" t="s">
        <v>2585</v>
      </c>
      <c r="B9208" s="10" t="s">
        <v>42</v>
      </c>
      <c r="C9208" s="10" t="s">
        <v>304</v>
      </c>
      <c r="D9208" s="10" t="s">
        <v>2586</v>
      </c>
      <c r="E9208" s="14">
        <v>0.2</v>
      </c>
      <c r="F9208" s="15">
        <f>ROUND(8.5,3)</f>
        <v>8.5</v>
      </c>
      <c r="G9208" s="12">
        <f t="shared" si="1373"/>
        <v>1.7</v>
      </c>
    </row>
    <row r="9209" ht="21.0" customHeight="1">
      <c r="A9209" s="10" t="s">
        <v>22</v>
      </c>
      <c r="B9209" s="10" t="s">
        <v>18</v>
      </c>
      <c r="C9209" s="10" t="s">
        <v>23</v>
      </c>
      <c r="D9209" s="10" t="s">
        <v>24</v>
      </c>
      <c r="E9209" s="14">
        <v>0.2</v>
      </c>
      <c r="F9209" s="15">
        <f>F9213</f>
        <v>43.8</v>
      </c>
      <c r="G9209" s="12">
        <f t="shared" si="1373"/>
        <v>8.76</v>
      </c>
    </row>
    <row r="9210" ht="24.0" customHeight="1">
      <c r="A9210" s="10" t="s">
        <v>25</v>
      </c>
      <c r="B9210" s="10" t="s">
        <v>26</v>
      </c>
      <c r="C9210" s="10" t="s">
        <v>23</v>
      </c>
      <c r="D9210" s="10" t="s">
        <v>27</v>
      </c>
      <c r="E9210" s="14">
        <v>1.0</v>
      </c>
      <c r="F9210" s="15">
        <f>ROUND(21,3)</f>
        <v>21</v>
      </c>
      <c r="G9210" s="12">
        <f t="shared" si="1373"/>
        <v>21</v>
      </c>
    </row>
    <row r="9211" ht="24.0" customHeight="1">
      <c r="A9211" s="10" t="s">
        <v>28</v>
      </c>
      <c r="B9211" s="10" t="s">
        <v>26</v>
      </c>
      <c r="C9211" s="10" t="s">
        <v>23</v>
      </c>
      <c r="D9211" s="10" t="s">
        <v>29</v>
      </c>
      <c r="E9211" s="14">
        <v>1.0</v>
      </c>
      <c r="F9211" s="15">
        <f t="shared" ref="F9211:F9212" si="1374">ROUND(19,3)</f>
        <v>19</v>
      </c>
      <c r="G9211" s="12">
        <f t="shared" si="1373"/>
        <v>19</v>
      </c>
    </row>
    <row r="9212" ht="24.0" customHeight="1">
      <c r="A9212" s="10" t="s">
        <v>30</v>
      </c>
      <c r="B9212" s="10" t="s">
        <v>26</v>
      </c>
      <c r="C9212" s="10" t="s">
        <v>23</v>
      </c>
      <c r="D9212" s="10" t="s">
        <v>31</v>
      </c>
      <c r="E9212" s="14">
        <v>0.2</v>
      </c>
      <c r="F9212" s="15">
        <f t="shared" si="1374"/>
        <v>19</v>
      </c>
      <c r="G9212" s="12">
        <f t="shared" si="1373"/>
        <v>3.8</v>
      </c>
    </row>
    <row r="9213" ht="15.0" customHeight="1">
      <c r="A9213" s="11"/>
      <c r="B9213" s="11"/>
      <c r="C9213" s="11"/>
      <c r="D9213" s="10" t="s">
        <v>22</v>
      </c>
      <c r="E9213" s="14">
        <v>0.2</v>
      </c>
      <c r="F9213" s="15">
        <f>ROUND((G9210+G9211+G9212),3)</f>
        <v>43.8</v>
      </c>
      <c r="G9213" s="12">
        <f t="shared" si="1373"/>
        <v>8.76</v>
      </c>
    </row>
    <row r="9214" ht="15.0" customHeight="1">
      <c r="A9214" s="10" t="s">
        <v>32</v>
      </c>
      <c r="B9214" s="10"/>
      <c r="C9214" s="10" t="s">
        <v>33</v>
      </c>
      <c r="D9214" s="10" t="s">
        <v>34</v>
      </c>
      <c r="E9214" s="14">
        <v>3.0</v>
      </c>
      <c r="F9214" s="15">
        <f>ROUND(8.76,3)</f>
        <v>8.76</v>
      </c>
      <c r="G9214" s="12">
        <f>ROUND((E9214*F9214)/100,2)</f>
        <v>0.26</v>
      </c>
    </row>
    <row r="9215" ht="15.0" customHeight="1">
      <c r="A9215" s="16"/>
      <c r="B9215" s="16"/>
      <c r="C9215" s="16"/>
      <c r="D9215" s="17" t="s">
        <v>4150</v>
      </c>
      <c r="E9215" s="16"/>
      <c r="F9215" s="18">
        <f>ROUND((G9207+G9208+G9209+G9214)*(1+G2/100),2)</f>
        <v>11.84</v>
      </c>
      <c r="G9215" s="16"/>
    </row>
    <row r="9216" ht="39.75" customHeight="1">
      <c r="A9216" s="19" t="s">
        <v>4155</v>
      </c>
      <c r="B9216" s="20" t="s">
        <v>18</v>
      </c>
      <c r="C9216" s="20" t="s">
        <v>321</v>
      </c>
      <c r="D9216" s="20" t="s">
        <v>4156</v>
      </c>
      <c r="E9216" s="21"/>
      <c r="F9216" s="22">
        <f>F9226</f>
        <v>23.21</v>
      </c>
      <c r="G9216" s="21"/>
    </row>
    <row r="9217" ht="39.75" customHeight="1">
      <c r="A9217" s="11"/>
      <c r="B9217" s="11"/>
      <c r="C9217" s="11"/>
      <c r="D9217" s="10" t="s">
        <v>4157</v>
      </c>
    </row>
    <row r="9218" ht="21.0" customHeight="1">
      <c r="A9218" s="10" t="s">
        <v>2585</v>
      </c>
      <c r="B9218" s="10" t="s">
        <v>42</v>
      </c>
      <c r="C9218" s="10" t="s">
        <v>304</v>
      </c>
      <c r="D9218" s="10" t="s">
        <v>2586</v>
      </c>
      <c r="E9218" s="14">
        <v>0.2</v>
      </c>
      <c r="F9218" s="15">
        <f>ROUND(8.5,3)</f>
        <v>8.5</v>
      </c>
      <c r="G9218" s="12">
        <f t="shared" ref="G9218:G9224" si="1375">ROUND(E9218*F9218,2)</f>
        <v>1.7</v>
      </c>
    </row>
    <row r="9219" ht="30.0" customHeight="1">
      <c r="A9219" s="10" t="s">
        <v>4153</v>
      </c>
      <c r="B9219" s="10" t="s">
        <v>42</v>
      </c>
      <c r="C9219" s="10" t="s">
        <v>344</v>
      </c>
      <c r="D9219" s="10" t="s">
        <v>4154</v>
      </c>
      <c r="E9219" s="14">
        <v>1.06</v>
      </c>
      <c r="F9219" s="15">
        <f>ROUND(1.06,3)</f>
        <v>1.06</v>
      </c>
      <c r="G9219" s="12">
        <f t="shared" si="1375"/>
        <v>1.12</v>
      </c>
    </row>
    <row r="9220" ht="24.0" customHeight="1">
      <c r="A9220" s="10" t="s">
        <v>286</v>
      </c>
      <c r="B9220" s="10" t="s">
        <v>18</v>
      </c>
      <c r="C9220" s="10" t="s">
        <v>23</v>
      </c>
      <c r="D9220" s="10" t="s">
        <v>287</v>
      </c>
      <c r="E9220" s="14">
        <v>0.4</v>
      </c>
      <c r="F9220" s="15">
        <f>F9224</f>
        <v>49.5</v>
      </c>
      <c r="G9220" s="12">
        <f t="shared" si="1375"/>
        <v>19.8</v>
      </c>
    </row>
    <row r="9221" ht="24.0" customHeight="1">
      <c r="A9221" s="10" t="s">
        <v>288</v>
      </c>
      <c r="B9221" s="10" t="s">
        <v>26</v>
      </c>
      <c r="C9221" s="10" t="s">
        <v>23</v>
      </c>
      <c r="D9221" s="10" t="s">
        <v>289</v>
      </c>
      <c r="E9221" s="14">
        <v>1.0</v>
      </c>
      <c r="F9221" s="15">
        <f>ROUND(21,3)</f>
        <v>21</v>
      </c>
      <c r="G9221" s="12">
        <f t="shared" si="1375"/>
        <v>21</v>
      </c>
    </row>
    <row r="9222" ht="24.0" customHeight="1">
      <c r="A9222" s="10" t="s">
        <v>290</v>
      </c>
      <c r="B9222" s="10" t="s">
        <v>26</v>
      </c>
      <c r="C9222" s="10" t="s">
        <v>23</v>
      </c>
      <c r="D9222" s="10" t="s">
        <v>291</v>
      </c>
      <c r="E9222" s="14">
        <v>1.0</v>
      </c>
      <c r="F9222" s="15">
        <f t="shared" ref="F9222:F9223" si="1376">ROUND(19,3)</f>
        <v>19</v>
      </c>
      <c r="G9222" s="12">
        <f t="shared" si="1375"/>
        <v>19</v>
      </c>
    </row>
    <row r="9223" ht="24.0" customHeight="1">
      <c r="A9223" s="10" t="s">
        <v>292</v>
      </c>
      <c r="B9223" s="10" t="s">
        <v>26</v>
      </c>
      <c r="C9223" s="10" t="s">
        <v>23</v>
      </c>
      <c r="D9223" s="10" t="s">
        <v>293</v>
      </c>
      <c r="E9223" s="14">
        <v>0.5</v>
      </c>
      <c r="F9223" s="15">
        <f t="shared" si="1376"/>
        <v>19</v>
      </c>
      <c r="G9223" s="12">
        <f t="shared" si="1375"/>
        <v>9.5</v>
      </c>
    </row>
    <row r="9224" ht="15.0" customHeight="1">
      <c r="A9224" s="11"/>
      <c r="B9224" s="11"/>
      <c r="C9224" s="11"/>
      <c r="D9224" s="10" t="s">
        <v>286</v>
      </c>
      <c r="E9224" s="14">
        <v>0.4</v>
      </c>
      <c r="F9224" s="15">
        <f>ROUND((G9221+G9222+G9223),3)</f>
        <v>49.5</v>
      </c>
      <c r="G9224" s="12">
        <f t="shared" si="1375"/>
        <v>19.8</v>
      </c>
    </row>
    <row r="9225" ht="15.0" customHeight="1">
      <c r="A9225" s="10" t="s">
        <v>32</v>
      </c>
      <c r="B9225" s="10"/>
      <c r="C9225" s="10" t="s">
        <v>33</v>
      </c>
      <c r="D9225" s="10" t="s">
        <v>34</v>
      </c>
      <c r="E9225" s="14">
        <v>3.0</v>
      </c>
      <c r="F9225" s="15">
        <f>ROUND(19.8,3)</f>
        <v>19.8</v>
      </c>
      <c r="G9225" s="12">
        <f>ROUND((E9225*F9225)/100,2)</f>
        <v>0.59</v>
      </c>
    </row>
    <row r="9226" ht="15.0" customHeight="1">
      <c r="A9226" s="16"/>
      <c r="B9226" s="16"/>
      <c r="C9226" s="16"/>
      <c r="D9226" s="17" t="s">
        <v>4155</v>
      </c>
      <c r="E9226" s="16"/>
      <c r="F9226" s="18">
        <f>ROUND((G9218+G9219+G9220+G9225)*(1+G2/100),2)</f>
        <v>23.21</v>
      </c>
      <c r="G9226" s="16"/>
    </row>
    <row r="9227" ht="21.0" customHeight="1">
      <c r="A9227" s="19" t="s">
        <v>4158</v>
      </c>
      <c r="B9227" s="20" t="s">
        <v>18</v>
      </c>
      <c r="C9227" s="20" t="s">
        <v>251</v>
      </c>
      <c r="D9227" s="20" t="s">
        <v>4159</v>
      </c>
      <c r="E9227" s="21"/>
      <c r="F9227" s="22">
        <f>F9236</f>
        <v>16.69</v>
      </c>
      <c r="G9227" s="21"/>
    </row>
    <row r="9228" ht="39.75" customHeight="1">
      <c r="A9228" s="11"/>
      <c r="B9228" s="11"/>
      <c r="C9228" s="11"/>
      <c r="D9228" s="10" t="s">
        <v>4160</v>
      </c>
    </row>
    <row r="9229" ht="24.0" customHeight="1">
      <c r="A9229" s="10" t="s">
        <v>4161</v>
      </c>
      <c r="B9229" s="10" t="s">
        <v>42</v>
      </c>
      <c r="C9229" s="10" t="s">
        <v>255</v>
      </c>
      <c r="D9229" s="10" t="s">
        <v>4162</v>
      </c>
      <c r="E9229" s="14">
        <v>0.06</v>
      </c>
      <c r="F9229" s="15">
        <f>ROUND(15,3)</f>
        <v>15</v>
      </c>
      <c r="G9229" s="12">
        <f t="shared" ref="G9229:G9234" si="1377">ROUND(E9229*F9229,2)</f>
        <v>0.9</v>
      </c>
    </row>
    <row r="9230" ht="21.0" customHeight="1">
      <c r="A9230" s="10" t="s">
        <v>22</v>
      </c>
      <c r="B9230" s="10" t="s">
        <v>18</v>
      </c>
      <c r="C9230" s="10" t="s">
        <v>23</v>
      </c>
      <c r="D9230" s="10" t="s">
        <v>24</v>
      </c>
      <c r="E9230" s="14">
        <v>0.35</v>
      </c>
      <c r="F9230" s="15">
        <f>F9234</f>
        <v>43.8</v>
      </c>
      <c r="G9230" s="12">
        <f t="shared" si="1377"/>
        <v>15.33</v>
      </c>
    </row>
    <row r="9231" ht="24.0" customHeight="1">
      <c r="A9231" s="10" t="s">
        <v>25</v>
      </c>
      <c r="B9231" s="10" t="s">
        <v>26</v>
      </c>
      <c r="C9231" s="10" t="s">
        <v>23</v>
      </c>
      <c r="D9231" s="10" t="s">
        <v>27</v>
      </c>
      <c r="E9231" s="14">
        <v>1.0</v>
      </c>
      <c r="F9231" s="15">
        <f>ROUND(21,3)</f>
        <v>21</v>
      </c>
      <c r="G9231" s="12">
        <f t="shared" si="1377"/>
        <v>21</v>
      </c>
    </row>
    <row r="9232" ht="24.0" customHeight="1">
      <c r="A9232" s="10" t="s">
        <v>28</v>
      </c>
      <c r="B9232" s="10" t="s">
        <v>26</v>
      </c>
      <c r="C9232" s="10" t="s">
        <v>23</v>
      </c>
      <c r="D9232" s="10" t="s">
        <v>29</v>
      </c>
      <c r="E9232" s="14">
        <v>1.0</v>
      </c>
      <c r="F9232" s="15">
        <f t="shared" ref="F9232:F9233" si="1378">ROUND(19,3)</f>
        <v>19</v>
      </c>
      <c r="G9232" s="12">
        <f t="shared" si="1377"/>
        <v>19</v>
      </c>
    </row>
    <row r="9233" ht="24.0" customHeight="1">
      <c r="A9233" s="10" t="s">
        <v>30</v>
      </c>
      <c r="B9233" s="10" t="s">
        <v>26</v>
      </c>
      <c r="C9233" s="10" t="s">
        <v>23</v>
      </c>
      <c r="D9233" s="10" t="s">
        <v>31</v>
      </c>
      <c r="E9233" s="14">
        <v>0.2</v>
      </c>
      <c r="F9233" s="15">
        <f t="shared" si="1378"/>
        <v>19</v>
      </c>
      <c r="G9233" s="12">
        <f t="shared" si="1377"/>
        <v>3.8</v>
      </c>
    </row>
    <row r="9234" ht="15.0" customHeight="1">
      <c r="A9234" s="11"/>
      <c r="B9234" s="11"/>
      <c r="C9234" s="11"/>
      <c r="D9234" s="10" t="s">
        <v>22</v>
      </c>
      <c r="E9234" s="14">
        <v>0.35</v>
      </c>
      <c r="F9234" s="15">
        <f>ROUND((G9231+G9232+G9233),3)</f>
        <v>43.8</v>
      </c>
      <c r="G9234" s="12">
        <f t="shared" si="1377"/>
        <v>15.33</v>
      </c>
    </row>
    <row r="9235" ht="15.0" customHeight="1">
      <c r="A9235" s="10" t="s">
        <v>32</v>
      </c>
      <c r="B9235" s="10"/>
      <c r="C9235" s="10" t="s">
        <v>33</v>
      </c>
      <c r="D9235" s="10" t="s">
        <v>34</v>
      </c>
      <c r="E9235" s="14">
        <v>3.0</v>
      </c>
      <c r="F9235" s="15">
        <f>ROUND(15.33,3)</f>
        <v>15.33</v>
      </c>
      <c r="G9235" s="12">
        <f>ROUND((E9235*F9235)/100,2)</f>
        <v>0.46</v>
      </c>
    </row>
    <row r="9236" ht="15.0" customHeight="1">
      <c r="A9236" s="16"/>
      <c r="B9236" s="16"/>
      <c r="C9236" s="16"/>
      <c r="D9236" s="17" t="s">
        <v>4158</v>
      </c>
      <c r="E9236" s="16"/>
      <c r="F9236" s="18">
        <f>ROUND((G9229+G9230+G9235)*(1+G2/100),2)</f>
        <v>16.69</v>
      </c>
      <c r="G9236" s="16"/>
    </row>
    <row r="9237" ht="21.0" customHeight="1">
      <c r="A9237" s="19" t="s">
        <v>4163</v>
      </c>
      <c r="B9237" s="20" t="s">
        <v>18</v>
      </c>
      <c r="C9237" s="20" t="s">
        <v>251</v>
      </c>
      <c r="D9237" s="20" t="s">
        <v>4164</v>
      </c>
      <c r="E9237" s="21"/>
      <c r="F9237" s="22">
        <f>F9247</f>
        <v>23.37</v>
      </c>
      <c r="G9237" s="21"/>
    </row>
    <row r="9238" ht="39.75" customHeight="1">
      <c r="A9238" s="11"/>
      <c r="B9238" s="11"/>
      <c r="C9238" s="11"/>
      <c r="D9238" s="10" t="s">
        <v>4165</v>
      </c>
    </row>
    <row r="9239" ht="30.0" customHeight="1">
      <c r="A9239" s="10" t="s">
        <v>4051</v>
      </c>
      <c r="B9239" s="10" t="s">
        <v>42</v>
      </c>
      <c r="C9239" s="10" t="s">
        <v>276</v>
      </c>
      <c r="D9239" s="10" t="s">
        <v>4052</v>
      </c>
      <c r="E9239" s="14">
        <v>0.2</v>
      </c>
      <c r="F9239" s="15">
        <f>ROUND(63.95,3)</f>
        <v>63.95</v>
      </c>
      <c r="G9239" s="12">
        <f t="shared" ref="G9239:G9245" si="1379">ROUND(E9239*F9239,2)</f>
        <v>12.79</v>
      </c>
    </row>
    <row r="9240" ht="39.75" customHeight="1">
      <c r="A9240" s="10" t="s">
        <v>1269</v>
      </c>
      <c r="B9240" s="10" t="s">
        <v>42</v>
      </c>
      <c r="C9240" s="10" t="s">
        <v>226</v>
      </c>
      <c r="D9240" s="10" t="s">
        <v>1270</v>
      </c>
      <c r="E9240" s="14">
        <v>0.022</v>
      </c>
      <c r="F9240" s="15">
        <f>ROUND(71.07,3)</f>
        <v>71.07</v>
      </c>
      <c r="G9240" s="12">
        <f t="shared" si="1379"/>
        <v>1.56</v>
      </c>
    </row>
    <row r="9241" ht="21.0" customHeight="1">
      <c r="A9241" s="10" t="s">
        <v>22</v>
      </c>
      <c r="B9241" s="10" t="s">
        <v>18</v>
      </c>
      <c r="C9241" s="10" t="s">
        <v>23</v>
      </c>
      <c r="D9241" s="10" t="s">
        <v>24</v>
      </c>
      <c r="E9241" s="14">
        <v>0.2</v>
      </c>
      <c r="F9241" s="15">
        <f>F9245</f>
        <v>43.8</v>
      </c>
      <c r="G9241" s="12">
        <f t="shared" si="1379"/>
        <v>8.76</v>
      </c>
    </row>
    <row r="9242" ht="24.0" customHeight="1">
      <c r="A9242" s="10" t="s">
        <v>25</v>
      </c>
      <c r="B9242" s="10" t="s">
        <v>26</v>
      </c>
      <c r="C9242" s="10" t="s">
        <v>23</v>
      </c>
      <c r="D9242" s="10" t="s">
        <v>27</v>
      </c>
      <c r="E9242" s="14">
        <v>1.0</v>
      </c>
      <c r="F9242" s="15">
        <f>ROUND(21,3)</f>
        <v>21</v>
      </c>
      <c r="G9242" s="12">
        <f t="shared" si="1379"/>
        <v>21</v>
      </c>
    </row>
    <row r="9243" ht="24.0" customHeight="1">
      <c r="A9243" s="10" t="s">
        <v>28</v>
      </c>
      <c r="B9243" s="10" t="s">
        <v>26</v>
      </c>
      <c r="C9243" s="10" t="s">
        <v>23</v>
      </c>
      <c r="D9243" s="10" t="s">
        <v>29</v>
      </c>
      <c r="E9243" s="14">
        <v>1.0</v>
      </c>
      <c r="F9243" s="15">
        <f t="shared" ref="F9243:F9244" si="1380">ROUND(19,3)</f>
        <v>19</v>
      </c>
      <c r="G9243" s="12">
        <f t="shared" si="1379"/>
        <v>19</v>
      </c>
    </row>
    <row r="9244" ht="24.0" customHeight="1">
      <c r="A9244" s="10" t="s">
        <v>30</v>
      </c>
      <c r="B9244" s="10" t="s">
        <v>26</v>
      </c>
      <c r="C9244" s="10" t="s">
        <v>23</v>
      </c>
      <c r="D9244" s="10" t="s">
        <v>31</v>
      </c>
      <c r="E9244" s="14">
        <v>0.2</v>
      </c>
      <c r="F9244" s="15">
        <f t="shared" si="1380"/>
        <v>19</v>
      </c>
      <c r="G9244" s="12">
        <f t="shared" si="1379"/>
        <v>3.8</v>
      </c>
    </row>
    <row r="9245" ht="15.0" customHeight="1">
      <c r="A9245" s="11"/>
      <c r="B9245" s="11"/>
      <c r="C9245" s="11"/>
      <c r="D9245" s="10" t="s">
        <v>22</v>
      </c>
      <c r="E9245" s="14">
        <v>0.2</v>
      </c>
      <c r="F9245" s="15">
        <f>ROUND((G9242+G9243+G9244),3)</f>
        <v>43.8</v>
      </c>
      <c r="G9245" s="12">
        <f t="shared" si="1379"/>
        <v>8.76</v>
      </c>
    </row>
    <row r="9246" ht="15.0" customHeight="1">
      <c r="A9246" s="10" t="s">
        <v>32</v>
      </c>
      <c r="B9246" s="10"/>
      <c r="C9246" s="10" t="s">
        <v>33</v>
      </c>
      <c r="D9246" s="10" t="s">
        <v>34</v>
      </c>
      <c r="E9246" s="14">
        <v>3.0</v>
      </c>
      <c r="F9246" s="15">
        <f>ROUND(8.76,3)</f>
        <v>8.76</v>
      </c>
      <c r="G9246" s="12">
        <f>ROUND((E9246*F9246)/100,2)</f>
        <v>0.26</v>
      </c>
    </row>
    <row r="9247" ht="15.0" customHeight="1">
      <c r="A9247" s="16"/>
      <c r="B9247" s="16"/>
      <c r="C9247" s="16"/>
      <c r="D9247" s="17" t="s">
        <v>4163</v>
      </c>
      <c r="E9247" s="16"/>
      <c r="F9247" s="18">
        <f>ROUND((G9239+G9240+G9241+G9246)*(1+G2/100),2)</f>
        <v>23.37</v>
      </c>
      <c r="G9247" s="16"/>
    </row>
    <row r="9248" ht="30.0" customHeight="1">
      <c r="A9248" s="19" t="s">
        <v>4166</v>
      </c>
      <c r="B9248" s="20" t="s">
        <v>18</v>
      </c>
      <c r="C9248" s="20" t="s">
        <v>251</v>
      </c>
      <c r="D9248" s="20" t="s">
        <v>4167</v>
      </c>
      <c r="E9248" s="21"/>
      <c r="F9248" s="22">
        <f>F9258</f>
        <v>26.79</v>
      </c>
      <c r="G9248" s="21"/>
    </row>
    <row r="9249" ht="21.0" customHeight="1">
      <c r="A9249" s="11"/>
      <c r="B9249" s="11"/>
      <c r="C9249" s="11"/>
      <c r="D9249" s="10" t="s">
        <v>4168</v>
      </c>
    </row>
    <row r="9250" ht="39.75" customHeight="1">
      <c r="A9250" s="10" t="s">
        <v>4169</v>
      </c>
      <c r="B9250" s="10" t="s">
        <v>42</v>
      </c>
      <c r="C9250" s="10" t="s">
        <v>276</v>
      </c>
      <c r="D9250" s="10" t="s">
        <v>4170</v>
      </c>
      <c r="E9250" s="14">
        <v>0.0777</v>
      </c>
      <c r="F9250" s="15">
        <f>ROUND(123.14,3)</f>
        <v>123.14</v>
      </c>
      <c r="G9250" s="12">
        <f t="shared" ref="G9250:G9256" si="1381">ROUND(E9250*F9250,2)</f>
        <v>9.57</v>
      </c>
    </row>
    <row r="9251" ht="30.0" customHeight="1">
      <c r="A9251" s="10" t="s">
        <v>4171</v>
      </c>
      <c r="B9251" s="10" t="s">
        <v>42</v>
      </c>
      <c r="C9251" s="10" t="s">
        <v>226</v>
      </c>
      <c r="D9251" s="10" t="s">
        <v>4172</v>
      </c>
      <c r="E9251" s="14">
        <v>0.022</v>
      </c>
      <c r="F9251" s="15">
        <f>ROUND(167.87,3)</f>
        <v>167.87</v>
      </c>
      <c r="G9251" s="12">
        <f t="shared" si="1381"/>
        <v>3.69</v>
      </c>
    </row>
    <row r="9252" ht="21.0" customHeight="1">
      <c r="A9252" s="10" t="s">
        <v>22</v>
      </c>
      <c r="B9252" s="10" t="s">
        <v>18</v>
      </c>
      <c r="C9252" s="10" t="s">
        <v>23</v>
      </c>
      <c r="D9252" s="10" t="s">
        <v>24</v>
      </c>
      <c r="E9252" s="14">
        <v>0.3</v>
      </c>
      <c r="F9252" s="15">
        <f>F9256</f>
        <v>43.8</v>
      </c>
      <c r="G9252" s="12">
        <f t="shared" si="1381"/>
        <v>13.14</v>
      </c>
    </row>
    <row r="9253" ht="24.0" customHeight="1">
      <c r="A9253" s="10" t="s">
        <v>25</v>
      </c>
      <c r="B9253" s="10" t="s">
        <v>26</v>
      </c>
      <c r="C9253" s="10" t="s">
        <v>23</v>
      </c>
      <c r="D9253" s="10" t="s">
        <v>27</v>
      </c>
      <c r="E9253" s="14">
        <v>1.0</v>
      </c>
      <c r="F9253" s="15">
        <f>ROUND(21,3)</f>
        <v>21</v>
      </c>
      <c r="G9253" s="12">
        <f t="shared" si="1381"/>
        <v>21</v>
      </c>
    </row>
    <row r="9254" ht="24.0" customHeight="1">
      <c r="A9254" s="10" t="s">
        <v>28</v>
      </c>
      <c r="B9254" s="10" t="s">
        <v>26</v>
      </c>
      <c r="C9254" s="10" t="s">
        <v>23</v>
      </c>
      <c r="D9254" s="10" t="s">
        <v>29</v>
      </c>
      <c r="E9254" s="14">
        <v>1.0</v>
      </c>
      <c r="F9254" s="15">
        <f t="shared" ref="F9254:F9255" si="1382">ROUND(19,3)</f>
        <v>19</v>
      </c>
      <c r="G9254" s="12">
        <f t="shared" si="1381"/>
        <v>19</v>
      </c>
    </row>
    <row r="9255" ht="24.0" customHeight="1">
      <c r="A9255" s="10" t="s">
        <v>30</v>
      </c>
      <c r="B9255" s="10" t="s">
        <v>26</v>
      </c>
      <c r="C9255" s="10" t="s">
        <v>23</v>
      </c>
      <c r="D9255" s="10" t="s">
        <v>31</v>
      </c>
      <c r="E9255" s="14">
        <v>0.2</v>
      </c>
      <c r="F9255" s="15">
        <f t="shared" si="1382"/>
        <v>19</v>
      </c>
      <c r="G9255" s="12">
        <f t="shared" si="1381"/>
        <v>3.8</v>
      </c>
    </row>
    <row r="9256" ht="15.0" customHeight="1">
      <c r="A9256" s="11"/>
      <c r="B9256" s="11"/>
      <c r="C9256" s="11"/>
      <c r="D9256" s="10" t="s">
        <v>22</v>
      </c>
      <c r="E9256" s="14">
        <v>0.3</v>
      </c>
      <c r="F9256" s="15">
        <f>ROUND((G9253+G9254+G9255),3)</f>
        <v>43.8</v>
      </c>
      <c r="G9256" s="12">
        <f t="shared" si="1381"/>
        <v>13.14</v>
      </c>
    </row>
    <row r="9257" ht="15.0" customHeight="1">
      <c r="A9257" s="10" t="s">
        <v>32</v>
      </c>
      <c r="B9257" s="10"/>
      <c r="C9257" s="10" t="s">
        <v>33</v>
      </c>
      <c r="D9257" s="10" t="s">
        <v>34</v>
      </c>
      <c r="E9257" s="14">
        <v>3.0</v>
      </c>
      <c r="F9257" s="15">
        <f>ROUND(13.14,3)</f>
        <v>13.14</v>
      </c>
      <c r="G9257" s="12">
        <f>ROUND((E9257*F9257)/100,2)</f>
        <v>0.39</v>
      </c>
    </row>
    <row r="9258" ht="15.0" customHeight="1">
      <c r="A9258" s="16"/>
      <c r="B9258" s="16"/>
      <c r="C9258" s="16"/>
      <c r="D9258" s="17" t="s">
        <v>4166</v>
      </c>
      <c r="E9258" s="16"/>
      <c r="F9258" s="18">
        <f>ROUND((G9250+G9251+G9252+G9257)*(1+G2/100),2)</f>
        <v>26.79</v>
      </c>
      <c r="G9258" s="16"/>
    </row>
    <row r="9259" ht="21.0" customHeight="1">
      <c r="A9259" s="19" t="s">
        <v>4173</v>
      </c>
      <c r="B9259" s="20" t="s">
        <v>18</v>
      </c>
      <c r="C9259" s="20" t="s">
        <v>251</v>
      </c>
      <c r="D9259" s="20" t="s">
        <v>4174</v>
      </c>
      <c r="E9259" s="21"/>
      <c r="F9259" s="22">
        <f>F9271</f>
        <v>35.05</v>
      </c>
      <c r="G9259" s="21"/>
    </row>
    <row r="9260" ht="76.5" customHeight="1">
      <c r="A9260" s="11"/>
      <c r="B9260" s="11"/>
      <c r="C9260" s="11"/>
      <c r="D9260" s="10" t="s">
        <v>4175</v>
      </c>
    </row>
    <row r="9261" ht="39.75" customHeight="1">
      <c r="A9261" s="10" t="s">
        <v>1269</v>
      </c>
      <c r="B9261" s="10" t="s">
        <v>42</v>
      </c>
      <c r="C9261" s="10" t="s">
        <v>226</v>
      </c>
      <c r="D9261" s="10" t="s">
        <v>1270</v>
      </c>
      <c r="E9261" s="14">
        <v>0.022</v>
      </c>
      <c r="F9261" s="15">
        <f>ROUND(71.07,3)</f>
        <v>71.07</v>
      </c>
      <c r="G9261" s="12">
        <f t="shared" ref="G9261:G9269" si="1383">ROUND(E9261*F9261,2)</f>
        <v>1.56</v>
      </c>
    </row>
    <row r="9262" ht="21.0" customHeight="1">
      <c r="A9262" s="10" t="s">
        <v>4176</v>
      </c>
      <c r="B9262" s="10" t="s">
        <v>42</v>
      </c>
      <c r="C9262" s="10" t="s">
        <v>1207</v>
      </c>
      <c r="D9262" s="10" t="s">
        <v>4177</v>
      </c>
      <c r="E9262" s="14">
        <v>2.5</v>
      </c>
      <c r="F9262" s="15">
        <f>ROUND(7,3)</f>
        <v>7</v>
      </c>
      <c r="G9262" s="12">
        <f t="shared" si="1383"/>
        <v>17.5</v>
      </c>
    </row>
    <row r="9263" ht="15.0" customHeight="1">
      <c r="A9263" s="10" t="s">
        <v>4178</v>
      </c>
      <c r="B9263" s="10" t="s">
        <v>42</v>
      </c>
      <c r="C9263" s="10" t="s">
        <v>1207</v>
      </c>
      <c r="D9263" s="10" t="s">
        <v>4179</v>
      </c>
      <c r="E9263" s="14">
        <v>0.2</v>
      </c>
      <c r="F9263" s="15">
        <f>ROUND(15,3)</f>
        <v>15</v>
      </c>
      <c r="G9263" s="12">
        <f t="shared" si="1383"/>
        <v>3</v>
      </c>
    </row>
    <row r="9264" ht="15.0" customHeight="1">
      <c r="A9264" s="10" t="s">
        <v>4180</v>
      </c>
      <c r="B9264" s="10" t="s">
        <v>42</v>
      </c>
      <c r="C9264" s="10" t="s">
        <v>1207</v>
      </c>
      <c r="D9264" s="10" t="s">
        <v>4181</v>
      </c>
      <c r="E9264" s="14">
        <v>0.2</v>
      </c>
      <c r="F9264" s="15">
        <f>ROUND(19.86,3)</f>
        <v>19.86</v>
      </c>
      <c r="G9264" s="12">
        <f t="shared" si="1383"/>
        <v>3.97</v>
      </c>
    </row>
    <row r="9265" ht="21.0" customHeight="1">
      <c r="A9265" s="10" t="s">
        <v>22</v>
      </c>
      <c r="B9265" s="10" t="s">
        <v>18</v>
      </c>
      <c r="C9265" s="10" t="s">
        <v>23</v>
      </c>
      <c r="D9265" s="10" t="s">
        <v>24</v>
      </c>
      <c r="E9265" s="14">
        <v>0.2</v>
      </c>
      <c r="F9265" s="15">
        <f>F9269</f>
        <v>43.8</v>
      </c>
      <c r="G9265" s="12">
        <f t="shared" si="1383"/>
        <v>8.76</v>
      </c>
    </row>
    <row r="9266" ht="24.0" customHeight="1">
      <c r="A9266" s="10" t="s">
        <v>25</v>
      </c>
      <c r="B9266" s="10" t="s">
        <v>26</v>
      </c>
      <c r="C9266" s="10" t="s">
        <v>23</v>
      </c>
      <c r="D9266" s="10" t="s">
        <v>27</v>
      </c>
      <c r="E9266" s="14">
        <v>1.0</v>
      </c>
      <c r="F9266" s="15">
        <f>ROUND(21,3)</f>
        <v>21</v>
      </c>
      <c r="G9266" s="12">
        <f t="shared" si="1383"/>
        <v>21</v>
      </c>
    </row>
    <row r="9267" ht="24.0" customHeight="1">
      <c r="A9267" s="10" t="s">
        <v>28</v>
      </c>
      <c r="B9267" s="10" t="s">
        <v>26</v>
      </c>
      <c r="C9267" s="10" t="s">
        <v>23</v>
      </c>
      <c r="D9267" s="10" t="s">
        <v>29</v>
      </c>
      <c r="E9267" s="14">
        <v>1.0</v>
      </c>
      <c r="F9267" s="15">
        <f t="shared" ref="F9267:F9268" si="1384">ROUND(19,3)</f>
        <v>19</v>
      </c>
      <c r="G9267" s="12">
        <f t="shared" si="1383"/>
        <v>19</v>
      </c>
    </row>
    <row r="9268" ht="24.0" customHeight="1">
      <c r="A9268" s="10" t="s">
        <v>30</v>
      </c>
      <c r="B9268" s="10" t="s">
        <v>26</v>
      </c>
      <c r="C9268" s="10" t="s">
        <v>23</v>
      </c>
      <c r="D9268" s="10" t="s">
        <v>31</v>
      </c>
      <c r="E9268" s="14">
        <v>0.2</v>
      </c>
      <c r="F9268" s="15">
        <f t="shared" si="1384"/>
        <v>19</v>
      </c>
      <c r="G9268" s="12">
        <f t="shared" si="1383"/>
        <v>3.8</v>
      </c>
    </row>
    <row r="9269" ht="15.0" customHeight="1">
      <c r="A9269" s="11"/>
      <c r="B9269" s="11"/>
      <c r="C9269" s="11"/>
      <c r="D9269" s="10" t="s">
        <v>22</v>
      </c>
      <c r="E9269" s="14">
        <v>0.2</v>
      </c>
      <c r="F9269" s="15">
        <f>ROUND((G9266+G9267+G9268),3)</f>
        <v>43.8</v>
      </c>
      <c r="G9269" s="12">
        <f t="shared" si="1383"/>
        <v>8.76</v>
      </c>
    </row>
    <row r="9270" ht="15.0" customHeight="1">
      <c r="A9270" s="10" t="s">
        <v>32</v>
      </c>
      <c r="B9270" s="10"/>
      <c r="C9270" s="10" t="s">
        <v>33</v>
      </c>
      <c r="D9270" s="10" t="s">
        <v>34</v>
      </c>
      <c r="E9270" s="14">
        <v>3.0</v>
      </c>
      <c r="F9270" s="15">
        <f>ROUND(8.76,3)</f>
        <v>8.76</v>
      </c>
      <c r="G9270" s="12">
        <f>ROUND((E9270*F9270)/100,2)</f>
        <v>0.26</v>
      </c>
    </row>
    <row r="9271" ht="15.0" customHeight="1">
      <c r="A9271" s="16"/>
      <c r="B9271" s="16"/>
      <c r="C9271" s="16"/>
      <c r="D9271" s="17" t="s">
        <v>4173</v>
      </c>
      <c r="E9271" s="16"/>
      <c r="F9271" s="18">
        <f>ROUND((G9261+G9262+G9263+G9264+G9265+G9270)*(1+G2/100),2)</f>
        <v>35.05</v>
      </c>
      <c r="G9271" s="16"/>
    </row>
    <row r="9272" ht="21.0" customHeight="1">
      <c r="A9272" s="19" t="s">
        <v>4182</v>
      </c>
      <c r="B9272" s="20" t="s">
        <v>18</v>
      </c>
      <c r="C9272" s="20" t="s">
        <v>251</v>
      </c>
      <c r="D9272" s="20" t="s">
        <v>4183</v>
      </c>
      <c r="E9272" s="21"/>
      <c r="F9272" s="22">
        <f>F9283</f>
        <v>32.64</v>
      </c>
      <c r="G9272" s="21"/>
    </row>
    <row r="9273" ht="39.75" customHeight="1">
      <c r="A9273" s="11"/>
      <c r="B9273" s="11"/>
      <c r="C9273" s="11"/>
      <c r="D9273" s="10" t="s">
        <v>4184</v>
      </c>
    </row>
    <row r="9274" ht="48.75" customHeight="1">
      <c r="A9274" s="10" t="s">
        <v>4185</v>
      </c>
      <c r="B9274" s="10" t="s">
        <v>42</v>
      </c>
      <c r="C9274" s="10" t="s">
        <v>584</v>
      </c>
      <c r="D9274" s="10" t="s">
        <v>4186</v>
      </c>
      <c r="E9274" s="14">
        <v>0.008</v>
      </c>
      <c r="F9274" s="15">
        <f>ROUND(330.54,3)</f>
        <v>330.54</v>
      </c>
      <c r="G9274" s="12">
        <f t="shared" ref="G9274:G9281" si="1385">ROUND(E9274*F9274,2)</f>
        <v>2.64</v>
      </c>
    </row>
    <row r="9275" ht="24.0" customHeight="1">
      <c r="A9275" s="10" t="s">
        <v>4187</v>
      </c>
      <c r="B9275" s="10" t="s">
        <v>42</v>
      </c>
      <c r="C9275" s="10" t="s">
        <v>43</v>
      </c>
      <c r="D9275" s="10" t="s">
        <v>4188</v>
      </c>
      <c r="E9275" s="14">
        <v>0.107</v>
      </c>
      <c r="F9275" s="15">
        <f>ROUND(198.35,3)</f>
        <v>198.35</v>
      </c>
      <c r="G9275" s="12">
        <f t="shared" si="1385"/>
        <v>21.22</v>
      </c>
    </row>
    <row r="9276" ht="39.75" customHeight="1">
      <c r="A9276" s="10" t="s">
        <v>1269</v>
      </c>
      <c r="B9276" s="10" t="s">
        <v>42</v>
      </c>
      <c r="C9276" s="10" t="s">
        <v>226</v>
      </c>
      <c r="D9276" s="10" t="s">
        <v>1270</v>
      </c>
      <c r="E9276" s="14">
        <v>0.022</v>
      </c>
      <c r="F9276" s="15">
        <f>ROUND(71.07,3)</f>
        <v>71.07</v>
      </c>
      <c r="G9276" s="12">
        <f t="shared" si="1385"/>
        <v>1.56</v>
      </c>
    </row>
    <row r="9277" ht="21.0" customHeight="1">
      <c r="A9277" s="10" t="s">
        <v>22</v>
      </c>
      <c r="B9277" s="10" t="s">
        <v>18</v>
      </c>
      <c r="C9277" s="10" t="s">
        <v>23</v>
      </c>
      <c r="D9277" s="10" t="s">
        <v>24</v>
      </c>
      <c r="E9277" s="14">
        <v>0.16</v>
      </c>
      <c r="F9277" s="15">
        <f>F9281</f>
        <v>43.8</v>
      </c>
      <c r="G9277" s="12">
        <f t="shared" si="1385"/>
        <v>7.01</v>
      </c>
    </row>
    <row r="9278" ht="24.0" customHeight="1">
      <c r="A9278" s="10" t="s">
        <v>25</v>
      </c>
      <c r="B9278" s="10" t="s">
        <v>26</v>
      </c>
      <c r="C9278" s="10" t="s">
        <v>23</v>
      </c>
      <c r="D9278" s="10" t="s">
        <v>27</v>
      </c>
      <c r="E9278" s="14">
        <v>1.0</v>
      </c>
      <c r="F9278" s="15">
        <f>ROUND(21,3)</f>
        <v>21</v>
      </c>
      <c r="G9278" s="12">
        <f t="shared" si="1385"/>
        <v>21</v>
      </c>
    </row>
    <row r="9279" ht="24.0" customHeight="1">
      <c r="A9279" s="10" t="s">
        <v>28</v>
      </c>
      <c r="B9279" s="10" t="s">
        <v>26</v>
      </c>
      <c r="C9279" s="10" t="s">
        <v>23</v>
      </c>
      <c r="D9279" s="10" t="s">
        <v>29</v>
      </c>
      <c r="E9279" s="14">
        <v>1.0</v>
      </c>
      <c r="F9279" s="15">
        <f t="shared" ref="F9279:F9280" si="1386">ROUND(19,3)</f>
        <v>19</v>
      </c>
      <c r="G9279" s="12">
        <f t="shared" si="1385"/>
        <v>19</v>
      </c>
    </row>
    <row r="9280" ht="24.0" customHeight="1">
      <c r="A9280" s="10" t="s">
        <v>30</v>
      </c>
      <c r="B9280" s="10" t="s">
        <v>26</v>
      </c>
      <c r="C9280" s="10" t="s">
        <v>23</v>
      </c>
      <c r="D9280" s="10" t="s">
        <v>31</v>
      </c>
      <c r="E9280" s="14">
        <v>0.2</v>
      </c>
      <c r="F9280" s="15">
        <f t="shared" si="1386"/>
        <v>19</v>
      </c>
      <c r="G9280" s="12">
        <f t="shared" si="1385"/>
        <v>3.8</v>
      </c>
    </row>
    <row r="9281" ht="15.0" customHeight="1">
      <c r="A9281" s="11"/>
      <c r="B9281" s="11"/>
      <c r="C9281" s="11"/>
      <c r="D9281" s="10" t="s">
        <v>22</v>
      </c>
      <c r="E9281" s="14">
        <v>0.16</v>
      </c>
      <c r="F9281" s="15">
        <f>ROUND((G9278+G9279+G9280),3)</f>
        <v>43.8</v>
      </c>
      <c r="G9281" s="12">
        <f t="shared" si="1385"/>
        <v>7.01</v>
      </c>
    </row>
    <row r="9282" ht="15.0" customHeight="1">
      <c r="A9282" s="10" t="s">
        <v>32</v>
      </c>
      <c r="B9282" s="10"/>
      <c r="C9282" s="10" t="s">
        <v>33</v>
      </c>
      <c r="D9282" s="10" t="s">
        <v>34</v>
      </c>
      <c r="E9282" s="14">
        <v>3.0</v>
      </c>
      <c r="F9282" s="15">
        <f>ROUND(7.01,3)</f>
        <v>7.01</v>
      </c>
      <c r="G9282" s="12">
        <f>ROUND((E9282*F9282)/100,2)</f>
        <v>0.21</v>
      </c>
    </row>
    <row r="9283" ht="15.0" customHeight="1">
      <c r="A9283" s="16"/>
      <c r="B9283" s="16"/>
      <c r="C9283" s="16"/>
      <c r="D9283" s="17" t="s">
        <v>4182</v>
      </c>
      <c r="E9283" s="16"/>
      <c r="F9283" s="18">
        <f>ROUND((G9274+G9275+G9276+G9277+G9282)*(1+G2/100),2)</f>
        <v>32.64</v>
      </c>
      <c r="G9283" s="16"/>
    </row>
    <row r="9284" ht="30.0" customHeight="1">
      <c r="A9284" s="19" t="s">
        <v>4189</v>
      </c>
      <c r="B9284" s="20" t="s">
        <v>18</v>
      </c>
      <c r="C9284" s="20" t="s">
        <v>251</v>
      </c>
      <c r="D9284" s="20" t="s">
        <v>4190</v>
      </c>
      <c r="E9284" s="21"/>
      <c r="F9284" s="22">
        <f>F9294</f>
        <v>38.43</v>
      </c>
      <c r="G9284" s="21"/>
    </row>
    <row r="9285" ht="57.75" customHeight="1">
      <c r="A9285" s="11"/>
      <c r="B9285" s="11"/>
      <c r="C9285" s="11"/>
      <c r="D9285" s="10" t="s">
        <v>4191</v>
      </c>
    </row>
    <row r="9286" ht="21.0" customHeight="1">
      <c r="A9286" s="10" t="s">
        <v>4192</v>
      </c>
      <c r="B9286" s="10" t="s">
        <v>42</v>
      </c>
      <c r="C9286" s="10" t="s">
        <v>1207</v>
      </c>
      <c r="D9286" s="10" t="s">
        <v>4193</v>
      </c>
      <c r="E9286" s="14">
        <v>0.25</v>
      </c>
      <c r="F9286" s="15">
        <f>ROUND(18,3)</f>
        <v>18</v>
      </c>
      <c r="G9286" s="12">
        <f t="shared" ref="G9286:G9292" si="1387">ROUND(E9286*F9286,2)</f>
        <v>4.5</v>
      </c>
    </row>
    <row r="9287" ht="15.0" customHeight="1">
      <c r="A9287" s="10" t="s">
        <v>4194</v>
      </c>
      <c r="B9287" s="10" t="s">
        <v>42</v>
      </c>
      <c r="C9287" s="10" t="s">
        <v>1207</v>
      </c>
      <c r="D9287" s="10" t="s">
        <v>4195</v>
      </c>
      <c r="E9287" s="14">
        <v>2.0</v>
      </c>
      <c r="F9287" s="15">
        <f>ROUND(12,3)</f>
        <v>12</v>
      </c>
      <c r="G9287" s="12">
        <f t="shared" si="1387"/>
        <v>24</v>
      </c>
    </row>
    <row r="9288" ht="21.0" customHeight="1">
      <c r="A9288" s="10" t="s">
        <v>22</v>
      </c>
      <c r="B9288" s="10" t="s">
        <v>18</v>
      </c>
      <c r="C9288" s="10" t="s">
        <v>23</v>
      </c>
      <c r="D9288" s="10" t="s">
        <v>24</v>
      </c>
      <c r="E9288" s="14">
        <v>0.22</v>
      </c>
      <c r="F9288" s="15">
        <f>F9292</f>
        <v>43.8</v>
      </c>
      <c r="G9288" s="12">
        <f t="shared" si="1387"/>
        <v>9.64</v>
      </c>
    </row>
    <row r="9289" ht="24.0" customHeight="1">
      <c r="A9289" s="10" t="s">
        <v>25</v>
      </c>
      <c r="B9289" s="10" t="s">
        <v>26</v>
      </c>
      <c r="C9289" s="10" t="s">
        <v>23</v>
      </c>
      <c r="D9289" s="10" t="s">
        <v>27</v>
      </c>
      <c r="E9289" s="14">
        <v>1.0</v>
      </c>
      <c r="F9289" s="15">
        <f>ROUND(21,3)</f>
        <v>21</v>
      </c>
      <c r="G9289" s="12">
        <f t="shared" si="1387"/>
        <v>21</v>
      </c>
    </row>
    <row r="9290" ht="24.0" customHeight="1">
      <c r="A9290" s="10" t="s">
        <v>28</v>
      </c>
      <c r="B9290" s="10" t="s">
        <v>26</v>
      </c>
      <c r="C9290" s="10" t="s">
        <v>23</v>
      </c>
      <c r="D9290" s="10" t="s">
        <v>29</v>
      </c>
      <c r="E9290" s="14">
        <v>1.0</v>
      </c>
      <c r="F9290" s="15">
        <f t="shared" ref="F9290:F9291" si="1388">ROUND(19,3)</f>
        <v>19</v>
      </c>
      <c r="G9290" s="12">
        <f t="shared" si="1387"/>
        <v>19</v>
      </c>
    </row>
    <row r="9291" ht="24.0" customHeight="1">
      <c r="A9291" s="10" t="s">
        <v>30</v>
      </c>
      <c r="B9291" s="10" t="s">
        <v>26</v>
      </c>
      <c r="C9291" s="10" t="s">
        <v>23</v>
      </c>
      <c r="D9291" s="10" t="s">
        <v>31</v>
      </c>
      <c r="E9291" s="14">
        <v>0.2</v>
      </c>
      <c r="F9291" s="15">
        <f t="shared" si="1388"/>
        <v>19</v>
      </c>
      <c r="G9291" s="12">
        <f t="shared" si="1387"/>
        <v>3.8</v>
      </c>
    </row>
    <row r="9292" ht="15.0" customHeight="1">
      <c r="A9292" s="11"/>
      <c r="B9292" s="11"/>
      <c r="C9292" s="11"/>
      <c r="D9292" s="10" t="s">
        <v>22</v>
      </c>
      <c r="E9292" s="14">
        <v>0.22</v>
      </c>
      <c r="F9292" s="15">
        <f>ROUND((G9289+G9290+G9291),3)</f>
        <v>43.8</v>
      </c>
      <c r="G9292" s="12">
        <f t="shared" si="1387"/>
        <v>9.64</v>
      </c>
    </row>
    <row r="9293" ht="15.0" customHeight="1">
      <c r="A9293" s="10" t="s">
        <v>32</v>
      </c>
      <c r="B9293" s="10"/>
      <c r="C9293" s="10" t="s">
        <v>33</v>
      </c>
      <c r="D9293" s="10" t="s">
        <v>34</v>
      </c>
      <c r="E9293" s="14">
        <v>3.0</v>
      </c>
      <c r="F9293" s="15">
        <f>ROUND(9.64,3)</f>
        <v>9.64</v>
      </c>
      <c r="G9293" s="12">
        <f>ROUND((E9293*F9293)/100,2)</f>
        <v>0.29</v>
      </c>
    </row>
    <row r="9294" ht="15.0" customHeight="1">
      <c r="A9294" s="16"/>
      <c r="B9294" s="16"/>
      <c r="C9294" s="16"/>
      <c r="D9294" s="17" t="s">
        <v>4189</v>
      </c>
      <c r="E9294" s="16"/>
      <c r="F9294" s="18">
        <f>ROUND((G9286+G9287+G9288+G9293)*(1+G2/100),2)</f>
        <v>38.43</v>
      </c>
      <c r="G9294" s="16"/>
    </row>
    <row r="9295" ht="39.75" customHeight="1">
      <c r="A9295" s="19" t="s">
        <v>4196</v>
      </c>
      <c r="B9295" s="20" t="s">
        <v>18</v>
      </c>
      <c r="C9295" s="20" t="s">
        <v>251</v>
      </c>
      <c r="D9295" s="20" t="s">
        <v>4197</v>
      </c>
      <c r="E9295" s="21"/>
      <c r="F9295" s="22">
        <f>F9305</f>
        <v>30.84</v>
      </c>
      <c r="G9295" s="21"/>
    </row>
    <row r="9296" ht="21.0" customHeight="1">
      <c r="A9296" s="11"/>
      <c r="B9296" s="11"/>
      <c r="C9296" s="11"/>
      <c r="D9296" s="10" t="s">
        <v>4198</v>
      </c>
    </row>
    <row r="9297" ht="39.75" customHeight="1">
      <c r="A9297" s="10" t="s">
        <v>4199</v>
      </c>
      <c r="B9297" s="10" t="s">
        <v>42</v>
      </c>
      <c r="C9297" s="10" t="s">
        <v>226</v>
      </c>
      <c r="D9297" s="10" t="s">
        <v>4200</v>
      </c>
      <c r="E9297" s="14">
        <v>0.022</v>
      </c>
      <c r="F9297" s="15">
        <f>ROUND(125.46,3)</f>
        <v>125.46</v>
      </c>
      <c r="G9297" s="12">
        <f t="shared" ref="G9297:G9303" si="1389">ROUND(E9297*F9297,2)</f>
        <v>2.76</v>
      </c>
    </row>
    <row r="9298" ht="39.75" customHeight="1">
      <c r="A9298" s="10" t="s">
        <v>4201</v>
      </c>
      <c r="B9298" s="10" t="s">
        <v>42</v>
      </c>
      <c r="C9298" s="10" t="s">
        <v>584</v>
      </c>
      <c r="D9298" s="10" t="s">
        <v>4202</v>
      </c>
      <c r="E9298" s="14">
        <v>0.0825</v>
      </c>
      <c r="F9298" s="15">
        <f>ROUND(176.32,3)</f>
        <v>176.32</v>
      </c>
      <c r="G9298" s="12">
        <f t="shared" si="1389"/>
        <v>14.55</v>
      </c>
    </row>
    <row r="9299" ht="21.0" customHeight="1">
      <c r="A9299" s="10" t="s">
        <v>22</v>
      </c>
      <c r="B9299" s="10" t="s">
        <v>18</v>
      </c>
      <c r="C9299" s="10" t="s">
        <v>23</v>
      </c>
      <c r="D9299" s="10" t="s">
        <v>24</v>
      </c>
      <c r="E9299" s="14">
        <v>0.3</v>
      </c>
      <c r="F9299" s="15">
        <f>F9303</f>
        <v>43.8</v>
      </c>
      <c r="G9299" s="12">
        <f t="shared" si="1389"/>
        <v>13.14</v>
      </c>
    </row>
    <row r="9300" ht="24.0" customHeight="1">
      <c r="A9300" s="10" t="s">
        <v>25</v>
      </c>
      <c r="B9300" s="10" t="s">
        <v>26</v>
      </c>
      <c r="C9300" s="10" t="s">
        <v>23</v>
      </c>
      <c r="D9300" s="10" t="s">
        <v>27</v>
      </c>
      <c r="E9300" s="14">
        <v>1.0</v>
      </c>
      <c r="F9300" s="15">
        <f>ROUND(21,3)</f>
        <v>21</v>
      </c>
      <c r="G9300" s="12">
        <f t="shared" si="1389"/>
        <v>21</v>
      </c>
    </row>
    <row r="9301" ht="24.0" customHeight="1">
      <c r="A9301" s="10" t="s">
        <v>28</v>
      </c>
      <c r="B9301" s="10" t="s">
        <v>26</v>
      </c>
      <c r="C9301" s="10" t="s">
        <v>23</v>
      </c>
      <c r="D9301" s="10" t="s">
        <v>29</v>
      </c>
      <c r="E9301" s="14">
        <v>1.0</v>
      </c>
      <c r="F9301" s="15">
        <f t="shared" ref="F9301:F9302" si="1390">ROUND(19,3)</f>
        <v>19</v>
      </c>
      <c r="G9301" s="12">
        <f t="shared" si="1389"/>
        <v>19</v>
      </c>
    </row>
    <row r="9302" ht="24.0" customHeight="1">
      <c r="A9302" s="10" t="s">
        <v>30</v>
      </c>
      <c r="B9302" s="10" t="s">
        <v>26</v>
      </c>
      <c r="C9302" s="10" t="s">
        <v>23</v>
      </c>
      <c r="D9302" s="10" t="s">
        <v>31</v>
      </c>
      <c r="E9302" s="14">
        <v>0.2</v>
      </c>
      <c r="F9302" s="15">
        <f t="shared" si="1390"/>
        <v>19</v>
      </c>
      <c r="G9302" s="12">
        <f t="shared" si="1389"/>
        <v>3.8</v>
      </c>
    </row>
    <row r="9303" ht="15.0" customHeight="1">
      <c r="A9303" s="11"/>
      <c r="B9303" s="11"/>
      <c r="C9303" s="11"/>
      <c r="D9303" s="10" t="s">
        <v>22</v>
      </c>
      <c r="E9303" s="14">
        <v>0.3</v>
      </c>
      <c r="F9303" s="15">
        <f>ROUND((G9300+G9301+G9302),3)</f>
        <v>43.8</v>
      </c>
      <c r="G9303" s="12">
        <f t="shared" si="1389"/>
        <v>13.14</v>
      </c>
    </row>
    <row r="9304" ht="15.0" customHeight="1">
      <c r="A9304" s="10" t="s">
        <v>32</v>
      </c>
      <c r="B9304" s="10"/>
      <c r="C9304" s="10" t="s">
        <v>33</v>
      </c>
      <c r="D9304" s="10" t="s">
        <v>34</v>
      </c>
      <c r="E9304" s="14">
        <v>3.0</v>
      </c>
      <c r="F9304" s="15">
        <f>ROUND(13.14,3)</f>
        <v>13.14</v>
      </c>
      <c r="G9304" s="12">
        <f>ROUND((E9304*F9304)/100,2)</f>
        <v>0.39</v>
      </c>
    </row>
    <row r="9305" ht="15.0" customHeight="1">
      <c r="A9305" s="16"/>
      <c r="B9305" s="16"/>
      <c r="C9305" s="16"/>
      <c r="D9305" s="17" t="s">
        <v>4196</v>
      </c>
      <c r="E9305" s="16"/>
      <c r="F9305" s="18">
        <f>ROUND((G9297+G9298+G9299+G9304)*(1+G2/100),2)</f>
        <v>30.84</v>
      </c>
      <c r="G9305" s="16"/>
    </row>
    <row r="9306" ht="39.75" customHeight="1">
      <c r="A9306" s="19" t="s">
        <v>4203</v>
      </c>
      <c r="B9306" s="20" t="s">
        <v>18</v>
      </c>
      <c r="C9306" s="20" t="s">
        <v>251</v>
      </c>
      <c r="D9306" s="20" t="s">
        <v>4204</v>
      </c>
      <c r="E9306" s="21"/>
      <c r="F9306" s="22">
        <f>F9316</f>
        <v>26.72</v>
      </c>
      <c r="G9306" s="21"/>
    </row>
    <row r="9307" ht="30.0" customHeight="1">
      <c r="A9307" s="11"/>
      <c r="B9307" s="11"/>
      <c r="C9307" s="11"/>
      <c r="D9307" s="10" t="s">
        <v>4205</v>
      </c>
    </row>
    <row r="9308" ht="39.75" customHeight="1">
      <c r="A9308" s="10" t="s">
        <v>4206</v>
      </c>
      <c r="B9308" s="10" t="s">
        <v>42</v>
      </c>
      <c r="C9308" s="10" t="s">
        <v>1939</v>
      </c>
      <c r="D9308" s="10" t="s">
        <v>4207</v>
      </c>
      <c r="E9308" s="14">
        <v>0.19</v>
      </c>
      <c r="F9308" s="15">
        <f>ROUND(67.59,3)</f>
        <v>67.59</v>
      </c>
      <c r="G9308" s="12">
        <f t="shared" ref="G9308:G9314" si="1391">ROUND(E9308*F9308,2)</f>
        <v>12.84</v>
      </c>
    </row>
    <row r="9309" ht="48.75" customHeight="1">
      <c r="A9309" s="10" t="s">
        <v>4208</v>
      </c>
      <c r="B9309" s="10" t="s">
        <v>42</v>
      </c>
      <c r="C9309" s="10" t="s">
        <v>226</v>
      </c>
      <c r="D9309" s="10" t="s">
        <v>4209</v>
      </c>
      <c r="E9309" s="14">
        <v>0.044</v>
      </c>
      <c r="F9309" s="15">
        <f>ROUND(115.66,3)</f>
        <v>115.66</v>
      </c>
      <c r="G9309" s="12">
        <f t="shared" si="1391"/>
        <v>5.09</v>
      </c>
    </row>
    <row r="9310" ht="21.0" customHeight="1">
      <c r="A9310" s="10" t="s">
        <v>22</v>
      </c>
      <c r="B9310" s="10" t="s">
        <v>18</v>
      </c>
      <c r="C9310" s="10" t="s">
        <v>23</v>
      </c>
      <c r="D9310" s="10" t="s">
        <v>24</v>
      </c>
      <c r="E9310" s="14">
        <v>0.2</v>
      </c>
      <c r="F9310" s="15">
        <f>F9314</f>
        <v>43.8</v>
      </c>
      <c r="G9310" s="12">
        <f t="shared" si="1391"/>
        <v>8.76</v>
      </c>
    </row>
    <row r="9311" ht="24.0" customHeight="1">
      <c r="A9311" s="10" t="s">
        <v>25</v>
      </c>
      <c r="B9311" s="10" t="s">
        <v>26</v>
      </c>
      <c r="C9311" s="10" t="s">
        <v>23</v>
      </c>
      <c r="D9311" s="10" t="s">
        <v>27</v>
      </c>
      <c r="E9311" s="14">
        <v>1.0</v>
      </c>
      <c r="F9311" s="15">
        <f>ROUND(21,3)</f>
        <v>21</v>
      </c>
      <c r="G9311" s="12">
        <f t="shared" si="1391"/>
        <v>21</v>
      </c>
    </row>
    <row r="9312" ht="24.0" customHeight="1">
      <c r="A9312" s="10" t="s">
        <v>28</v>
      </c>
      <c r="B9312" s="10" t="s">
        <v>26</v>
      </c>
      <c r="C9312" s="10" t="s">
        <v>23</v>
      </c>
      <c r="D9312" s="10" t="s">
        <v>29</v>
      </c>
      <c r="E9312" s="14">
        <v>1.0</v>
      </c>
      <c r="F9312" s="15">
        <f t="shared" ref="F9312:F9313" si="1392">ROUND(19,3)</f>
        <v>19</v>
      </c>
      <c r="G9312" s="12">
        <f t="shared" si="1391"/>
        <v>19</v>
      </c>
    </row>
    <row r="9313" ht="24.0" customHeight="1">
      <c r="A9313" s="10" t="s">
        <v>30</v>
      </c>
      <c r="B9313" s="10" t="s">
        <v>26</v>
      </c>
      <c r="C9313" s="10" t="s">
        <v>23</v>
      </c>
      <c r="D9313" s="10" t="s">
        <v>31</v>
      </c>
      <c r="E9313" s="14">
        <v>0.2</v>
      </c>
      <c r="F9313" s="15">
        <f t="shared" si="1392"/>
        <v>19</v>
      </c>
      <c r="G9313" s="12">
        <f t="shared" si="1391"/>
        <v>3.8</v>
      </c>
    </row>
    <row r="9314" ht="15.0" customHeight="1">
      <c r="A9314" s="11"/>
      <c r="B9314" s="11"/>
      <c r="C9314" s="11"/>
      <c r="D9314" s="10" t="s">
        <v>22</v>
      </c>
      <c r="E9314" s="14">
        <v>0.2</v>
      </c>
      <c r="F9314" s="15">
        <f>ROUND((G9311+G9312+G9313),3)</f>
        <v>43.8</v>
      </c>
      <c r="G9314" s="12">
        <f t="shared" si="1391"/>
        <v>8.76</v>
      </c>
    </row>
    <row r="9315" ht="15.0" customHeight="1">
      <c r="A9315" s="10" t="s">
        <v>32</v>
      </c>
      <c r="B9315" s="10"/>
      <c r="C9315" s="10" t="s">
        <v>33</v>
      </c>
      <c r="D9315" s="10" t="s">
        <v>34</v>
      </c>
      <c r="E9315" s="14">
        <v>0.3</v>
      </c>
      <c r="F9315" s="15">
        <f>ROUND(8.76,3)</f>
        <v>8.76</v>
      </c>
      <c r="G9315" s="12">
        <f>ROUND((E9315*F9315)/100,2)</f>
        <v>0.03</v>
      </c>
    </row>
    <row r="9316" ht="15.0" customHeight="1">
      <c r="A9316" s="16"/>
      <c r="B9316" s="16"/>
      <c r="C9316" s="16"/>
      <c r="D9316" s="17" t="s">
        <v>4203</v>
      </c>
      <c r="E9316" s="16"/>
      <c r="F9316" s="18">
        <f>ROUND((G9308+G9309+G9310+G9315)*(1+G2/100),2)</f>
        <v>26.72</v>
      </c>
      <c r="G9316" s="16"/>
    </row>
    <row r="9317" ht="30.0" customHeight="1">
      <c r="A9317" s="19" t="s">
        <v>4210</v>
      </c>
      <c r="B9317" s="20" t="s">
        <v>18</v>
      </c>
      <c r="C9317" s="20" t="s">
        <v>251</v>
      </c>
      <c r="D9317" s="20" t="s">
        <v>4211</v>
      </c>
      <c r="E9317" s="21"/>
      <c r="F9317" s="22">
        <f>F9327</f>
        <v>21</v>
      </c>
      <c r="G9317" s="21"/>
    </row>
    <row r="9318" ht="57.75" customHeight="1">
      <c r="A9318" s="11"/>
      <c r="B9318" s="11"/>
      <c r="C9318" s="11"/>
      <c r="D9318" s="10" t="s">
        <v>4212</v>
      </c>
    </row>
    <row r="9319" ht="30.0" customHeight="1">
      <c r="A9319" s="10" t="s">
        <v>4213</v>
      </c>
      <c r="B9319" s="10" t="s">
        <v>42</v>
      </c>
      <c r="C9319" s="10" t="s">
        <v>304</v>
      </c>
      <c r="D9319" s="10" t="s">
        <v>4214</v>
      </c>
      <c r="E9319" s="14">
        <v>0.175</v>
      </c>
      <c r="F9319" s="15">
        <f>ROUND(61.48,3)</f>
        <v>61.48</v>
      </c>
      <c r="G9319" s="12">
        <f t="shared" ref="G9319:G9325" si="1393">ROUND(E9319*F9319,2)</f>
        <v>10.76</v>
      </c>
    </row>
    <row r="9320" ht="30.0" customHeight="1">
      <c r="A9320" s="10" t="s">
        <v>1787</v>
      </c>
      <c r="B9320" s="10" t="s">
        <v>42</v>
      </c>
      <c r="C9320" s="10" t="s">
        <v>226</v>
      </c>
      <c r="D9320" s="10" t="s">
        <v>1788</v>
      </c>
      <c r="E9320" s="14">
        <v>0.04</v>
      </c>
      <c r="F9320" s="15">
        <f>ROUND(30.51,3)</f>
        <v>30.51</v>
      </c>
      <c r="G9320" s="12">
        <f t="shared" si="1393"/>
        <v>1.22</v>
      </c>
    </row>
    <row r="9321" ht="21.0" customHeight="1">
      <c r="A9321" s="10" t="s">
        <v>22</v>
      </c>
      <c r="B9321" s="10" t="s">
        <v>18</v>
      </c>
      <c r="C9321" s="10" t="s">
        <v>23</v>
      </c>
      <c r="D9321" s="10" t="s">
        <v>24</v>
      </c>
      <c r="E9321" s="14">
        <v>0.2</v>
      </c>
      <c r="F9321" s="15">
        <f>F9325</f>
        <v>43.8</v>
      </c>
      <c r="G9321" s="12">
        <f t="shared" si="1393"/>
        <v>8.76</v>
      </c>
    </row>
    <row r="9322" ht="24.0" customHeight="1">
      <c r="A9322" s="10" t="s">
        <v>25</v>
      </c>
      <c r="B9322" s="10" t="s">
        <v>26</v>
      </c>
      <c r="C9322" s="10" t="s">
        <v>23</v>
      </c>
      <c r="D9322" s="10" t="s">
        <v>27</v>
      </c>
      <c r="E9322" s="14">
        <v>1.0</v>
      </c>
      <c r="F9322" s="15">
        <f>ROUND(21,3)</f>
        <v>21</v>
      </c>
      <c r="G9322" s="12">
        <f t="shared" si="1393"/>
        <v>21</v>
      </c>
    </row>
    <row r="9323" ht="24.0" customHeight="1">
      <c r="A9323" s="10" t="s">
        <v>28</v>
      </c>
      <c r="B9323" s="10" t="s">
        <v>26</v>
      </c>
      <c r="C9323" s="10" t="s">
        <v>23</v>
      </c>
      <c r="D9323" s="10" t="s">
        <v>29</v>
      </c>
      <c r="E9323" s="14">
        <v>1.0</v>
      </c>
      <c r="F9323" s="15">
        <f t="shared" ref="F9323:F9324" si="1394">ROUND(19,3)</f>
        <v>19</v>
      </c>
      <c r="G9323" s="12">
        <f t="shared" si="1393"/>
        <v>19</v>
      </c>
    </row>
    <row r="9324" ht="24.0" customHeight="1">
      <c r="A9324" s="10" t="s">
        <v>30</v>
      </c>
      <c r="B9324" s="10" t="s">
        <v>26</v>
      </c>
      <c r="C9324" s="10" t="s">
        <v>23</v>
      </c>
      <c r="D9324" s="10" t="s">
        <v>31</v>
      </c>
      <c r="E9324" s="14">
        <v>0.2</v>
      </c>
      <c r="F9324" s="15">
        <f t="shared" si="1394"/>
        <v>19</v>
      </c>
      <c r="G9324" s="12">
        <f t="shared" si="1393"/>
        <v>3.8</v>
      </c>
    </row>
    <row r="9325" ht="15.0" customHeight="1">
      <c r="A9325" s="11"/>
      <c r="B9325" s="11"/>
      <c r="C9325" s="11"/>
      <c r="D9325" s="10" t="s">
        <v>22</v>
      </c>
      <c r="E9325" s="14">
        <v>0.2</v>
      </c>
      <c r="F9325" s="15">
        <f>ROUND((G9322+G9323+G9324),3)</f>
        <v>43.8</v>
      </c>
      <c r="G9325" s="12">
        <f t="shared" si="1393"/>
        <v>8.76</v>
      </c>
    </row>
    <row r="9326" ht="15.0" customHeight="1">
      <c r="A9326" s="10" t="s">
        <v>32</v>
      </c>
      <c r="B9326" s="10"/>
      <c r="C9326" s="10" t="s">
        <v>33</v>
      </c>
      <c r="D9326" s="10" t="s">
        <v>34</v>
      </c>
      <c r="E9326" s="14">
        <v>3.0</v>
      </c>
      <c r="F9326" s="15">
        <f>ROUND(8.76,3)</f>
        <v>8.76</v>
      </c>
      <c r="G9326" s="12">
        <f>ROUND((E9326*F9326)/100,2)</f>
        <v>0.26</v>
      </c>
    </row>
    <row r="9327" ht="15.0" customHeight="1">
      <c r="A9327" s="16"/>
      <c r="B9327" s="16"/>
      <c r="C9327" s="16"/>
      <c r="D9327" s="17" t="s">
        <v>4210</v>
      </c>
      <c r="E9327" s="16"/>
      <c r="F9327" s="18">
        <f>ROUND((G9319+G9320+G9321+G9326)*(1+G2/100),2)</f>
        <v>21</v>
      </c>
      <c r="G9327" s="16"/>
    </row>
    <row r="9328" ht="21.0" customHeight="1">
      <c r="A9328" s="19" t="s">
        <v>4215</v>
      </c>
      <c r="B9328" s="20" t="s">
        <v>18</v>
      </c>
      <c r="C9328" s="20" t="s">
        <v>251</v>
      </c>
      <c r="D9328" s="20" t="s">
        <v>4216</v>
      </c>
      <c r="E9328" s="21"/>
      <c r="F9328" s="22">
        <f>F9338</f>
        <v>21.58</v>
      </c>
      <c r="G9328" s="21"/>
    </row>
    <row r="9329" ht="30.0" customHeight="1">
      <c r="A9329" s="11"/>
      <c r="B9329" s="11"/>
      <c r="C9329" s="11"/>
      <c r="D9329" s="10" t="s">
        <v>4217</v>
      </c>
    </row>
    <row r="9330" ht="21.0" customHeight="1">
      <c r="A9330" s="10" t="s">
        <v>4218</v>
      </c>
      <c r="B9330" s="10" t="s">
        <v>42</v>
      </c>
      <c r="C9330" s="10" t="s">
        <v>1939</v>
      </c>
      <c r="D9330" s="10" t="s">
        <v>4219</v>
      </c>
      <c r="E9330" s="14">
        <v>0.15</v>
      </c>
      <c r="F9330" s="15">
        <f>ROUND(77.68,3)</f>
        <v>77.68</v>
      </c>
      <c r="G9330" s="12">
        <f t="shared" ref="G9330:G9336" si="1395">ROUND(E9330*F9330,2)</f>
        <v>11.65</v>
      </c>
    </row>
    <row r="9331" ht="39.75" customHeight="1">
      <c r="A9331" s="10" t="s">
        <v>4123</v>
      </c>
      <c r="B9331" s="10" t="s">
        <v>42</v>
      </c>
      <c r="C9331" s="10" t="s">
        <v>226</v>
      </c>
      <c r="D9331" s="10" t="s">
        <v>4124</v>
      </c>
      <c r="E9331" s="14">
        <v>0.022</v>
      </c>
      <c r="F9331" s="15">
        <f>ROUND(41.25,3)</f>
        <v>41.25</v>
      </c>
      <c r="G9331" s="12">
        <f t="shared" si="1395"/>
        <v>0.91</v>
      </c>
    </row>
    <row r="9332" ht="21.0" customHeight="1">
      <c r="A9332" s="10" t="s">
        <v>22</v>
      </c>
      <c r="B9332" s="10" t="s">
        <v>18</v>
      </c>
      <c r="C9332" s="10" t="s">
        <v>23</v>
      </c>
      <c r="D9332" s="10" t="s">
        <v>24</v>
      </c>
      <c r="E9332" s="14">
        <v>0.2</v>
      </c>
      <c r="F9332" s="15">
        <f>F9336</f>
        <v>43.8</v>
      </c>
      <c r="G9332" s="12">
        <f t="shared" si="1395"/>
        <v>8.76</v>
      </c>
    </row>
    <row r="9333" ht="24.0" customHeight="1">
      <c r="A9333" s="10" t="s">
        <v>25</v>
      </c>
      <c r="B9333" s="10" t="s">
        <v>26</v>
      </c>
      <c r="C9333" s="10" t="s">
        <v>23</v>
      </c>
      <c r="D9333" s="10" t="s">
        <v>27</v>
      </c>
      <c r="E9333" s="14">
        <v>1.0</v>
      </c>
      <c r="F9333" s="15">
        <f>ROUND(21,3)</f>
        <v>21</v>
      </c>
      <c r="G9333" s="12">
        <f t="shared" si="1395"/>
        <v>21</v>
      </c>
    </row>
    <row r="9334" ht="24.0" customHeight="1">
      <c r="A9334" s="10" t="s">
        <v>28</v>
      </c>
      <c r="B9334" s="10" t="s">
        <v>26</v>
      </c>
      <c r="C9334" s="10" t="s">
        <v>23</v>
      </c>
      <c r="D9334" s="10" t="s">
        <v>29</v>
      </c>
      <c r="E9334" s="14">
        <v>1.0</v>
      </c>
      <c r="F9334" s="15">
        <f t="shared" ref="F9334:F9335" si="1396">ROUND(19,3)</f>
        <v>19</v>
      </c>
      <c r="G9334" s="12">
        <f t="shared" si="1395"/>
        <v>19</v>
      </c>
    </row>
    <row r="9335" ht="24.0" customHeight="1">
      <c r="A9335" s="10" t="s">
        <v>30</v>
      </c>
      <c r="B9335" s="10" t="s">
        <v>26</v>
      </c>
      <c r="C9335" s="10" t="s">
        <v>23</v>
      </c>
      <c r="D9335" s="10" t="s">
        <v>31</v>
      </c>
      <c r="E9335" s="14">
        <v>0.2</v>
      </c>
      <c r="F9335" s="15">
        <f t="shared" si="1396"/>
        <v>19</v>
      </c>
      <c r="G9335" s="12">
        <f t="shared" si="1395"/>
        <v>3.8</v>
      </c>
    </row>
    <row r="9336" ht="15.0" customHeight="1">
      <c r="A9336" s="11"/>
      <c r="B9336" s="11"/>
      <c r="C9336" s="11"/>
      <c r="D9336" s="10" t="s">
        <v>22</v>
      </c>
      <c r="E9336" s="14">
        <v>0.2</v>
      </c>
      <c r="F9336" s="15">
        <f>ROUND((G9333+G9334+G9335),3)</f>
        <v>43.8</v>
      </c>
      <c r="G9336" s="12">
        <f t="shared" si="1395"/>
        <v>8.76</v>
      </c>
    </row>
    <row r="9337" ht="15.0" customHeight="1">
      <c r="A9337" s="10" t="s">
        <v>32</v>
      </c>
      <c r="B9337" s="10"/>
      <c r="C9337" s="10" t="s">
        <v>33</v>
      </c>
      <c r="D9337" s="10" t="s">
        <v>34</v>
      </c>
      <c r="E9337" s="14">
        <v>3.0</v>
      </c>
      <c r="F9337" s="15">
        <f>ROUND(8.76,3)</f>
        <v>8.76</v>
      </c>
      <c r="G9337" s="12">
        <f>ROUND((E9337*F9337)/100,2)</f>
        <v>0.26</v>
      </c>
    </row>
    <row r="9338" ht="15.0" customHeight="1">
      <c r="A9338" s="16"/>
      <c r="B9338" s="16"/>
      <c r="C9338" s="16"/>
      <c r="D9338" s="17" t="s">
        <v>4215</v>
      </c>
      <c r="E9338" s="16"/>
      <c r="F9338" s="18">
        <f>ROUND((G9330+G9331+G9332+G9337)*(1+G2/100),2)</f>
        <v>21.58</v>
      </c>
      <c r="G9338" s="16"/>
    </row>
    <row r="9339" ht="39.75" customHeight="1">
      <c r="A9339" s="19" t="s">
        <v>4220</v>
      </c>
      <c r="B9339" s="20" t="s">
        <v>18</v>
      </c>
      <c r="C9339" s="20" t="s">
        <v>251</v>
      </c>
      <c r="D9339" s="20" t="s">
        <v>4221</v>
      </c>
      <c r="E9339" s="21"/>
      <c r="F9339" s="22">
        <f>F9349</f>
        <v>24.78</v>
      </c>
      <c r="G9339" s="21"/>
    </row>
    <row r="9340" ht="76.5" customHeight="1">
      <c r="A9340" s="11"/>
      <c r="B9340" s="11"/>
      <c r="C9340" s="11"/>
      <c r="D9340" s="10" t="s">
        <v>4222</v>
      </c>
    </row>
    <row r="9341" ht="21.0" customHeight="1">
      <c r="A9341" s="10" t="s">
        <v>4223</v>
      </c>
      <c r="B9341" s="10" t="s">
        <v>42</v>
      </c>
      <c r="C9341" s="10" t="s">
        <v>304</v>
      </c>
      <c r="D9341" s="10" t="s">
        <v>4224</v>
      </c>
      <c r="E9341" s="14">
        <v>0.15</v>
      </c>
      <c r="F9341" s="15">
        <f>ROUND(96.9,3)</f>
        <v>96.9</v>
      </c>
      <c r="G9341" s="12">
        <f t="shared" ref="G9341:G9347" si="1397">ROUND(E9341*F9341,2)</f>
        <v>14.54</v>
      </c>
    </row>
    <row r="9342" ht="30.0" customHeight="1">
      <c r="A9342" s="10" t="s">
        <v>1787</v>
      </c>
      <c r="B9342" s="10" t="s">
        <v>42</v>
      </c>
      <c r="C9342" s="10" t="s">
        <v>226</v>
      </c>
      <c r="D9342" s="10" t="s">
        <v>1788</v>
      </c>
      <c r="E9342" s="14">
        <v>0.04</v>
      </c>
      <c r="F9342" s="15">
        <f>ROUND(30.51,3)</f>
        <v>30.51</v>
      </c>
      <c r="G9342" s="12">
        <f t="shared" si="1397"/>
        <v>1.22</v>
      </c>
    </row>
    <row r="9343" ht="21.0" customHeight="1">
      <c r="A9343" s="10" t="s">
        <v>22</v>
      </c>
      <c r="B9343" s="10" t="s">
        <v>18</v>
      </c>
      <c r="C9343" s="10" t="s">
        <v>23</v>
      </c>
      <c r="D9343" s="10" t="s">
        <v>24</v>
      </c>
      <c r="E9343" s="14">
        <v>0.2</v>
      </c>
      <c r="F9343" s="15">
        <f>F9347</f>
        <v>43.8</v>
      </c>
      <c r="G9343" s="12">
        <f t="shared" si="1397"/>
        <v>8.76</v>
      </c>
    </row>
    <row r="9344" ht="24.0" customHeight="1">
      <c r="A9344" s="10" t="s">
        <v>25</v>
      </c>
      <c r="B9344" s="10" t="s">
        <v>26</v>
      </c>
      <c r="C9344" s="10" t="s">
        <v>23</v>
      </c>
      <c r="D9344" s="10" t="s">
        <v>27</v>
      </c>
      <c r="E9344" s="14">
        <v>1.0</v>
      </c>
      <c r="F9344" s="15">
        <f>ROUND(21,3)</f>
        <v>21</v>
      </c>
      <c r="G9344" s="12">
        <f t="shared" si="1397"/>
        <v>21</v>
      </c>
    </row>
    <row r="9345" ht="24.0" customHeight="1">
      <c r="A9345" s="10" t="s">
        <v>28</v>
      </c>
      <c r="B9345" s="10" t="s">
        <v>26</v>
      </c>
      <c r="C9345" s="10" t="s">
        <v>23</v>
      </c>
      <c r="D9345" s="10" t="s">
        <v>29</v>
      </c>
      <c r="E9345" s="14">
        <v>1.0</v>
      </c>
      <c r="F9345" s="15">
        <f t="shared" ref="F9345:F9346" si="1398">ROUND(19,3)</f>
        <v>19</v>
      </c>
      <c r="G9345" s="12">
        <f t="shared" si="1397"/>
        <v>19</v>
      </c>
    </row>
    <row r="9346" ht="24.0" customHeight="1">
      <c r="A9346" s="10" t="s">
        <v>30</v>
      </c>
      <c r="B9346" s="10" t="s">
        <v>26</v>
      </c>
      <c r="C9346" s="10" t="s">
        <v>23</v>
      </c>
      <c r="D9346" s="10" t="s">
        <v>31</v>
      </c>
      <c r="E9346" s="14">
        <v>0.2</v>
      </c>
      <c r="F9346" s="15">
        <f t="shared" si="1398"/>
        <v>19</v>
      </c>
      <c r="G9346" s="12">
        <f t="shared" si="1397"/>
        <v>3.8</v>
      </c>
    </row>
    <row r="9347" ht="15.0" customHeight="1">
      <c r="A9347" s="11"/>
      <c r="B9347" s="11"/>
      <c r="C9347" s="11"/>
      <c r="D9347" s="10" t="s">
        <v>22</v>
      </c>
      <c r="E9347" s="14">
        <v>0.2</v>
      </c>
      <c r="F9347" s="15">
        <f>ROUND((G9344+G9345+G9346),3)</f>
        <v>43.8</v>
      </c>
      <c r="G9347" s="12">
        <f t="shared" si="1397"/>
        <v>8.76</v>
      </c>
    </row>
    <row r="9348" ht="15.0" customHeight="1">
      <c r="A9348" s="10" t="s">
        <v>32</v>
      </c>
      <c r="B9348" s="10"/>
      <c r="C9348" s="10" t="s">
        <v>33</v>
      </c>
      <c r="D9348" s="10" t="s">
        <v>34</v>
      </c>
      <c r="E9348" s="14">
        <v>3.0</v>
      </c>
      <c r="F9348" s="15">
        <f>ROUND(8.76,3)</f>
        <v>8.76</v>
      </c>
      <c r="G9348" s="12">
        <f>ROUND((E9348*F9348)/100,2)</f>
        <v>0.26</v>
      </c>
    </row>
    <row r="9349" ht="15.0" customHeight="1">
      <c r="A9349" s="16"/>
      <c r="B9349" s="16"/>
      <c r="C9349" s="16"/>
      <c r="D9349" s="17" t="s">
        <v>4220</v>
      </c>
      <c r="E9349" s="16"/>
      <c r="F9349" s="18">
        <f>ROUND((G9341+G9342+G9343+G9348)*(1+G2/100),2)</f>
        <v>24.78</v>
      </c>
      <c r="G9349" s="16"/>
    </row>
    <row r="9350" ht="30.0" customHeight="1">
      <c r="A9350" s="19" t="s">
        <v>4225</v>
      </c>
      <c r="B9350" s="20" t="s">
        <v>18</v>
      </c>
      <c r="C9350" s="20" t="s">
        <v>251</v>
      </c>
      <c r="D9350" s="20" t="s">
        <v>4226</v>
      </c>
      <c r="E9350" s="21"/>
      <c r="F9350" s="22">
        <f>F9361</f>
        <v>36.02</v>
      </c>
      <c r="G9350" s="21"/>
    </row>
    <row r="9351" ht="21.0" customHeight="1">
      <c r="A9351" s="11"/>
      <c r="B9351" s="11"/>
      <c r="C9351" s="11"/>
      <c r="D9351" s="10" t="s">
        <v>4227</v>
      </c>
    </row>
    <row r="9352" ht="48.75" customHeight="1">
      <c r="A9352" s="10" t="s">
        <v>4228</v>
      </c>
      <c r="B9352" s="10" t="s">
        <v>42</v>
      </c>
      <c r="C9352" s="10" t="s">
        <v>276</v>
      </c>
      <c r="D9352" s="10" t="s">
        <v>4229</v>
      </c>
      <c r="E9352" s="14">
        <v>0.042</v>
      </c>
      <c r="F9352" s="15">
        <f>ROUND(42.95,3)</f>
        <v>42.95</v>
      </c>
      <c r="G9352" s="12">
        <f t="shared" ref="G9352:G9359" si="1399">ROUND(E9352*F9352,2)</f>
        <v>1.8</v>
      </c>
    </row>
    <row r="9353" ht="30.0" customHeight="1">
      <c r="A9353" s="10" t="s">
        <v>4092</v>
      </c>
      <c r="B9353" s="10" t="s">
        <v>42</v>
      </c>
      <c r="C9353" s="10" t="s">
        <v>226</v>
      </c>
      <c r="D9353" s="10" t="s">
        <v>4093</v>
      </c>
      <c r="E9353" s="14">
        <v>0.14667</v>
      </c>
      <c r="F9353" s="15">
        <f>ROUND(49.5,3)</f>
        <v>49.5</v>
      </c>
      <c r="G9353" s="12">
        <f t="shared" si="1399"/>
        <v>7.26</v>
      </c>
    </row>
    <row r="9354" ht="30.0" customHeight="1">
      <c r="A9354" s="10" t="s">
        <v>4230</v>
      </c>
      <c r="B9354" s="10" t="s">
        <v>42</v>
      </c>
      <c r="C9354" s="10" t="s">
        <v>276</v>
      </c>
      <c r="D9354" s="10" t="s">
        <v>4231</v>
      </c>
      <c r="E9354" s="14">
        <v>0.08888</v>
      </c>
      <c r="F9354" s="15">
        <f>ROUND(151.08,3)</f>
        <v>151.08</v>
      </c>
      <c r="G9354" s="12">
        <f t="shared" si="1399"/>
        <v>13.43</v>
      </c>
    </row>
    <row r="9355" ht="21.0" customHeight="1">
      <c r="A9355" s="10" t="s">
        <v>22</v>
      </c>
      <c r="B9355" s="10" t="s">
        <v>18</v>
      </c>
      <c r="C9355" s="10" t="s">
        <v>23</v>
      </c>
      <c r="D9355" s="10" t="s">
        <v>24</v>
      </c>
      <c r="E9355" s="14">
        <v>0.3</v>
      </c>
      <c r="F9355" s="15">
        <f>F9359</f>
        <v>43.8</v>
      </c>
      <c r="G9355" s="12">
        <f t="shared" si="1399"/>
        <v>13.14</v>
      </c>
    </row>
    <row r="9356" ht="24.0" customHeight="1">
      <c r="A9356" s="10" t="s">
        <v>25</v>
      </c>
      <c r="B9356" s="10" t="s">
        <v>26</v>
      </c>
      <c r="C9356" s="10" t="s">
        <v>23</v>
      </c>
      <c r="D9356" s="10" t="s">
        <v>27</v>
      </c>
      <c r="E9356" s="14">
        <v>1.0</v>
      </c>
      <c r="F9356" s="15">
        <f>ROUND(21,3)</f>
        <v>21</v>
      </c>
      <c r="G9356" s="12">
        <f t="shared" si="1399"/>
        <v>21</v>
      </c>
    </row>
    <row r="9357" ht="24.0" customHeight="1">
      <c r="A9357" s="10" t="s">
        <v>28</v>
      </c>
      <c r="B9357" s="10" t="s">
        <v>26</v>
      </c>
      <c r="C9357" s="10" t="s">
        <v>23</v>
      </c>
      <c r="D9357" s="10" t="s">
        <v>29</v>
      </c>
      <c r="E9357" s="14">
        <v>1.0</v>
      </c>
      <c r="F9357" s="15">
        <f t="shared" ref="F9357:F9358" si="1400">ROUND(19,3)</f>
        <v>19</v>
      </c>
      <c r="G9357" s="12">
        <f t="shared" si="1399"/>
        <v>19</v>
      </c>
    </row>
    <row r="9358" ht="24.0" customHeight="1">
      <c r="A9358" s="10" t="s">
        <v>30</v>
      </c>
      <c r="B9358" s="10" t="s">
        <v>26</v>
      </c>
      <c r="C9358" s="10" t="s">
        <v>23</v>
      </c>
      <c r="D9358" s="10" t="s">
        <v>31</v>
      </c>
      <c r="E9358" s="14">
        <v>0.2</v>
      </c>
      <c r="F9358" s="15">
        <f t="shared" si="1400"/>
        <v>19</v>
      </c>
      <c r="G9358" s="12">
        <f t="shared" si="1399"/>
        <v>3.8</v>
      </c>
    </row>
    <row r="9359" ht="15.0" customHeight="1">
      <c r="A9359" s="11"/>
      <c r="B9359" s="11"/>
      <c r="C9359" s="11"/>
      <c r="D9359" s="10" t="s">
        <v>22</v>
      </c>
      <c r="E9359" s="14">
        <v>0.3</v>
      </c>
      <c r="F9359" s="15">
        <f>ROUND((G9356+G9357+G9358),3)</f>
        <v>43.8</v>
      </c>
      <c r="G9359" s="12">
        <f t="shared" si="1399"/>
        <v>13.14</v>
      </c>
    </row>
    <row r="9360" ht="15.0" customHeight="1">
      <c r="A9360" s="10" t="s">
        <v>32</v>
      </c>
      <c r="B9360" s="10"/>
      <c r="C9360" s="10" t="s">
        <v>33</v>
      </c>
      <c r="D9360" s="10" t="s">
        <v>34</v>
      </c>
      <c r="E9360" s="14">
        <v>3.0</v>
      </c>
      <c r="F9360" s="15">
        <f>ROUND(13.14,3)</f>
        <v>13.14</v>
      </c>
      <c r="G9360" s="12">
        <f>ROUND((E9360*F9360)/100,2)</f>
        <v>0.39</v>
      </c>
    </row>
    <row r="9361" ht="15.0" customHeight="1">
      <c r="A9361" s="16"/>
      <c r="B9361" s="16"/>
      <c r="C9361" s="16"/>
      <c r="D9361" s="17" t="s">
        <v>4225</v>
      </c>
      <c r="E9361" s="16"/>
      <c r="F9361" s="18">
        <f>ROUND((G9352+G9353+G9354+G9355+G9360)*(1+G2/100),2)</f>
        <v>36.02</v>
      </c>
      <c r="G9361" s="16"/>
    </row>
    <row r="9362" ht="30.0" customHeight="1">
      <c r="A9362" s="19" t="s">
        <v>4232</v>
      </c>
      <c r="B9362" s="20" t="s">
        <v>18</v>
      </c>
      <c r="C9362" s="20" t="s">
        <v>251</v>
      </c>
      <c r="D9362" s="20" t="s">
        <v>4233</v>
      </c>
      <c r="E9362" s="21"/>
      <c r="F9362" s="22">
        <f>F9373</f>
        <v>50.06</v>
      </c>
      <c r="G9362" s="21"/>
    </row>
    <row r="9363" ht="21.0" customHeight="1">
      <c r="A9363" s="11"/>
      <c r="B9363" s="11"/>
      <c r="C9363" s="11"/>
      <c r="D9363" s="10" t="s">
        <v>4234</v>
      </c>
    </row>
    <row r="9364" ht="48.75" customHeight="1">
      <c r="A9364" s="10" t="s">
        <v>4228</v>
      </c>
      <c r="B9364" s="10" t="s">
        <v>42</v>
      </c>
      <c r="C9364" s="10" t="s">
        <v>276</v>
      </c>
      <c r="D9364" s="10" t="s">
        <v>4229</v>
      </c>
      <c r="E9364" s="14">
        <v>0.0125</v>
      </c>
      <c r="F9364" s="15">
        <f>ROUND(42.95,3)</f>
        <v>42.95</v>
      </c>
      <c r="G9364" s="12">
        <f t="shared" ref="G9364:G9371" si="1401">ROUND(E9364*F9364,2)</f>
        <v>0.54</v>
      </c>
    </row>
    <row r="9365" ht="30.0" customHeight="1">
      <c r="A9365" s="10" t="s">
        <v>4092</v>
      </c>
      <c r="B9365" s="10" t="s">
        <v>42</v>
      </c>
      <c r="C9365" s="10" t="s">
        <v>226</v>
      </c>
      <c r="D9365" s="10" t="s">
        <v>4093</v>
      </c>
      <c r="E9365" s="14">
        <v>0.14667</v>
      </c>
      <c r="F9365" s="15">
        <f>ROUND(49.5,3)</f>
        <v>49.5</v>
      </c>
      <c r="G9365" s="12">
        <f t="shared" si="1401"/>
        <v>7.26</v>
      </c>
    </row>
    <row r="9366" ht="30.0" customHeight="1">
      <c r="A9366" s="10" t="s">
        <v>4230</v>
      </c>
      <c r="B9366" s="10" t="s">
        <v>42</v>
      </c>
      <c r="C9366" s="10" t="s">
        <v>276</v>
      </c>
      <c r="D9366" s="10" t="s">
        <v>4231</v>
      </c>
      <c r="E9366" s="14">
        <v>0.17222</v>
      </c>
      <c r="F9366" s="15">
        <f>ROUND(151.08,3)</f>
        <v>151.08</v>
      </c>
      <c r="G9366" s="12">
        <f t="shared" si="1401"/>
        <v>26.02</v>
      </c>
    </row>
    <row r="9367" ht="21.0" customHeight="1">
      <c r="A9367" s="10" t="s">
        <v>22</v>
      </c>
      <c r="B9367" s="10" t="s">
        <v>18</v>
      </c>
      <c r="C9367" s="10" t="s">
        <v>23</v>
      </c>
      <c r="D9367" s="10" t="s">
        <v>24</v>
      </c>
      <c r="E9367" s="14">
        <v>0.36</v>
      </c>
      <c r="F9367" s="15">
        <f>F9371</f>
        <v>43.8</v>
      </c>
      <c r="G9367" s="12">
        <f t="shared" si="1401"/>
        <v>15.77</v>
      </c>
    </row>
    <row r="9368" ht="24.0" customHeight="1">
      <c r="A9368" s="10" t="s">
        <v>25</v>
      </c>
      <c r="B9368" s="10" t="s">
        <v>26</v>
      </c>
      <c r="C9368" s="10" t="s">
        <v>23</v>
      </c>
      <c r="D9368" s="10" t="s">
        <v>27</v>
      </c>
      <c r="E9368" s="14">
        <v>1.0</v>
      </c>
      <c r="F9368" s="15">
        <f>ROUND(21,3)</f>
        <v>21</v>
      </c>
      <c r="G9368" s="12">
        <f t="shared" si="1401"/>
        <v>21</v>
      </c>
    </row>
    <row r="9369" ht="24.0" customHeight="1">
      <c r="A9369" s="10" t="s">
        <v>28</v>
      </c>
      <c r="B9369" s="10" t="s">
        <v>26</v>
      </c>
      <c r="C9369" s="10" t="s">
        <v>23</v>
      </c>
      <c r="D9369" s="10" t="s">
        <v>29</v>
      </c>
      <c r="E9369" s="14">
        <v>1.0</v>
      </c>
      <c r="F9369" s="15">
        <f t="shared" ref="F9369:F9370" si="1402">ROUND(19,3)</f>
        <v>19</v>
      </c>
      <c r="G9369" s="12">
        <f t="shared" si="1401"/>
        <v>19</v>
      </c>
    </row>
    <row r="9370" ht="24.0" customHeight="1">
      <c r="A9370" s="10" t="s">
        <v>30</v>
      </c>
      <c r="B9370" s="10" t="s">
        <v>26</v>
      </c>
      <c r="C9370" s="10" t="s">
        <v>23</v>
      </c>
      <c r="D9370" s="10" t="s">
        <v>31</v>
      </c>
      <c r="E9370" s="14">
        <v>0.2</v>
      </c>
      <c r="F9370" s="15">
        <f t="shared" si="1402"/>
        <v>19</v>
      </c>
      <c r="G9370" s="12">
        <f t="shared" si="1401"/>
        <v>3.8</v>
      </c>
    </row>
    <row r="9371" ht="15.0" customHeight="1">
      <c r="A9371" s="11"/>
      <c r="B9371" s="11"/>
      <c r="C9371" s="11"/>
      <c r="D9371" s="10" t="s">
        <v>22</v>
      </c>
      <c r="E9371" s="14">
        <v>0.36</v>
      </c>
      <c r="F9371" s="15">
        <f>ROUND((G9368+G9369+G9370),3)</f>
        <v>43.8</v>
      </c>
      <c r="G9371" s="12">
        <f t="shared" si="1401"/>
        <v>15.77</v>
      </c>
    </row>
    <row r="9372" ht="15.0" customHeight="1">
      <c r="A9372" s="10" t="s">
        <v>32</v>
      </c>
      <c r="B9372" s="10"/>
      <c r="C9372" s="10" t="s">
        <v>33</v>
      </c>
      <c r="D9372" s="10" t="s">
        <v>34</v>
      </c>
      <c r="E9372" s="14">
        <v>3.0</v>
      </c>
      <c r="F9372" s="15">
        <f>ROUND(15.77,3)</f>
        <v>15.77</v>
      </c>
      <c r="G9372" s="12">
        <f>ROUND((E9372*F9372)/100,2)</f>
        <v>0.47</v>
      </c>
    </row>
    <row r="9373" ht="15.0" customHeight="1">
      <c r="A9373" s="16"/>
      <c r="B9373" s="16"/>
      <c r="C9373" s="16"/>
      <c r="D9373" s="17" t="s">
        <v>4232</v>
      </c>
      <c r="E9373" s="16"/>
      <c r="F9373" s="18">
        <f>ROUND((G9364+G9365+G9366+G9367+G9372)*(1+G2/100),2)</f>
        <v>50.06</v>
      </c>
      <c r="G9373" s="16"/>
    </row>
    <row r="9374" ht="21.0" customHeight="1">
      <c r="A9374" s="19" t="s">
        <v>4235</v>
      </c>
      <c r="B9374" s="20" t="s">
        <v>18</v>
      </c>
      <c r="C9374" s="20" t="s">
        <v>251</v>
      </c>
      <c r="D9374" s="20" t="s">
        <v>4236</v>
      </c>
      <c r="E9374" s="21"/>
      <c r="F9374" s="22">
        <f>F9383</f>
        <v>9.46</v>
      </c>
      <c r="G9374" s="21"/>
    </row>
    <row r="9375" ht="21.0" customHeight="1">
      <c r="A9375" s="11"/>
      <c r="B9375" s="11"/>
      <c r="C9375" s="11"/>
      <c r="D9375" s="10" t="s">
        <v>4237</v>
      </c>
    </row>
    <row r="9376" ht="39.75" customHeight="1">
      <c r="A9376" s="10" t="s">
        <v>4116</v>
      </c>
      <c r="B9376" s="10" t="s">
        <v>42</v>
      </c>
      <c r="C9376" s="10" t="s">
        <v>1939</v>
      </c>
      <c r="D9376" s="10" t="s">
        <v>4117</v>
      </c>
      <c r="E9376" s="14">
        <v>0.06</v>
      </c>
      <c r="F9376" s="15">
        <f>ROUND(44.84,3)</f>
        <v>44.84</v>
      </c>
      <c r="G9376" s="12">
        <f t="shared" ref="G9376:G9381" si="1403">ROUND(E9376*F9376,2)</f>
        <v>2.69</v>
      </c>
    </row>
    <row r="9377" ht="21.0" customHeight="1">
      <c r="A9377" s="10" t="s">
        <v>22</v>
      </c>
      <c r="B9377" s="10" t="s">
        <v>18</v>
      </c>
      <c r="C9377" s="10" t="s">
        <v>23</v>
      </c>
      <c r="D9377" s="10" t="s">
        <v>24</v>
      </c>
      <c r="E9377" s="14">
        <v>0.15</v>
      </c>
      <c r="F9377" s="15">
        <f>F9381</f>
        <v>43.8</v>
      </c>
      <c r="G9377" s="12">
        <f t="shared" si="1403"/>
        <v>6.57</v>
      </c>
    </row>
    <row r="9378" ht="24.0" customHeight="1">
      <c r="A9378" s="10" t="s">
        <v>25</v>
      </c>
      <c r="B9378" s="10" t="s">
        <v>26</v>
      </c>
      <c r="C9378" s="10" t="s">
        <v>23</v>
      </c>
      <c r="D9378" s="10" t="s">
        <v>27</v>
      </c>
      <c r="E9378" s="14">
        <v>1.0</v>
      </c>
      <c r="F9378" s="15">
        <f>ROUND(21,3)</f>
        <v>21</v>
      </c>
      <c r="G9378" s="12">
        <f t="shared" si="1403"/>
        <v>21</v>
      </c>
    </row>
    <row r="9379" ht="24.0" customHeight="1">
      <c r="A9379" s="10" t="s">
        <v>28</v>
      </c>
      <c r="B9379" s="10" t="s">
        <v>26</v>
      </c>
      <c r="C9379" s="10" t="s">
        <v>23</v>
      </c>
      <c r="D9379" s="10" t="s">
        <v>29</v>
      </c>
      <c r="E9379" s="14">
        <v>1.0</v>
      </c>
      <c r="F9379" s="15">
        <f t="shared" ref="F9379:F9380" si="1404">ROUND(19,3)</f>
        <v>19</v>
      </c>
      <c r="G9379" s="12">
        <f t="shared" si="1403"/>
        <v>19</v>
      </c>
    </row>
    <row r="9380" ht="24.0" customHeight="1">
      <c r="A9380" s="10" t="s">
        <v>30</v>
      </c>
      <c r="B9380" s="10" t="s">
        <v>26</v>
      </c>
      <c r="C9380" s="10" t="s">
        <v>23</v>
      </c>
      <c r="D9380" s="10" t="s">
        <v>31</v>
      </c>
      <c r="E9380" s="14">
        <v>0.2</v>
      </c>
      <c r="F9380" s="15">
        <f t="shared" si="1404"/>
        <v>19</v>
      </c>
      <c r="G9380" s="12">
        <f t="shared" si="1403"/>
        <v>3.8</v>
      </c>
    </row>
    <row r="9381" ht="15.0" customHeight="1">
      <c r="A9381" s="11"/>
      <c r="B9381" s="11"/>
      <c r="C9381" s="11"/>
      <c r="D9381" s="10" t="s">
        <v>22</v>
      </c>
      <c r="E9381" s="14">
        <v>0.15</v>
      </c>
      <c r="F9381" s="15">
        <f>ROUND((G9378+G9379+G9380),3)</f>
        <v>43.8</v>
      </c>
      <c r="G9381" s="12">
        <f t="shared" si="1403"/>
        <v>6.57</v>
      </c>
    </row>
    <row r="9382" ht="15.0" customHeight="1">
      <c r="A9382" s="10" t="s">
        <v>32</v>
      </c>
      <c r="B9382" s="10"/>
      <c r="C9382" s="10" t="s">
        <v>33</v>
      </c>
      <c r="D9382" s="10" t="s">
        <v>34</v>
      </c>
      <c r="E9382" s="14">
        <v>3.0</v>
      </c>
      <c r="F9382" s="15">
        <f>ROUND(6.57,3)</f>
        <v>6.57</v>
      </c>
      <c r="G9382" s="12">
        <f>ROUND((E9382*F9382)/100,2)</f>
        <v>0.2</v>
      </c>
    </row>
    <row r="9383" ht="15.0" customHeight="1">
      <c r="A9383" s="16"/>
      <c r="B9383" s="16"/>
      <c r="C9383" s="16"/>
      <c r="D9383" s="17" t="s">
        <v>4235</v>
      </c>
      <c r="E9383" s="16"/>
      <c r="F9383" s="18">
        <f>ROUND((G9376+G9377+G9382)*(1+G2/100),2)</f>
        <v>9.46</v>
      </c>
      <c r="G9383" s="16"/>
    </row>
    <row r="9384" ht="30.0" customHeight="1">
      <c r="A9384" s="19" t="s">
        <v>4238</v>
      </c>
      <c r="B9384" s="20" t="s">
        <v>18</v>
      </c>
      <c r="C9384" s="20" t="s">
        <v>251</v>
      </c>
      <c r="D9384" s="20" t="s">
        <v>4239</v>
      </c>
      <c r="E9384" s="21"/>
      <c r="F9384" s="22">
        <f>F9394</f>
        <v>38.96</v>
      </c>
      <c r="G9384" s="21"/>
    </row>
    <row r="9385" ht="21.0" customHeight="1">
      <c r="A9385" s="11"/>
      <c r="B9385" s="11"/>
      <c r="C9385" s="11"/>
      <c r="D9385" s="10" t="s">
        <v>4240</v>
      </c>
    </row>
    <row r="9386" ht="39.75" customHeight="1">
      <c r="A9386" s="10" t="s">
        <v>4116</v>
      </c>
      <c r="B9386" s="10" t="s">
        <v>42</v>
      </c>
      <c r="C9386" s="10" t="s">
        <v>1939</v>
      </c>
      <c r="D9386" s="10" t="s">
        <v>4117</v>
      </c>
      <c r="E9386" s="14">
        <v>0.063</v>
      </c>
      <c r="F9386" s="15">
        <f>ROUND(44.84,3)</f>
        <v>44.84</v>
      </c>
      <c r="G9386" s="12">
        <f t="shared" ref="G9386:G9392" si="1405">ROUND(E9386*F9386,2)</f>
        <v>2.82</v>
      </c>
    </row>
    <row r="9387" ht="48.75" customHeight="1">
      <c r="A9387" s="10" t="s">
        <v>4118</v>
      </c>
      <c r="B9387" s="10" t="s">
        <v>42</v>
      </c>
      <c r="C9387" s="10" t="s">
        <v>226</v>
      </c>
      <c r="D9387" s="10" t="s">
        <v>4119</v>
      </c>
      <c r="E9387" s="14">
        <v>0.24</v>
      </c>
      <c r="F9387" s="15">
        <f>ROUND(28.4,3)</f>
        <v>28.4</v>
      </c>
      <c r="G9387" s="12">
        <f t="shared" si="1405"/>
        <v>6.82</v>
      </c>
    </row>
    <row r="9388" ht="21.0" customHeight="1">
      <c r="A9388" s="10" t="s">
        <v>22</v>
      </c>
      <c r="B9388" s="10" t="s">
        <v>18</v>
      </c>
      <c r="C9388" s="10" t="s">
        <v>23</v>
      </c>
      <c r="D9388" s="10" t="s">
        <v>24</v>
      </c>
      <c r="E9388" s="14">
        <v>0.65</v>
      </c>
      <c r="F9388" s="15">
        <f>F9392</f>
        <v>43.8</v>
      </c>
      <c r="G9388" s="12">
        <f t="shared" si="1405"/>
        <v>28.47</v>
      </c>
    </row>
    <row r="9389" ht="24.0" customHeight="1">
      <c r="A9389" s="10" t="s">
        <v>25</v>
      </c>
      <c r="B9389" s="10" t="s">
        <v>26</v>
      </c>
      <c r="C9389" s="10" t="s">
        <v>23</v>
      </c>
      <c r="D9389" s="10" t="s">
        <v>27</v>
      </c>
      <c r="E9389" s="14">
        <v>1.0</v>
      </c>
      <c r="F9389" s="15">
        <f>ROUND(21,3)</f>
        <v>21</v>
      </c>
      <c r="G9389" s="12">
        <f t="shared" si="1405"/>
        <v>21</v>
      </c>
    </row>
    <row r="9390" ht="24.0" customHeight="1">
      <c r="A9390" s="10" t="s">
        <v>28</v>
      </c>
      <c r="B9390" s="10" t="s">
        <v>26</v>
      </c>
      <c r="C9390" s="10" t="s">
        <v>23</v>
      </c>
      <c r="D9390" s="10" t="s">
        <v>29</v>
      </c>
      <c r="E9390" s="14">
        <v>1.0</v>
      </c>
      <c r="F9390" s="15">
        <f t="shared" ref="F9390:F9391" si="1406">ROUND(19,3)</f>
        <v>19</v>
      </c>
      <c r="G9390" s="12">
        <f t="shared" si="1405"/>
        <v>19</v>
      </c>
    </row>
    <row r="9391" ht="24.0" customHeight="1">
      <c r="A9391" s="10" t="s">
        <v>30</v>
      </c>
      <c r="B9391" s="10" t="s">
        <v>26</v>
      </c>
      <c r="C9391" s="10" t="s">
        <v>23</v>
      </c>
      <c r="D9391" s="10" t="s">
        <v>31</v>
      </c>
      <c r="E9391" s="14">
        <v>0.2</v>
      </c>
      <c r="F9391" s="15">
        <f t="shared" si="1406"/>
        <v>19</v>
      </c>
      <c r="G9391" s="12">
        <f t="shared" si="1405"/>
        <v>3.8</v>
      </c>
    </row>
    <row r="9392" ht="15.0" customHeight="1">
      <c r="A9392" s="11"/>
      <c r="B9392" s="11"/>
      <c r="C9392" s="11"/>
      <c r="D9392" s="10" t="s">
        <v>22</v>
      </c>
      <c r="E9392" s="14">
        <v>0.65</v>
      </c>
      <c r="F9392" s="15">
        <f>ROUND((G9389+G9390+G9391),3)</f>
        <v>43.8</v>
      </c>
      <c r="G9392" s="12">
        <f t="shared" si="1405"/>
        <v>28.47</v>
      </c>
    </row>
    <row r="9393" ht="15.0" customHeight="1">
      <c r="A9393" s="10" t="s">
        <v>32</v>
      </c>
      <c r="B9393" s="10"/>
      <c r="C9393" s="10" t="s">
        <v>33</v>
      </c>
      <c r="D9393" s="10" t="s">
        <v>34</v>
      </c>
      <c r="E9393" s="14">
        <v>3.0</v>
      </c>
      <c r="F9393" s="15">
        <f>ROUND(28.47,3)</f>
        <v>28.47</v>
      </c>
      <c r="G9393" s="12">
        <f>ROUND((E9393*F9393)/100,2)</f>
        <v>0.85</v>
      </c>
    </row>
    <row r="9394" ht="15.0" customHeight="1">
      <c r="A9394" s="16"/>
      <c r="B9394" s="16"/>
      <c r="C9394" s="16"/>
      <c r="D9394" s="17" t="s">
        <v>4238</v>
      </c>
      <c r="E9394" s="16"/>
      <c r="F9394" s="18">
        <f>ROUND((G9386+G9387+G9388+G9393)*(1+G2/100),2)</f>
        <v>38.96</v>
      </c>
      <c r="G9394" s="16"/>
    </row>
    <row r="9395" ht="30.0" customHeight="1">
      <c r="A9395" s="19" t="s">
        <v>4241</v>
      </c>
      <c r="B9395" s="20" t="s">
        <v>18</v>
      </c>
      <c r="C9395" s="20" t="s">
        <v>251</v>
      </c>
      <c r="D9395" s="20" t="s">
        <v>4242</v>
      </c>
      <c r="E9395" s="21"/>
      <c r="F9395" s="22">
        <f>F9405</f>
        <v>32.79</v>
      </c>
      <c r="G9395" s="21"/>
    </row>
    <row r="9396" ht="30.0" customHeight="1">
      <c r="A9396" s="11"/>
      <c r="B9396" s="11"/>
      <c r="C9396" s="11"/>
      <c r="D9396" s="10" t="s">
        <v>4243</v>
      </c>
    </row>
    <row r="9397" ht="39.75" customHeight="1">
      <c r="A9397" s="10" t="s">
        <v>4116</v>
      </c>
      <c r="B9397" s="10" t="s">
        <v>42</v>
      </c>
      <c r="C9397" s="10" t="s">
        <v>1939</v>
      </c>
      <c r="D9397" s="10" t="s">
        <v>4117</v>
      </c>
      <c r="E9397" s="14">
        <v>0.042</v>
      </c>
      <c r="F9397" s="15">
        <f>ROUND(44.84,3)</f>
        <v>44.84</v>
      </c>
      <c r="G9397" s="12">
        <f t="shared" ref="G9397:G9403" si="1407">ROUND(E9397*F9397,2)</f>
        <v>1.88</v>
      </c>
    </row>
    <row r="9398" ht="48.75" customHeight="1">
      <c r="A9398" s="10" t="s">
        <v>4244</v>
      </c>
      <c r="B9398" s="10" t="s">
        <v>42</v>
      </c>
      <c r="C9398" s="10" t="s">
        <v>226</v>
      </c>
      <c r="D9398" s="10" t="s">
        <v>4245</v>
      </c>
      <c r="E9398" s="14">
        <v>0.1333</v>
      </c>
      <c r="F9398" s="15">
        <f>ROUND(52.5,3)</f>
        <v>52.5</v>
      </c>
      <c r="G9398" s="12">
        <f t="shared" si="1407"/>
        <v>7</v>
      </c>
    </row>
    <row r="9399" ht="21.0" customHeight="1">
      <c r="A9399" s="10" t="s">
        <v>22</v>
      </c>
      <c r="B9399" s="10" t="s">
        <v>18</v>
      </c>
      <c r="C9399" s="10" t="s">
        <v>23</v>
      </c>
      <c r="D9399" s="10" t="s">
        <v>24</v>
      </c>
      <c r="E9399" s="14">
        <v>0.53</v>
      </c>
      <c r="F9399" s="15">
        <f>F9403</f>
        <v>43.8</v>
      </c>
      <c r="G9399" s="12">
        <f t="shared" si="1407"/>
        <v>23.21</v>
      </c>
    </row>
    <row r="9400" ht="24.0" customHeight="1">
      <c r="A9400" s="10" t="s">
        <v>25</v>
      </c>
      <c r="B9400" s="10" t="s">
        <v>26</v>
      </c>
      <c r="C9400" s="10" t="s">
        <v>23</v>
      </c>
      <c r="D9400" s="10" t="s">
        <v>27</v>
      </c>
      <c r="E9400" s="14">
        <v>1.0</v>
      </c>
      <c r="F9400" s="15">
        <f>ROUND(21,3)</f>
        <v>21</v>
      </c>
      <c r="G9400" s="12">
        <f t="shared" si="1407"/>
        <v>21</v>
      </c>
    </row>
    <row r="9401" ht="24.0" customHeight="1">
      <c r="A9401" s="10" t="s">
        <v>28</v>
      </c>
      <c r="B9401" s="10" t="s">
        <v>26</v>
      </c>
      <c r="C9401" s="10" t="s">
        <v>23</v>
      </c>
      <c r="D9401" s="10" t="s">
        <v>29</v>
      </c>
      <c r="E9401" s="14">
        <v>1.0</v>
      </c>
      <c r="F9401" s="15">
        <f t="shared" ref="F9401:F9402" si="1408">ROUND(19,3)</f>
        <v>19</v>
      </c>
      <c r="G9401" s="12">
        <f t="shared" si="1407"/>
        <v>19</v>
      </c>
    </row>
    <row r="9402" ht="24.0" customHeight="1">
      <c r="A9402" s="10" t="s">
        <v>30</v>
      </c>
      <c r="B9402" s="10" t="s">
        <v>26</v>
      </c>
      <c r="C9402" s="10" t="s">
        <v>23</v>
      </c>
      <c r="D9402" s="10" t="s">
        <v>31</v>
      </c>
      <c r="E9402" s="14">
        <v>0.2</v>
      </c>
      <c r="F9402" s="15">
        <f t="shared" si="1408"/>
        <v>19</v>
      </c>
      <c r="G9402" s="12">
        <f t="shared" si="1407"/>
        <v>3.8</v>
      </c>
    </row>
    <row r="9403" ht="15.0" customHeight="1">
      <c r="A9403" s="11"/>
      <c r="B9403" s="11"/>
      <c r="C9403" s="11"/>
      <c r="D9403" s="10" t="s">
        <v>22</v>
      </c>
      <c r="E9403" s="14">
        <v>0.53</v>
      </c>
      <c r="F9403" s="15">
        <f>ROUND((G9400+G9401+G9402),3)</f>
        <v>43.8</v>
      </c>
      <c r="G9403" s="12">
        <f t="shared" si="1407"/>
        <v>23.21</v>
      </c>
    </row>
    <row r="9404" ht="15.0" customHeight="1">
      <c r="A9404" s="10" t="s">
        <v>32</v>
      </c>
      <c r="B9404" s="10"/>
      <c r="C9404" s="10" t="s">
        <v>33</v>
      </c>
      <c r="D9404" s="10" t="s">
        <v>34</v>
      </c>
      <c r="E9404" s="14">
        <v>3.0</v>
      </c>
      <c r="F9404" s="15">
        <f>ROUND(23.21,3)</f>
        <v>23.21</v>
      </c>
      <c r="G9404" s="12">
        <f>ROUND((E9404*F9404)/100,2)</f>
        <v>0.7</v>
      </c>
    </row>
    <row r="9405" ht="15.0" customHeight="1">
      <c r="A9405" s="16"/>
      <c r="B9405" s="16"/>
      <c r="C9405" s="16"/>
      <c r="D9405" s="17" t="s">
        <v>4241</v>
      </c>
      <c r="E9405" s="16"/>
      <c r="F9405" s="18">
        <f>ROUND((G9397+G9398+G9399+G9404)*(1+G2/100),2)</f>
        <v>32.79</v>
      </c>
      <c r="G9405" s="16"/>
    </row>
    <row r="9406" ht="39.75" customHeight="1">
      <c r="A9406" s="19" t="s">
        <v>4246</v>
      </c>
      <c r="B9406" s="20" t="s">
        <v>18</v>
      </c>
      <c r="C9406" s="20" t="s">
        <v>251</v>
      </c>
      <c r="D9406" s="20" t="s">
        <v>4247</v>
      </c>
      <c r="E9406" s="21"/>
      <c r="F9406" s="22">
        <f>F9416</f>
        <v>31.11</v>
      </c>
      <c r="G9406" s="21"/>
    </row>
    <row r="9407" ht="67.5" customHeight="1">
      <c r="A9407" s="11"/>
      <c r="B9407" s="11"/>
      <c r="C9407" s="11"/>
      <c r="D9407" s="10" t="s">
        <v>4248</v>
      </c>
    </row>
    <row r="9408" ht="39.75" customHeight="1">
      <c r="A9408" s="10" t="s">
        <v>4116</v>
      </c>
      <c r="B9408" s="10" t="s">
        <v>42</v>
      </c>
      <c r="C9408" s="10" t="s">
        <v>1939</v>
      </c>
      <c r="D9408" s="10" t="s">
        <v>4117</v>
      </c>
      <c r="E9408" s="14">
        <v>0.042</v>
      </c>
      <c r="F9408" s="15">
        <f>ROUND(44.84,3)</f>
        <v>44.84</v>
      </c>
      <c r="G9408" s="12">
        <f t="shared" ref="G9408:G9414" si="1409">ROUND(E9408*F9408,2)</f>
        <v>1.88</v>
      </c>
    </row>
    <row r="9409" ht="57.75" customHeight="1">
      <c r="A9409" s="10" t="s">
        <v>4249</v>
      </c>
      <c r="B9409" s="10" t="s">
        <v>42</v>
      </c>
      <c r="C9409" s="10" t="s">
        <v>226</v>
      </c>
      <c r="D9409" s="10" t="s">
        <v>4250</v>
      </c>
      <c r="E9409" s="14">
        <v>0.1333</v>
      </c>
      <c r="F9409" s="15">
        <f>ROUND(39.9,3)</f>
        <v>39.9</v>
      </c>
      <c r="G9409" s="12">
        <f t="shared" si="1409"/>
        <v>5.32</v>
      </c>
    </row>
    <row r="9410" ht="21.0" customHeight="1">
      <c r="A9410" s="10" t="s">
        <v>22</v>
      </c>
      <c r="B9410" s="10" t="s">
        <v>18</v>
      </c>
      <c r="C9410" s="10" t="s">
        <v>23</v>
      </c>
      <c r="D9410" s="10" t="s">
        <v>24</v>
      </c>
      <c r="E9410" s="14">
        <v>0.53</v>
      </c>
      <c r="F9410" s="15">
        <f>F9414</f>
        <v>43.8</v>
      </c>
      <c r="G9410" s="12">
        <f t="shared" si="1409"/>
        <v>23.21</v>
      </c>
    </row>
    <row r="9411" ht="24.0" customHeight="1">
      <c r="A9411" s="10" t="s">
        <v>25</v>
      </c>
      <c r="B9411" s="10" t="s">
        <v>26</v>
      </c>
      <c r="C9411" s="10" t="s">
        <v>23</v>
      </c>
      <c r="D9411" s="10" t="s">
        <v>27</v>
      </c>
      <c r="E9411" s="14">
        <v>1.0</v>
      </c>
      <c r="F9411" s="15">
        <f>ROUND(21,3)</f>
        <v>21</v>
      </c>
      <c r="G9411" s="12">
        <f t="shared" si="1409"/>
        <v>21</v>
      </c>
    </row>
    <row r="9412" ht="24.0" customHeight="1">
      <c r="A9412" s="10" t="s">
        <v>28</v>
      </c>
      <c r="B9412" s="10" t="s">
        <v>26</v>
      </c>
      <c r="C9412" s="10" t="s">
        <v>23</v>
      </c>
      <c r="D9412" s="10" t="s">
        <v>29</v>
      </c>
      <c r="E9412" s="14">
        <v>1.0</v>
      </c>
      <c r="F9412" s="15">
        <f t="shared" ref="F9412:F9413" si="1410">ROUND(19,3)</f>
        <v>19</v>
      </c>
      <c r="G9412" s="12">
        <f t="shared" si="1409"/>
        <v>19</v>
      </c>
    </row>
    <row r="9413" ht="24.0" customHeight="1">
      <c r="A9413" s="10" t="s">
        <v>30</v>
      </c>
      <c r="B9413" s="10" t="s">
        <v>26</v>
      </c>
      <c r="C9413" s="10" t="s">
        <v>23</v>
      </c>
      <c r="D9413" s="10" t="s">
        <v>31</v>
      </c>
      <c r="E9413" s="14">
        <v>0.2</v>
      </c>
      <c r="F9413" s="15">
        <f t="shared" si="1410"/>
        <v>19</v>
      </c>
      <c r="G9413" s="12">
        <f t="shared" si="1409"/>
        <v>3.8</v>
      </c>
    </row>
    <row r="9414" ht="15.0" customHeight="1">
      <c r="A9414" s="11"/>
      <c r="B9414" s="11"/>
      <c r="C9414" s="11"/>
      <c r="D9414" s="10" t="s">
        <v>22</v>
      </c>
      <c r="E9414" s="14">
        <v>0.53</v>
      </c>
      <c r="F9414" s="15">
        <f>ROUND((G9411+G9412+G9413),3)</f>
        <v>43.8</v>
      </c>
      <c r="G9414" s="12">
        <f t="shared" si="1409"/>
        <v>23.21</v>
      </c>
    </row>
    <row r="9415" ht="15.0" customHeight="1">
      <c r="A9415" s="10" t="s">
        <v>32</v>
      </c>
      <c r="B9415" s="10"/>
      <c r="C9415" s="10" t="s">
        <v>33</v>
      </c>
      <c r="D9415" s="10" t="s">
        <v>34</v>
      </c>
      <c r="E9415" s="14">
        <v>3.0</v>
      </c>
      <c r="F9415" s="15">
        <f>ROUND(23.21,3)</f>
        <v>23.21</v>
      </c>
      <c r="G9415" s="12">
        <f>ROUND((E9415*F9415)/100,2)</f>
        <v>0.7</v>
      </c>
    </row>
    <row r="9416" ht="15.0" customHeight="1">
      <c r="A9416" s="16"/>
      <c r="B9416" s="16"/>
      <c r="C9416" s="16"/>
      <c r="D9416" s="17" t="s">
        <v>4246</v>
      </c>
      <c r="E9416" s="16"/>
      <c r="F9416" s="18">
        <f>ROUND((G9408+G9409+G9410+G9415)*(1+G2/100),2)</f>
        <v>31.11</v>
      </c>
      <c r="G9416" s="16"/>
    </row>
    <row r="9417" ht="21.0" customHeight="1">
      <c r="A9417" s="19" t="s">
        <v>4251</v>
      </c>
      <c r="B9417" s="20" t="s">
        <v>18</v>
      </c>
      <c r="C9417" s="20" t="s">
        <v>251</v>
      </c>
      <c r="D9417" s="20" t="s">
        <v>4252</v>
      </c>
      <c r="E9417" s="21"/>
      <c r="F9417" s="22">
        <f>F9427</f>
        <v>39.94</v>
      </c>
      <c r="G9417" s="21"/>
    </row>
    <row r="9418" ht="57.75" customHeight="1">
      <c r="A9418" s="11"/>
      <c r="B9418" s="11"/>
      <c r="C9418" s="11"/>
      <c r="D9418" s="10" t="s">
        <v>4253</v>
      </c>
    </row>
    <row r="9419" ht="21.0" customHeight="1">
      <c r="A9419" s="10" t="s">
        <v>4254</v>
      </c>
      <c r="B9419" s="10" t="s">
        <v>42</v>
      </c>
      <c r="C9419" s="10" t="s">
        <v>374</v>
      </c>
      <c r="D9419" s="10" t="s">
        <v>4255</v>
      </c>
      <c r="E9419" s="14">
        <v>0.25</v>
      </c>
      <c r="F9419" s="15">
        <f>ROUND(81.75,3)</f>
        <v>81.75</v>
      </c>
      <c r="G9419" s="12">
        <f t="shared" ref="G9419:G9425" si="1411">ROUND(E9419*F9419,2)</f>
        <v>20.44</v>
      </c>
    </row>
    <row r="9420" ht="48.75" customHeight="1">
      <c r="A9420" s="10" t="s">
        <v>2069</v>
      </c>
      <c r="B9420" s="10" t="s">
        <v>42</v>
      </c>
      <c r="C9420" s="10" t="s">
        <v>184</v>
      </c>
      <c r="D9420" s="10" t="s">
        <v>2070</v>
      </c>
      <c r="E9420" s="14">
        <v>0.252</v>
      </c>
      <c r="F9420" s="15">
        <f>ROUND(10.25,3)</f>
        <v>10.25</v>
      </c>
      <c r="G9420" s="12">
        <f t="shared" si="1411"/>
        <v>2.58</v>
      </c>
    </row>
    <row r="9421" ht="21.0" customHeight="1">
      <c r="A9421" s="10" t="s">
        <v>22</v>
      </c>
      <c r="B9421" s="10" t="s">
        <v>18</v>
      </c>
      <c r="C9421" s="10" t="s">
        <v>23</v>
      </c>
      <c r="D9421" s="10" t="s">
        <v>24</v>
      </c>
      <c r="E9421" s="14">
        <v>0.375</v>
      </c>
      <c r="F9421" s="15">
        <f>F9425</f>
        <v>43.8</v>
      </c>
      <c r="G9421" s="12">
        <f t="shared" si="1411"/>
        <v>16.43</v>
      </c>
    </row>
    <row r="9422" ht="24.0" customHeight="1">
      <c r="A9422" s="10" t="s">
        <v>25</v>
      </c>
      <c r="B9422" s="10" t="s">
        <v>26</v>
      </c>
      <c r="C9422" s="10" t="s">
        <v>23</v>
      </c>
      <c r="D9422" s="10" t="s">
        <v>27</v>
      </c>
      <c r="E9422" s="14">
        <v>1.0</v>
      </c>
      <c r="F9422" s="15">
        <f>ROUND(21,3)</f>
        <v>21</v>
      </c>
      <c r="G9422" s="12">
        <f t="shared" si="1411"/>
        <v>21</v>
      </c>
    </row>
    <row r="9423" ht="24.0" customHeight="1">
      <c r="A9423" s="10" t="s">
        <v>28</v>
      </c>
      <c r="B9423" s="10" t="s">
        <v>26</v>
      </c>
      <c r="C9423" s="10" t="s">
        <v>23</v>
      </c>
      <c r="D9423" s="10" t="s">
        <v>29</v>
      </c>
      <c r="E9423" s="14">
        <v>1.0</v>
      </c>
      <c r="F9423" s="15">
        <f t="shared" ref="F9423:F9424" si="1412">ROUND(19,3)</f>
        <v>19</v>
      </c>
      <c r="G9423" s="12">
        <f t="shared" si="1411"/>
        <v>19</v>
      </c>
    </row>
    <row r="9424" ht="24.0" customHeight="1">
      <c r="A9424" s="10" t="s">
        <v>30</v>
      </c>
      <c r="B9424" s="10" t="s">
        <v>26</v>
      </c>
      <c r="C9424" s="10" t="s">
        <v>23</v>
      </c>
      <c r="D9424" s="10" t="s">
        <v>31</v>
      </c>
      <c r="E9424" s="14">
        <v>0.2</v>
      </c>
      <c r="F9424" s="15">
        <f t="shared" si="1412"/>
        <v>19</v>
      </c>
      <c r="G9424" s="12">
        <f t="shared" si="1411"/>
        <v>3.8</v>
      </c>
    </row>
    <row r="9425" ht="15.0" customHeight="1">
      <c r="A9425" s="11"/>
      <c r="B9425" s="11"/>
      <c r="C9425" s="11"/>
      <c r="D9425" s="10" t="s">
        <v>22</v>
      </c>
      <c r="E9425" s="14">
        <v>0.375</v>
      </c>
      <c r="F9425" s="15">
        <f>ROUND((G9422+G9423+G9424),3)</f>
        <v>43.8</v>
      </c>
      <c r="G9425" s="12">
        <f t="shared" si="1411"/>
        <v>16.43</v>
      </c>
    </row>
    <row r="9426" ht="15.0" customHeight="1">
      <c r="A9426" s="10" t="s">
        <v>32</v>
      </c>
      <c r="B9426" s="10"/>
      <c r="C9426" s="10" t="s">
        <v>33</v>
      </c>
      <c r="D9426" s="10" t="s">
        <v>34</v>
      </c>
      <c r="E9426" s="14">
        <v>3.0</v>
      </c>
      <c r="F9426" s="15">
        <f>ROUND(16.43,3)</f>
        <v>16.43</v>
      </c>
      <c r="G9426" s="12">
        <f>ROUND((E9426*F9426)/100,2)</f>
        <v>0.49</v>
      </c>
    </row>
    <row r="9427" ht="15.0" customHeight="1">
      <c r="A9427" s="16"/>
      <c r="B9427" s="16"/>
      <c r="C9427" s="16"/>
      <c r="D9427" s="17" t="s">
        <v>4251</v>
      </c>
      <c r="E9427" s="16"/>
      <c r="F9427" s="18">
        <f>ROUND((G9419+G9420+G9421+G9426)*(1+G2/100),2)</f>
        <v>39.94</v>
      </c>
      <c r="G9427" s="16"/>
    </row>
    <row r="9428" ht="21.0" customHeight="1">
      <c r="A9428" s="19" t="s">
        <v>4256</v>
      </c>
      <c r="B9428" s="20" t="s">
        <v>18</v>
      </c>
      <c r="C9428" s="20" t="s">
        <v>251</v>
      </c>
      <c r="D9428" s="20" t="s">
        <v>4257</v>
      </c>
      <c r="E9428" s="21"/>
      <c r="F9428" s="22">
        <f>F9438</f>
        <v>27.64</v>
      </c>
      <c r="G9428" s="21"/>
    </row>
    <row r="9429" ht="48.75" customHeight="1">
      <c r="A9429" s="11"/>
      <c r="B9429" s="11"/>
      <c r="C9429" s="11"/>
      <c r="D9429" s="10" t="s">
        <v>4258</v>
      </c>
    </row>
    <row r="9430" ht="48.75" customHeight="1">
      <c r="A9430" s="10" t="s">
        <v>3679</v>
      </c>
      <c r="B9430" s="10" t="s">
        <v>42</v>
      </c>
      <c r="C9430" s="10" t="s">
        <v>43</v>
      </c>
      <c r="D9430" s="10" t="s">
        <v>3680</v>
      </c>
      <c r="E9430" s="14">
        <v>0.177</v>
      </c>
      <c r="F9430" s="15">
        <f>ROUND(37.92,3)</f>
        <v>37.92</v>
      </c>
      <c r="G9430" s="12">
        <f t="shared" ref="G9430:G9436" si="1413">ROUND(E9430*F9430,2)</f>
        <v>6.71</v>
      </c>
    </row>
    <row r="9431" ht="39.75" customHeight="1">
      <c r="A9431" s="10" t="s">
        <v>3681</v>
      </c>
      <c r="B9431" s="10" t="s">
        <v>42</v>
      </c>
      <c r="C9431" s="10" t="s">
        <v>19</v>
      </c>
      <c r="D9431" s="10" t="s">
        <v>3682</v>
      </c>
      <c r="E9431" s="14">
        <v>0.3333</v>
      </c>
      <c r="F9431" s="15">
        <f>ROUND(28.95,3)</f>
        <v>28.95</v>
      </c>
      <c r="G9431" s="12">
        <f t="shared" si="1413"/>
        <v>9.65</v>
      </c>
    </row>
    <row r="9432" ht="21.0" customHeight="1">
      <c r="A9432" s="10" t="s">
        <v>22</v>
      </c>
      <c r="B9432" s="10" t="s">
        <v>18</v>
      </c>
      <c r="C9432" s="10" t="s">
        <v>23</v>
      </c>
      <c r="D9432" s="10" t="s">
        <v>24</v>
      </c>
      <c r="E9432" s="14">
        <v>0.25</v>
      </c>
      <c r="F9432" s="15">
        <f>F9436</f>
        <v>43.8</v>
      </c>
      <c r="G9432" s="12">
        <f t="shared" si="1413"/>
        <v>10.95</v>
      </c>
    </row>
    <row r="9433" ht="24.0" customHeight="1">
      <c r="A9433" s="10" t="s">
        <v>25</v>
      </c>
      <c r="B9433" s="10" t="s">
        <v>26</v>
      </c>
      <c r="C9433" s="10" t="s">
        <v>23</v>
      </c>
      <c r="D9433" s="10" t="s">
        <v>27</v>
      </c>
      <c r="E9433" s="14">
        <v>1.0</v>
      </c>
      <c r="F9433" s="15">
        <f>ROUND(21,3)</f>
        <v>21</v>
      </c>
      <c r="G9433" s="12">
        <f t="shared" si="1413"/>
        <v>21</v>
      </c>
    </row>
    <row r="9434" ht="24.0" customHeight="1">
      <c r="A9434" s="10" t="s">
        <v>28</v>
      </c>
      <c r="B9434" s="10" t="s">
        <v>26</v>
      </c>
      <c r="C9434" s="10" t="s">
        <v>23</v>
      </c>
      <c r="D9434" s="10" t="s">
        <v>29</v>
      </c>
      <c r="E9434" s="14">
        <v>1.0</v>
      </c>
      <c r="F9434" s="15">
        <f t="shared" ref="F9434:F9435" si="1414">ROUND(19,3)</f>
        <v>19</v>
      </c>
      <c r="G9434" s="12">
        <f t="shared" si="1413"/>
        <v>19</v>
      </c>
    </row>
    <row r="9435" ht="24.0" customHeight="1">
      <c r="A9435" s="10" t="s">
        <v>30</v>
      </c>
      <c r="B9435" s="10" t="s">
        <v>26</v>
      </c>
      <c r="C9435" s="10" t="s">
        <v>23</v>
      </c>
      <c r="D9435" s="10" t="s">
        <v>31</v>
      </c>
      <c r="E9435" s="14">
        <v>0.2</v>
      </c>
      <c r="F9435" s="15">
        <f t="shared" si="1414"/>
        <v>19</v>
      </c>
      <c r="G9435" s="12">
        <f t="shared" si="1413"/>
        <v>3.8</v>
      </c>
    </row>
    <row r="9436" ht="15.0" customHeight="1">
      <c r="A9436" s="11"/>
      <c r="B9436" s="11"/>
      <c r="C9436" s="11"/>
      <c r="D9436" s="10" t="s">
        <v>22</v>
      </c>
      <c r="E9436" s="14">
        <v>0.25</v>
      </c>
      <c r="F9436" s="15">
        <f>ROUND((G9433+G9434+G9435),3)</f>
        <v>43.8</v>
      </c>
      <c r="G9436" s="12">
        <f t="shared" si="1413"/>
        <v>10.95</v>
      </c>
    </row>
    <row r="9437" ht="15.0" customHeight="1">
      <c r="A9437" s="10" t="s">
        <v>32</v>
      </c>
      <c r="B9437" s="10"/>
      <c r="C9437" s="10" t="s">
        <v>33</v>
      </c>
      <c r="D9437" s="10" t="s">
        <v>34</v>
      </c>
      <c r="E9437" s="14">
        <v>3.0</v>
      </c>
      <c r="F9437" s="15">
        <f>ROUND(10.95,3)</f>
        <v>10.95</v>
      </c>
      <c r="G9437" s="12">
        <f>ROUND((E9437*F9437)/100,2)</f>
        <v>0.33</v>
      </c>
    </row>
    <row r="9438" ht="15.0" customHeight="1">
      <c r="A9438" s="16"/>
      <c r="B9438" s="16"/>
      <c r="C9438" s="16"/>
      <c r="D9438" s="17" t="s">
        <v>4256</v>
      </c>
      <c r="E9438" s="16"/>
      <c r="F9438" s="18">
        <f>ROUND((G9430+G9431+G9432+G9437)*(1+G2/100),2)</f>
        <v>27.64</v>
      </c>
      <c r="G9438" s="16"/>
    </row>
    <row r="9439" ht="48.75" customHeight="1">
      <c r="A9439" s="19" t="s">
        <v>4259</v>
      </c>
      <c r="B9439" s="20" t="s">
        <v>18</v>
      </c>
      <c r="C9439" s="20" t="s">
        <v>251</v>
      </c>
      <c r="D9439" s="20" t="s">
        <v>4260</v>
      </c>
      <c r="E9439" s="21"/>
      <c r="F9439" s="22">
        <f>F9463</f>
        <v>51.16</v>
      </c>
      <c r="G9439" s="21"/>
    </row>
    <row r="9440" ht="261.0" customHeight="1">
      <c r="A9440" s="11"/>
      <c r="B9440" s="11"/>
      <c r="C9440" s="11"/>
      <c r="D9440" s="10" t="s">
        <v>4261</v>
      </c>
    </row>
    <row r="9441" ht="57.75" customHeight="1">
      <c r="A9441" s="10" t="s">
        <v>4262</v>
      </c>
      <c r="B9441" s="10" t="s">
        <v>42</v>
      </c>
      <c r="C9441" s="10" t="s">
        <v>19</v>
      </c>
      <c r="D9441" s="10" t="s">
        <v>4263</v>
      </c>
      <c r="E9441" s="14">
        <v>1.07</v>
      </c>
      <c r="F9441" s="15">
        <f>ROUND(15.25,3)</f>
        <v>15.25</v>
      </c>
      <c r="G9441" s="12">
        <f t="shared" ref="G9441:G9461" si="1415">ROUND(E9441*F9441,2)</f>
        <v>16.32</v>
      </c>
    </row>
    <row r="9442" ht="39.75" customHeight="1">
      <c r="A9442" s="10" t="s">
        <v>4264</v>
      </c>
      <c r="B9442" s="10" t="s">
        <v>42</v>
      </c>
      <c r="C9442" s="10" t="s">
        <v>4265</v>
      </c>
      <c r="D9442" s="10" t="s">
        <v>4266</v>
      </c>
      <c r="E9442" s="14">
        <v>0.01</v>
      </c>
      <c r="F9442" s="15">
        <f>ROUND(213.56,3)</f>
        <v>213.56</v>
      </c>
      <c r="G9442" s="12">
        <f t="shared" si="1415"/>
        <v>2.14</v>
      </c>
    </row>
    <row r="9443" ht="39.75" customHeight="1">
      <c r="A9443" s="10" t="s">
        <v>4267</v>
      </c>
      <c r="B9443" s="10" t="s">
        <v>42</v>
      </c>
      <c r="C9443" s="10" t="s">
        <v>19</v>
      </c>
      <c r="D9443" s="10" t="s">
        <v>4268</v>
      </c>
      <c r="E9443" s="14">
        <v>0.05914</v>
      </c>
      <c r="F9443" s="15">
        <f>ROUND(3.35,3)</f>
        <v>3.35</v>
      </c>
      <c r="G9443" s="12">
        <f t="shared" si="1415"/>
        <v>0.2</v>
      </c>
    </row>
    <row r="9444" ht="39.75" customHeight="1">
      <c r="A9444" s="10" t="s">
        <v>4269</v>
      </c>
      <c r="B9444" s="10" t="s">
        <v>42</v>
      </c>
      <c r="C9444" s="10" t="s">
        <v>19</v>
      </c>
      <c r="D9444" s="10" t="s">
        <v>4270</v>
      </c>
      <c r="E9444" s="14">
        <v>0.09677</v>
      </c>
      <c r="F9444" s="15">
        <f>ROUND(1.66,3)</f>
        <v>1.66</v>
      </c>
      <c r="G9444" s="12">
        <f t="shared" si="1415"/>
        <v>0.16</v>
      </c>
    </row>
    <row r="9445" ht="39.75" customHeight="1">
      <c r="A9445" s="10" t="s">
        <v>4271</v>
      </c>
      <c r="B9445" s="10" t="s">
        <v>42</v>
      </c>
      <c r="C9445" s="10" t="s">
        <v>19</v>
      </c>
      <c r="D9445" s="10" t="s">
        <v>4272</v>
      </c>
      <c r="E9445" s="14">
        <v>0.15054</v>
      </c>
      <c r="F9445" s="15">
        <f>ROUND(4.16,3)</f>
        <v>4.16</v>
      </c>
      <c r="G9445" s="12">
        <f t="shared" si="1415"/>
        <v>0.63</v>
      </c>
    </row>
    <row r="9446" ht="30.0" customHeight="1">
      <c r="A9446" s="10" t="s">
        <v>4273</v>
      </c>
      <c r="B9446" s="10" t="s">
        <v>42</v>
      </c>
      <c r="C9446" s="10" t="s">
        <v>351</v>
      </c>
      <c r="D9446" s="10" t="s">
        <v>4274</v>
      </c>
      <c r="E9446" s="14">
        <v>0.32258</v>
      </c>
      <c r="F9446" s="15">
        <f>ROUND(2.6,3)</f>
        <v>2.6</v>
      </c>
      <c r="G9446" s="12">
        <f t="shared" si="1415"/>
        <v>0.84</v>
      </c>
    </row>
    <row r="9447" ht="48.75" customHeight="1">
      <c r="A9447" s="10" t="s">
        <v>4275</v>
      </c>
      <c r="B9447" s="10" t="s">
        <v>42</v>
      </c>
      <c r="C9447" s="10" t="s">
        <v>19</v>
      </c>
      <c r="D9447" s="10" t="s">
        <v>4276</v>
      </c>
      <c r="E9447" s="14">
        <v>1.50538</v>
      </c>
      <c r="F9447" s="15">
        <f>ROUND(4.61,3)</f>
        <v>4.61</v>
      </c>
      <c r="G9447" s="12">
        <f t="shared" si="1415"/>
        <v>6.94</v>
      </c>
    </row>
    <row r="9448" ht="48.75" customHeight="1">
      <c r="A9448" s="10" t="s">
        <v>2163</v>
      </c>
      <c r="B9448" s="10" t="s">
        <v>42</v>
      </c>
      <c r="C9448" s="10" t="s">
        <v>344</v>
      </c>
      <c r="D9448" s="10" t="s">
        <v>2164</v>
      </c>
      <c r="E9448" s="14">
        <v>7.0</v>
      </c>
      <c r="F9448" s="15">
        <f>ROUND(0.254,3)</f>
        <v>0.254</v>
      </c>
      <c r="G9448" s="12">
        <f t="shared" si="1415"/>
        <v>1.78</v>
      </c>
    </row>
    <row r="9449" ht="39.75" customHeight="1">
      <c r="A9449" s="10" t="s">
        <v>4277</v>
      </c>
      <c r="B9449" s="10" t="s">
        <v>42</v>
      </c>
      <c r="C9449" s="10" t="s">
        <v>351</v>
      </c>
      <c r="D9449" s="10" t="s">
        <v>4278</v>
      </c>
      <c r="E9449" s="14">
        <v>0.43011</v>
      </c>
      <c r="F9449" s="15">
        <f>ROUND(3.33,3)</f>
        <v>3.33</v>
      </c>
      <c r="G9449" s="12">
        <f t="shared" si="1415"/>
        <v>1.43</v>
      </c>
    </row>
    <row r="9450" ht="21.0" customHeight="1">
      <c r="A9450" s="10" t="s">
        <v>967</v>
      </c>
      <c r="B9450" s="10" t="s">
        <v>42</v>
      </c>
      <c r="C9450" s="10" t="s">
        <v>325</v>
      </c>
      <c r="D9450" s="10" t="s">
        <v>968</v>
      </c>
      <c r="E9450" s="14">
        <v>0.03226</v>
      </c>
      <c r="F9450" s="15">
        <f>ROUND(6.49,3)</f>
        <v>6.49</v>
      </c>
      <c r="G9450" s="12">
        <f t="shared" si="1415"/>
        <v>0.21</v>
      </c>
    </row>
    <row r="9451" ht="30.0" customHeight="1">
      <c r="A9451" s="10" t="s">
        <v>1862</v>
      </c>
      <c r="B9451" s="10" t="s">
        <v>42</v>
      </c>
      <c r="C9451" s="10" t="s">
        <v>1245</v>
      </c>
      <c r="D9451" s="10" t="s">
        <v>1863</v>
      </c>
      <c r="E9451" s="14">
        <v>0.32</v>
      </c>
      <c r="F9451" s="15">
        <f>ROUND(6.32,3)</f>
        <v>6.32</v>
      </c>
      <c r="G9451" s="12">
        <f t="shared" si="1415"/>
        <v>2.02</v>
      </c>
    </row>
    <row r="9452" ht="30.0" customHeight="1">
      <c r="A9452" s="10" t="s">
        <v>1813</v>
      </c>
      <c r="B9452" s="10" t="s">
        <v>42</v>
      </c>
      <c r="C9452" s="10" t="s">
        <v>43</v>
      </c>
      <c r="D9452" s="10" t="s">
        <v>1814</v>
      </c>
      <c r="E9452" s="14">
        <v>0.16</v>
      </c>
      <c r="F9452" s="15">
        <f>ROUND(6.19,3)</f>
        <v>6.19</v>
      </c>
      <c r="G9452" s="12">
        <f t="shared" si="1415"/>
        <v>0.99</v>
      </c>
    </row>
    <row r="9453" ht="39.75" customHeight="1">
      <c r="A9453" s="10" t="s">
        <v>4138</v>
      </c>
      <c r="B9453" s="10" t="s">
        <v>42</v>
      </c>
      <c r="C9453" s="10" t="s">
        <v>344</v>
      </c>
      <c r="D9453" s="10" t="s">
        <v>4139</v>
      </c>
      <c r="E9453" s="14">
        <v>0.06452</v>
      </c>
      <c r="F9453" s="15">
        <f>ROUND(8.84,3)</f>
        <v>8.84</v>
      </c>
      <c r="G9453" s="12">
        <f t="shared" si="1415"/>
        <v>0.57</v>
      </c>
    </row>
    <row r="9454" ht="30.0" customHeight="1">
      <c r="A9454" s="10" t="s">
        <v>971</v>
      </c>
      <c r="B9454" s="10" t="s">
        <v>42</v>
      </c>
      <c r="C9454" s="10" t="s">
        <v>231</v>
      </c>
      <c r="D9454" s="10" t="s">
        <v>972</v>
      </c>
      <c r="E9454" s="14">
        <v>0.05376</v>
      </c>
      <c r="F9454" s="15">
        <f>ROUND(4.92,3)</f>
        <v>4.92</v>
      </c>
      <c r="G9454" s="12">
        <f t="shared" si="1415"/>
        <v>0.26</v>
      </c>
    </row>
    <row r="9455" ht="21.0" customHeight="1">
      <c r="A9455" s="10" t="s">
        <v>969</v>
      </c>
      <c r="B9455" s="10" t="s">
        <v>112</v>
      </c>
      <c r="C9455" s="10" t="s">
        <v>23</v>
      </c>
      <c r="D9455" s="10" t="s">
        <v>970</v>
      </c>
      <c r="E9455" s="14">
        <v>0.2</v>
      </c>
      <c r="F9455" s="15">
        <f>ROUND(2,3)</f>
        <v>2</v>
      </c>
      <c r="G9455" s="12">
        <f t="shared" si="1415"/>
        <v>0.4</v>
      </c>
    </row>
    <row r="9456" ht="24.0" customHeight="1">
      <c r="A9456" s="10" t="s">
        <v>4279</v>
      </c>
      <c r="B9456" s="10" t="s">
        <v>42</v>
      </c>
      <c r="C9456" s="10" t="s">
        <v>4280</v>
      </c>
      <c r="D9456" s="10" t="s">
        <v>4281</v>
      </c>
      <c r="E9456" s="14">
        <v>0.03226</v>
      </c>
      <c r="F9456" s="15">
        <f>ROUND(15,3)</f>
        <v>15</v>
      </c>
      <c r="G9456" s="12">
        <f t="shared" si="1415"/>
        <v>0.48</v>
      </c>
    </row>
    <row r="9457" ht="21.0" customHeight="1">
      <c r="A9457" s="10" t="s">
        <v>22</v>
      </c>
      <c r="B9457" s="10" t="s">
        <v>18</v>
      </c>
      <c r="C9457" s="10" t="s">
        <v>23</v>
      </c>
      <c r="D9457" s="10" t="s">
        <v>24</v>
      </c>
      <c r="E9457" s="14">
        <v>0.35</v>
      </c>
      <c r="F9457" s="15">
        <f>F9461</f>
        <v>43.8</v>
      </c>
      <c r="G9457" s="12">
        <f t="shared" si="1415"/>
        <v>15.33</v>
      </c>
    </row>
    <row r="9458" ht="24.0" customHeight="1">
      <c r="A9458" s="10" t="s">
        <v>25</v>
      </c>
      <c r="B9458" s="10" t="s">
        <v>26</v>
      </c>
      <c r="C9458" s="10" t="s">
        <v>23</v>
      </c>
      <c r="D9458" s="10" t="s">
        <v>27</v>
      </c>
      <c r="E9458" s="14">
        <v>1.0</v>
      </c>
      <c r="F9458" s="15">
        <f>ROUND(21,3)</f>
        <v>21</v>
      </c>
      <c r="G9458" s="12">
        <f t="shared" si="1415"/>
        <v>21</v>
      </c>
    </row>
    <row r="9459" ht="24.0" customHeight="1">
      <c r="A9459" s="10" t="s">
        <v>28</v>
      </c>
      <c r="B9459" s="10" t="s">
        <v>26</v>
      </c>
      <c r="C9459" s="10" t="s">
        <v>23</v>
      </c>
      <c r="D9459" s="10" t="s">
        <v>29</v>
      </c>
      <c r="E9459" s="14">
        <v>1.0</v>
      </c>
      <c r="F9459" s="15">
        <f t="shared" ref="F9459:F9460" si="1416">ROUND(19,3)</f>
        <v>19</v>
      </c>
      <c r="G9459" s="12">
        <f t="shared" si="1415"/>
        <v>19</v>
      </c>
    </row>
    <row r="9460" ht="24.0" customHeight="1">
      <c r="A9460" s="10" t="s">
        <v>30</v>
      </c>
      <c r="B9460" s="10" t="s">
        <v>26</v>
      </c>
      <c r="C9460" s="10" t="s">
        <v>23</v>
      </c>
      <c r="D9460" s="10" t="s">
        <v>31</v>
      </c>
      <c r="E9460" s="14">
        <v>0.2</v>
      </c>
      <c r="F9460" s="15">
        <f t="shared" si="1416"/>
        <v>19</v>
      </c>
      <c r="G9460" s="12">
        <f t="shared" si="1415"/>
        <v>3.8</v>
      </c>
    </row>
    <row r="9461" ht="15.0" customHeight="1">
      <c r="A9461" s="11"/>
      <c r="B9461" s="11"/>
      <c r="C9461" s="11"/>
      <c r="D9461" s="10" t="s">
        <v>22</v>
      </c>
      <c r="E9461" s="14">
        <v>0.35</v>
      </c>
      <c r="F9461" s="15">
        <f>ROUND((G9458+G9459+G9460),3)</f>
        <v>43.8</v>
      </c>
      <c r="G9461" s="12">
        <f t="shared" si="1415"/>
        <v>15.33</v>
      </c>
    </row>
    <row r="9462" ht="15.0" customHeight="1">
      <c r="A9462" s="10" t="s">
        <v>32</v>
      </c>
      <c r="B9462" s="10"/>
      <c r="C9462" s="10" t="s">
        <v>33</v>
      </c>
      <c r="D9462" s="10" t="s">
        <v>34</v>
      </c>
      <c r="E9462" s="14">
        <v>3.0</v>
      </c>
      <c r="F9462" s="15">
        <f>ROUND(15.33,3)</f>
        <v>15.33</v>
      </c>
      <c r="G9462" s="12">
        <f>ROUND((E9462*F9462)/100,2)</f>
        <v>0.46</v>
      </c>
    </row>
    <row r="9463" ht="15.0" customHeight="1">
      <c r="A9463" s="16"/>
      <c r="B9463" s="16"/>
      <c r="C9463" s="16"/>
      <c r="D9463" s="17" t="s">
        <v>4259</v>
      </c>
      <c r="E9463" s="16"/>
      <c r="F9463" s="18">
        <f>ROUND((G9441+G9442+G9443+G9444+G9445+G9446+G9447+G9448+G9449+G9450+G9451+G9452+G9453+G9454+G9455+G9456+G9457+G9462)*(1+G2/100),2)</f>
        <v>51.16</v>
      </c>
      <c r="G9463" s="16"/>
    </row>
    <row r="9464" ht="21.0" customHeight="1">
      <c r="A9464" s="19" t="s">
        <v>4282</v>
      </c>
      <c r="B9464" s="20" t="s">
        <v>18</v>
      </c>
      <c r="C9464" s="20" t="s">
        <v>295</v>
      </c>
      <c r="D9464" s="20" t="s">
        <v>4283</v>
      </c>
      <c r="E9464" s="21"/>
      <c r="F9464" s="22">
        <f>F9476</f>
        <v>74.75</v>
      </c>
      <c r="G9464" s="21"/>
    </row>
    <row r="9465" ht="21.0" customHeight="1">
      <c r="A9465" s="11"/>
      <c r="B9465" s="11"/>
      <c r="C9465" s="11"/>
      <c r="D9465" s="10" t="s">
        <v>4284</v>
      </c>
    </row>
    <row r="9466" ht="30.0" customHeight="1">
      <c r="A9466" s="10" t="s">
        <v>4285</v>
      </c>
      <c r="B9466" s="10" t="s">
        <v>42</v>
      </c>
      <c r="C9466" s="10" t="s">
        <v>351</v>
      </c>
      <c r="D9466" s="10" t="s">
        <v>4286</v>
      </c>
      <c r="E9466" s="14">
        <v>1.0</v>
      </c>
      <c r="F9466" s="15">
        <f>ROUND(14.6,3)</f>
        <v>14.6</v>
      </c>
      <c r="G9466" s="12">
        <f t="shared" ref="G9466:G9474" si="1417">ROUND(E9466*F9466,2)</f>
        <v>14.6</v>
      </c>
    </row>
    <row r="9467" ht="39.75" customHeight="1">
      <c r="A9467" s="10" t="s">
        <v>4287</v>
      </c>
      <c r="B9467" s="10" t="s">
        <v>42</v>
      </c>
      <c r="C9467" s="10" t="s">
        <v>325</v>
      </c>
      <c r="D9467" s="10" t="s">
        <v>4288</v>
      </c>
      <c r="E9467" s="14">
        <v>0.1</v>
      </c>
      <c r="F9467" s="15">
        <f>ROUND(23.83,3)</f>
        <v>23.83</v>
      </c>
      <c r="G9467" s="12">
        <f t="shared" si="1417"/>
        <v>2.38</v>
      </c>
    </row>
    <row r="9468" ht="39.75" customHeight="1">
      <c r="A9468" s="10" t="s">
        <v>2453</v>
      </c>
      <c r="B9468" s="10" t="s">
        <v>42</v>
      </c>
      <c r="C9468" s="10" t="s">
        <v>330</v>
      </c>
      <c r="D9468" s="10" t="s">
        <v>2454</v>
      </c>
      <c r="E9468" s="14">
        <v>0.5</v>
      </c>
      <c r="F9468" s="15">
        <f>ROUND(16.67,3)</f>
        <v>16.67</v>
      </c>
      <c r="G9468" s="12">
        <f t="shared" si="1417"/>
        <v>8.34</v>
      </c>
    </row>
    <row r="9469" ht="30.0" customHeight="1">
      <c r="A9469" s="10" t="s">
        <v>1616</v>
      </c>
      <c r="B9469" s="10" t="s">
        <v>42</v>
      </c>
      <c r="C9469" s="10" t="s">
        <v>304</v>
      </c>
      <c r="D9469" s="10" t="s">
        <v>1617</v>
      </c>
      <c r="E9469" s="14">
        <v>0.65</v>
      </c>
      <c r="F9469" s="15">
        <f>ROUND(6.64,3)</f>
        <v>6.64</v>
      </c>
      <c r="G9469" s="12">
        <f t="shared" si="1417"/>
        <v>4.32</v>
      </c>
    </row>
    <row r="9470" ht="21.0" customHeight="1">
      <c r="A9470" s="10" t="s">
        <v>22</v>
      </c>
      <c r="B9470" s="10" t="s">
        <v>18</v>
      </c>
      <c r="C9470" s="10" t="s">
        <v>23</v>
      </c>
      <c r="D9470" s="10" t="s">
        <v>24</v>
      </c>
      <c r="E9470" s="14">
        <v>1.0</v>
      </c>
      <c r="F9470" s="15">
        <f>F9474</f>
        <v>43.8</v>
      </c>
      <c r="G9470" s="12">
        <f t="shared" si="1417"/>
        <v>43.8</v>
      </c>
    </row>
    <row r="9471" ht="24.0" customHeight="1">
      <c r="A9471" s="10" t="s">
        <v>25</v>
      </c>
      <c r="B9471" s="10" t="s">
        <v>26</v>
      </c>
      <c r="C9471" s="10" t="s">
        <v>23</v>
      </c>
      <c r="D9471" s="10" t="s">
        <v>27</v>
      </c>
      <c r="E9471" s="14">
        <v>1.0</v>
      </c>
      <c r="F9471" s="15">
        <f>ROUND(21,3)</f>
        <v>21</v>
      </c>
      <c r="G9471" s="12">
        <f t="shared" si="1417"/>
        <v>21</v>
      </c>
    </row>
    <row r="9472" ht="24.0" customHeight="1">
      <c r="A9472" s="10" t="s">
        <v>28</v>
      </c>
      <c r="B9472" s="10" t="s">
        <v>26</v>
      </c>
      <c r="C9472" s="10" t="s">
        <v>23</v>
      </c>
      <c r="D9472" s="10" t="s">
        <v>29</v>
      </c>
      <c r="E9472" s="14">
        <v>1.0</v>
      </c>
      <c r="F9472" s="15">
        <f t="shared" ref="F9472:F9473" si="1418">ROUND(19,3)</f>
        <v>19</v>
      </c>
      <c r="G9472" s="12">
        <f t="shared" si="1417"/>
        <v>19</v>
      </c>
    </row>
    <row r="9473" ht="24.0" customHeight="1">
      <c r="A9473" s="10" t="s">
        <v>30</v>
      </c>
      <c r="B9473" s="10" t="s">
        <v>26</v>
      </c>
      <c r="C9473" s="10" t="s">
        <v>23</v>
      </c>
      <c r="D9473" s="10" t="s">
        <v>31</v>
      </c>
      <c r="E9473" s="14">
        <v>0.2</v>
      </c>
      <c r="F9473" s="15">
        <f t="shared" si="1418"/>
        <v>19</v>
      </c>
      <c r="G9473" s="12">
        <f t="shared" si="1417"/>
        <v>3.8</v>
      </c>
    </row>
    <row r="9474" ht="15.0" customHeight="1">
      <c r="A9474" s="11"/>
      <c r="B9474" s="11"/>
      <c r="C9474" s="11"/>
      <c r="D9474" s="10" t="s">
        <v>22</v>
      </c>
      <c r="E9474" s="14">
        <v>1.0</v>
      </c>
      <c r="F9474" s="15">
        <f>ROUND((G9471+G9472+G9473),3)</f>
        <v>43.8</v>
      </c>
      <c r="G9474" s="12">
        <f t="shared" si="1417"/>
        <v>43.8</v>
      </c>
    </row>
    <row r="9475" ht="15.0" customHeight="1">
      <c r="A9475" s="10" t="s">
        <v>32</v>
      </c>
      <c r="B9475" s="10"/>
      <c r="C9475" s="10" t="s">
        <v>33</v>
      </c>
      <c r="D9475" s="10" t="s">
        <v>34</v>
      </c>
      <c r="E9475" s="14">
        <v>3.0</v>
      </c>
      <c r="F9475" s="15">
        <f>ROUND(43.8,3)</f>
        <v>43.8</v>
      </c>
      <c r="G9475" s="12">
        <f>ROUND((E9475*F9475)/100,2)</f>
        <v>1.31</v>
      </c>
    </row>
    <row r="9476" ht="15.0" customHeight="1">
      <c r="A9476" s="16"/>
      <c r="B9476" s="16"/>
      <c r="C9476" s="16"/>
      <c r="D9476" s="17" t="s">
        <v>4282</v>
      </c>
      <c r="E9476" s="16"/>
      <c r="F9476" s="18">
        <f>ROUND((G9466+G9467+G9468+G9469+G9470+G9475)*(1+G2/100),2)</f>
        <v>74.75</v>
      </c>
      <c r="G9476" s="16"/>
    </row>
    <row r="9477" ht="30.0" customHeight="1">
      <c r="A9477" s="19" t="s">
        <v>4289</v>
      </c>
      <c r="B9477" s="20" t="s">
        <v>18</v>
      </c>
      <c r="C9477" s="20" t="s">
        <v>321</v>
      </c>
      <c r="D9477" s="20" t="s">
        <v>4290</v>
      </c>
      <c r="E9477" s="21"/>
      <c r="F9477" s="22">
        <f>F9487</f>
        <v>101.39</v>
      </c>
      <c r="G9477" s="21"/>
    </row>
    <row r="9478" ht="30.0" customHeight="1">
      <c r="A9478" s="11"/>
      <c r="B9478" s="11"/>
      <c r="C9478" s="11"/>
      <c r="D9478" s="10" t="s">
        <v>4291</v>
      </c>
    </row>
    <row r="9479" ht="15.0" customHeight="1">
      <c r="A9479" s="10" t="s">
        <v>4292</v>
      </c>
      <c r="B9479" s="10" t="s">
        <v>42</v>
      </c>
      <c r="C9479" s="10" t="s">
        <v>351</v>
      </c>
      <c r="D9479" s="10" t="s">
        <v>4293</v>
      </c>
      <c r="E9479" s="14">
        <v>1.1</v>
      </c>
      <c r="F9479" s="15">
        <f>ROUND(49,3)</f>
        <v>49</v>
      </c>
      <c r="G9479" s="12">
        <f t="shared" ref="G9479:G9485" si="1419">ROUND(E9479*F9479,2)</f>
        <v>53.9</v>
      </c>
    </row>
    <row r="9480" ht="39.75" customHeight="1">
      <c r="A9480" s="10" t="s">
        <v>4287</v>
      </c>
      <c r="B9480" s="10" t="s">
        <v>42</v>
      </c>
      <c r="C9480" s="10" t="s">
        <v>325</v>
      </c>
      <c r="D9480" s="10" t="s">
        <v>4288</v>
      </c>
      <c r="E9480" s="14">
        <v>0.1</v>
      </c>
      <c r="F9480" s="15">
        <f>ROUND(23.83,3)</f>
        <v>23.83</v>
      </c>
      <c r="G9480" s="12">
        <f t="shared" si="1419"/>
        <v>2.38</v>
      </c>
    </row>
    <row r="9481" ht="21.0" customHeight="1">
      <c r="A9481" s="10" t="s">
        <v>22</v>
      </c>
      <c r="B9481" s="10" t="s">
        <v>18</v>
      </c>
      <c r="C9481" s="10" t="s">
        <v>23</v>
      </c>
      <c r="D9481" s="10" t="s">
        <v>24</v>
      </c>
      <c r="E9481" s="14">
        <v>1.0</v>
      </c>
      <c r="F9481" s="15">
        <f>F9485</f>
        <v>43.8</v>
      </c>
      <c r="G9481" s="12">
        <f t="shared" si="1419"/>
        <v>43.8</v>
      </c>
    </row>
    <row r="9482" ht="24.0" customHeight="1">
      <c r="A9482" s="10" t="s">
        <v>25</v>
      </c>
      <c r="B9482" s="10" t="s">
        <v>26</v>
      </c>
      <c r="C9482" s="10" t="s">
        <v>23</v>
      </c>
      <c r="D9482" s="10" t="s">
        <v>27</v>
      </c>
      <c r="E9482" s="14">
        <v>1.0</v>
      </c>
      <c r="F9482" s="15">
        <f>ROUND(21,3)</f>
        <v>21</v>
      </c>
      <c r="G9482" s="12">
        <f t="shared" si="1419"/>
        <v>21</v>
      </c>
    </row>
    <row r="9483" ht="24.0" customHeight="1">
      <c r="A9483" s="10" t="s">
        <v>28</v>
      </c>
      <c r="B9483" s="10" t="s">
        <v>26</v>
      </c>
      <c r="C9483" s="10" t="s">
        <v>23</v>
      </c>
      <c r="D9483" s="10" t="s">
        <v>29</v>
      </c>
      <c r="E9483" s="14">
        <v>1.0</v>
      </c>
      <c r="F9483" s="15">
        <f t="shared" ref="F9483:F9484" si="1420">ROUND(19,3)</f>
        <v>19</v>
      </c>
      <c r="G9483" s="12">
        <f t="shared" si="1419"/>
        <v>19</v>
      </c>
    </row>
    <row r="9484" ht="24.0" customHeight="1">
      <c r="A9484" s="10" t="s">
        <v>30</v>
      </c>
      <c r="B9484" s="10" t="s">
        <v>26</v>
      </c>
      <c r="C9484" s="10" t="s">
        <v>23</v>
      </c>
      <c r="D9484" s="10" t="s">
        <v>31</v>
      </c>
      <c r="E9484" s="14">
        <v>0.2</v>
      </c>
      <c r="F9484" s="15">
        <f t="shared" si="1420"/>
        <v>19</v>
      </c>
      <c r="G9484" s="12">
        <f t="shared" si="1419"/>
        <v>3.8</v>
      </c>
    </row>
    <row r="9485" ht="15.0" customHeight="1">
      <c r="A9485" s="11"/>
      <c r="B9485" s="11"/>
      <c r="C9485" s="11"/>
      <c r="D9485" s="10" t="s">
        <v>22</v>
      </c>
      <c r="E9485" s="14">
        <v>1.0</v>
      </c>
      <c r="F9485" s="15">
        <f>ROUND((G9482+G9483+G9484),3)</f>
        <v>43.8</v>
      </c>
      <c r="G9485" s="12">
        <f t="shared" si="1419"/>
        <v>43.8</v>
      </c>
    </row>
    <row r="9486" ht="15.0" customHeight="1">
      <c r="A9486" s="10" t="s">
        <v>32</v>
      </c>
      <c r="B9486" s="10"/>
      <c r="C9486" s="10" t="s">
        <v>33</v>
      </c>
      <c r="D9486" s="10" t="s">
        <v>34</v>
      </c>
      <c r="E9486" s="14">
        <v>3.0</v>
      </c>
      <c r="F9486" s="15">
        <f>ROUND(43.8,3)</f>
        <v>43.8</v>
      </c>
      <c r="G9486" s="12">
        <f>ROUND((E9486*F9486)/100,2)</f>
        <v>1.31</v>
      </c>
    </row>
    <row r="9487" ht="15.0" customHeight="1">
      <c r="A9487" s="16"/>
      <c r="B9487" s="16"/>
      <c r="C9487" s="16"/>
      <c r="D9487" s="17" t="s">
        <v>4289</v>
      </c>
      <c r="E9487" s="16"/>
      <c r="F9487" s="18">
        <f>ROUND((G9479+G9480+G9481+G9486)*(1+G2/100),2)</f>
        <v>101.39</v>
      </c>
      <c r="G9487" s="16"/>
    </row>
    <row r="9488" ht="30.0" customHeight="1">
      <c r="A9488" s="19" t="s">
        <v>4294</v>
      </c>
      <c r="B9488" s="20" t="s">
        <v>18</v>
      </c>
      <c r="C9488" s="20" t="s">
        <v>251</v>
      </c>
      <c r="D9488" s="20" t="s">
        <v>4295</v>
      </c>
      <c r="E9488" s="21"/>
      <c r="F9488" s="22">
        <f>F9498</f>
        <v>26.5</v>
      </c>
      <c r="G9488" s="21"/>
    </row>
    <row r="9489" ht="30.0" customHeight="1">
      <c r="A9489" s="11"/>
      <c r="B9489" s="11"/>
      <c r="C9489" s="11"/>
      <c r="D9489" s="10" t="s">
        <v>4296</v>
      </c>
    </row>
    <row r="9490" ht="39.75" customHeight="1">
      <c r="A9490" s="10" t="s">
        <v>4297</v>
      </c>
      <c r="B9490" s="10" t="s">
        <v>42</v>
      </c>
      <c r="C9490" s="10" t="s">
        <v>1939</v>
      </c>
      <c r="D9490" s="10" t="s">
        <v>4298</v>
      </c>
      <c r="E9490" s="14">
        <v>0.05</v>
      </c>
      <c r="F9490" s="15">
        <f>ROUND(36.06,3)</f>
        <v>36.06</v>
      </c>
      <c r="G9490" s="12">
        <f t="shared" ref="G9490:G9496" si="1421">ROUND(E9490*F9490,2)</f>
        <v>1.8</v>
      </c>
    </row>
    <row r="9491" ht="30.0" customHeight="1">
      <c r="A9491" s="10" t="s">
        <v>4299</v>
      </c>
      <c r="B9491" s="10" t="s">
        <v>42</v>
      </c>
      <c r="C9491" s="10" t="s">
        <v>1939</v>
      </c>
      <c r="D9491" s="10" t="s">
        <v>4300</v>
      </c>
      <c r="E9491" s="14">
        <v>0.05</v>
      </c>
      <c r="F9491" s="15">
        <f>ROUND(42.84,3)</f>
        <v>42.84</v>
      </c>
      <c r="G9491" s="12">
        <f t="shared" si="1421"/>
        <v>2.14</v>
      </c>
    </row>
    <row r="9492" ht="21.0" customHeight="1">
      <c r="A9492" s="10" t="s">
        <v>22</v>
      </c>
      <c r="B9492" s="10" t="s">
        <v>18</v>
      </c>
      <c r="C9492" s="10" t="s">
        <v>23</v>
      </c>
      <c r="D9492" s="10" t="s">
        <v>24</v>
      </c>
      <c r="E9492" s="14">
        <v>0.5</v>
      </c>
      <c r="F9492" s="15">
        <f>F9496</f>
        <v>43.8</v>
      </c>
      <c r="G9492" s="12">
        <f t="shared" si="1421"/>
        <v>21.9</v>
      </c>
    </row>
    <row r="9493" ht="24.0" customHeight="1">
      <c r="A9493" s="10" t="s">
        <v>25</v>
      </c>
      <c r="B9493" s="10" t="s">
        <v>26</v>
      </c>
      <c r="C9493" s="10" t="s">
        <v>23</v>
      </c>
      <c r="D9493" s="10" t="s">
        <v>27</v>
      </c>
      <c r="E9493" s="14">
        <v>1.0</v>
      </c>
      <c r="F9493" s="15">
        <f>ROUND(21,3)</f>
        <v>21</v>
      </c>
      <c r="G9493" s="12">
        <f t="shared" si="1421"/>
        <v>21</v>
      </c>
    </row>
    <row r="9494" ht="24.0" customHeight="1">
      <c r="A9494" s="10" t="s">
        <v>28</v>
      </c>
      <c r="B9494" s="10" t="s">
        <v>26</v>
      </c>
      <c r="C9494" s="10" t="s">
        <v>23</v>
      </c>
      <c r="D9494" s="10" t="s">
        <v>29</v>
      </c>
      <c r="E9494" s="14">
        <v>1.0</v>
      </c>
      <c r="F9494" s="15">
        <f t="shared" ref="F9494:F9495" si="1422">ROUND(19,3)</f>
        <v>19</v>
      </c>
      <c r="G9494" s="12">
        <f t="shared" si="1421"/>
        <v>19</v>
      </c>
    </row>
    <row r="9495" ht="24.0" customHeight="1">
      <c r="A9495" s="10" t="s">
        <v>30</v>
      </c>
      <c r="B9495" s="10" t="s">
        <v>26</v>
      </c>
      <c r="C9495" s="10" t="s">
        <v>23</v>
      </c>
      <c r="D9495" s="10" t="s">
        <v>31</v>
      </c>
      <c r="E9495" s="14">
        <v>0.2</v>
      </c>
      <c r="F9495" s="15">
        <f t="shared" si="1422"/>
        <v>19</v>
      </c>
      <c r="G9495" s="12">
        <f t="shared" si="1421"/>
        <v>3.8</v>
      </c>
    </row>
    <row r="9496" ht="15.0" customHeight="1">
      <c r="A9496" s="11"/>
      <c r="B9496" s="11"/>
      <c r="C9496" s="11"/>
      <c r="D9496" s="10" t="s">
        <v>22</v>
      </c>
      <c r="E9496" s="14">
        <v>0.5</v>
      </c>
      <c r="F9496" s="15">
        <f>ROUND((G9493+G9494+G9495),3)</f>
        <v>43.8</v>
      </c>
      <c r="G9496" s="12">
        <f t="shared" si="1421"/>
        <v>21.9</v>
      </c>
    </row>
    <row r="9497" ht="15.0" customHeight="1">
      <c r="A9497" s="10" t="s">
        <v>32</v>
      </c>
      <c r="B9497" s="10"/>
      <c r="C9497" s="10" t="s">
        <v>33</v>
      </c>
      <c r="D9497" s="10" t="s">
        <v>34</v>
      </c>
      <c r="E9497" s="14">
        <v>3.0</v>
      </c>
      <c r="F9497" s="15">
        <f>ROUND(21.9,3)</f>
        <v>21.9</v>
      </c>
      <c r="G9497" s="12">
        <f>ROUND((E9497*F9497)/100,2)</f>
        <v>0.66</v>
      </c>
    </row>
    <row r="9498" ht="15.0" customHeight="1">
      <c r="A9498" s="16"/>
      <c r="B9498" s="16"/>
      <c r="C9498" s="16"/>
      <c r="D9498" s="17" t="s">
        <v>4294</v>
      </c>
      <c r="E9498" s="16"/>
      <c r="F9498" s="18">
        <f>ROUND((G9490+G9491+G9492+G9497)*(1+G2/100),2)</f>
        <v>26.5</v>
      </c>
      <c r="G9498" s="16"/>
    </row>
    <row r="9499" ht="21.0" customHeight="1">
      <c r="A9499" s="19" t="s">
        <v>4301</v>
      </c>
      <c r="B9499" s="20" t="s">
        <v>18</v>
      </c>
      <c r="C9499" s="20" t="s">
        <v>251</v>
      </c>
      <c r="D9499" s="20" t="s">
        <v>4302</v>
      </c>
      <c r="E9499" s="21"/>
      <c r="F9499" s="22">
        <f>F9516</f>
        <v>36.86</v>
      </c>
      <c r="G9499" s="21"/>
    </row>
    <row r="9500" ht="12.0" customHeight="1">
      <c r="A9500" s="11"/>
      <c r="B9500" s="11"/>
      <c r="C9500" s="11"/>
      <c r="D9500" s="10" t="s">
        <v>4303</v>
      </c>
    </row>
    <row r="9501" ht="30.0" customHeight="1">
      <c r="A9501" s="10" t="s">
        <v>4304</v>
      </c>
      <c r="B9501" s="10" t="s">
        <v>42</v>
      </c>
      <c r="C9501" s="10" t="s">
        <v>1881</v>
      </c>
      <c r="D9501" s="10" t="s">
        <v>4305</v>
      </c>
      <c r="E9501" s="14">
        <v>0.55</v>
      </c>
      <c r="F9501" s="15">
        <f>ROUND(20.91,3)</f>
        <v>20.91</v>
      </c>
      <c r="G9501" s="12">
        <f t="shared" ref="G9501:G9514" si="1423">ROUND(E9501*F9501,2)</f>
        <v>11.5</v>
      </c>
    </row>
    <row r="9502" ht="39.75" customHeight="1">
      <c r="A9502" s="10" t="s">
        <v>4306</v>
      </c>
      <c r="B9502" s="10" t="s">
        <v>42</v>
      </c>
      <c r="C9502" s="10" t="s">
        <v>344</v>
      </c>
      <c r="D9502" s="10" t="s">
        <v>4307</v>
      </c>
      <c r="E9502" s="14">
        <v>0.23625</v>
      </c>
      <c r="F9502" s="15">
        <f>ROUND(9.75,3)</f>
        <v>9.75</v>
      </c>
      <c r="G9502" s="12">
        <f t="shared" si="1423"/>
        <v>2.3</v>
      </c>
    </row>
    <row r="9503" ht="30.0" customHeight="1">
      <c r="A9503" s="10" t="s">
        <v>4308</v>
      </c>
      <c r="B9503" s="10" t="s">
        <v>42</v>
      </c>
      <c r="C9503" s="10" t="s">
        <v>344</v>
      </c>
      <c r="D9503" s="10" t="s">
        <v>4309</v>
      </c>
      <c r="E9503" s="14">
        <v>0.7</v>
      </c>
      <c r="F9503" s="15">
        <f>ROUND(2.92,3)</f>
        <v>2.92</v>
      </c>
      <c r="G9503" s="12">
        <f t="shared" si="1423"/>
        <v>2.04</v>
      </c>
    </row>
    <row r="9504" ht="30.0" customHeight="1">
      <c r="A9504" s="10" t="s">
        <v>4310</v>
      </c>
      <c r="B9504" s="10" t="s">
        <v>42</v>
      </c>
      <c r="C9504" s="10" t="s">
        <v>226</v>
      </c>
      <c r="D9504" s="10" t="s">
        <v>4311</v>
      </c>
      <c r="E9504" s="14">
        <v>0.02222</v>
      </c>
      <c r="F9504" s="15">
        <f>ROUND(57.88,3)</f>
        <v>57.88</v>
      </c>
      <c r="G9504" s="12">
        <f t="shared" si="1423"/>
        <v>1.29</v>
      </c>
    </row>
    <row r="9505" ht="30.0" customHeight="1">
      <c r="A9505" s="10" t="s">
        <v>4312</v>
      </c>
      <c r="B9505" s="10" t="s">
        <v>42</v>
      </c>
      <c r="C9505" s="10" t="s">
        <v>226</v>
      </c>
      <c r="D9505" s="10" t="s">
        <v>4313</v>
      </c>
      <c r="E9505" s="14">
        <v>0.01467</v>
      </c>
      <c r="F9505" s="15">
        <f>ROUND(20.55,3)</f>
        <v>20.55</v>
      </c>
      <c r="G9505" s="12">
        <f t="shared" si="1423"/>
        <v>0.3</v>
      </c>
    </row>
    <row r="9506" ht="30.0" customHeight="1">
      <c r="A9506" s="10" t="s">
        <v>4314</v>
      </c>
      <c r="B9506" s="10" t="s">
        <v>42</v>
      </c>
      <c r="C9506" s="10" t="s">
        <v>1245</v>
      </c>
      <c r="D9506" s="10" t="s">
        <v>4315</v>
      </c>
      <c r="E9506" s="14">
        <v>0.16667</v>
      </c>
      <c r="F9506" s="15">
        <f>ROUND(4.4,3)</f>
        <v>4.4</v>
      </c>
      <c r="G9506" s="12">
        <f t="shared" si="1423"/>
        <v>0.73</v>
      </c>
    </row>
    <row r="9507" ht="39.75" customHeight="1">
      <c r="A9507" s="10" t="s">
        <v>4316</v>
      </c>
      <c r="B9507" s="10" t="s">
        <v>42</v>
      </c>
      <c r="C9507" s="10" t="s">
        <v>330</v>
      </c>
      <c r="D9507" s="10" t="s">
        <v>4317</v>
      </c>
      <c r="E9507" s="14">
        <v>0.01</v>
      </c>
      <c r="F9507" s="15">
        <f>ROUND(15.09,3)</f>
        <v>15.09</v>
      </c>
      <c r="G9507" s="12">
        <f t="shared" si="1423"/>
        <v>0.15</v>
      </c>
    </row>
    <row r="9508" ht="30.0" customHeight="1">
      <c r="A9508" s="10" t="s">
        <v>2545</v>
      </c>
      <c r="B9508" s="10" t="s">
        <v>42</v>
      </c>
      <c r="C9508" s="10" t="s">
        <v>325</v>
      </c>
      <c r="D9508" s="10" t="s">
        <v>2546</v>
      </c>
      <c r="E9508" s="14">
        <v>0.01578</v>
      </c>
      <c r="F9508" s="15">
        <f>ROUND(64.19,3)</f>
        <v>64.19</v>
      </c>
      <c r="G9508" s="12">
        <f t="shared" si="1423"/>
        <v>1.01</v>
      </c>
    </row>
    <row r="9509" ht="21.0" customHeight="1">
      <c r="A9509" s="10" t="s">
        <v>969</v>
      </c>
      <c r="B9509" s="10" t="s">
        <v>112</v>
      </c>
      <c r="C9509" s="10" t="s">
        <v>23</v>
      </c>
      <c r="D9509" s="10" t="s">
        <v>970</v>
      </c>
      <c r="E9509" s="14">
        <v>0.2</v>
      </c>
      <c r="F9509" s="15">
        <f>ROUND(2,3)</f>
        <v>2</v>
      </c>
      <c r="G9509" s="12">
        <f t="shared" si="1423"/>
        <v>0.4</v>
      </c>
    </row>
    <row r="9510" ht="21.0" customHeight="1">
      <c r="A9510" s="10" t="s">
        <v>22</v>
      </c>
      <c r="B9510" s="10" t="s">
        <v>18</v>
      </c>
      <c r="C9510" s="10" t="s">
        <v>23</v>
      </c>
      <c r="D9510" s="10" t="s">
        <v>24</v>
      </c>
      <c r="E9510" s="14">
        <v>0.38</v>
      </c>
      <c r="F9510" s="15">
        <f>F9514</f>
        <v>43.8</v>
      </c>
      <c r="G9510" s="12">
        <f t="shared" si="1423"/>
        <v>16.64</v>
      </c>
    </row>
    <row r="9511" ht="24.0" customHeight="1">
      <c r="A9511" s="10" t="s">
        <v>25</v>
      </c>
      <c r="B9511" s="10" t="s">
        <v>26</v>
      </c>
      <c r="C9511" s="10" t="s">
        <v>23</v>
      </c>
      <c r="D9511" s="10" t="s">
        <v>27</v>
      </c>
      <c r="E9511" s="14">
        <v>1.0</v>
      </c>
      <c r="F9511" s="15">
        <f>ROUND(21,3)</f>
        <v>21</v>
      </c>
      <c r="G9511" s="12">
        <f t="shared" si="1423"/>
        <v>21</v>
      </c>
    </row>
    <row r="9512" ht="24.0" customHeight="1">
      <c r="A9512" s="10" t="s">
        <v>28</v>
      </c>
      <c r="B9512" s="10" t="s">
        <v>26</v>
      </c>
      <c r="C9512" s="10" t="s">
        <v>23</v>
      </c>
      <c r="D9512" s="10" t="s">
        <v>29</v>
      </c>
      <c r="E9512" s="14">
        <v>1.0</v>
      </c>
      <c r="F9512" s="15">
        <f t="shared" ref="F9512:F9513" si="1424">ROUND(19,3)</f>
        <v>19</v>
      </c>
      <c r="G9512" s="12">
        <f t="shared" si="1423"/>
        <v>19</v>
      </c>
    </row>
    <row r="9513" ht="24.0" customHeight="1">
      <c r="A9513" s="10" t="s">
        <v>30</v>
      </c>
      <c r="B9513" s="10" t="s">
        <v>26</v>
      </c>
      <c r="C9513" s="10" t="s">
        <v>23</v>
      </c>
      <c r="D9513" s="10" t="s">
        <v>31</v>
      </c>
      <c r="E9513" s="14">
        <v>0.2</v>
      </c>
      <c r="F9513" s="15">
        <f t="shared" si="1424"/>
        <v>19</v>
      </c>
      <c r="G9513" s="12">
        <f t="shared" si="1423"/>
        <v>3.8</v>
      </c>
    </row>
    <row r="9514" ht="15.0" customHeight="1">
      <c r="A9514" s="11"/>
      <c r="B9514" s="11"/>
      <c r="C9514" s="11"/>
      <c r="D9514" s="10" t="s">
        <v>22</v>
      </c>
      <c r="E9514" s="14">
        <v>0.38</v>
      </c>
      <c r="F9514" s="15">
        <f>ROUND((G9511+G9512+G9513),3)</f>
        <v>43.8</v>
      </c>
      <c r="G9514" s="12">
        <f t="shared" si="1423"/>
        <v>16.64</v>
      </c>
    </row>
    <row r="9515" ht="15.0" customHeight="1">
      <c r="A9515" s="10" t="s">
        <v>32</v>
      </c>
      <c r="B9515" s="10"/>
      <c r="C9515" s="10" t="s">
        <v>33</v>
      </c>
      <c r="D9515" s="10" t="s">
        <v>34</v>
      </c>
      <c r="E9515" s="14">
        <v>3.0</v>
      </c>
      <c r="F9515" s="15">
        <f>ROUND(16.64,3)</f>
        <v>16.64</v>
      </c>
      <c r="G9515" s="12">
        <f>ROUND((E9515*F9515)/100,2)</f>
        <v>0.5</v>
      </c>
    </row>
    <row r="9516" ht="15.0" customHeight="1">
      <c r="A9516" s="16"/>
      <c r="B9516" s="16"/>
      <c r="C9516" s="16"/>
      <c r="D9516" s="17" t="s">
        <v>4301</v>
      </c>
      <c r="E9516" s="16"/>
      <c r="F9516" s="18">
        <f>ROUND((G9501+G9502+G9503+G9504+G9505+G9506+G9507+G9508+G9509+G9510+G9515)*(1+G2/100),2)</f>
        <v>36.86</v>
      </c>
      <c r="G9516" s="16"/>
    </row>
    <row r="9517" ht="21.0" customHeight="1">
      <c r="A9517" s="19" t="s">
        <v>4318</v>
      </c>
      <c r="B9517" s="20" t="s">
        <v>18</v>
      </c>
      <c r="C9517" s="20" t="s">
        <v>251</v>
      </c>
      <c r="D9517" s="20" t="s">
        <v>4319</v>
      </c>
      <c r="E9517" s="21"/>
      <c r="F9517" s="22">
        <f>F9534</f>
        <v>42.22</v>
      </c>
      <c r="G9517" s="21"/>
    </row>
    <row r="9518" ht="30.0" customHeight="1">
      <c r="A9518" s="11"/>
      <c r="B9518" s="11"/>
      <c r="C9518" s="11"/>
      <c r="D9518" s="10" t="s">
        <v>4320</v>
      </c>
    </row>
    <row r="9519" ht="30.0" customHeight="1">
      <c r="A9519" s="10" t="s">
        <v>4321</v>
      </c>
      <c r="B9519" s="10" t="s">
        <v>42</v>
      </c>
      <c r="C9519" s="10" t="s">
        <v>1881</v>
      </c>
      <c r="D9519" s="10" t="s">
        <v>4322</v>
      </c>
      <c r="E9519" s="14">
        <v>0.37</v>
      </c>
      <c r="F9519" s="15">
        <f>ROUND(40.6,3)</f>
        <v>40.6</v>
      </c>
      <c r="G9519" s="12">
        <f t="shared" ref="G9519:G9532" si="1425">ROUND(E9519*F9519,2)</f>
        <v>15.02</v>
      </c>
    </row>
    <row r="9520" ht="39.75" customHeight="1">
      <c r="A9520" s="10" t="s">
        <v>4323</v>
      </c>
      <c r="B9520" s="10" t="s">
        <v>42</v>
      </c>
      <c r="C9520" s="10" t="s">
        <v>344</v>
      </c>
      <c r="D9520" s="10" t="s">
        <v>4324</v>
      </c>
      <c r="E9520" s="14">
        <v>0.23625</v>
      </c>
      <c r="F9520" s="15">
        <f>ROUND(11.34,3)</f>
        <v>11.34</v>
      </c>
      <c r="G9520" s="12">
        <f t="shared" si="1425"/>
        <v>2.68</v>
      </c>
    </row>
    <row r="9521" ht="39.75" customHeight="1">
      <c r="A9521" s="10" t="s">
        <v>4325</v>
      </c>
      <c r="B9521" s="10" t="s">
        <v>42</v>
      </c>
      <c r="C9521" s="10" t="s">
        <v>344</v>
      </c>
      <c r="D9521" s="10" t="s">
        <v>4326</v>
      </c>
      <c r="E9521" s="14">
        <v>0.7</v>
      </c>
      <c r="F9521" s="15">
        <f>ROUND(3.7,3)</f>
        <v>3.7</v>
      </c>
      <c r="G9521" s="12">
        <f t="shared" si="1425"/>
        <v>2.59</v>
      </c>
    </row>
    <row r="9522" ht="30.0" customHeight="1">
      <c r="A9522" s="10" t="s">
        <v>4310</v>
      </c>
      <c r="B9522" s="10" t="s">
        <v>42</v>
      </c>
      <c r="C9522" s="10" t="s">
        <v>226</v>
      </c>
      <c r="D9522" s="10" t="s">
        <v>4311</v>
      </c>
      <c r="E9522" s="14">
        <v>0.02222</v>
      </c>
      <c r="F9522" s="15">
        <f>ROUND(57.88,3)</f>
        <v>57.88</v>
      </c>
      <c r="G9522" s="12">
        <f t="shared" si="1425"/>
        <v>1.29</v>
      </c>
    </row>
    <row r="9523" ht="30.0" customHeight="1">
      <c r="A9523" s="10" t="s">
        <v>4312</v>
      </c>
      <c r="B9523" s="10" t="s">
        <v>42</v>
      </c>
      <c r="C9523" s="10" t="s">
        <v>226</v>
      </c>
      <c r="D9523" s="10" t="s">
        <v>4313</v>
      </c>
      <c r="E9523" s="14">
        <v>0.01467</v>
      </c>
      <c r="F9523" s="15">
        <f>ROUND(20.55,3)</f>
        <v>20.55</v>
      </c>
      <c r="G9523" s="12">
        <f t="shared" si="1425"/>
        <v>0.3</v>
      </c>
    </row>
    <row r="9524" ht="30.0" customHeight="1">
      <c r="A9524" s="10" t="s">
        <v>4314</v>
      </c>
      <c r="B9524" s="10" t="s">
        <v>42</v>
      </c>
      <c r="C9524" s="10" t="s">
        <v>1245</v>
      </c>
      <c r="D9524" s="10" t="s">
        <v>4315</v>
      </c>
      <c r="E9524" s="14">
        <v>0.16667</v>
      </c>
      <c r="F9524" s="15">
        <f>ROUND(4.4,3)</f>
        <v>4.4</v>
      </c>
      <c r="G9524" s="12">
        <f t="shared" si="1425"/>
        <v>0.73</v>
      </c>
    </row>
    <row r="9525" ht="39.75" customHeight="1">
      <c r="A9525" s="10" t="s">
        <v>4316</v>
      </c>
      <c r="B9525" s="10" t="s">
        <v>42</v>
      </c>
      <c r="C9525" s="10" t="s">
        <v>330</v>
      </c>
      <c r="D9525" s="10" t="s">
        <v>4317</v>
      </c>
      <c r="E9525" s="14">
        <v>0.01</v>
      </c>
      <c r="F9525" s="15">
        <f>ROUND(15.09,3)</f>
        <v>15.09</v>
      </c>
      <c r="G9525" s="12">
        <f t="shared" si="1425"/>
        <v>0.15</v>
      </c>
    </row>
    <row r="9526" ht="30.0" customHeight="1">
      <c r="A9526" s="10" t="s">
        <v>2545</v>
      </c>
      <c r="B9526" s="10" t="s">
        <v>42</v>
      </c>
      <c r="C9526" s="10" t="s">
        <v>325</v>
      </c>
      <c r="D9526" s="10" t="s">
        <v>2546</v>
      </c>
      <c r="E9526" s="14">
        <v>0.01578</v>
      </c>
      <c r="F9526" s="15">
        <f>ROUND(64.19,3)</f>
        <v>64.19</v>
      </c>
      <c r="G9526" s="12">
        <f t="shared" si="1425"/>
        <v>1.01</v>
      </c>
    </row>
    <row r="9527" ht="21.0" customHeight="1">
      <c r="A9527" s="10" t="s">
        <v>969</v>
      </c>
      <c r="B9527" s="10" t="s">
        <v>112</v>
      </c>
      <c r="C9527" s="10" t="s">
        <v>23</v>
      </c>
      <c r="D9527" s="10" t="s">
        <v>970</v>
      </c>
      <c r="E9527" s="14">
        <v>0.2</v>
      </c>
      <c r="F9527" s="15">
        <f>ROUND(2,3)</f>
        <v>2</v>
      </c>
      <c r="G9527" s="12">
        <f t="shared" si="1425"/>
        <v>0.4</v>
      </c>
    </row>
    <row r="9528" ht="21.0" customHeight="1">
      <c r="A9528" s="10" t="s">
        <v>22</v>
      </c>
      <c r="B9528" s="10" t="s">
        <v>18</v>
      </c>
      <c r="C9528" s="10" t="s">
        <v>23</v>
      </c>
      <c r="D9528" s="10" t="s">
        <v>24</v>
      </c>
      <c r="E9528" s="14">
        <v>0.4</v>
      </c>
      <c r="F9528" s="15">
        <f>F9532</f>
        <v>43.8</v>
      </c>
      <c r="G9528" s="12">
        <f t="shared" si="1425"/>
        <v>17.52</v>
      </c>
    </row>
    <row r="9529" ht="24.0" customHeight="1">
      <c r="A9529" s="10" t="s">
        <v>25</v>
      </c>
      <c r="B9529" s="10" t="s">
        <v>26</v>
      </c>
      <c r="C9529" s="10" t="s">
        <v>23</v>
      </c>
      <c r="D9529" s="10" t="s">
        <v>27</v>
      </c>
      <c r="E9529" s="14">
        <v>1.0</v>
      </c>
      <c r="F9529" s="15">
        <f>ROUND(21,3)</f>
        <v>21</v>
      </c>
      <c r="G9529" s="12">
        <f t="shared" si="1425"/>
        <v>21</v>
      </c>
    </row>
    <row r="9530" ht="24.0" customHeight="1">
      <c r="A9530" s="10" t="s">
        <v>28</v>
      </c>
      <c r="B9530" s="10" t="s">
        <v>26</v>
      </c>
      <c r="C9530" s="10" t="s">
        <v>23</v>
      </c>
      <c r="D9530" s="10" t="s">
        <v>29</v>
      </c>
      <c r="E9530" s="14">
        <v>1.0</v>
      </c>
      <c r="F9530" s="15">
        <f t="shared" ref="F9530:F9531" si="1426">ROUND(19,3)</f>
        <v>19</v>
      </c>
      <c r="G9530" s="12">
        <f t="shared" si="1425"/>
        <v>19</v>
      </c>
    </row>
    <row r="9531" ht="24.0" customHeight="1">
      <c r="A9531" s="10" t="s">
        <v>30</v>
      </c>
      <c r="B9531" s="10" t="s">
        <v>26</v>
      </c>
      <c r="C9531" s="10" t="s">
        <v>23</v>
      </c>
      <c r="D9531" s="10" t="s">
        <v>31</v>
      </c>
      <c r="E9531" s="14">
        <v>0.2</v>
      </c>
      <c r="F9531" s="15">
        <f t="shared" si="1426"/>
        <v>19</v>
      </c>
      <c r="G9531" s="12">
        <f t="shared" si="1425"/>
        <v>3.8</v>
      </c>
    </row>
    <row r="9532" ht="15.0" customHeight="1">
      <c r="A9532" s="11"/>
      <c r="B9532" s="11"/>
      <c r="C9532" s="11"/>
      <c r="D9532" s="10" t="s">
        <v>22</v>
      </c>
      <c r="E9532" s="14">
        <v>0.4</v>
      </c>
      <c r="F9532" s="15">
        <f>ROUND((G9529+G9530+G9531),3)</f>
        <v>43.8</v>
      </c>
      <c r="G9532" s="12">
        <f t="shared" si="1425"/>
        <v>17.52</v>
      </c>
    </row>
    <row r="9533" ht="15.0" customHeight="1">
      <c r="A9533" s="10" t="s">
        <v>32</v>
      </c>
      <c r="B9533" s="10"/>
      <c r="C9533" s="10" t="s">
        <v>33</v>
      </c>
      <c r="D9533" s="10" t="s">
        <v>34</v>
      </c>
      <c r="E9533" s="14">
        <v>3.0</v>
      </c>
      <c r="F9533" s="15">
        <f>ROUND(17.52,3)</f>
        <v>17.52</v>
      </c>
      <c r="G9533" s="12">
        <f>ROUND((E9533*F9533)/100,2)</f>
        <v>0.53</v>
      </c>
    </row>
    <row r="9534" ht="15.0" customHeight="1">
      <c r="A9534" s="16"/>
      <c r="B9534" s="16"/>
      <c r="C9534" s="16"/>
      <c r="D9534" s="17" t="s">
        <v>4318</v>
      </c>
      <c r="E9534" s="16"/>
      <c r="F9534" s="18">
        <f>ROUND((G9519+G9520+G9521+G9522+G9523+G9524+G9525+G9526+G9527+G9528+G9533)*(1+G2/100),2)</f>
        <v>42.22</v>
      </c>
      <c r="G9534" s="16"/>
    </row>
    <row r="9535" ht="21.0" customHeight="1">
      <c r="A9535" s="19" t="s">
        <v>4327</v>
      </c>
      <c r="B9535" s="20" t="s">
        <v>18</v>
      </c>
      <c r="C9535" s="20" t="s">
        <v>251</v>
      </c>
      <c r="D9535" s="20" t="s">
        <v>4328</v>
      </c>
      <c r="E9535" s="21"/>
      <c r="F9535" s="22">
        <f>F9552</f>
        <v>49.85</v>
      </c>
      <c r="G9535" s="21"/>
    </row>
    <row r="9536" ht="30.0" customHeight="1">
      <c r="A9536" s="11"/>
      <c r="B9536" s="11"/>
      <c r="C9536" s="11"/>
      <c r="D9536" s="10" t="s">
        <v>4329</v>
      </c>
    </row>
    <row r="9537" ht="39.75" customHeight="1">
      <c r="A9537" s="10" t="s">
        <v>4330</v>
      </c>
      <c r="B9537" s="10" t="s">
        <v>42</v>
      </c>
      <c r="C9537" s="10" t="s">
        <v>1881</v>
      </c>
      <c r="D9537" s="10" t="s">
        <v>4331</v>
      </c>
      <c r="E9537" s="14">
        <v>0.37</v>
      </c>
      <c r="F9537" s="15">
        <f>ROUND(48.89,3)</f>
        <v>48.89</v>
      </c>
      <c r="G9537" s="12">
        <f t="shared" ref="G9537:G9550" si="1427">ROUND(E9537*F9537,2)</f>
        <v>18.09</v>
      </c>
    </row>
    <row r="9538" ht="39.75" customHeight="1">
      <c r="A9538" s="10" t="s">
        <v>4332</v>
      </c>
      <c r="B9538" s="10" t="s">
        <v>42</v>
      </c>
      <c r="C9538" s="10" t="s">
        <v>344</v>
      </c>
      <c r="D9538" s="10" t="s">
        <v>4333</v>
      </c>
      <c r="E9538" s="14">
        <v>0.23625</v>
      </c>
      <c r="F9538" s="15">
        <f>ROUND(16.68,3)</f>
        <v>16.68</v>
      </c>
      <c r="G9538" s="12">
        <f t="shared" si="1427"/>
        <v>3.94</v>
      </c>
    </row>
    <row r="9539" ht="39.75" customHeight="1">
      <c r="A9539" s="10" t="s">
        <v>4334</v>
      </c>
      <c r="B9539" s="10" t="s">
        <v>42</v>
      </c>
      <c r="C9539" s="10" t="s">
        <v>344</v>
      </c>
      <c r="D9539" s="10" t="s">
        <v>4335</v>
      </c>
      <c r="E9539" s="14">
        <v>0.7</v>
      </c>
      <c r="F9539" s="15">
        <f>ROUND(5.84,3)</f>
        <v>5.84</v>
      </c>
      <c r="G9539" s="12">
        <f t="shared" si="1427"/>
        <v>4.09</v>
      </c>
    </row>
    <row r="9540" ht="30.0" customHeight="1">
      <c r="A9540" s="10" t="s">
        <v>4310</v>
      </c>
      <c r="B9540" s="10" t="s">
        <v>42</v>
      </c>
      <c r="C9540" s="10" t="s">
        <v>226</v>
      </c>
      <c r="D9540" s="10" t="s">
        <v>4311</v>
      </c>
      <c r="E9540" s="14">
        <v>0.02222</v>
      </c>
      <c r="F9540" s="15">
        <f>ROUND(57.88,3)</f>
        <v>57.88</v>
      </c>
      <c r="G9540" s="12">
        <f t="shared" si="1427"/>
        <v>1.29</v>
      </c>
    </row>
    <row r="9541" ht="30.0" customHeight="1">
      <c r="A9541" s="10" t="s">
        <v>4312</v>
      </c>
      <c r="B9541" s="10" t="s">
        <v>42</v>
      </c>
      <c r="C9541" s="10" t="s">
        <v>226</v>
      </c>
      <c r="D9541" s="10" t="s">
        <v>4313</v>
      </c>
      <c r="E9541" s="14">
        <v>0.01467</v>
      </c>
      <c r="F9541" s="15">
        <f>ROUND(20.55,3)</f>
        <v>20.55</v>
      </c>
      <c r="G9541" s="12">
        <f t="shared" si="1427"/>
        <v>0.3</v>
      </c>
    </row>
    <row r="9542" ht="30.0" customHeight="1">
      <c r="A9542" s="10" t="s">
        <v>4314</v>
      </c>
      <c r="B9542" s="10" t="s">
        <v>42</v>
      </c>
      <c r="C9542" s="10" t="s">
        <v>1245</v>
      </c>
      <c r="D9542" s="10" t="s">
        <v>4315</v>
      </c>
      <c r="E9542" s="14">
        <v>0.16667</v>
      </c>
      <c r="F9542" s="15">
        <f>ROUND(4.4,3)</f>
        <v>4.4</v>
      </c>
      <c r="G9542" s="12">
        <f t="shared" si="1427"/>
        <v>0.73</v>
      </c>
    </row>
    <row r="9543" ht="39.75" customHeight="1">
      <c r="A9543" s="10" t="s">
        <v>4316</v>
      </c>
      <c r="B9543" s="10" t="s">
        <v>42</v>
      </c>
      <c r="C9543" s="10" t="s">
        <v>330</v>
      </c>
      <c r="D9543" s="10" t="s">
        <v>4317</v>
      </c>
      <c r="E9543" s="14">
        <v>0.01</v>
      </c>
      <c r="F9543" s="15">
        <f>ROUND(15.09,3)</f>
        <v>15.09</v>
      </c>
      <c r="G9543" s="12">
        <f t="shared" si="1427"/>
        <v>0.15</v>
      </c>
    </row>
    <row r="9544" ht="30.0" customHeight="1">
      <c r="A9544" s="10" t="s">
        <v>2545</v>
      </c>
      <c r="B9544" s="10" t="s">
        <v>42</v>
      </c>
      <c r="C9544" s="10" t="s">
        <v>325</v>
      </c>
      <c r="D9544" s="10" t="s">
        <v>2546</v>
      </c>
      <c r="E9544" s="14">
        <v>0.01578</v>
      </c>
      <c r="F9544" s="15">
        <f>ROUND(64.19,3)</f>
        <v>64.19</v>
      </c>
      <c r="G9544" s="12">
        <f t="shared" si="1427"/>
        <v>1.01</v>
      </c>
    </row>
    <row r="9545" ht="21.0" customHeight="1">
      <c r="A9545" s="10" t="s">
        <v>969</v>
      </c>
      <c r="B9545" s="10" t="s">
        <v>112</v>
      </c>
      <c r="C9545" s="10" t="s">
        <v>23</v>
      </c>
      <c r="D9545" s="10" t="s">
        <v>970</v>
      </c>
      <c r="E9545" s="14">
        <v>0.2</v>
      </c>
      <c r="F9545" s="15">
        <f>ROUND(2,3)</f>
        <v>2</v>
      </c>
      <c r="G9545" s="12">
        <f t="shared" si="1427"/>
        <v>0.4</v>
      </c>
    </row>
    <row r="9546" ht="21.0" customHeight="1">
      <c r="A9546" s="10" t="s">
        <v>22</v>
      </c>
      <c r="B9546" s="10" t="s">
        <v>18</v>
      </c>
      <c r="C9546" s="10" t="s">
        <v>23</v>
      </c>
      <c r="D9546" s="10" t="s">
        <v>24</v>
      </c>
      <c r="E9546" s="14">
        <v>0.44</v>
      </c>
      <c r="F9546" s="15">
        <f>F9550</f>
        <v>43.8</v>
      </c>
      <c r="G9546" s="12">
        <f t="shared" si="1427"/>
        <v>19.27</v>
      </c>
    </row>
    <row r="9547" ht="24.0" customHeight="1">
      <c r="A9547" s="10" t="s">
        <v>25</v>
      </c>
      <c r="B9547" s="10" t="s">
        <v>26</v>
      </c>
      <c r="C9547" s="10" t="s">
        <v>23</v>
      </c>
      <c r="D9547" s="10" t="s">
        <v>27</v>
      </c>
      <c r="E9547" s="14">
        <v>1.0</v>
      </c>
      <c r="F9547" s="15">
        <f>ROUND(21,3)</f>
        <v>21</v>
      </c>
      <c r="G9547" s="12">
        <f t="shared" si="1427"/>
        <v>21</v>
      </c>
    </row>
    <row r="9548" ht="24.0" customHeight="1">
      <c r="A9548" s="10" t="s">
        <v>28</v>
      </c>
      <c r="B9548" s="10" t="s">
        <v>26</v>
      </c>
      <c r="C9548" s="10" t="s">
        <v>23</v>
      </c>
      <c r="D9548" s="10" t="s">
        <v>29</v>
      </c>
      <c r="E9548" s="14">
        <v>1.0</v>
      </c>
      <c r="F9548" s="15">
        <f t="shared" ref="F9548:F9549" si="1428">ROUND(19,3)</f>
        <v>19</v>
      </c>
      <c r="G9548" s="12">
        <f t="shared" si="1427"/>
        <v>19</v>
      </c>
    </row>
    <row r="9549" ht="24.0" customHeight="1">
      <c r="A9549" s="10" t="s">
        <v>30</v>
      </c>
      <c r="B9549" s="10" t="s">
        <v>26</v>
      </c>
      <c r="C9549" s="10" t="s">
        <v>23</v>
      </c>
      <c r="D9549" s="10" t="s">
        <v>31</v>
      </c>
      <c r="E9549" s="14">
        <v>0.2</v>
      </c>
      <c r="F9549" s="15">
        <f t="shared" si="1428"/>
        <v>19</v>
      </c>
      <c r="G9549" s="12">
        <f t="shared" si="1427"/>
        <v>3.8</v>
      </c>
    </row>
    <row r="9550" ht="15.0" customHeight="1">
      <c r="A9550" s="11"/>
      <c r="B9550" s="11"/>
      <c r="C9550" s="11"/>
      <c r="D9550" s="10" t="s">
        <v>22</v>
      </c>
      <c r="E9550" s="14">
        <v>0.44</v>
      </c>
      <c r="F9550" s="15">
        <f>ROUND((G9547+G9548+G9549),3)</f>
        <v>43.8</v>
      </c>
      <c r="G9550" s="12">
        <f t="shared" si="1427"/>
        <v>19.27</v>
      </c>
    </row>
    <row r="9551" ht="15.0" customHeight="1">
      <c r="A9551" s="10" t="s">
        <v>32</v>
      </c>
      <c r="B9551" s="10"/>
      <c r="C9551" s="10" t="s">
        <v>33</v>
      </c>
      <c r="D9551" s="10" t="s">
        <v>34</v>
      </c>
      <c r="E9551" s="14">
        <v>3.0</v>
      </c>
      <c r="F9551" s="15">
        <f>ROUND(19.27,3)</f>
        <v>19.27</v>
      </c>
      <c r="G9551" s="12">
        <f>ROUND((E9551*F9551)/100,2)</f>
        <v>0.58</v>
      </c>
    </row>
    <row r="9552" ht="15.0" customHeight="1">
      <c r="A9552" s="16"/>
      <c r="B9552" s="16"/>
      <c r="C9552" s="16"/>
      <c r="D9552" s="17" t="s">
        <v>4327</v>
      </c>
      <c r="E9552" s="16"/>
      <c r="F9552" s="18">
        <f>ROUND((G9537+G9538+G9539+G9540+G9541+G9542+G9543+G9544+G9545+G9546+G9551)*(1+G2/100),2)</f>
        <v>49.85</v>
      </c>
      <c r="G9552" s="16"/>
    </row>
    <row r="9553" ht="30.0" customHeight="1">
      <c r="A9553" s="19" t="s">
        <v>4336</v>
      </c>
      <c r="B9553" s="20" t="s">
        <v>18</v>
      </c>
      <c r="C9553" s="20" t="s">
        <v>251</v>
      </c>
      <c r="D9553" s="20" t="s">
        <v>4337</v>
      </c>
      <c r="E9553" s="21"/>
      <c r="F9553" s="22">
        <f>F9565</f>
        <v>37.38</v>
      </c>
      <c r="G9553" s="21"/>
    </row>
    <row r="9554" ht="21.0" customHeight="1">
      <c r="A9554" s="11"/>
      <c r="B9554" s="11"/>
      <c r="C9554" s="11"/>
      <c r="D9554" s="10" t="s">
        <v>4338</v>
      </c>
    </row>
    <row r="9555" ht="21.0" customHeight="1">
      <c r="A9555" s="10" t="s">
        <v>4339</v>
      </c>
      <c r="B9555" s="10" t="s">
        <v>42</v>
      </c>
      <c r="C9555" s="10" t="s">
        <v>304</v>
      </c>
      <c r="D9555" s="10" t="s">
        <v>4340</v>
      </c>
      <c r="E9555" s="14">
        <v>0.6</v>
      </c>
      <c r="F9555" s="15">
        <f>ROUND(18.15,3)</f>
        <v>18.15</v>
      </c>
      <c r="G9555" s="12">
        <f t="shared" ref="G9555:G9563" si="1429">ROUND(E9555*F9555,2)</f>
        <v>10.89</v>
      </c>
    </row>
    <row r="9556" ht="21.0" customHeight="1">
      <c r="A9556" s="10" t="s">
        <v>4341</v>
      </c>
      <c r="B9556" s="10" t="s">
        <v>42</v>
      </c>
      <c r="C9556" s="10" t="s">
        <v>304</v>
      </c>
      <c r="D9556" s="10" t="s">
        <v>4342</v>
      </c>
      <c r="E9556" s="14">
        <v>0.6</v>
      </c>
      <c r="F9556" s="15">
        <f>ROUND(9.35,3)</f>
        <v>9.35</v>
      </c>
      <c r="G9556" s="12">
        <f t="shared" si="1429"/>
        <v>5.61</v>
      </c>
    </row>
    <row r="9557" ht="21.0" customHeight="1">
      <c r="A9557" s="10" t="s">
        <v>4343</v>
      </c>
      <c r="B9557" s="10" t="s">
        <v>42</v>
      </c>
      <c r="C9557" s="10" t="s">
        <v>304</v>
      </c>
      <c r="D9557" s="10" t="s">
        <v>4344</v>
      </c>
      <c r="E9557" s="14">
        <v>1.0E-4</v>
      </c>
      <c r="F9557" s="15">
        <f>ROUND(1.14,3)</f>
        <v>1.14</v>
      </c>
      <c r="G9557" s="12">
        <f t="shared" si="1429"/>
        <v>0</v>
      </c>
    </row>
    <row r="9558" ht="21.0" customHeight="1">
      <c r="A9558" s="10" t="s">
        <v>2585</v>
      </c>
      <c r="B9558" s="10" t="s">
        <v>42</v>
      </c>
      <c r="C9558" s="10" t="s">
        <v>304</v>
      </c>
      <c r="D9558" s="10" t="s">
        <v>2586</v>
      </c>
      <c r="E9558" s="14">
        <v>0.1</v>
      </c>
      <c r="F9558" s="15">
        <f>ROUND(8.5,3)</f>
        <v>8.5</v>
      </c>
      <c r="G9558" s="12">
        <f t="shared" si="1429"/>
        <v>0.85</v>
      </c>
    </row>
    <row r="9559" ht="21.0" customHeight="1">
      <c r="A9559" s="10" t="s">
        <v>22</v>
      </c>
      <c r="B9559" s="10" t="s">
        <v>18</v>
      </c>
      <c r="C9559" s="10" t="s">
        <v>23</v>
      </c>
      <c r="D9559" s="10" t="s">
        <v>24</v>
      </c>
      <c r="E9559" s="14">
        <v>0.444</v>
      </c>
      <c r="F9559" s="15">
        <f>F9563</f>
        <v>43.8</v>
      </c>
      <c r="G9559" s="12">
        <f t="shared" si="1429"/>
        <v>19.45</v>
      </c>
    </row>
    <row r="9560" ht="24.0" customHeight="1">
      <c r="A9560" s="10" t="s">
        <v>25</v>
      </c>
      <c r="B9560" s="10" t="s">
        <v>26</v>
      </c>
      <c r="C9560" s="10" t="s">
        <v>23</v>
      </c>
      <c r="D9560" s="10" t="s">
        <v>27</v>
      </c>
      <c r="E9560" s="14">
        <v>1.0</v>
      </c>
      <c r="F9560" s="15">
        <f>ROUND(21,3)</f>
        <v>21</v>
      </c>
      <c r="G9560" s="12">
        <f t="shared" si="1429"/>
        <v>21</v>
      </c>
    </row>
    <row r="9561" ht="24.0" customHeight="1">
      <c r="A9561" s="10" t="s">
        <v>28</v>
      </c>
      <c r="B9561" s="10" t="s">
        <v>26</v>
      </c>
      <c r="C9561" s="10" t="s">
        <v>23</v>
      </c>
      <c r="D9561" s="10" t="s">
        <v>29</v>
      </c>
      <c r="E9561" s="14">
        <v>1.0</v>
      </c>
      <c r="F9561" s="15">
        <f t="shared" ref="F9561:F9562" si="1430">ROUND(19,3)</f>
        <v>19</v>
      </c>
      <c r="G9561" s="12">
        <f t="shared" si="1429"/>
        <v>19</v>
      </c>
    </row>
    <row r="9562" ht="24.0" customHeight="1">
      <c r="A9562" s="10" t="s">
        <v>30</v>
      </c>
      <c r="B9562" s="10" t="s">
        <v>26</v>
      </c>
      <c r="C9562" s="10" t="s">
        <v>23</v>
      </c>
      <c r="D9562" s="10" t="s">
        <v>31</v>
      </c>
      <c r="E9562" s="14">
        <v>0.2</v>
      </c>
      <c r="F9562" s="15">
        <f t="shared" si="1430"/>
        <v>19</v>
      </c>
      <c r="G9562" s="12">
        <f t="shared" si="1429"/>
        <v>3.8</v>
      </c>
    </row>
    <row r="9563" ht="15.0" customHeight="1">
      <c r="A9563" s="11"/>
      <c r="B9563" s="11"/>
      <c r="C9563" s="11"/>
      <c r="D9563" s="10" t="s">
        <v>22</v>
      </c>
      <c r="E9563" s="14">
        <v>0.444</v>
      </c>
      <c r="F9563" s="15">
        <f>ROUND((G9560+G9561+G9562),3)</f>
        <v>43.8</v>
      </c>
      <c r="G9563" s="12">
        <f t="shared" si="1429"/>
        <v>19.45</v>
      </c>
    </row>
    <row r="9564" ht="15.0" customHeight="1">
      <c r="A9564" s="10" t="s">
        <v>32</v>
      </c>
      <c r="B9564" s="10"/>
      <c r="C9564" s="10" t="s">
        <v>33</v>
      </c>
      <c r="D9564" s="10" t="s">
        <v>34</v>
      </c>
      <c r="E9564" s="14">
        <v>3.0</v>
      </c>
      <c r="F9564" s="15">
        <f>ROUND(19.45,3)</f>
        <v>19.45</v>
      </c>
      <c r="G9564" s="12">
        <f>ROUND((E9564*F9564)/100,2)</f>
        <v>0.58</v>
      </c>
    </row>
    <row r="9565" ht="15.0" customHeight="1">
      <c r="A9565" s="16"/>
      <c r="B9565" s="16"/>
      <c r="C9565" s="16"/>
      <c r="D9565" s="17" t="s">
        <v>4336</v>
      </c>
      <c r="E9565" s="16"/>
      <c r="F9565" s="18">
        <f>ROUND((G9555+G9556+G9557+G9558+G9559+G9564)*(1+G2/100),2)</f>
        <v>37.38</v>
      </c>
      <c r="G9565" s="16"/>
    </row>
    <row r="9566" ht="48.75" customHeight="1">
      <c r="A9566" s="19" t="s">
        <v>4345</v>
      </c>
      <c r="B9566" s="20" t="s">
        <v>18</v>
      </c>
      <c r="C9566" s="20" t="s">
        <v>251</v>
      </c>
      <c r="D9566" s="20" t="s">
        <v>4346</v>
      </c>
      <c r="E9566" s="21"/>
      <c r="F9566" s="22">
        <f>F9577</f>
        <v>40.25</v>
      </c>
      <c r="G9566" s="21"/>
    </row>
    <row r="9567" ht="57.75" customHeight="1">
      <c r="A9567" s="11"/>
      <c r="B9567" s="11"/>
      <c r="C9567" s="11"/>
      <c r="D9567" s="10" t="s">
        <v>4347</v>
      </c>
    </row>
    <row r="9568" ht="30.0" customHeight="1">
      <c r="A9568" s="10" t="s">
        <v>4348</v>
      </c>
      <c r="B9568" s="10" t="s">
        <v>42</v>
      </c>
      <c r="C9568" s="10" t="s">
        <v>304</v>
      </c>
      <c r="D9568" s="10" t="s">
        <v>4349</v>
      </c>
      <c r="E9568" s="14">
        <v>0.6</v>
      </c>
      <c r="F9568" s="15">
        <f>ROUND(10.97,3)</f>
        <v>10.97</v>
      </c>
      <c r="G9568" s="12">
        <f t="shared" ref="G9568:G9575" si="1431">ROUND(E9568*F9568,2)</f>
        <v>6.58</v>
      </c>
    </row>
    <row r="9569" ht="39.75" customHeight="1">
      <c r="A9569" s="10" t="s">
        <v>4350</v>
      </c>
      <c r="B9569" s="10" t="s">
        <v>42</v>
      </c>
      <c r="C9569" s="10" t="s">
        <v>304</v>
      </c>
      <c r="D9569" s="10" t="s">
        <v>4351</v>
      </c>
      <c r="E9569" s="14">
        <v>0.22</v>
      </c>
      <c r="F9569" s="15">
        <f>ROUND(3.74,3)</f>
        <v>3.74</v>
      </c>
      <c r="G9569" s="12">
        <f t="shared" si="1431"/>
        <v>0.82</v>
      </c>
    </row>
    <row r="9570" ht="21.0" customHeight="1">
      <c r="A9570" s="10" t="s">
        <v>4352</v>
      </c>
      <c r="B9570" s="10" t="s">
        <v>42</v>
      </c>
      <c r="C9570" s="10" t="s">
        <v>304</v>
      </c>
      <c r="D9570" s="10" t="s">
        <v>4353</v>
      </c>
      <c r="E9570" s="14">
        <v>3.0</v>
      </c>
      <c r="F9570" s="15">
        <f>ROUND(3.43,3)</f>
        <v>3.43</v>
      </c>
      <c r="G9570" s="12">
        <f t="shared" si="1431"/>
        <v>10.29</v>
      </c>
    </row>
    <row r="9571" ht="21.0" customHeight="1">
      <c r="A9571" s="10" t="s">
        <v>22</v>
      </c>
      <c r="B9571" s="10" t="s">
        <v>18</v>
      </c>
      <c r="C9571" s="10" t="s">
        <v>23</v>
      </c>
      <c r="D9571" s="10" t="s">
        <v>24</v>
      </c>
      <c r="E9571" s="14">
        <v>0.5</v>
      </c>
      <c r="F9571" s="15">
        <f>F9575</f>
        <v>43.8</v>
      </c>
      <c r="G9571" s="12">
        <f t="shared" si="1431"/>
        <v>21.9</v>
      </c>
    </row>
    <row r="9572" ht="24.0" customHeight="1">
      <c r="A9572" s="10" t="s">
        <v>25</v>
      </c>
      <c r="B9572" s="10" t="s">
        <v>26</v>
      </c>
      <c r="C9572" s="10" t="s">
        <v>23</v>
      </c>
      <c r="D9572" s="10" t="s">
        <v>27</v>
      </c>
      <c r="E9572" s="14">
        <v>1.0</v>
      </c>
      <c r="F9572" s="15">
        <f>ROUND(21,3)</f>
        <v>21</v>
      </c>
      <c r="G9572" s="12">
        <f t="shared" si="1431"/>
        <v>21</v>
      </c>
    </row>
    <row r="9573" ht="24.0" customHeight="1">
      <c r="A9573" s="10" t="s">
        <v>28</v>
      </c>
      <c r="B9573" s="10" t="s">
        <v>26</v>
      </c>
      <c r="C9573" s="10" t="s">
        <v>23</v>
      </c>
      <c r="D9573" s="10" t="s">
        <v>29</v>
      </c>
      <c r="E9573" s="14">
        <v>1.0</v>
      </c>
      <c r="F9573" s="15">
        <f t="shared" ref="F9573:F9574" si="1432">ROUND(19,3)</f>
        <v>19</v>
      </c>
      <c r="G9573" s="12">
        <f t="shared" si="1431"/>
        <v>19</v>
      </c>
    </row>
    <row r="9574" ht="24.0" customHeight="1">
      <c r="A9574" s="10" t="s">
        <v>30</v>
      </c>
      <c r="B9574" s="10" t="s">
        <v>26</v>
      </c>
      <c r="C9574" s="10" t="s">
        <v>23</v>
      </c>
      <c r="D9574" s="10" t="s">
        <v>31</v>
      </c>
      <c r="E9574" s="14">
        <v>0.2</v>
      </c>
      <c r="F9574" s="15">
        <f t="shared" si="1432"/>
        <v>19</v>
      </c>
      <c r="G9574" s="12">
        <f t="shared" si="1431"/>
        <v>3.8</v>
      </c>
    </row>
    <row r="9575" ht="15.0" customHeight="1">
      <c r="A9575" s="11"/>
      <c r="B9575" s="11"/>
      <c r="C9575" s="11"/>
      <c r="D9575" s="10" t="s">
        <v>22</v>
      </c>
      <c r="E9575" s="14">
        <v>0.5</v>
      </c>
      <c r="F9575" s="15">
        <f>ROUND((G9572+G9573+G9574),3)</f>
        <v>43.8</v>
      </c>
      <c r="G9575" s="12">
        <f t="shared" si="1431"/>
        <v>21.9</v>
      </c>
    </row>
    <row r="9576" ht="15.0" customHeight="1">
      <c r="A9576" s="10" t="s">
        <v>32</v>
      </c>
      <c r="B9576" s="10"/>
      <c r="C9576" s="10" t="s">
        <v>33</v>
      </c>
      <c r="D9576" s="10" t="s">
        <v>34</v>
      </c>
      <c r="E9576" s="14">
        <v>3.0</v>
      </c>
      <c r="F9576" s="15">
        <f>ROUND(21.9,3)</f>
        <v>21.9</v>
      </c>
      <c r="G9576" s="12">
        <f>ROUND((E9576*F9576)/100,2)</f>
        <v>0.66</v>
      </c>
    </row>
    <row r="9577" ht="15.0" customHeight="1">
      <c r="A9577" s="16"/>
      <c r="B9577" s="16"/>
      <c r="C9577" s="16"/>
      <c r="D9577" s="17" t="s">
        <v>4345</v>
      </c>
      <c r="E9577" s="16"/>
      <c r="F9577" s="18">
        <f>ROUND((G9568+G9569+G9570+G9571+G9576)*(1+G2/100),2)</f>
        <v>40.25</v>
      </c>
      <c r="G9577" s="16"/>
    </row>
    <row r="9578" ht="30.0" customHeight="1">
      <c r="A9578" s="19" t="s">
        <v>4354</v>
      </c>
      <c r="B9578" s="20" t="s">
        <v>18</v>
      </c>
      <c r="C9578" s="20" t="s">
        <v>295</v>
      </c>
      <c r="D9578" s="20" t="s">
        <v>4355</v>
      </c>
      <c r="E9578" s="21"/>
      <c r="F9578" s="22">
        <f>F9587</f>
        <v>321.32</v>
      </c>
      <c r="G9578" s="21"/>
    </row>
    <row r="9579" ht="12.0" customHeight="1">
      <c r="A9579" s="11"/>
      <c r="B9579" s="11"/>
      <c r="C9579" s="11"/>
      <c r="D9579" s="10" t="s">
        <v>4356</v>
      </c>
    </row>
    <row r="9580" ht="21.0" customHeight="1">
      <c r="A9580" s="10" t="s">
        <v>4357</v>
      </c>
      <c r="B9580" s="10" t="s">
        <v>42</v>
      </c>
      <c r="C9580" s="10" t="s">
        <v>304</v>
      </c>
      <c r="D9580" s="10" t="s">
        <v>4358</v>
      </c>
      <c r="E9580" s="14">
        <v>1.0</v>
      </c>
      <c r="F9580" s="15">
        <f>ROUND(195,3)</f>
        <v>195</v>
      </c>
      <c r="G9580" s="12">
        <f t="shared" ref="G9580:G9585" si="1433">ROUND(E9580*F9580,2)</f>
        <v>195</v>
      </c>
    </row>
    <row r="9581" ht="21.0" customHeight="1">
      <c r="A9581" s="10" t="s">
        <v>22</v>
      </c>
      <c r="B9581" s="10" t="s">
        <v>18</v>
      </c>
      <c r="C9581" s="10" t="s">
        <v>23</v>
      </c>
      <c r="D9581" s="10" t="s">
        <v>24</v>
      </c>
      <c r="E9581" s="14">
        <v>2.8</v>
      </c>
      <c r="F9581" s="15">
        <f>F9585</f>
        <v>43.8</v>
      </c>
      <c r="G9581" s="12">
        <f t="shared" si="1433"/>
        <v>122.64</v>
      </c>
    </row>
    <row r="9582" ht="24.0" customHeight="1">
      <c r="A9582" s="10" t="s">
        <v>25</v>
      </c>
      <c r="B9582" s="10" t="s">
        <v>26</v>
      </c>
      <c r="C9582" s="10" t="s">
        <v>23</v>
      </c>
      <c r="D9582" s="10" t="s">
        <v>27</v>
      </c>
      <c r="E9582" s="14">
        <v>1.0</v>
      </c>
      <c r="F9582" s="15">
        <f>ROUND(21,3)</f>
        <v>21</v>
      </c>
      <c r="G9582" s="12">
        <f t="shared" si="1433"/>
        <v>21</v>
      </c>
    </row>
    <row r="9583" ht="24.0" customHeight="1">
      <c r="A9583" s="10" t="s">
        <v>28</v>
      </c>
      <c r="B9583" s="10" t="s">
        <v>26</v>
      </c>
      <c r="C9583" s="10" t="s">
        <v>23</v>
      </c>
      <c r="D9583" s="10" t="s">
        <v>29</v>
      </c>
      <c r="E9583" s="14">
        <v>1.0</v>
      </c>
      <c r="F9583" s="15">
        <f t="shared" ref="F9583:F9584" si="1434">ROUND(19,3)</f>
        <v>19</v>
      </c>
      <c r="G9583" s="12">
        <f t="shared" si="1433"/>
        <v>19</v>
      </c>
    </row>
    <row r="9584" ht="24.0" customHeight="1">
      <c r="A9584" s="10" t="s">
        <v>30</v>
      </c>
      <c r="B9584" s="10" t="s">
        <v>26</v>
      </c>
      <c r="C9584" s="10" t="s">
        <v>23</v>
      </c>
      <c r="D9584" s="10" t="s">
        <v>31</v>
      </c>
      <c r="E9584" s="14">
        <v>0.2</v>
      </c>
      <c r="F9584" s="15">
        <f t="shared" si="1434"/>
        <v>19</v>
      </c>
      <c r="G9584" s="12">
        <f t="shared" si="1433"/>
        <v>3.8</v>
      </c>
    </row>
    <row r="9585" ht="15.0" customHeight="1">
      <c r="A9585" s="11"/>
      <c r="B9585" s="11"/>
      <c r="C9585" s="11"/>
      <c r="D9585" s="10" t="s">
        <v>22</v>
      </c>
      <c r="E9585" s="14">
        <v>2.8</v>
      </c>
      <c r="F9585" s="15">
        <f>ROUND((G9582+G9583+G9584),3)</f>
        <v>43.8</v>
      </c>
      <c r="G9585" s="12">
        <f t="shared" si="1433"/>
        <v>122.64</v>
      </c>
    </row>
    <row r="9586" ht="15.0" customHeight="1">
      <c r="A9586" s="10" t="s">
        <v>32</v>
      </c>
      <c r="B9586" s="10"/>
      <c r="C9586" s="10" t="s">
        <v>33</v>
      </c>
      <c r="D9586" s="10" t="s">
        <v>34</v>
      </c>
      <c r="E9586" s="14">
        <v>3.0</v>
      </c>
      <c r="F9586" s="15">
        <f>ROUND(122.64,3)</f>
        <v>122.64</v>
      </c>
      <c r="G9586" s="12">
        <f>ROUND((E9586*F9586)/100,2)</f>
        <v>3.68</v>
      </c>
    </row>
    <row r="9587" ht="15.0" customHeight="1">
      <c r="A9587" s="16"/>
      <c r="B9587" s="16"/>
      <c r="C9587" s="16"/>
      <c r="D9587" s="17" t="s">
        <v>4354</v>
      </c>
      <c r="E9587" s="16"/>
      <c r="F9587" s="18">
        <f>ROUND((G9580+G9581+G9586)*(1+G2/100),2)</f>
        <v>321.32</v>
      </c>
      <c r="G9587" s="16"/>
    </row>
    <row r="9588" ht="21.0" customHeight="1">
      <c r="A9588" s="19" t="s">
        <v>4359</v>
      </c>
      <c r="B9588" s="20" t="s">
        <v>18</v>
      </c>
      <c r="C9588" s="20" t="s">
        <v>251</v>
      </c>
      <c r="D9588" s="20" t="s">
        <v>4360</v>
      </c>
      <c r="E9588" s="21"/>
      <c r="F9588" s="22">
        <f>F9598</f>
        <v>113.41</v>
      </c>
      <c r="G9588" s="21"/>
    </row>
    <row r="9589" ht="39.75" customHeight="1">
      <c r="A9589" s="11"/>
      <c r="B9589" s="11"/>
      <c r="C9589" s="11"/>
      <c r="D9589" s="10" t="s">
        <v>4361</v>
      </c>
    </row>
    <row r="9590" ht="30.0" customHeight="1">
      <c r="A9590" s="10" t="s">
        <v>1382</v>
      </c>
      <c r="B9590" s="10" t="s">
        <v>42</v>
      </c>
      <c r="C9590" s="10" t="s">
        <v>184</v>
      </c>
      <c r="D9590" s="10" t="s">
        <v>1383</v>
      </c>
      <c r="E9590" s="14">
        <v>5.0</v>
      </c>
      <c r="F9590" s="15">
        <f>ROUND(1.47,3)</f>
        <v>1.47</v>
      </c>
      <c r="G9590" s="12">
        <f t="shared" ref="G9590:G9596" si="1435">ROUND(E9590*F9590,2)</f>
        <v>7.35</v>
      </c>
    </row>
    <row r="9591" ht="30.0" customHeight="1">
      <c r="A9591" s="10" t="s">
        <v>4362</v>
      </c>
      <c r="B9591" s="10" t="s">
        <v>42</v>
      </c>
      <c r="C9591" s="10" t="s">
        <v>344</v>
      </c>
      <c r="D9591" s="10" t="s">
        <v>4363</v>
      </c>
      <c r="E9591" s="14">
        <v>55.0</v>
      </c>
      <c r="F9591" s="15">
        <f>ROUND(0.78,3)</f>
        <v>0.78</v>
      </c>
      <c r="G9591" s="12">
        <f t="shared" si="1435"/>
        <v>42.9</v>
      </c>
    </row>
    <row r="9592" ht="21.0" customHeight="1">
      <c r="A9592" s="10" t="s">
        <v>22</v>
      </c>
      <c r="B9592" s="10" t="s">
        <v>18</v>
      </c>
      <c r="C9592" s="10" t="s">
        <v>23</v>
      </c>
      <c r="D9592" s="10" t="s">
        <v>24</v>
      </c>
      <c r="E9592" s="14">
        <v>1.4</v>
      </c>
      <c r="F9592" s="15">
        <f>F9596</f>
        <v>43.8</v>
      </c>
      <c r="G9592" s="12">
        <f t="shared" si="1435"/>
        <v>61.32</v>
      </c>
    </row>
    <row r="9593" ht="24.0" customHeight="1">
      <c r="A9593" s="10" t="s">
        <v>25</v>
      </c>
      <c r="B9593" s="10" t="s">
        <v>26</v>
      </c>
      <c r="C9593" s="10" t="s">
        <v>23</v>
      </c>
      <c r="D9593" s="10" t="s">
        <v>27</v>
      </c>
      <c r="E9593" s="14">
        <v>1.0</v>
      </c>
      <c r="F9593" s="15">
        <f>ROUND(21,3)</f>
        <v>21</v>
      </c>
      <c r="G9593" s="12">
        <f t="shared" si="1435"/>
        <v>21</v>
      </c>
    </row>
    <row r="9594" ht="24.0" customHeight="1">
      <c r="A9594" s="10" t="s">
        <v>28</v>
      </c>
      <c r="B9594" s="10" t="s">
        <v>26</v>
      </c>
      <c r="C9594" s="10" t="s">
        <v>23</v>
      </c>
      <c r="D9594" s="10" t="s">
        <v>29</v>
      </c>
      <c r="E9594" s="14">
        <v>1.0</v>
      </c>
      <c r="F9594" s="15">
        <f t="shared" ref="F9594:F9595" si="1436">ROUND(19,3)</f>
        <v>19</v>
      </c>
      <c r="G9594" s="12">
        <f t="shared" si="1435"/>
        <v>19</v>
      </c>
    </row>
    <row r="9595" ht="24.0" customHeight="1">
      <c r="A9595" s="10" t="s">
        <v>30</v>
      </c>
      <c r="B9595" s="10" t="s">
        <v>26</v>
      </c>
      <c r="C9595" s="10" t="s">
        <v>23</v>
      </c>
      <c r="D9595" s="10" t="s">
        <v>31</v>
      </c>
      <c r="E9595" s="14">
        <v>0.2</v>
      </c>
      <c r="F9595" s="15">
        <f t="shared" si="1436"/>
        <v>19</v>
      </c>
      <c r="G9595" s="12">
        <f t="shared" si="1435"/>
        <v>3.8</v>
      </c>
    </row>
    <row r="9596" ht="15.0" customHeight="1">
      <c r="A9596" s="11"/>
      <c r="B9596" s="11"/>
      <c r="C9596" s="11"/>
      <c r="D9596" s="10" t="s">
        <v>22</v>
      </c>
      <c r="E9596" s="14">
        <v>1.4</v>
      </c>
      <c r="F9596" s="15">
        <f>ROUND((G9593+G9594+G9595),3)</f>
        <v>43.8</v>
      </c>
      <c r="G9596" s="12">
        <f t="shared" si="1435"/>
        <v>61.32</v>
      </c>
    </row>
    <row r="9597" ht="15.0" customHeight="1">
      <c r="A9597" s="10" t="s">
        <v>32</v>
      </c>
      <c r="B9597" s="10"/>
      <c r="C9597" s="10" t="s">
        <v>33</v>
      </c>
      <c r="D9597" s="10" t="s">
        <v>34</v>
      </c>
      <c r="E9597" s="14">
        <v>3.0</v>
      </c>
      <c r="F9597" s="15">
        <f>ROUND(61.32,3)</f>
        <v>61.32</v>
      </c>
      <c r="G9597" s="12">
        <f>ROUND((E9597*F9597)/100,2)</f>
        <v>1.84</v>
      </c>
    </row>
    <row r="9598" ht="15.0" customHeight="1">
      <c r="A9598" s="16"/>
      <c r="B9598" s="16"/>
      <c r="C9598" s="16"/>
      <c r="D9598" s="17" t="s">
        <v>4359</v>
      </c>
      <c r="E9598" s="16"/>
      <c r="F9598" s="18">
        <f>ROUND((G9590+G9591+G9592+G9597)*(1+G2/100),2)</f>
        <v>113.41</v>
      </c>
      <c r="G9598" s="16"/>
    </row>
    <row r="9599" ht="21.0" customHeight="1">
      <c r="A9599" s="19" t="s">
        <v>4364</v>
      </c>
      <c r="B9599" s="20" t="s">
        <v>18</v>
      </c>
      <c r="C9599" s="20" t="s">
        <v>251</v>
      </c>
      <c r="D9599" s="20" t="s">
        <v>4365</v>
      </c>
      <c r="E9599" s="21"/>
      <c r="F9599" s="22">
        <f>F9609</f>
        <v>79.53</v>
      </c>
      <c r="G9599" s="21"/>
    </row>
    <row r="9600" ht="39.75" customHeight="1">
      <c r="A9600" s="11"/>
      <c r="B9600" s="11"/>
      <c r="C9600" s="11"/>
      <c r="D9600" s="10" t="s">
        <v>4366</v>
      </c>
    </row>
    <row r="9601" ht="30.0" customHeight="1">
      <c r="A9601" s="10" t="s">
        <v>1382</v>
      </c>
      <c r="B9601" s="10" t="s">
        <v>42</v>
      </c>
      <c r="C9601" s="10" t="s">
        <v>184</v>
      </c>
      <c r="D9601" s="10" t="s">
        <v>1383</v>
      </c>
      <c r="E9601" s="14">
        <v>4.0</v>
      </c>
      <c r="F9601" s="15">
        <f>ROUND(1.47,3)</f>
        <v>1.47</v>
      </c>
      <c r="G9601" s="12">
        <f t="shared" ref="G9601:G9607" si="1437">ROUND(E9601*F9601,2)</f>
        <v>5.88</v>
      </c>
    </row>
    <row r="9602" ht="30.0" customHeight="1">
      <c r="A9602" s="10" t="s">
        <v>4367</v>
      </c>
      <c r="B9602" s="10" t="s">
        <v>42</v>
      </c>
      <c r="C9602" s="10" t="s">
        <v>344</v>
      </c>
      <c r="D9602" s="10" t="s">
        <v>4368</v>
      </c>
      <c r="E9602" s="14">
        <v>20.0</v>
      </c>
      <c r="F9602" s="15">
        <f>ROUND(0.75,3)</f>
        <v>0.75</v>
      </c>
      <c r="G9602" s="12">
        <f t="shared" si="1437"/>
        <v>15</v>
      </c>
    </row>
    <row r="9603" ht="21.0" customHeight="1">
      <c r="A9603" s="10" t="s">
        <v>22</v>
      </c>
      <c r="B9603" s="10" t="s">
        <v>18</v>
      </c>
      <c r="C9603" s="10" t="s">
        <v>23</v>
      </c>
      <c r="D9603" s="10" t="s">
        <v>24</v>
      </c>
      <c r="E9603" s="14">
        <v>1.3</v>
      </c>
      <c r="F9603" s="15">
        <f>F9607</f>
        <v>43.8</v>
      </c>
      <c r="G9603" s="12">
        <f t="shared" si="1437"/>
        <v>56.94</v>
      </c>
    </row>
    <row r="9604" ht="24.0" customHeight="1">
      <c r="A9604" s="10" t="s">
        <v>25</v>
      </c>
      <c r="B9604" s="10" t="s">
        <v>26</v>
      </c>
      <c r="C9604" s="10" t="s">
        <v>23</v>
      </c>
      <c r="D9604" s="10" t="s">
        <v>27</v>
      </c>
      <c r="E9604" s="14">
        <v>1.0</v>
      </c>
      <c r="F9604" s="15">
        <f>ROUND(21,3)</f>
        <v>21</v>
      </c>
      <c r="G9604" s="12">
        <f t="shared" si="1437"/>
        <v>21</v>
      </c>
    </row>
    <row r="9605" ht="24.0" customHeight="1">
      <c r="A9605" s="10" t="s">
        <v>28</v>
      </c>
      <c r="B9605" s="10" t="s">
        <v>26</v>
      </c>
      <c r="C9605" s="10" t="s">
        <v>23</v>
      </c>
      <c r="D9605" s="10" t="s">
        <v>29</v>
      </c>
      <c r="E9605" s="14">
        <v>1.0</v>
      </c>
      <c r="F9605" s="15">
        <f t="shared" ref="F9605:F9606" si="1438">ROUND(19,3)</f>
        <v>19</v>
      </c>
      <c r="G9605" s="12">
        <f t="shared" si="1437"/>
        <v>19</v>
      </c>
    </row>
    <row r="9606" ht="24.0" customHeight="1">
      <c r="A9606" s="10" t="s">
        <v>30</v>
      </c>
      <c r="B9606" s="10" t="s">
        <v>26</v>
      </c>
      <c r="C9606" s="10" t="s">
        <v>23</v>
      </c>
      <c r="D9606" s="10" t="s">
        <v>31</v>
      </c>
      <c r="E9606" s="14">
        <v>0.2</v>
      </c>
      <c r="F9606" s="15">
        <f t="shared" si="1438"/>
        <v>19</v>
      </c>
      <c r="G9606" s="12">
        <f t="shared" si="1437"/>
        <v>3.8</v>
      </c>
    </row>
    <row r="9607" ht="15.0" customHeight="1">
      <c r="A9607" s="11"/>
      <c r="B9607" s="11"/>
      <c r="C9607" s="11"/>
      <c r="D9607" s="10" t="s">
        <v>22</v>
      </c>
      <c r="E9607" s="14">
        <v>1.3</v>
      </c>
      <c r="F9607" s="15">
        <f>ROUND((G9604+G9605+G9606),3)</f>
        <v>43.8</v>
      </c>
      <c r="G9607" s="12">
        <f t="shared" si="1437"/>
        <v>56.94</v>
      </c>
    </row>
    <row r="9608" ht="15.0" customHeight="1">
      <c r="A9608" s="10" t="s">
        <v>32</v>
      </c>
      <c r="B9608" s="10"/>
      <c r="C9608" s="10" t="s">
        <v>33</v>
      </c>
      <c r="D9608" s="10" t="s">
        <v>34</v>
      </c>
      <c r="E9608" s="14">
        <v>3.0</v>
      </c>
      <c r="F9608" s="15">
        <f>ROUND(56.94,3)</f>
        <v>56.94</v>
      </c>
      <c r="G9608" s="12">
        <f>ROUND((E9608*F9608)/100,2)</f>
        <v>1.71</v>
      </c>
    </row>
    <row r="9609" ht="15.0" customHeight="1">
      <c r="A9609" s="16"/>
      <c r="B9609" s="16"/>
      <c r="C9609" s="16"/>
      <c r="D9609" s="17" t="s">
        <v>4364</v>
      </c>
      <c r="E9609" s="16"/>
      <c r="F9609" s="18">
        <f>ROUND((G9601+G9602+G9603+G9608)*(1+G2/100),2)</f>
        <v>79.53</v>
      </c>
      <c r="G9609" s="16"/>
    </row>
    <row r="9610" ht="21.0" customHeight="1">
      <c r="A9610" s="19" t="s">
        <v>4369</v>
      </c>
      <c r="B9610" s="20" t="s">
        <v>18</v>
      </c>
      <c r="C9610" s="20" t="s">
        <v>251</v>
      </c>
      <c r="D9610" s="20" t="s">
        <v>4370</v>
      </c>
      <c r="E9610" s="21"/>
      <c r="F9610" s="22">
        <f>F9620</f>
        <v>77.3</v>
      </c>
      <c r="G9610" s="21"/>
    </row>
    <row r="9611" ht="39.75" customHeight="1">
      <c r="A9611" s="11"/>
      <c r="B9611" s="11"/>
      <c r="C9611" s="11"/>
      <c r="D9611" s="10" t="s">
        <v>4371</v>
      </c>
    </row>
    <row r="9612" ht="30.0" customHeight="1">
      <c r="A9612" s="10" t="s">
        <v>1382</v>
      </c>
      <c r="B9612" s="10" t="s">
        <v>42</v>
      </c>
      <c r="C9612" s="10" t="s">
        <v>184</v>
      </c>
      <c r="D9612" s="10" t="s">
        <v>1383</v>
      </c>
      <c r="E9612" s="14">
        <v>3.0</v>
      </c>
      <c r="F9612" s="15">
        <f>ROUND(1.47,3)</f>
        <v>1.47</v>
      </c>
      <c r="G9612" s="12">
        <f t="shared" ref="G9612:G9618" si="1439">ROUND(E9612*F9612,2)</f>
        <v>4.41</v>
      </c>
    </row>
    <row r="9613" ht="30.0" customHeight="1">
      <c r="A9613" s="10" t="s">
        <v>4372</v>
      </c>
      <c r="B9613" s="10" t="s">
        <v>42</v>
      </c>
      <c r="C9613" s="10" t="s">
        <v>344</v>
      </c>
      <c r="D9613" s="10" t="s">
        <v>4373</v>
      </c>
      <c r="E9613" s="14">
        <v>15.0</v>
      </c>
      <c r="F9613" s="15">
        <f>ROUND(1.25,3)</f>
        <v>1.25</v>
      </c>
      <c r="G9613" s="12">
        <f t="shared" si="1439"/>
        <v>18.75</v>
      </c>
    </row>
    <row r="9614" ht="21.0" customHeight="1">
      <c r="A9614" s="10" t="s">
        <v>22</v>
      </c>
      <c r="B9614" s="10" t="s">
        <v>18</v>
      </c>
      <c r="C9614" s="10" t="s">
        <v>23</v>
      </c>
      <c r="D9614" s="10" t="s">
        <v>24</v>
      </c>
      <c r="E9614" s="14">
        <v>1.2</v>
      </c>
      <c r="F9614" s="15">
        <f>F9618</f>
        <v>43.8</v>
      </c>
      <c r="G9614" s="12">
        <f t="shared" si="1439"/>
        <v>52.56</v>
      </c>
    </row>
    <row r="9615" ht="24.0" customHeight="1">
      <c r="A9615" s="10" t="s">
        <v>25</v>
      </c>
      <c r="B9615" s="10" t="s">
        <v>26</v>
      </c>
      <c r="C9615" s="10" t="s">
        <v>23</v>
      </c>
      <c r="D9615" s="10" t="s">
        <v>27</v>
      </c>
      <c r="E9615" s="14">
        <v>1.0</v>
      </c>
      <c r="F9615" s="15">
        <f>ROUND(21,3)</f>
        <v>21</v>
      </c>
      <c r="G9615" s="12">
        <f t="shared" si="1439"/>
        <v>21</v>
      </c>
    </row>
    <row r="9616" ht="24.0" customHeight="1">
      <c r="A9616" s="10" t="s">
        <v>28</v>
      </c>
      <c r="B9616" s="10" t="s">
        <v>26</v>
      </c>
      <c r="C9616" s="10" t="s">
        <v>23</v>
      </c>
      <c r="D9616" s="10" t="s">
        <v>29</v>
      </c>
      <c r="E9616" s="14">
        <v>1.0</v>
      </c>
      <c r="F9616" s="15">
        <f t="shared" ref="F9616:F9617" si="1440">ROUND(19,3)</f>
        <v>19</v>
      </c>
      <c r="G9616" s="12">
        <f t="shared" si="1439"/>
        <v>19</v>
      </c>
    </row>
    <row r="9617" ht="24.0" customHeight="1">
      <c r="A9617" s="10" t="s">
        <v>30</v>
      </c>
      <c r="B9617" s="10" t="s">
        <v>26</v>
      </c>
      <c r="C9617" s="10" t="s">
        <v>23</v>
      </c>
      <c r="D9617" s="10" t="s">
        <v>31</v>
      </c>
      <c r="E9617" s="14">
        <v>0.2</v>
      </c>
      <c r="F9617" s="15">
        <f t="shared" si="1440"/>
        <v>19</v>
      </c>
      <c r="G9617" s="12">
        <f t="shared" si="1439"/>
        <v>3.8</v>
      </c>
    </row>
    <row r="9618" ht="15.0" customHeight="1">
      <c r="A9618" s="11"/>
      <c r="B9618" s="11"/>
      <c r="C9618" s="11"/>
      <c r="D9618" s="10" t="s">
        <v>22</v>
      </c>
      <c r="E9618" s="14">
        <v>1.2</v>
      </c>
      <c r="F9618" s="15">
        <f>ROUND((G9615+G9616+G9617),3)</f>
        <v>43.8</v>
      </c>
      <c r="G9618" s="12">
        <f t="shared" si="1439"/>
        <v>52.56</v>
      </c>
    </row>
    <row r="9619" ht="15.0" customHeight="1">
      <c r="A9619" s="10" t="s">
        <v>32</v>
      </c>
      <c r="B9619" s="10"/>
      <c r="C9619" s="10" t="s">
        <v>33</v>
      </c>
      <c r="D9619" s="10" t="s">
        <v>34</v>
      </c>
      <c r="E9619" s="14">
        <v>3.0</v>
      </c>
      <c r="F9619" s="15">
        <f>ROUND(52.56,3)</f>
        <v>52.56</v>
      </c>
      <c r="G9619" s="12">
        <f>ROUND((E9619*F9619)/100,2)</f>
        <v>1.58</v>
      </c>
    </row>
    <row r="9620" ht="15.0" customHeight="1">
      <c r="A9620" s="16"/>
      <c r="B9620" s="16"/>
      <c r="C9620" s="16"/>
      <c r="D9620" s="17" t="s">
        <v>4369</v>
      </c>
      <c r="E9620" s="16"/>
      <c r="F9620" s="18">
        <f>ROUND((G9612+G9613+G9614+G9619)*(1+G2/100),2)</f>
        <v>77.3</v>
      </c>
      <c r="G9620" s="16"/>
    </row>
    <row r="9621" ht="30.0" customHeight="1">
      <c r="A9621" s="19" t="s">
        <v>4374</v>
      </c>
      <c r="B9621" s="20" t="s">
        <v>18</v>
      </c>
      <c r="C9621" s="20" t="s">
        <v>251</v>
      </c>
      <c r="D9621" s="20" t="s">
        <v>4375</v>
      </c>
      <c r="E9621" s="21"/>
      <c r="F9621" s="22">
        <f>F9654</f>
        <v>64.39</v>
      </c>
      <c r="G9621" s="21"/>
    </row>
    <row r="9622" ht="48.75" customHeight="1">
      <c r="A9622" s="11"/>
      <c r="B9622" s="11"/>
      <c r="C9622" s="11"/>
      <c r="D9622" s="10" t="s">
        <v>4376</v>
      </c>
    </row>
    <row r="9623" ht="21.0" customHeight="1">
      <c r="A9623" s="10" t="s">
        <v>503</v>
      </c>
      <c r="B9623" s="10" t="s">
        <v>18</v>
      </c>
      <c r="C9623" s="10" t="s">
        <v>416</v>
      </c>
      <c r="D9623" s="10" t="s">
        <v>504</v>
      </c>
      <c r="E9623" s="14">
        <v>0.001</v>
      </c>
      <c r="F9623" s="15">
        <f>F9633</f>
        <v>3270.54</v>
      </c>
      <c r="G9623" s="12">
        <f t="shared" ref="G9623:G9652" si="1441">ROUND(E9623*F9623,2)</f>
        <v>3.27</v>
      </c>
    </row>
    <row r="9624" ht="21.0" customHeight="1">
      <c r="A9624" s="10" t="s">
        <v>506</v>
      </c>
      <c r="B9624" s="10" t="s">
        <v>112</v>
      </c>
      <c r="C9624" s="10" t="s">
        <v>410</v>
      </c>
      <c r="D9624" s="10" t="s">
        <v>507</v>
      </c>
      <c r="E9624" s="14">
        <v>30.0</v>
      </c>
      <c r="F9624" s="15">
        <f>ROUND(63.27,3)</f>
        <v>63.27</v>
      </c>
      <c r="G9624" s="12">
        <f t="shared" si="1441"/>
        <v>1898.1</v>
      </c>
    </row>
    <row r="9625" ht="15.0" customHeight="1">
      <c r="A9625" s="10" t="s">
        <v>508</v>
      </c>
      <c r="B9625" s="10" t="s">
        <v>42</v>
      </c>
      <c r="C9625" s="10" t="s">
        <v>222</v>
      </c>
      <c r="D9625" s="10" t="s">
        <v>509</v>
      </c>
      <c r="E9625" s="14">
        <v>1.0</v>
      </c>
      <c r="F9625" s="15">
        <f>ROUND(8.86,3)</f>
        <v>8.86</v>
      </c>
      <c r="G9625" s="12">
        <f t="shared" si="1441"/>
        <v>8.86</v>
      </c>
    </row>
    <row r="9626" ht="21.0" customHeight="1">
      <c r="A9626" s="10" t="s">
        <v>510</v>
      </c>
      <c r="B9626" s="10" t="s">
        <v>42</v>
      </c>
      <c r="C9626" s="10" t="s">
        <v>222</v>
      </c>
      <c r="D9626" s="10" t="s">
        <v>511</v>
      </c>
      <c r="E9626" s="14">
        <v>1.0</v>
      </c>
      <c r="F9626" s="15">
        <f>ROUND(14,3)</f>
        <v>14</v>
      </c>
      <c r="G9626" s="12">
        <f t="shared" si="1441"/>
        <v>14</v>
      </c>
    </row>
    <row r="9627" ht="15.0" customHeight="1">
      <c r="A9627" s="10" t="s">
        <v>512</v>
      </c>
      <c r="B9627" s="10" t="s">
        <v>42</v>
      </c>
      <c r="C9627" s="10" t="s">
        <v>222</v>
      </c>
      <c r="D9627" s="10" t="s">
        <v>513</v>
      </c>
      <c r="E9627" s="14">
        <v>1.0</v>
      </c>
      <c r="F9627" s="15">
        <f t="shared" ref="F9627:F9628" si="1442">ROUND(140,3)</f>
        <v>140</v>
      </c>
      <c r="G9627" s="12">
        <f t="shared" si="1441"/>
        <v>140</v>
      </c>
    </row>
    <row r="9628" ht="15.0" customHeight="1">
      <c r="A9628" s="10" t="s">
        <v>514</v>
      </c>
      <c r="B9628" s="10" t="s">
        <v>42</v>
      </c>
      <c r="C9628" s="10" t="s">
        <v>222</v>
      </c>
      <c r="D9628" s="10" t="s">
        <v>515</v>
      </c>
      <c r="E9628" s="14">
        <v>1.0</v>
      </c>
      <c r="F9628" s="15">
        <f t="shared" si="1442"/>
        <v>140</v>
      </c>
      <c r="G9628" s="12">
        <f t="shared" si="1441"/>
        <v>140</v>
      </c>
    </row>
    <row r="9629" ht="21.0" customHeight="1">
      <c r="A9629" s="10" t="s">
        <v>516</v>
      </c>
      <c r="B9629" s="10" t="s">
        <v>42</v>
      </c>
      <c r="C9629" s="10" t="s">
        <v>222</v>
      </c>
      <c r="D9629" s="10" t="s">
        <v>517</v>
      </c>
      <c r="E9629" s="14">
        <v>0.1</v>
      </c>
      <c r="F9629" s="15">
        <f>ROUND(150,3)</f>
        <v>150</v>
      </c>
      <c r="G9629" s="12">
        <f t="shared" si="1441"/>
        <v>15</v>
      </c>
    </row>
    <row r="9630" ht="21.0" customHeight="1">
      <c r="A9630" s="10" t="s">
        <v>518</v>
      </c>
      <c r="B9630" s="10" t="s">
        <v>42</v>
      </c>
      <c r="C9630" s="10" t="s">
        <v>485</v>
      </c>
      <c r="D9630" s="10" t="s">
        <v>519</v>
      </c>
      <c r="E9630" s="14">
        <v>0.14</v>
      </c>
      <c r="F9630" s="15">
        <f>ROUND(72,3)</f>
        <v>72</v>
      </c>
      <c r="G9630" s="12">
        <f t="shared" si="1441"/>
        <v>10.08</v>
      </c>
    </row>
    <row r="9631" ht="15.0" customHeight="1">
      <c r="A9631" s="10" t="s">
        <v>520</v>
      </c>
      <c r="B9631" s="10" t="s">
        <v>42</v>
      </c>
      <c r="C9631" s="10" t="s">
        <v>521</v>
      </c>
      <c r="D9631" s="10" t="s">
        <v>522</v>
      </c>
      <c r="E9631" s="14">
        <v>155.0</v>
      </c>
      <c r="F9631" s="15">
        <f>ROUND(1.9,3)</f>
        <v>1.9</v>
      </c>
      <c r="G9631" s="12">
        <f t="shared" si="1441"/>
        <v>294.5</v>
      </c>
    </row>
    <row r="9632" ht="24.0" customHeight="1">
      <c r="A9632" s="10" t="s">
        <v>523</v>
      </c>
      <c r="B9632" s="10" t="s">
        <v>26</v>
      </c>
      <c r="C9632" s="10" t="s">
        <v>23</v>
      </c>
      <c r="D9632" s="10" t="s">
        <v>524</v>
      </c>
      <c r="E9632" s="14">
        <v>30.0</v>
      </c>
      <c r="F9632" s="15">
        <f>ROUND(25,3)</f>
        <v>25</v>
      </c>
      <c r="G9632" s="12">
        <f t="shared" si="1441"/>
        <v>750</v>
      </c>
    </row>
    <row r="9633" ht="15.0" customHeight="1">
      <c r="A9633" s="11"/>
      <c r="B9633" s="11"/>
      <c r="C9633" s="11"/>
      <c r="D9633" s="10" t="s">
        <v>503</v>
      </c>
      <c r="E9633" s="14">
        <v>0.001</v>
      </c>
      <c r="F9633" s="15">
        <f>ROUND((G9624+G9625+G9626+G9627+G9628+G9629+G9630+G9631+G9632),3)</f>
        <v>3270.54</v>
      </c>
      <c r="G9633" s="12">
        <f t="shared" si="1441"/>
        <v>3.27</v>
      </c>
    </row>
    <row r="9634" ht="21.0" customHeight="1">
      <c r="A9634" s="10" t="s">
        <v>528</v>
      </c>
      <c r="B9634" s="10" t="s">
        <v>18</v>
      </c>
      <c r="C9634" s="10" t="s">
        <v>295</v>
      </c>
      <c r="D9634" s="10" t="s">
        <v>529</v>
      </c>
      <c r="E9634" s="14">
        <v>0.002</v>
      </c>
      <c r="F9634" s="15">
        <f>F9637</f>
        <v>280</v>
      </c>
      <c r="G9634" s="12">
        <f t="shared" si="1441"/>
        <v>0.56</v>
      </c>
    </row>
    <row r="9635" ht="15.0" customHeight="1">
      <c r="A9635" s="10" t="s">
        <v>512</v>
      </c>
      <c r="B9635" s="10" t="s">
        <v>42</v>
      </c>
      <c r="C9635" s="10" t="s">
        <v>222</v>
      </c>
      <c r="D9635" s="10" t="s">
        <v>513</v>
      </c>
      <c r="E9635" s="14">
        <v>1.0</v>
      </c>
      <c r="F9635" s="15">
        <f t="shared" ref="F9635:F9636" si="1443">ROUND(140,3)</f>
        <v>140</v>
      </c>
      <c r="G9635" s="12">
        <f t="shared" si="1441"/>
        <v>140</v>
      </c>
    </row>
    <row r="9636" ht="15.0" customHeight="1">
      <c r="A9636" s="10" t="s">
        <v>514</v>
      </c>
      <c r="B9636" s="10" t="s">
        <v>42</v>
      </c>
      <c r="C9636" s="10" t="s">
        <v>222</v>
      </c>
      <c r="D9636" s="10" t="s">
        <v>515</v>
      </c>
      <c r="E9636" s="14">
        <v>1.0</v>
      </c>
      <c r="F9636" s="15">
        <f t="shared" si="1443"/>
        <v>140</v>
      </c>
      <c r="G9636" s="12">
        <f t="shared" si="1441"/>
        <v>140</v>
      </c>
    </row>
    <row r="9637" ht="15.0" customHeight="1">
      <c r="A9637" s="11"/>
      <c r="B9637" s="11"/>
      <c r="C9637" s="11"/>
      <c r="D9637" s="10" t="s">
        <v>528</v>
      </c>
      <c r="E9637" s="14">
        <v>0.002</v>
      </c>
      <c r="F9637" s="15">
        <f>ROUND((G9635+G9636),3)</f>
        <v>280</v>
      </c>
      <c r="G9637" s="12">
        <f t="shared" si="1441"/>
        <v>0.56</v>
      </c>
    </row>
    <row r="9638" ht="30.0" customHeight="1">
      <c r="A9638" s="10" t="s">
        <v>4377</v>
      </c>
      <c r="B9638" s="10" t="s">
        <v>42</v>
      </c>
      <c r="C9638" s="10" t="s">
        <v>19</v>
      </c>
      <c r="D9638" s="10" t="s">
        <v>4378</v>
      </c>
      <c r="E9638" s="14">
        <v>1.0</v>
      </c>
      <c r="F9638" s="15">
        <f>ROUND(41.02,3)</f>
        <v>41.02</v>
      </c>
      <c r="G9638" s="12">
        <f t="shared" si="1441"/>
        <v>41.02</v>
      </c>
    </row>
    <row r="9639" ht="30.0" customHeight="1">
      <c r="A9639" s="10" t="s">
        <v>4379</v>
      </c>
      <c r="B9639" s="10" t="s">
        <v>42</v>
      </c>
      <c r="C9639" s="10" t="s">
        <v>351</v>
      </c>
      <c r="D9639" s="10" t="s">
        <v>4380</v>
      </c>
      <c r="E9639" s="14">
        <v>0.05</v>
      </c>
      <c r="F9639" s="15">
        <f>ROUND(25.1,3)</f>
        <v>25.1</v>
      </c>
      <c r="G9639" s="12">
        <f t="shared" si="1441"/>
        <v>1.26</v>
      </c>
    </row>
    <row r="9640" ht="30.0" customHeight="1">
      <c r="A9640" s="10" t="s">
        <v>4381</v>
      </c>
      <c r="B9640" s="10" t="s">
        <v>42</v>
      </c>
      <c r="C9640" s="10" t="s">
        <v>351</v>
      </c>
      <c r="D9640" s="10" t="s">
        <v>4382</v>
      </c>
      <c r="E9640" s="14">
        <v>0.05</v>
      </c>
      <c r="F9640" s="15">
        <f>ROUND(8,3)</f>
        <v>8</v>
      </c>
      <c r="G9640" s="12">
        <f t="shared" si="1441"/>
        <v>0.4</v>
      </c>
    </row>
    <row r="9641" ht="30.0" customHeight="1">
      <c r="A9641" s="10" t="s">
        <v>4383</v>
      </c>
      <c r="B9641" s="10" t="s">
        <v>42</v>
      </c>
      <c r="C9641" s="10" t="s">
        <v>351</v>
      </c>
      <c r="D9641" s="10" t="s">
        <v>4384</v>
      </c>
      <c r="E9641" s="14">
        <v>0.05</v>
      </c>
      <c r="F9641" s="15">
        <f>ROUND(10,3)</f>
        <v>10</v>
      </c>
      <c r="G9641" s="12">
        <f t="shared" si="1441"/>
        <v>0.5</v>
      </c>
    </row>
    <row r="9642" ht="30.0" customHeight="1">
      <c r="A9642" s="10" t="s">
        <v>4385</v>
      </c>
      <c r="B9642" s="10" t="s">
        <v>42</v>
      </c>
      <c r="C9642" s="10" t="s">
        <v>351</v>
      </c>
      <c r="D9642" s="10" t="s">
        <v>4386</v>
      </c>
      <c r="E9642" s="14">
        <v>0.05</v>
      </c>
      <c r="F9642" s="15">
        <f>ROUND(0.05,3)</f>
        <v>0.05</v>
      </c>
      <c r="G9642" s="12">
        <f t="shared" si="1441"/>
        <v>0</v>
      </c>
    </row>
    <row r="9643" ht="39.75" customHeight="1">
      <c r="A9643" s="10" t="s">
        <v>4387</v>
      </c>
      <c r="B9643" s="10" t="s">
        <v>42</v>
      </c>
      <c r="C9643" s="10" t="s">
        <v>351</v>
      </c>
      <c r="D9643" s="10" t="s">
        <v>4388</v>
      </c>
      <c r="E9643" s="14">
        <v>0.05</v>
      </c>
      <c r="F9643" s="15">
        <f>ROUND(12.5,3)</f>
        <v>12.5</v>
      </c>
      <c r="G9643" s="12">
        <f t="shared" si="1441"/>
        <v>0.63</v>
      </c>
    </row>
    <row r="9644" ht="21.0" customHeight="1">
      <c r="A9644" s="10" t="s">
        <v>4389</v>
      </c>
      <c r="B9644" s="10" t="s">
        <v>42</v>
      </c>
      <c r="C9644" s="10" t="s">
        <v>304</v>
      </c>
      <c r="D9644" s="10" t="s">
        <v>4390</v>
      </c>
      <c r="E9644" s="14">
        <v>0.1</v>
      </c>
      <c r="F9644" s="15">
        <f>ROUND(11.65,3)</f>
        <v>11.65</v>
      </c>
      <c r="G9644" s="12">
        <f t="shared" si="1441"/>
        <v>1.17</v>
      </c>
    </row>
    <row r="9645" ht="30.0" customHeight="1">
      <c r="A9645" s="10" t="s">
        <v>4391</v>
      </c>
      <c r="B9645" s="10" t="s">
        <v>42</v>
      </c>
      <c r="C9645" s="10" t="s">
        <v>304</v>
      </c>
      <c r="D9645" s="10" t="s">
        <v>4392</v>
      </c>
      <c r="E9645" s="14">
        <v>1.0</v>
      </c>
      <c r="F9645" s="15">
        <f>ROUND(1.01,3)</f>
        <v>1.01</v>
      </c>
      <c r="G9645" s="12">
        <f t="shared" si="1441"/>
        <v>1.01</v>
      </c>
    </row>
    <row r="9646" ht="30.0" customHeight="1">
      <c r="A9646" s="10" t="s">
        <v>4393</v>
      </c>
      <c r="B9646" s="10" t="s">
        <v>42</v>
      </c>
      <c r="C9646" s="10" t="s">
        <v>351</v>
      </c>
      <c r="D9646" s="10" t="s">
        <v>4394</v>
      </c>
      <c r="E9646" s="14">
        <v>2.1</v>
      </c>
      <c r="F9646" s="15">
        <f>ROUND(1.93,3)</f>
        <v>1.93</v>
      </c>
      <c r="G9646" s="12">
        <f t="shared" si="1441"/>
        <v>4.05</v>
      </c>
    </row>
    <row r="9647" ht="21.0" customHeight="1">
      <c r="A9647" s="10" t="s">
        <v>4395</v>
      </c>
      <c r="B9647" s="10" t="s">
        <v>42</v>
      </c>
      <c r="C9647" s="10" t="s">
        <v>485</v>
      </c>
      <c r="D9647" s="10" t="s">
        <v>4396</v>
      </c>
      <c r="E9647" s="14">
        <v>1.0</v>
      </c>
      <c r="F9647" s="15">
        <f>ROUND(1.5,3)</f>
        <v>1.5</v>
      </c>
      <c r="G9647" s="12">
        <f t="shared" si="1441"/>
        <v>1.5</v>
      </c>
    </row>
    <row r="9648" ht="21.0" customHeight="1">
      <c r="A9648" s="10" t="s">
        <v>22</v>
      </c>
      <c r="B9648" s="10" t="s">
        <v>18</v>
      </c>
      <c r="C9648" s="10" t="s">
        <v>23</v>
      </c>
      <c r="D9648" s="10" t="s">
        <v>24</v>
      </c>
      <c r="E9648" s="14">
        <v>0.2</v>
      </c>
      <c r="F9648" s="15">
        <f>F9652</f>
        <v>43.8</v>
      </c>
      <c r="G9648" s="12">
        <f t="shared" si="1441"/>
        <v>8.76</v>
      </c>
    </row>
    <row r="9649" ht="24.0" customHeight="1">
      <c r="A9649" s="10" t="s">
        <v>25</v>
      </c>
      <c r="B9649" s="10" t="s">
        <v>26</v>
      </c>
      <c r="C9649" s="10" t="s">
        <v>23</v>
      </c>
      <c r="D9649" s="10" t="s">
        <v>27</v>
      </c>
      <c r="E9649" s="14">
        <v>1.0</v>
      </c>
      <c r="F9649" s="15">
        <f>ROUND(21,3)</f>
        <v>21</v>
      </c>
      <c r="G9649" s="12">
        <f t="shared" si="1441"/>
        <v>21</v>
      </c>
    </row>
    <row r="9650" ht="24.0" customHeight="1">
      <c r="A9650" s="10" t="s">
        <v>28</v>
      </c>
      <c r="B9650" s="10" t="s">
        <v>26</v>
      </c>
      <c r="C9650" s="10" t="s">
        <v>23</v>
      </c>
      <c r="D9650" s="10" t="s">
        <v>29</v>
      </c>
      <c r="E9650" s="14">
        <v>1.0</v>
      </c>
      <c r="F9650" s="15">
        <f t="shared" ref="F9650:F9651" si="1444">ROUND(19,3)</f>
        <v>19</v>
      </c>
      <c r="G9650" s="12">
        <f t="shared" si="1441"/>
        <v>19</v>
      </c>
    </row>
    <row r="9651" ht="24.0" customHeight="1">
      <c r="A9651" s="10" t="s">
        <v>30</v>
      </c>
      <c r="B9651" s="10" t="s">
        <v>26</v>
      </c>
      <c r="C9651" s="10" t="s">
        <v>23</v>
      </c>
      <c r="D9651" s="10" t="s">
        <v>31</v>
      </c>
      <c r="E9651" s="14">
        <v>0.2</v>
      </c>
      <c r="F9651" s="15">
        <f t="shared" si="1444"/>
        <v>19</v>
      </c>
      <c r="G9651" s="12">
        <f t="shared" si="1441"/>
        <v>3.8</v>
      </c>
    </row>
    <row r="9652" ht="15.0" customHeight="1">
      <c r="A9652" s="11"/>
      <c r="B9652" s="11"/>
      <c r="C9652" s="11"/>
      <c r="D9652" s="10" t="s">
        <v>22</v>
      </c>
      <c r="E9652" s="14">
        <v>0.2</v>
      </c>
      <c r="F9652" s="15">
        <f>ROUND((G9649+G9650+G9651),3)</f>
        <v>43.8</v>
      </c>
      <c r="G9652" s="12">
        <f t="shared" si="1441"/>
        <v>8.76</v>
      </c>
    </row>
    <row r="9653" ht="15.0" customHeight="1">
      <c r="A9653" s="10" t="s">
        <v>32</v>
      </c>
      <c r="B9653" s="10"/>
      <c r="C9653" s="10" t="s">
        <v>33</v>
      </c>
      <c r="D9653" s="10" t="s">
        <v>34</v>
      </c>
      <c r="E9653" s="14">
        <v>3.0</v>
      </c>
      <c r="F9653" s="15">
        <f>ROUND(8.76,3)</f>
        <v>8.76</v>
      </c>
      <c r="G9653" s="12">
        <f>ROUND((E9653*F9653)/100,2)</f>
        <v>0.26</v>
      </c>
    </row>
    <row r="9654" ht="15.0" customHeight="1">
      <c r="A9654" s="16"/>
      <c r="B9654" s="16"/>
      <c r="C9654" s="16"/>
      <c r="D9654" s="17" t="s">
        <v>4374</v>
      </c>
      <c r="E9654" s="16"/>
      <c r="F9654" s="18">
        <f>ROUND((G9623+G9634+G9638+G9639+G9640+G9641+G9642+G9643+G9644+G9645+G9646+G9647+G9648+G9653)*(1+G2/100),2)</f>
        <v>64.39</v>
      </c>
      <c r="G9654" s="16"/>
    </row>
    <row r="9655" ht="21.0" customHeight="1">
      <c r="A9655" s="19" t="s">
        <v>4397</v>
      </c>
      <c r="B9655" s="20" t="s">
        <v>18</v>
      </c>
      <c r="C9655" s="20" t="s">
        <v>251</v>
      </c>
      <c r="D9655" s="20" t="s">
        <v>4398</v>
      </c>
      <c r="E9655" s="21"/>
      <c r="F9655" s="22">
        <f>F9674</f>
        <v>55.4</v>
      </c>
      <c r="G9655" s="21"/>
    </row>
    <row r="9656" ht="12.0" customHeight="1">
      <c r="A9656" s="11"/>
      <c r="B9656" s="11"/>
      <c r="C9656" s="11"/>
      <c r="D9656" s="10" t="s">
        <v>4399</v>
      </c>
    </row>
    <row r="9657" ht="39.75" customHeight="1">
      <c r="A9657" s="10" t="s">
        <v>4400</v>
      </c>
      <c r="B9657" s="10" t="s">
        <v>42</v>
      </c>
      <c r="C9657" s="10" t="s">
        <v>4401</v>
      </c>
      <c r="D9657" s="10" t="s">
        <v>4402</v>
      </c>
      <c r="E9657" s="14">
        <v>0.35</v>
      </c>
      <c r="F9657" s="15">
        <f>ROUND(79.77,3)</f>
        <v>79.77</v>
      </c>
      <c r="G9657" s="12">
        <f t="shared" ref="G9657:G9672" si="1445">ROUND(E9657*F9657,2)</f>
        <v>27.92</v>
      </c>
    </row>
    <row r="9658" ht="30.0" customHeight="1">
      <c r="A9658" s="10" t="s">
        <v>4403</v>
      </c>
      <c r="B9658" s="10" t="s">
        <v>42</v>
      </c>
      <c r="C9658" s="10" t="s">
        <v>344</v>
      </c>
      <c r="D9658" s="10" t="s">
        <v>4404</v>
      </c>
      <c r="E9658" s="14">
        <v>0.2333</v>
      </c>
      <c r="F9658" s="15">
        <f>ROUND(16.47,3)</f>
        <v>16.47</v>
      </c>
      <c r="G9658" s="12">
        <f t="shared" si="1445"/>
        <v>3.84</v>
      </c>
    </row>
    <row r="9659" ht="30.0" customHeight="1">
      <c r="A9659" s="10" t="s">
        <v>4405</v>
      </c>
      <c r="B9659" s="10" t="s">
        <v>42</v>
      </c>
      <c r="C9659" s="10" t="s">
        <v>344</v>
      </c>
      <c r="D9659" s="10" t="s">
        <v>4406</v>
      </c>
      <c r="E9659" s="14">
        <v>0.23333</v>
      </c>
      <c r="F9659" s="15">
        <f>ROUND(6.33,3)</f>
        <v>6.33</v>
      </c>
      <c r="G9659" s="12">
        <f t="shared" si="1445"/>
        <v>1.48</v>
      </c>
    </row>
    <row r="9660" ht="30.0" customHeight="1">
      <c r="A9660" s="10" t="s">
        <v>4407</v>
      </c>
      <c r="B9660" s="10" t="s">
        <v>42</v>
      </c>
      <c r="C9660" s="10" t="s">
        <v>344</v>
      </c>
      <c r="D9660" s="10" t="s">
        <v>4408</v>
      </c>
      <c r="E9660" s="14">
        <v>0.1165</v>
      </c>
      <c r="F9660" s="15">
        <f>ROUND(54.94,3)</f>
        <v>54.94</v>
      </c>
      <c r="G9660" s="12">
        <f t="shared" si="1445"/>
        <v>6.4</v>
      </c>
    </row>
    <row r="9661" ht="21.0" customHeight="1">
      <c r="A9661" s="10" t="s">
        <v>967</v>
      </c>
      <c r="B9661" s="10" t="s">
        <v>42</v>
      </c>
      <c r="C9661" s="10" t="s">
        <v>325</v>
      </c>
      <c r="D9661" s="10" t="s">
        <v>968</v>
      </c>
      <c r="E9661" s="14">
        <v>0.05333</v>
      </c>
      <c r="F9661" s="15">
        <f>ROUND(6.49,3)</f>
        <v>6.49</v>
      </c>
      <c r="G9661" s="12">
        <f t="shared" si="1445"/>
        <v>0.35</v>
      </c>
    </row>
    <row r="9662" ht="39.75" customHeight="1">
      <c r="A9662" s="10" t="s">
        <v>4409</v>
      </c>
      <c r="B9662" s="10" t="s">
        <v>42</v>
      </c>
      <c r="C9662" s="10" t="s">
        <v>344</v>
      </c>
      <c r="D9662" s="10" t="s">
        <v>4410</v>
      </c>
      <c r="E9662" s="14">
        <v>5.33333</v>
      </c>
      <c r="F9662" s="15">
        <f>ROUND(0.62,3)</f>
        <v>0.62</v>
      </c>
      <c r="G9662" s="12">
        <f t="shared" si="1445"/>
        <v>3.31</v>
      </c>
    </row>
    <row r="9663" ht="30.0" customHeight="1">
      <c r="A9663" s="10" t="s">
        <v>1813</v>
      </c>
      <c r="B9663" s="10" t="s">
        <v>42</v>
      </c>
      <c r="C9663" s="10" t="s">
        <v>43</v>
      </c>
      <c r="D9663" s="10" t="s">
        <v>1814</v>
      </c>
      <c r="E9663" s="14">
        <v>0.44444</v>
      </c>
      <c r="F9663" s="15">
        <f>ROUND(6.19,3)</f>
        <v>6.19</v>
      </c>
      <c r="G9663" s="12">
        <f t="shared" si="1445"/>
        <v>2.75</v>
      </c>
    </row>
    <row r="9664" ht="30.0" customHeight="1">
      <c r="A9664" s="10" t="s">
        <v>3225</v>
      </c>
      <c r="B9664" s="10" t="s">
        <v>18</v>
      </c>
      <c r="C9664" s="10" t="s">
        <v>23</v>
      </c>
      <c r="D9664" s="10" t="s">
        <v>3226</v>
      </c>
      <c r="E9664" s="14">
        <v>0.12</v>
      </c>
      <c r="F9664" s="15">
        <f>F9666</f>
        <v>0.79</v>
      </c>
      <c r="G9664" s="12">
        <f t="shared" si="1445"/>
        <v>0.09</v>
      </c>
    </row>
    <row r="9665" ht="21.0" customHeight="1">
      <c r="A9665" s="10" t="s">
        <v>3227</v>
      </c>
      <c r="B9665" s="10" t="s">
        <v>112</v>
      </c>
      <c r="C9665" s="10" t="s">
        <v>231</v>
      </c>
      <c r="D9665" s="10" t="s">
        <v>3228</v>
      </c>
      <c r="E9665" s="14">
        <v>0.00417</v>
      </c>
      <c r="F9665" s="15">
        <f>ROUND(188.43,3)</f>
        <v>188.43</v>
      </c>
      <c r="G9665" s="12">
        <f t="shared" si="1445"/>
        <v>0.79</v>
      </c>
    </row>
    <row r="9666" ht="15.0" customHeight="1">
      <c r="A9666" s="11"/>
      <c r="B9666" s="11"/>
      <c r="C9666" s="11"/>
      <c r="D9666" s="10" t="s">
        <v>3225</v>
      </c>
      <c r="E9666" s="14">
        <v>0.12</v>
      </c>
      <c r="F9666" s="15">
        <f>ROUND((G9665),3)</f>
        <v>0.79</v>
      </c>
      <c r="G9666" s="12">
        <f t="shared" si="1445"/>
        <v>0.09</v>
      </c>
    </row>
    <row r="9667" ht="24.0" customHeight="1">
      <c r="A9667" s="10" t="s">
        <v>4411</v>
      </c>
      <c r="B9667" s="10" t="s">
        <v>112</v>
      </c>
      <c r="C9667" s="10" t="s">
        <v>23</v>
      </c>
      <c r="D9667" s="10" t="s">
        <v>4412</v>
      </c>
      <c r="E9667" s="14">
        <v>0.12</v>
      </c>
      <c r="F9667" s="15">
        <f>ROUND(2,3)</f>
        <v>2</v>
      </c>
      <c r="G9667" s="12">
        <f t="shared" si="1445"/>
        <v>0.24</v>
      </c>
    </row>
    <row r="9668" ht="21.0" customHeight="1">
      <c r="A9668" s="10" t="s">
        <v>22</v>
      </c>
      <c r="B9668" s="10" t="s">
        <v>18</v>
      </c>
      <c r="C9668" s="10" t="s">
        <v>23</v>
      </c>
      <c r="D9668" s="10" t="s">
        <v>24</v>
      </c>
      <c r="E9668" s="14">
        <v>0.2</v>
      </c>
      <c r="F9668" s="15">
        <f>F9672</f>
        <v>43.8</v>
      </c>
      <c r="G9668" s="12">
        <f t="shared" si="1445"/>
        <v>8.76</v>
      </c>
    </row>
    <row r="9669" ht="24.0" customHeight="1">
      <c r="A9669" s="10" t="s">
        <v>25</v>
      </c>
      <c r="B9669" s="10" t="s">
        <v>26</v>
      </c>
      <c r="C9669" s="10" t="s">
        <v>23</v>
      </c>
      <c r="D9669" s="10" t="s">
        <v>27</v>
      </c>
      <c r="E9669" s="14">
        <v>1.0</v>
      </c>
      <c r="F9669" s="15">
        <f>ROUND(21,3)</f>
        <v>21</v>
      </c>
      <c r="G9669" s="12">
        <f t="shared" si="1445"/>
        <v>21</v>
      </c>
    </row>
    <row r="9670" ht="24.0" customHeight="1">
      <c r="A9670" s="10" t="s">
        <v>28</v>
      </c>
      <c r="B9670" s="10" t="s">
        <v>26</v>
      </c>
      <c r="C9670" s="10" t="s">
        <v>23</v>
      </c>
      <c r="D9670" s="10" t="s">
        <v>29</v>
      </c>
      <c r="E9670" s="14">
        <v>1.0</v>
      </c>
      <c r="F9670" s="15">
        <f t="shared" ref="F9670:F9671" si="1446">ROUND(19,3)</f>
        <v>19</v>
      </c>
      <c r="G9670" s="12">
        <f t="shared" si="1445"/>
        <v>19</v>
      </c>
    </row>
    <row r="9671" ht="24.0" customHeight="1">
      <c r="A9671" s="10" t="s">
        <v>30</v>
      </c>
      <c r="B9671" s="10" t="s">
        <v>26</v>
      </c>
      <c r="C9671" s="10" t="s">
        <v>23</v>
      </c>
      <c r="D9671" s="10" t="s">
        <v>31</v>
      </c>
      <c r="E9671" s="14">
        <v>0.2</v>
      </c>
      <c r="F9671" s="15">
        <f t="shared" si="1446"/>
        <v>19</v>
      </c>
      <c r="G9671" s="12">
        <f t="shared" si="1445"/>
        <v>3.8</v>
      </c>
    </row>
    <row r="9672" ht="15.0" customHeight="1">
      <c r="A9672" s="11"/>
      <c r="B9672" s="11"/>
      <c r="C9672" s="11"/>
      <c r="D9672" s="10" t="s">
        <v>22</v>
      </c>
      <c r="E9672" s="14">
        <v>0.2</v>
      </c>
      <c r="F9672" s="15">
        <f>ROUND((G9669+G9670+G9671),3)</f>
        <v>43.8</v>
      </c>
      <c r="G9672" s="12">
        <f t="shared" si="1445"/>
        <v>8.76</v>
      </c>
    </row>
    <row r="9673" ht="15.0" customHeight="1">
      <c r="A9673" s="10" t="s">
        <v>32</v>
      </c>
      <c r="B9673" s="10"/>
      <c r="C9673" s="10" t="s">
        <v>33</v>
      </c>
      <c r="D9673" s="10" t="s">
        <v>34</v>
      </c>
      <c r="E9673" s="14">
        <v>3.0</v>
      </c>
      <c r="F9673" s="15">
        <f>ROUND(8.76,3)</f>
        <v>8.76</v>
      </c>
      <c r="G9673" s="12">
        <f>ROUND((E9673*F9673)/100,2)</f>
        <v>0.26</v>
      </c>
    </row>
    <row r="9674" ht="15.0" customHeight="1">
      <c r="A9674" s="16"/>
      <c r="B9674" s="16"/>
      <c r="C9674" s="16"/>
      <c r="D9674" s="17" t="s">
        <v>4397</v>
      </c>
      <c r="E9674" s="16"/>
      <c r="F9674" s="18">
        <f>ROUND((G9657+G9658+G9659+G9660+G9661+G9662+G9663+G9664+G9667+G9668+G9673)*(1+G2/100),2)</f>
        <v>55.4</v>
      </c>
      <c r="G9674" s="16"/>
    </row>
    <row r="9675" ht="30.0" customHeight="1">
      <c r="A9675" s="19" t="s">
        <v>4413</v>
      </c>
      <c r="B9675" s="20" t="s">
        <v>18</v>
      </c>
      <c r="C9675" s="20" t="s">
        <v>251</v>
      </c>
      <c r="D9675" s="20" t="s">
        <v>4414</v>
      </c>
      <c r="E9675" s="21"/>
      <c r="F9675" s="22">
        <f>F9686</f>
        <v>18.82</v>
      </c>
      <c r="G9675" s="21"/>
    </row>
    <row r="9676" ht="21.0" customHeight="1">
      <c r="A9676" s="11"/>
      <c r="B9676" s="11"/>
      <c r="C9676" s="11"/>
      <c r="D9676" s="10" t="s">
        <v>4415</v>
      </c>
    </row>
    <row r="9677" ht="30.0" customHeight="1">
      <c r="A9677" s="10" t="s">
        <v>4416</v>
      </c>
      <c r="B9677" s="10" t="s">
        <v>42</v>
      </c>
      <c r="C9677" s="10" t="s">
        <v>1825</v>
      </c>
      <c r="D9677" s="10" t="s">
        <v>4417</v>
      </c>
      <c r="E9677" s="14">
        <v>0.16</v>
      </c>
      <c r="F9677" s="15">
        <f>ROUND(36.37,3)</f>
        <v>36.37</v>
      </c>
      <c r="G9677" s="12">
        <f t="shared" ref="G9677:G9684" si="1447">ROUND(E9677*F9677,2)</f>
        <v>5.82</v>
      </c>
    </row>
    <row r="9678" ht="48.75" customHeight="1">
      <c r="A9678" s="10" t="s">
        <v>4418</v>
      </c>
      <c r="B9678" s="10" t="s">
        <v>42</v>
      </c>
      <c r="C9678" s="10" t="s">
        <v>184</v>
      </c>
      <c r="D9678" s="10" t="s">
        <v>2050</v>
      </c>
      <c r="E9678" s="14">
        <v>0.16</v>
      </c>
      <c r="F9678" s="15">
        <f>ROUND(33.2,3)</f>
        <v>33.2</v>
      </c>
      <c r="G9678" s="12">
        <f t="shared" si="1447"/>
        <v>5.31</v>
      </c>
    </row>
    <row r="9679" ht="30.0" customHeight="1">
      <c r="A9679" s="10" t="s">
        <v>1911</v>
      </c>
      <c r="B9679" s="10" t="s">
        <v>42</v>
      </c>
      <c r="C9679" s="10" t="s">
        <v>226</v>
      </c>
      <c r="D9679" s="10" t="s">
        <v>1912</v>
      </c>
      <c r="E9679" s="14">
        <v>0.022</v>
      </c>
      <c r="F9679" s="15">
        <f>ROUND(52.25,3)</f>
        <v>52.25</v>
      </c>
      <c r="G9679" s="12">
        <f t="shared" si="1447"/>
        <v>1.15</v>
      </c>
    </row>
    <row r="9680" ht="21.0" customHeight="1">
      <c r="A9680" s="10" t="s">
        <v>22</v>
      </c>
      <c r="B9680" s="10" t="s">
        <v>18</v>
      </c>
      <c r="C9680" s="10" t="s">
        <v>23</v>
      </c>
      <c r="D9680" s="10" t="s">
        <v>24</v>
      </c>
      <c r="E9680" s="14">
        <v>0.145</v>
      </c>
      <c r="F9680" s="15">
        <f>F9684</f>
        <v>43.8</v>
      </c>
      <c r="G9680" s="12">
        <f t="shared" si="1447"/>
        <v>6.35</v>
      </c>
    </row>
    <row r="9681" ht="24.0" customHeight="1">
      <c r="A9681" s="10" t="s">
        <v>25</v>
      </c>
      <c r="B9681" s="10" t="s">
        <v>26</v>
      </c>
      <c r="C9681" s="10" t="s">
        <v>23</v>
      </c>
      <c r="D9681" s="10" t="s">
        <v>27</v>
      </c>
      <c r="E9681" s="14">
        <v>1.0</v>
      </c>
      <c r="F9681" s="15">
        <f>ROUND(21,3)</f>
        <v>21</v>
      </c>
      <c r="G9681" s="12">
        <f t="shared" si="1447"/>
        <v>21</v>
      </c>
    </row>
    <row r="9682" ht="24.0" customHeight="1">
      <c r="A9682" s="10" t="s">
        <v>28</v>
      </c>
      <c r="B9682" s="10" t="s">
        <v>26</v>
      </c>
      <c r="C9682" s="10" t="s">
        <v>23</v>
      </c>
      <c r="D9682" s="10" t="s">
        <v>29</v>
      </c>
      <c r="E9682" s="14">
        <v>1.0</v>
      </c>
      <c r="F9682" s="15">
        <f t="shared" ref="F9682:F9683" si="1448">ROUND(19,3)</f>
        <v>19</v>
      </c>
      <c r="G9682" s="12">
        <f t="shared" si="1447"/>
        <v>19</v>
      </c>
    </row>
    <row r="9683" ht="24.0" customHeight="1">
      <c r="A9683" s="10" t="s">
        <v>30</v>
      </c>
      <c r="B9683" s="10" t="s">
        <v>26</v>
      </c>
      <c r="C9683" s="10" t="s">
        <v>23</v>
      </c>
      <c r="D9683" s="10" t="s">
        <v>31</v>
      </c>
      <c r="E9683" s="14">
        <v>0.2</v>
      </c>
      <c r="F9683" s="15">
        <f t="shared" si="1448"/>
        <v>19</v>
      </c>
      <c r="G9683" s="12">
        <f t="shared" si="1447"/>
        <v>3.8</v>
      </c>
    </row>
    <row r="9684" ht="15.0" customHeight="1">
      <c r="A9684" s="11"/>
      <c r="B9684" s="11"/>
      <c r="C9684" s="11"/>
      <c r="D9684" s="10" t="s">
        <v>22</v>
      </c>
      <c r="E9684" s="14">
        <v>0.145</v>
      </c>
      <c r="F9684" s="15">
        <f>ROUND((G9681+G9682+G9683),3)</f>
        <v>43.8</v>
      </c>
      <c r="G9684" s="12">
        <f t="shared" si="1447"/>
        <v>6.35</v>
      </c>
    </row>
    <row r="9685" ht="15.0" customHeight="1">
      <c r="A9685" s="10" t="s">
        <v>32</v>
      </c>
      <c r="B9685" s="10"/>
      <c r="C9685" s="10" t="s">
        <v>33</v>
      </c>
      <c r="D9685" s="10" t="s">
        <v>34</v>
      </c>
      <c r="E9685" s="14">
        <v>3.0</v>
      </c>
      <c r="F9685" s="15">
        <f>ROUND(6.35,3)</f>
        <v>6.35</v>
      </c>
      <c r="G9685" s="12">
        <f>ROUND((E9685*F9685)/100,2)</f>
        <v>0.19</v>
      </c>
    </row>
    <row r="9686" ht="15.0" customHeight="1">
      <c r="A9686" s="16"/>
      <c r="B9686" s="16"/>
      <c r="C9686" s="16"/>
      <c r="D9686" s="17" t="s">
        <v>4413</v>
      </c>
      <c r="E9686" s="16"/>
      <c r="F9686" s="18">
        <f>ROUND((G9677+G9678+G9679+G9680+G9685)*(1+G2/100),2)</f>
        <v>18.82</v>
      </c>
      <c r="G9686" s="16"/>
    </row>
    <row r="9687" ht="30.0" customHeight="1">
      <c r="A9687" s="19" t="s">
        <v>4419</v>
      </c>
      <c r="B9687" s="20" t="s">
        <v>18</v>
      </c>
      <c r="C9687" s="20" t="s">
        <v>251</v>
      </c>
      <c r="D9687" s="20" t="s">
        <v>4420</v>
      </c>
      <c r="E9687" s="21"/>
      <c r="F9687" s="22">
        <f>F9698</f>
        <v>20.92</v>
      </c>
      <c r="G9687" s="21"/>
    </row>
    <row r="9688" ht="21.0" customHeight="1">
      <c r="A9688" s="11"/>
      <c r="B9688" s="11"/>
      <c r="C9688" s="11"/>
      <c r="D9688" s="10" t="s">
        <v>4421</v>
      </c>
    </row>
    <row r="9689" ht="30.0" customHeight="1">
      <c r="A9689" s="10" t="s">
        <v>4422</v>
      </c>
      <c r="B9689" s="10" t="s">
        <v>42</v>
      </c>
      <c r="C9689" s="10" t="s">
        <v>1825</v>
      </c>
      <c r="D9689" s="10" t="s">
        <v>4423</v>
      </c>
      <c r="E9689" s="14">
        <v>0.229</v>
      </c>
      <c r="F9689" s="15">
        <f>ROUND(33.6,3)</f>
        <v>33.6</v>
      </c>
      <c r="G9689" s="12">
        <f t="shared" ref="G9689:G9696" si="1449">ROUND(E9689*F9689,2)</f>
        <v>7.69</v>
      </c>
    </row>
    <row r="9690" ht="48.75" customHeight="1">
      <c r="A9690" s="10" t="s">
        <v>4418</v>
      </c>
      <c r="B9690" s="10" t="s">
        <v>42</v>
      </c>
      <c r="C9690" s="10" t="s">
        <v>184</v>
      </c>
      <c r="D9690" s="10" t="s">
        <v>2050</v>
      </c>
      <c r="E9690" s="14">
        <v>0.16</v>
      </c>
      <c r="F9690" s="15">
        <f>ROUND(33.2,3)</f>
        <v>33.2</v>
      </c>
      <c r="G9690" s="12">
        <f t="shared" si="1449"/>
        <v>5.31</v>
      </c>
    </row>
    <row r="9691" ht="30.0" customHeight="1">
      <c r="A9691" s="10" t="s">
        <v>1911</v>
      </c>
      <c r="B9691" s="10" t="s">
        <v>42</v>
      </c>
      <c r="C9691" s="10" t="s">
        <v>226</v>
      </c>
      <c r="D9691" s="10" t="s">
        <v>1912</v>
      </c>
      <c r="E9691" s="14">
        <v>0.022</v>
      </c>
      <c r="F9691" s="15">
        <f>ROUND(52.25,3)</f>
        <v>52.25</v>
      </c>
      <c r="G9691" s="12">
        <f t="shared" si="1449"/>
        <v>1.15</v>
      </c>
    </row>
    <row r="9692" ht="21.0" customHeight="1">
      <c r="A9692" s="10" t="s">
        <v>22</v>
      </c>
      <c r="B9692" s="10" t="s">
        <v>18</v>
      </c>
      <c r="C9692" s="10" t="s">
        <v>23</v>
      </c>
      <c r="D9692" s="10" t="s">
        <v>24</v>
      </c>
      <c r="E9692" s="14">
        <v>0.15</v>
      </c>
      <c r="F9692" s="15">
        <f>F9696</f>
        <v>43.8</v>
      </c>
      <c r="G9692" s="12">
        <f t="shared" si="1449"/>
        <v>6.57</v>
      </c>
    </row>
    <row r="9693" ht="24.0" customHeight="1">
      <c r="A9693" s="10" t="s">
        <v>25</v>
      </c>
      <c r="B9693" s="10" t="s">
        <v>26</v>
      </c>
      <c r="C9693" s="10" t="s">
        <v>23</v>
      </c>
      <c r="D9693" s="10" t="s">
        <v>27</v>
      </c>
      <c r="E9693" s="14">
        <v>1.0</v>
      </c>
      <c r="F9693" s="15">
        <f>ROUND(21,3)</f>
        <v>21</v>
      </c>
      <c r="G9693" s="12">
        <f t="shared" si="1449"/>
        <v>21</v>
      </c>
    </row>
    <row r="9694" ht="24.0" customHeight="1">
      <c r="A9694" s="10" t="s">
        <v>28</v>
      </c>
      <c r="B9694" s="10" t="s">
        <v>26</v>
      </c>
      <c r="C9694" s="10" t="s">
        <v>23</v>
      </c>
      <c r="D9694" s="10" t="s">
        <v>29</v>
      </c>
      <c r="E9694" s="14">
        <v>1.0</v>
      </c>
      <c r="F9694" s="15">
        <f t="shared" ref="F9694:F9695" si="1450">ROUND(19,3)</f>
        <v>19</v>
      </c>
      <c r="G9694" s="12">
        <f t="shared" si="1449"/>
        <v>19</v>
      </c>
    </row>
    <row r="9695" ht="24.0" customHeight="1">
      <c r="A9695" s="10" t="s">
        <v>30</v>
      </c>
      <c r="B9695" s="10" t="s">
        <v>26</v>
      </c>
      <c r="C9695" s="10" t="s">
        <v>23</v>
      </c>
      <c r="D9695" s="10" t="s">
        <v>31</v>
      </c>
      <c r="E9695" s="14">
        <v>0.2</v>
      </c>
      <c r="F9695" s="15">
        <f t="shared" si="1450"/>
        <v>19</v>
      </c>
      <c r="G9695" s="12">
        <f t="shared" si="1449"/>
        <v>3.8</v>
      </c>
    </row>
    <row r="9696" ht="15.0" customHeight="1">
      <c r="A9696" s="11"/>
      <c r="B9696" s="11"/>
      <c r="C9696" s="11"/>
      <c r="D9696" s="10" t="s">
        <v>22</v>
      </c>
      <c r="E9696" s="14">
        <v>0.15</v>
      </c>
      <c r="F9696" s="15">
        <f>ROUND((G9693+G9694+G9695),3)</f>
        <v>43.8</v>
      </c>
      <c r="G9696" s="12">
        <f t="shared" si="1449"/>
        <v>6.57</v>
      </c>
    </row>
    <row r="9697" ht="15.0" customHeight="1">
      <c r="A9697" s="10" t="s">
        <v>32</v>
      </c>
      <c r="B9697" s="10"/>
      <c r="C9697" s="10" t="s">
        <v>33</v>
      </c>
      <c r="D9697" s="10" t="s">
        <v>34</v>
      </c>
      <c r="E9697" s="14">
        <v>3.0</v>
      </c>
      <c r="F9697" s="15">
        <f>ROUND(6.57,3)</f>
        <v>6.57</v>
      </c>
      <c r="G9697" s="12">
        <f>ROUND((E9697*F9697)/100,2)</f>
        <v>0.2</v>
      </c>
    </row>
    <row r="9698" ht="15.0" customHeight="1">
      <c r="A9698" s="16"/>
      <c r="B9698" s="16"/>
      <c r="C9698" s="16"/>
      <c r="D9698" s="17" t="s">
        <v>4419</v>
      </c>
      <c r="E9698" s="16"/>
      <c r="F9698" s="18">
        <f>ROUND((G9689+G9690+G9691+G9692+G9697)*(1+G2/100),2)</f>
        <v>20.92</v>
      </c>
      <c r="G9698" s="16"/>
    </row>
    <row r="9699" ht="30.0" customHeight="1">
      <c r="A9699" s="19" t="s">
        <v>4424</v>
      </c>
      <c r="B9699" s="20" t="s">
        <v>18</v>
      </c>
      <c r="C9699" s="20" t="s">
        <v>251</v>
      </c>
      <c r="D9699" s="20" t="s">
        <v>4425</v>
      </c>
      <c r="E9699" s="21"/>
      <c r="F9699" s="22">
        <f>F9710</f>
        <v>23.92</v>
      </c>
      <c r="G9699" s="21"/>
    </row>
    <row r="9700" ht="21.0" customHeight="1">
      <c r="A9700" s="11"/>
      <c r="B9700" s="11"/>
      <c r="C9700" s="11"/>
      <c r="D9700" s="10" t="s">
        <v>4426</v>
      </c>
    </row>
    <row r="9701" ht="30.0" customHeight="1">
      <c r="A9701" s="10" t="s">
        <v>4427</v>
      </c>
      <c r="B9701" s="10" t="s">
        <v>42</v>
      </c>
      <c r="C9701" s="10" t="s">
        <v>1825</v>
      </c>
      <c r="D9701" s="10" t="s">
        <v>4428</v>
      </c>
      <c r="E9701" s="14">
        <v>0.32</v>
      </c>
      <c r="F9701" s="15">
        <f>ROUND(31.99,3)</f>
        <v>31.99</v>
      </c>
      <c r="G9701" s="12">
        <f t="shared" ref="G9701:G9708" si="1451">ROUND(E9701*F9701,2)</f>
        <v>10.24</v>
      </c>
    </row>
    <row r="9702" ht="48.75" customHeight="1">
      <c r="A9702" s="10" t="s">
        <v>4418</v>
      </c>
      <c r="B9702" s="10" t="s">
        <v>42</v>
      </c>
      <c r="C9702" s="10" t="s">
        <v>184</v>
      </c>
      <c r="D9702" s="10" t="s">
        <v>2050</v>
      </c>
      <c r="E9702" s="14">
        <v>0.16</v>
      </c>
      <c r="F9702" s="15">
        <f>ROUND(33.2,3)</f>
        <v>33.2</v>
      </c>
      <c r="G9702" s="12">
        <f t="shared" si="1451"/>
        <v>5.31</v>
      </c>
    </row>
    <row r="9703" ht="30.0" customHeight="1">
      <c r="A9703" s="10" t="s">
        <v>1911</v>
      </c>
      <c r="B9703" s="10" t="s">
        <v>42</v>
      </c>
      <c r="C9703" s="10" t="s">
        <v>226</v>
      </c>
      <c r="D9703" s="10" t="s">
        <v>1912</v>
      </c>
      <c r="E9703" s="14">
        <v>0.022</v>
      </c>
      <c r="F9703" s="15">
        <f>ROUND(52.25,3)</f>
        <v>52.25</v>
      </c>
      <c r="G9703" s="12">
        <f t="shared" si="1451"/>
        <v>1.15</v>
      </c>
    </row>
    <row r="9704" ht="21.0" customHeight="1">
      <c r="A9704" s="10" t="s">
        <v>22</v>
      </c>
      <c r="B9704" s="10" t="s">
        <v>18</v>
      </c>
      <c r="C9704" s="10" t="s">
        <v>23</v>
      </c>
      <c r="D9704" s="10" t="s">
        <v>24</v>
      </c>
      <c r="E9704" s="14">
        <v>0.16</v>
      </c>
      <c r="F9704" s="15">
        <f>F9708</f>
        <v>43.8</v>
      </c>
      <c r="G9704" s="12">
        <f t="shared" si="1451"/>
        <v>7.01</v>
      </c>
    </row>
    <row r="9705" ht="24.0" customHeight="1">
      <c r="A9705" s="10" t="s">
        <v>25</v>
      </c>
      <c r="B9705" s="10" t="s">
        <v>26</v>
      </c>
      <c r="C9705" s="10" t="s">
        <v>23</v>
      </c>
      <c r="D9705" s="10" t="s">
        <v>27</v>
      </c>
      <c r="E9705" s="14">
        <v>1.0</v>
      </c>
      <c r="F9705" s="15">
        <f>ROUND(21,3)</f>
        <v>21</v>
      </c>
      <c r="G9705" s="12">
        <f t="shared" si="1451"/>
        <v>21</v>
      </c>
    </row>
    <row r="9706" ht="24.0" customHeight="1">
      <c r="A9706" s="10" t="s">
        <v>28</v>
      </c>
      <c r="B9706" s="10" t="s">
        <v>26</v>
      </c>
      <c r="C9706" s="10" t="s">
        <v>23</v>
      </c>
      <c r="D9706" s="10" t="s">
        <v>29</v>
      </c>
      <c r="E9706" s="14">
        <v>1.0</v>
      </c>
      <c r="F9706" s="15">
        <f t="shared" ref="F9706:F9707" si="1452">ROUND(19,3)</f>
        <v>19</v>
      </c>
      <c r="G9706" s="12">
        <f t="shared" si="1451"/>
        <v>19</v>
      </c>
    </row>
    <row r="9707" ht="24.0" customHeight="1">
      <c r="A9707" s="10" t="s">
        <v>30</v>
      </c>
      <c r="B9707" s="10" t="s">
        <v>26</v>
      </c>
      <c r="C9707" s="10" t="s">
        <v>23</v>
      </c>
      <c r="D9707" s="10" t="s">
        <v>31</v>
      </c>
      <c r="E9707" s="14">
        <v>0.2</v>
      </c>
      <c r="F9707" s="15">
        <f t="shared" si="1452"/>
        <v>19</v>
      </c>
      <c r="G9707" s="12">
        <f t="shared" si="1451"/>
        <v>3.8</v>
      </c>
    </row>
    <row r="9708" ht="15.0" customHeight="1">
      <c r="A9708" s="11"/>
      <c r="B9708" s="11"/>
      <c r="C9708" s="11"/>
      <c r="D9708" s="10" t="s">
        <v>22</v>
      </c>
      <c r="E9708" s="14">
        <v>0.16</v>
      </c>
      <c r="F9708" s="15">
        <f>ROUND((G9705+G9706+G9707),3)</f>
        <v>43.8</v>
      </c>
      <c r="G9708" s="12">
        <f t="shared" si="1451"/>
        <v>7.01</v>
      </c>
    </row>
    <row r="9709" ht="15.0" customHeight="1">
      <c r="A9709" s="10" t="s">
        <v>32</v>
      </c>
      <c r="B9709" s="10"/>
      <c r="C9709" s="10" t="s">
        <v>33</v>
      </c>
      <c r="D9709" s="10" t="s">
        <v>34</v>
      </c>
      <c r="E9709" s="14">
        <v>3.0</v>
      </c>
      <c r="F9709" s="15">
        <f>ROUND(7.01,3)</f>
        <v>7.01</v>
      </c>
      <c r="G9709" s="12">
        <f>ROUND((E9709*F9709)/100,2)</f>
        <v>0.21</v>
      </c>
    </row>
    <row r="9710" ht="15.0" customHeight="1">
      <c r="A9710" s="16"/>
      <c r="B9710" s="16"/>
      <c r="C9710" s="16"/>
      <c r="D9710" s="17" t="s">
        <v>4424</v>
      </c>
      <c r="E9710" s="16"/>
      <c r="F9710" s="18">
        <f>ROUND((G9701+G9702+G9703+G9704+G9709)*(1+G2/100),2)</f>
        <v>23.92</v>
      </c>
      <c r="G9710" s="16"/>
    </row>
    <row r="9711" ht="30.0" customHeight="1">
      <c r="A9711" s="19" t="s">
        <v>4429</v>
      </c>
      <c r="B9711" s="20" t="s">
        <v>18</v>
      </c>
      <c r="C9711" s="20" t="s">
        <v>251</v>
      </c>
      <c r="D9711" s="20" t="s">
        <v>4430</v>
      </c>
      <c r="E9711" s="21"/>
      <c r="F9711" s="22">
        <f>F9722</f>
        <v>18.23</v>
      </c>
      <c r="G9711" s="21"/>
    </row>
    <row r="9712" ht="12.0" customHeight="1">
      <c r="A9712" s="11"/>
      <c r="B9712" s="11"/>
      <c r="C9712" s="11"/>
      <c r="D9712" s="10" t="s">
        <v>4431</v>
      </c>
    </row>
    <row r="9713" ht="30.0" customHeight="1">
      <c r="A9713" s="10" t="s">
        <v>4432</v>
      </c>
      <c r="B9713" s="10" t="s">
        <v>42</v>
      </c>
      <c r="C9713" s="10" t="s">
        <v>1881</v>
      </c>
      <c r="D9713" s="10" t="s">
        <v>4433</v>
      </c>
      <c r="E9713" s="14">
        <v>2.1</v>
      </c>
      <c r="F9713" s="15">
        <f>ROUND(2.49,3)</f>
        <v>2.49</v>
      </c>
      <c r="G9713" s="12">
        <f t="shared" ref="G9713:G9720" si="1453">ROUND(E9713*F9713,2)</f>
        <v>5.23</v>
      </c>
    </row>
    <row r="9714" ht="48.75" customHeight="1">
      <c r="A9714" s="10" t="s">
        <v>4418</v>
      </c>
      <c r="B9714" s="10" t="s">
        <v>42</v>
      </c>
      <c r="C9714" s="10" t="s">
        <v>184</v>
      </c>
      <c r="D9714" s="10" t="s">
        <v>2050</v>
      </c>
      <c r="E9714" s="14">
        <v>0.16</v>
      </c>
      <c r="F9714" s="15">
        <f>ROUND(33.2,3)</f>
        <v>33.2</v>
      </c>
      <c r="G9714" s="12">
        <f t="shared" si="1453"/>
        <v>5.31</v>
      </c>
    </row>
    <row r="9715" ht="30.0" customHeight="1">
      <c r="A9715" s="10" t="s">
        <v>1911</v>
      </c>
      <c r="B9715" s="10" t="s">
        <v>42</v>
      </c>
      <c r="C9715" s="10" t="s">
        <v>226</v>
      </c>
      <c r="D9715" s="10" t="s">
        <v>1912</v>
      </c>
      <c r="E9715" s="14">
        <v>0.022</v>
      </c>
      <c r="F9715" s="15">
        <f>ROUND(52.25,3)</f>
        <v>52.25</v>
      </c>
      <c r="G9715" s="12">
        <f t="shared" si="1453"/>
        <v>1.15</v>
      </c>
    </row>
    <row r="9716" ht="21.0" customHeight="1">
      <c r="A9716" s="10" t="s">
        <v>22</v>
      </c>
      <c r="B9716" s="10" t="s">
        <v>18</v>
      </c>
      <c r="C9716" s="10" t="s">
        <v>23</v>
      </c>
      <c r="D9716" s="10" t="s">
        <v>24</v>
      </c>
      <c r="E9716" s="14">
        <v>0.145</v>
      </c>
      <c r="F9716" s="15">
        <f>F9720</f>
        <v>43.8</v>
      </c>
      <c r="G9716" s="12">
        <f t="shared" si="1453"/>
        <v>6.35</v>
      </c>
    </row>
    <row r="9717" ht="24.0" customHeight="1">
      <c r="A9717" s="10" t="s">
        <v>25</v>
      </c>
      <c r="B9717" s="10" t="s">
        <v>26</v>
      </c>
      <c r="C9717" s="10" t="s">
        <v>23</v>
      </c>
      <c r="D9717" s="10" t="s">
        <v>27</v>
      </c>
      <c r="E9717" s="14">
        <v>1.0</v>
      </c>
      <c r="F9717" s="15">
        <f>ROUND(21,3)</f>
        <v>21</v>
      </c>
      <c r="G9717" s="12">
        <f t="shared" si="1453"/>
        <v>21</v>
      </c>
    </row>
    <row r="9718" ht="24.0" customHeight="1">
      <c r="A9718" s="10" t="s">
        <v>28</v>
      </c>
      <c r="B9718" s="10" t="s">
        <v>26</v>
      </c>
      <c r="C9718" s="10" t="s">
        <v>23</v>
      </c>
      <c r="D9718" s="10" t="s">
        <v>29</v>
      </c>
      <c r="E9718" s="14">
        <v>1.0</v>
      </c>
      <c r="F9718" s="15">
        <f t="shared" ref="F9718:F9719" si="1454">ROUND(19,3)</f>
        <v>19</v>
      </c>
      <c r="G9718" s="12">
        <f t="shared" si="1453"/>
        <v>19</v>
      </c>
    </row>
    <row r="9719" ht="24.0" customHeight="1">
      <c r="A9719" s="10" t="s">
        <v>30</v>
      </c>
      <c r="B9719" s="10" t="s">
        <v>26</v>
      </c>
      <c r="C9719" s="10" t="s">
        <v>23</v>
      </c>
      <c r="D9719" s="10" t="s">
        <v>31</v>
      </c>
      <c r="E9719" s="14">
        <v>0.2</v>
      </c>
      <c r="F9719" s="15">
        <f t="shared" si="1454"/>
        <v>19</v>
      </c>
      <c r="G9719" s="12">
        <f t="shared" si="1453"/>
        <v>3.8</v>
      </c>
    </row>
    <row r="9720" ht="15.0" customHeight="1">
      <c r="A9720" s="11"/>
      <c r="B9720" s="11"/>
      <c r="C9720" s="11"/>
      <c r="D9720" s="10" t="s">
        <v>22</v>
      </c>
      <c r="E9720" s="14">
        <v>0.145</v>
      </c>
      <c r="F9720" s="15">
        <f>ROUND((G9717+G9718+G9719),3)</f>
        <v>43.8</v>
      </c>
      <c r="G9720" s="12">
        <f t="shared" si="1453"/>
        <v>6.35</v>
      </c>
    </row>
    <row r="9721" ht="15.0" customHeight="1">
      <c r="A9721" s="10" t="s">
        <v>32</v>
      </c>
      <c r="B9721" s="10"/>
      <c r="C9721" s="10" t="s">
        <v>33</v>
      </c>
      <c r="D9721" s="10" t="s">
        <v>34</v>
      </c>
      <c r="E9721" s="14">
        <v>3.0</v>
      </c>
      <c r="F9721" s="15">
        <f>ROUND(6.35,3)</f>
        <v>6.35</v>
      </c>
      <c r="G9721" s="12">
        <f>ROUND((E9721*F9721)/100,2)</f>
        <v>0.19</v>
      </c>
    </row>
    <row r="9722" ht="15.0" customHeight="1">
      <c r="A9722" s="16"/>
      <c r="B9722" s="16"/>
      <c r="C9722" s="16"/>
      <c r="D9722" s="17" t="s">
        <v>4429</v>
      </c>
      <c r="E9722" s="16"/>
      <c r="F9722" s="18">
        <f>ROUND((G9713+G9714+G9715+G9716+G9721)*(1+G2/100),2)</f>
        <v>18.23</v>
      </c>
      <c r="G9722" s="16"/>
    </row>
    <row r="9723" ht="30.0" customHeight="1">
      <c r="A9723" s="19" t="s">
        <v>4434</v>
      </c>
      <c r="B9723" s="20" t="s">
        <v>18</v>
      </c>
      <c r="C9723" s="20" t="s">
        <v>251</v>
      </c>
      <c r="D9723" s="20" t="s">
        <v>4435</v>
      </c>
      <c r="E9723" s="21"/>
      <c r="F9723" s="22">
        <f>F9734</f>
        <v>20.33</v>
      </c>
      <c r="G9723" s="21"/>
    </row>
    <row r="9724" ht="21.0" customHeight="1">
      <c r="A9724" s="11"/>
      <c r="B9724" s="11"/>
      <c r="C9724" s="11"/>
      <c r="D9724" s="10" t="s">
        <v>4436</v>
      </c>
    </row>
    <row r="9725" ht="30.0" customHeight="1">
      <c r="A9725" s="10" t="s">
        <v>2148</v>
      </c>
      <c r="B9725" s="10" t="s">
        <v>42</v>
      </c>
      <c r="C9725" s="10" t="s">
        <v>1881</v>
      </c>
      <c r="D9725" s="10" t="s">
        <v>2149</v>
      </c>
      <c r="E9725" s="14">
        <v>2.1</v>
      </c>
      <c r="F9725" s="15">
        <f>ROUND(3.38,3)</f>
        <v>3.38</v>
      </c>
      <c r="G9725" s="12">
        <f t="shared" ref="G9725:G9732" si="1455">ROUND(E9725*F9725,2)</f>
        <v>7.1</v>
      </c>
    </row>
    <row r="9726" ht="48.75" customHeight="1">
      <c r="A9726" s="10" t="s">
        <v>4418</v>
      </c>
      <c r="B9726" s="10" t="s">
        <v>42</v>
      </c>
      <c r="C9726" s="10" t="s">
        <v>184</v>
      </c>
      <c r="D9726" s="10" t="s">
        <v>2050</v>
      </c>
      <c r="E9726" s="14">
        <v>0.16</v>
      </c>
      <c r="F9726" s="15">
        <f>ROUND(33.2,3)</f>
        <v>33.2</v>
      </c>
      <c r="G9726" s="12">
        <f t="shared" si="1455"/>
        <v>5.31</v>
      </c>
    </row>
    <row r="9727" ht="30.0" customHeight="1">
      <c r="A9727" s="10" t="s">
        <v>1911</v>
      </c>
      <c r="B9727" s="10" t="s">
        <v>42</v>
      </c>
      <c r="C9727" s="10" t="s">
        <v>226</v>
      </c>
      <c r="D9727" s="10" t="s">
        <v>1912</v>
      </c>
      <c r="E9727" s="14">
        <v>0.022</v>
      </c>
      <c r="F9727" s="15">
        <f>ROUND(52.25,3)</f>
        <v>52.25</v>
      </c>
      <c r="G9727" s="12">
        <f t="shared" si="1455"/>
        <v>1.15</v>
      </c>
    </row>
    <row r="9728" ht="21.0" customHeight="1">
      <c r="A9728" s="10" t="s">
        <v>22</v>
      </c>
      <c r="B9728" s="10" t="s">
        <v>18</v>
      </c>
      <c r="C9728" s="10" t="s">
        <v>23</v>
      </c>
      <c r="D9728" s="10" t="s">
        <v>24</v>
      </c>
      <c r="E9728" s="14">
        <v>0.15</v>
      </c>
      <c r="F9728" s="15">
        <f>F9732</f>
        <v>43.8</v>
      </c>
      <c r="G9728" s="12">
        <f t="shared" si="1455"/>
        <v>6.57</v>
      </c>
    </row>
    <row r="9729" ht="24.0" customHeight="1">
      <c r="A9729" s="10" t="s">
        <v>25</v>
      </c>
      <c r="B9729" s="10" t="s">
        <v>26</v>
      </c>
      <c r="C9729" s="10" t="s">
        <v>23</v>
      </c>
      <c r="D9729" s="10" t="s">
        <v>27</v>
      </c>
      <c r="E9729" s="14">
        <v>1.0</v>
      </c>
      <c r="F9729" s="15">
        <f>ROUND(21,3)</f>
        <v>21</v>
      </c>
      <c r="G9729" s="12">
        <f t="shared" si="1455"/>
        <v>21</v>
      </c>
    </row>
    <row r="9730" ht="24.0" customHeight="1">
      <c r="A9730" s="10" t="s">
        <v>28</v>
      </c>
      <c r="B9730" s="10" t="s">
        <v>26</v>
      </c>
      <c r="C9730" s="10" t="s">
        <v>23</v>
      </c>
      <c r="D9730" s="10" t="s">
        <v>29</v>
      </c>
      <c r="E9730" s="14">
        <v>1.0</v>
      </c>
      <c r="F9730" s="15">
        <f t="shared" ref="F9730:F9731" si="1456">ROUND(19,3)</f>
        <v>19</v>
      </c>
      <c r="G9730" s="12">
        <f t="shared" si="1455"/>
        <v>19</v>
      </c>
    </row>
    <row r="9731" ht="24.0" customHeight="1">
      <c r="A9731" s="10" t="s">
        <v>30</v>
      </c>
      <c r="B9731" s="10" t="s">
        <v>26</v>
      </c>
      <c r="C9731" s="10" t="s">
        <v>23</v>
      </c>
      <c r="D9731" s="10" t="s">
        <v>31</v>
      </c>
      <c r="E9731" s="14">
        <v>0.2</v>
      </c>
      <c r="F9731" s="15">
        <f t="shared" si="1456"/>
        <v>19</v>
      </c>
      <c r="G9731" s="12">
        <f t="shared" si="1455"/>
        <v>3.8</v>
      </c>
    </row>
    <row r="9732" ht="15.0" customHeight="1">
      <c r="A9732" s="11"/>
      <c r="B9732" s="11"/>
      <c r="C9732" s="11"/>
      <c r="D9732" s="10" t="s">
        <v>22</v>
      </c>
      <c r="E9732" s="14">
        <v>0.15</v>
      </c>
      <c r="F9732" s="15">
        <f>ROUND((G9729+G9730+G9731),3)</f>
        <v>43.8</v>
      </c>
      <c r="G9732" s="12">
        <f t="shared" si="1455"/>
        <v>6.57</v>
      </c>
    </row>
    <row r="9733" ht="15.0" customHeight="1">
      <c r="A9733" s="10" t="s">
        <v>32</v>
      </c>
      <c r="B9733" s="10"/>
      <c r="C9733" s="10" t="s">
        <v>33</v>
      </c>
      <c r="D9733" s="10" t="s">
        <v>34</v>
      </c>
      <c r="E9733" s="14">
        <v>3.0</v>
      </c>
      <c r="F9733" s="15">
        <f>ROUND(6.57,3)</f>
        <v>6.57</v>
      </c>
      <c r="G9733" s="12">
        <f>ROUND((E9733*F9733)/100,2)</f>
        <v>0.2</v>
      </c>
    </row>
    <row r="9734" ht="15.0" customHeight="1">
      <c r="A9734" s="16"/>
      <c r="B9734" s="16"/>
      <c r="C9734" s="16"/>
      <c r="D9734" s="17" t="s">
        <v>4434</v>
      </c>
      <c r="E9734" s="16"/>
      <c r="F9734" s="18">
        <f>ROUND((G9725+G9726+G9727+G9728+G9733)*(1+G2/100),2)</f>
        <v>20.33</v>
      </c>
      <c r="G9734" s="16"/>
    </row>
    <row r="9735" ht="30.0" customHeight="1">
      <c r="A9735" s="19" t="s">
        <v>4437</v>
      </c>
      <c r="B9735" s="20" t="s">
        <v>18</v>
      </c>
      <c r="C9735" s="20" t="s">
        <v>251</v>
      </c>
      <c r="D9735" s="20" t="s">
        <v>4438</v>
      </c>
      <c r="E9735" s="21"/>
      <c r="F9735" s="22">
        <f>F9746</f>
        <v>23.51</v>
      </c>
      <c r="G9735" s="21"/>
    </row>
    <row r="9736" ht="21.0" customHeight="1">
      <c r="A9736" s="11"/>
      <c r="B9736" s="11"/>
      <c r="C9736" s="11"/>
      <c r="D9736" s="10" t="s">
        <v>4439</v>
      </c>
    </row>
    <row r="9737" ht="30.0" customHeight="1">
      <c r="A9737" s="10" t="s">
        <v>1883</v>
      </c>
      <c r="B9737" s="10" t="s">
        <v>42</v>
      </c>
      <c r="C9737" s="10" t="s">
        <v>1881</v>
      </c>
      <c r="D9737" s="10" t="s">
        <v>1884</v>
      </c>
      <c r="E9737" s="14">
        <v>2.1</v>
      </c>
      <c r="F9737" s="15">
        <f>ROUND(4.68,3)</f>
        <v>4.68</v>
      </c>
      <c r="G9737" s="12">
        <f t="shared" ref="G9737:G9744" si="1457">ROUND(E9737*F9737,2)</f>
        <v>9.83</v>
      </c>
    </row>
    <row r="9738" ht="48.75" customHeight="1">
      <c r="A9738" s="10" t="s">
        <v>4418</v>
      </c>
      <c r="B9738" s="10" t="s">
        <v>42</v>
      </c>
      <c r="C9738" s="10" t="s">
        <v>184</v>
      </c>
      <c r="D9738" s="10" t="s">
        <v>2050</v>
      </c>
      <c r="E9738" s="14">
        <v>0.16</v>
      </c>
      <c r="F9738" s="15">
        <f>ROUND(33.2,3)</f>
        <v>33.2</v>
      </c>
      <c r="G9738" s="12">
        <f t="shared" si="1457"/>
        <v>5.31</v>
      </c>
    </row>
    <row r="9739" ht="30.0" customHeight="1">
      <c r="A9739" s="10" t="s">
        <v>1911</v>
      </c>
      <c r="B9739" s="10" t="s">
        <v>42</v>
      </c>
      <c r="C9739" s="10" t="s">
        <v>226</v>
      </c>
      <c r="D9739" s="10" t="s">
        <v>1912</v>
      </c>
      <c r="E9739" s="14">
        <v>0.022</v>
      </c>
      <c r="F9739" s="15">
        <f>ROUND(52.25,3)</f>
        <v>52.25</v>
      </c>
      <c r="G9739" s="12">
        <f t="shared" si="1457"/>
        <v>1.15</v>
      </c>
    </row>
    <row r="9740" ht="21.0" customHeight="1">
      <c r="A9740" s="10" t="s">
        <v>22</v>
      </c>
      <c r="B9740" s="10" t="s">
        <v>18</v>
      </c>
      <c r="C9740" s="10" t="s">
        <v>23</v>
      </c>
      <c r="D9740" s="10" t="s">
        <v>24</v>
      </c>
      <c r="E9740" s="14">
        <v>0.16</v>
      </c>
      <c r="F9740" s="15">
        <f>F9744</f>
        <v>43.8</v>
      </c>
      <c r="G9740" s="12">
        <f t="shared" si="1457"/>
        <v>7.01</v>
      </c>
    </row>
    <row r="9741" ht="24.0" customHeight="1">
      <c r="A9741" s="10" t="s">
        <v>25</v>
      </c>
      <c r="B9741" s="10" t="s">
        <v>26</v>
      </c>
      <c r="C9741" s="10" t="s">
        <v>23</v>
      </c>
      <c r="D9741" s="10" t="s">
        <v>27</v>
      </c>
      <c r="E9741" s="14">
        <v>1.0</v>
      </c>
      <c r="F9741" s="15">
        <f>ROUND(21,3)</f>
        <v>21</v>
      </c>
      <c r="G9741" s="12">
        <f t="shared" si="1457"/>
        <v>21</v>
      </c>
    </row>
    <row r="9742" ht="24.0" customHeight="1">
      <c r="A9742" s="10" t="s">
        <v>28</v>
      </c>
      <c r="B9742" s="10" t="s">
        <v>26</v>
      </c>
      <c r="C9742" s="10" t="s">
        <v>23</v>
      </c>
      <c r="D9742" s="10" t="s">
        <v>29</v>
      </c>
      <c r="E9742" s="14">
        <v>1.0</v>
      </c>
      <c r="F9742" s="15">
        <f t="shared" ref="F9742:F9743" si="1458">ROUND(19,3)</f>
        <v>19</v>
      </c>
      <c r="G9742" s="12">
        <f t="shared" si="1457"/>
        <v>19</v>
      </c>
    </row>
    <row r="9743" ht="24.0" customHeight="1">
      <c r="A9743" s="10" t="s">
        <v>30</v>
      </c>
      <c r="B9743" s="10" t="s">
        <v>26</v>
      </c>
      <c r="C9743" s="10" t="s">
        <v>23</v>
      </c>
      <c r="D9743" s="10" t="s">
        <v>31</v>
      </c>
      <c r="E9743" s="14">
        <v>0.2</v>
      </c>
      <c r="F9743" s="15">
        <f t="shared" si="1458"/>
        <v>19</v>
      </c>
      <c r="G9743" s="12">
        <f t="shared" si="1457"/>
        <v>3.8</v>
      </c>
    </row>
    <row r="9744" ht="15.0" customHeight="1">
      <c r="A9744" s="11"/>
      <c r="B9744" s="11"/>
      <c r="C9744" s="11"/>
      <c r="D9744" s="10" t="s">
        <v>22</v>
      </c>
      <c r="E9744" s="14">
        <v>0.16</v>
      </c>
      <c r="F9744" s="15">
        <f>ROUND((G9741+G9742+G9743),3)</f>
        <v>43.8</v>
      </c>
      <c r="G9744" s="12">
        <f t="shared" si="1457"/>
        <v>7.01</v>
      </c>
    </row>
    <row r="9745" ht="15.0" customHeight="1">
      <c r="A9745" s="10" t="s">
        <v>32</v>
      </c>
      <c r="B9745" s="10"/>
      <c r="C9745" s="10" t="s">
        <v>33</v>
      </c>
      <c r="D9745" s="10" t="s">
        <v>34</v>
      </c>
      <c r="E9745" s="14">
        <v>3.0</v>
      </c>
      <c r="F9745" s="15">
        <f>ROUND(7.01,3)</f>
        <v>7.01</v>
      </c>
      <c r="G9745" s="12">
        <f>ROUND((E9745*F9745)/100,2)</f>
        <v>0.21</v>
      </c>
    </row>
    <row r="9746" ht="15.0" customHeight="1">
      <c r="A9746" s="16"/>
      <c r="B9746" s="16"/>
      <c r="C9746" s="16"/>
      <c r="D9746" s="17" t="s">
        <v>4437</v>
      </c>
      <c r="E9746" s="16"/>
      <c r="F9746" s="18">
        <f>ROUND((G9737+G9738+G9739+G9740+G9745)*(1+G2/100),2)</f>
        <v>23.51</v>
      </c>
      <c r="G9746" s="16"/>
    </row>
    <row r="9747" ht="21.0" customHeight="1">
      <c r="A9747" s="19" t="s">
        <v>4440</v>
      </c>
      <c r="B9747" s="20" t="s">
        <v>18</v>
      </c>
      <c r="C9747" s="20" t="s">
        <v>374</v>
      </c>
      <c r="D9747" s="20" t="s">
        <v>4441</v>
      </c>
      <c r="E9747" s="21"/>
      <c r="F9747" s="22">
        <f>F9764</f>
        <v>2884.94</v>
      </c>
      <c r="G9747" s="21"/>
    </row>
    <row r="9748" ht="39.75" customHeight="1">
      <c r="A9748" s="11"/>
      <c r="B9748" s="11"/>
      <c r="C9748" s="11"/>
      <c r="D9748" s="10" t="s">
        <v>4442</v>
      </c>
    </row>
    <row r="9749" ht="15.0" customHeight="1">
      <c r="A9749" s="10" t="s">
        <v>851</v>
      </c>
      <c r="B9749" s="10" t="s">
        <v>18</v>
      </c>
      <c r="C9749" s="10" t="s">
        <v>251</v>
      </c>
      <c r="D9749" s="10" t="s">
        <v>852</v>
      </c>
      <c r="E9749" s="14">
        <v>4.0</v>
      </c>
      <c r="F9749" s="15">
        <f>F9755</f>
        <v>28.28</v>
      </c>
      <c r="G9749" s="12">
        <f t="shared" ref="G9749:G9753" si="1459">ROUND(E9749*F9749,2)</f>
        <v>113.12</v>
      </c>
    </row>
    <row r="9750" ht="30.0" customHeight="1">
      <c r="A9750" s="10" t="s">
        <v>780</v>
      </c>
      <c r="B9750" s="10" t="s">
        <v>112</v>
      </c>
      <c r="C9750" s="10" t="s">
        <v>23</v>
      </c>
      <c r="D9750" s="10" t="s">
        <v>781</v>
      </c>
      <c r="E9750" s="14">
        <v>0.5</v>
      </c>
      <c r="F9750" s="15">
        <f>ROUND(1.875,3)</f>
        <v>1.875</v>
      </c>
      <c r="G9750" s="12">
        <f t="shared" si="1459"/>
        <v>0.94</v>
      </c>
    </row>
    <row r="9751" ht="39.75" customHeight="1">
      <c r="A9751" s="10" t="s">
        <v>778</v>
      </c>
      <c r="B9751" s="10" t="s">
        <v>112</v>
      </c>
      <c r="C9751" s="10" t="s">
        <v>23</v>
      </c>
      <c r="D9751" s="10" t="s">
        <v>779</v>
      </c>
      <c r="E9751" s="14">
        <v>0.5</v>
      </c>
      <c r="F9751" s="15">
        <f>ROUND(2,3)</f>
        <v>2</v>
      </c>
      <c r="G9751" s="12">
        <f t="shared" si="1459"/>
        <v>1</v>
      </c>
    </row>
    <row r="9752" ht="39.75" customHeight="1">
      <c r="A9752" s="10" t="s">
        <v>188</v>
      </c>
      <c r="B9752" s="10" t="s">
        <v>112</v>
      </c>
      <c r="C9752" s="10" t="s">
        <v>23</v>
      </c>
      <c r="D9752" s="10" t="s">
        <v>189</v>
      </c>
      <c r="E9752" s="14">
        <v>0.5</v>
      </c>
      <c r="F9752" s="15">
        <f>ROUND(7.565,3)</f>
        <v>7.565</v>
      </c>
      <c r="G9752" s="12">
        <f t="shared" si="1459"/>
        <v>3.78</v>
      </c>
    </row>
    <row r="9753" ht="21.0" customHeight="1">
      <c r="A9753" s="10" t="s">
        <v>22</v>
      </c>
      <c r="B9753" s="10" t="s">
        <v>18</v>
      </c>
      <c r="C9753" s="10" t="s">
        <v>23</v>
      </c>
      <c r="D9753" s="10" t="s">
        <v>24</v>
      </c>
      <c r="E9753" s="14">
        <v>0.5</v>
      </c>
      <c r="F9753" s="15">
        <f>ROUND(43.8,3)</f>
        <v>43.8</v>
      </c>
      <c r="G9753" s="12">
        <f t="shared" si="1459"/>
        <v>21.9</v>
      </c>
    </row>
    <row r="9754" ht="15.0" customHeight="1">
      <c r="A9754" s="10" t="s">
        <v>32</v>
      </c>
      <c r="B9754" s="10"/>
      <c r="C9754" s="10" t="s">
        <v>33</v>
      </c>
      <c r="D9754" s="10" t="s">
        <v>34</v>
      </c>
      <c r="E9754" s="14">
        <v>3.0</v>
      </c>
      <c r="F9754" s="15">
        <f>ROUND(21.9,3)</f>
        <v>21.9</v>
      </c>
      <c r="G9754" s="12">
        <f>ROUND((E9754*F9754)/100,2)</f>
        <v>0.66</v>
      </c>
    </row>
    <row r="9755" ht="15.0" customHeight="1">
      <c r="A9755" s="11"/>
      <c r="B9755" s="11"/>
      <c r="C9755" s="11"/>
      <c r="D9755" s="10" t="s">
        <v>851</v>
      </c>
      <c r="E9755" s="14">
        <v>4.0</v>
      </c>
      <c r="F9755" s="15">
        <f>ROUND((G9750+G9751+G9752+G9753+G9754),3)</f>
        <v>28.28</v>
      </c>
      <c r="G9755" s="12">
        <f t="shared" ref="G9755:G9762" si="1460">ROUND(E9755*F9755,2)</f>
        <v>113.12</v>
      </c>
    </row>
    <row r="9756" ht="21.0" customHeight="1">
      <c r="A9756" s="10" t="s">
        <v>4443</v>
      </c>
      <c r="B9756" s="10" t="s">
        <v>42</v>
      </c>
      <c r="C9756" s="10" t="s">
        <v>255</v>
      </c>
      <c r="D9756" s="10" t="s">
        <v>4444</v>
      </c>
      <c r="E9756" s="14">
        <v>1.0</v>
      </c>
      <c r="F9756" s="15">
        <f>ROUND(986,3)</f>
        <v>986</v>
      </c>
      <c r="G9756" s="12">
        <f t="shared" si="1460"/>
        <v>986</v>
      </c>
    </row>
    <row r="9757" ht="15.0" customHeight="1">
      <c r="A9757" s="10" t="s">
        <v>4445</v>
      </c>
      <c r="B9757" s="10" t="s">
        <v>42</v>
      </c>
      <c r="C9757" s="10" t="s">
        <v>255</v>
      </c>
      <c r="D9757" s="10" t="s">
        <v>4446</v>
      </c>
      <c r="E9757" s="14">
        <v>1.0</v>
      </c>
      <c r="F9757" s="15">
        <f>ROUND(1064,3)</f>
        <v>1064</v>
      </c>
      <c r="G9757" s="12">
        <f t="shared" si="1460"/>
        <v>1064</v>
      </c>
    </row>
    <row r="9758" ht="21.0" customHeight="1">
      <c r="A9758" s="10" t="s">
        <v>22</v>
      </c>
      <c r="B9758" s="10" t="s">
        <v>18</v>
      </c>
      <c r="C9758" s="10" t="s">
        <v>23</v>
      </c>
      <c r="D9758" s="10" t="s">
        <v>24</v>
      </c>
      <c r="E9758" s="14">
        <v>16.0</v>
      </c>
      <c r="F9758" s="15">
        <f>F9762</f>
        <v>43.8</v>
      </c>
      <c r="G9758" s="12">
        <f t="shared" si="1460"/>
        <v>700.8</v>
      </c>
    </row>
    <row r="9759" ht="24.0" customHeight="1">
      <c r="A9759" s="10" t="s">
        <v>25</v>
      </c>
      <c r="B9759" s="10" t="s">
        <v>26</v>
      </c>
      <c r="C9759" s="10" t="s">
        <v>23</v>
      </c>
      <c r="D9759" s="10" t="s">
        <v>27</v>
      </c>
      <c r="E9759" s="14">
        <v>1.0</v>
      </c>
      <c r="F9759" s="15">
        <f>ROUND(21,3)</f>
        <v>21</v>
      </c>
      <c r="G9759" s="12">
        <f t="shared" si="1460"/>
        <v>21</v>
      </c>
    </row>
    <row r="9760" ht="24.0" customHeight="1">
      <c r="A9760" s="10" t="s">
        <v>28</v>
      </c>
      <c r="B9760" s="10" t="s">
        <v>26</v>
      </c>
      <c r="C9760" s="10" t="s">
        <v>23</v>
      </c>
      <c r="D9760" s="10" t="s">
        <v>29</v>
      </c>
      <c r="E9760" s="14">
        <v>1.0</v>
      </c>
      <c r="F9760" s="15">
        <f t="shared" ref="F9760:F9761" si="1461">ROUND(19,3)</f>
        <v>19</v>
      </c>
      <c r="G9760" s="12">
        <f t="shared" si="1460"/>
        <v>19</v>
      </c>
    </row>
    <row r="9761" ht="24.0" customHeight="1">
      <c r="A9761" s="10" t="s">
        <v>30</v>
      </c>
      <c r="B9761" s="10" t="s">
        <v>26</v>
      </c>
      <c r="C9761" s="10" t="s">
        <v>23</v>
      </c>
      <c r="D9761" s="10" t="s">
        <v>31</v>
      </c>
      <c r="E9761" s="14">
        <v>0.2</v>
      </c>
      <c r="F9761" s="15">
        <f t="shared" si="1461"/>
        <v>19</v>
      </c>
      <c r="G9761" s="12">
        <f t="shared" si="1460"/>
        <v>3.8</v>
      </c>
    </row>
    <row r="9762" ht="15.0" customHeight="1">
      <c r="A9762" s="11"/>
      <c r="B9762" s="11"/>
      <c r="C9762" s="11"/>
      <c r="D9762" s="10" t="s">
        <v>22</v>
      </c>
      <c r="E9762" s="14">
        <v>16.0</v>
      </c>
      <c r="F9762" s="15">
        <f>ROUND((G9759+G9760+G9761),3)</f>
        <v>43.8</v>
      </c>
      <c r="G9762" s="12">
        <f t="shared" si="1460"/>
        <v>700.8</v>
      </c>
    </row>
    <row r="9763" ht="15.0" customHeight="1">
      <c r="A9763" s="10" t="s">
        <v>32</v>
      </c>
      <c r="B9763" s="10"/>
      <c r="C9763" s="10" t="s">
        <v>33</v>
      </c>
      <c r="D9763" s="10" t="s">
        <v>34</v>
      </c>
      <c r="E9763" s="14">
        <v>3.0</v>
      </c>
      <c r="F9763" s="15">
        <f>ROUND(700.8,3)</f>
        <v>700.8</v>
      </c>
      <c r="G9763" s="12">
        <f>ROUND((E9763*F9763)/100,2)</f>
        <v>21.02</v>
      </c>
    </row>
    <row r="9764" ht="15.0" customHeight="1">
      <c r="A9764" s="16"/>
      <c r="B9764" s="16"/>
      <c r="C9764" s="16"/>
      <c r="D9764" s="17" t="s">
        <v>4440</v>
      </c>
      <c r="E9764" s="16"/>
      <c r="F9764" s="18">
        <f>ROUND((G9749+G9756+G9757+G9758+G9763)*(1+G2/100),2)</f>
        <v>2884.94</v>
      </c>
      <c r="G9764" s="16"/>
    </row>
    <row r="9765" ht="30.0" customHeight="1">
      <c r="A9765" s="19" t="s">
        <v>4447</v>
      </c>
      <c r="B9765" s="20" t="s">
        <v>18</v>
      </c>
      <c r="C9765" s="20" t="s">
        <v>295</v>
      </c>
      <c r="D9765" s="20" t="s">
        <v>4448</v>
      </c>
      <c r="E9765" s="21"/>
      <c r="F9765" s="22">
        <f>F9823</f>
        <v>1590.2</v>
      </c>
      <c r="G9765" s="21"/>
    </row>
    <row r="9766" ht="104.25" customHeight="1">
      <c r="A9766" s="11"/>
      <c r="B9766" s="11"/>
      <c r="C9766" s="11"/>
      <c r="D9766" s="10" t="s">
        <v>4449</v>
      </c>
    </row>
    <row r="9767" ht="21.0" customHeight="1">
      <c r="A9767" s="10" t="s">
        <v>4450</v>
      </c>
      <c r="B9767" s="10" t="s">
        <v>18</v>
      </c>
      <c r="C9767" s="10" t="s">
        <v>251</v>
      </c>
      <c r="D9767" s="10" t="s">
        <v>4451</v>
      </c>
      <c r="E9767" s="14">
        <v>11.0</v>
      </c>
      <c r="F9767" s="15">
        <f>F9774</f>
        <v>27.86</v>
      </c>
      <c r="G9767" s="12">
        <f t="shared" ref="G9767:G9772" si="1462">ROUND(E9767*F9767,2)</f>
        <v>306.46</v>
      </c>
    </row>
    <row r="9768" ht="39.75" customHeight="1">
      <c r="A9768" s="10" t="s">
        <v>2640</v>
      </c>
      <c r="B9768" s="10" t="s">
        <v>42</v>
      </c>
      <c r="C9768" s="10" t="s">
        <v>184</v>
      </c>
      <c r="D9768" s="10" t="s">
        <v>2641</v>
      </c>
      <c r="E9768" s="14">
        <v>1.2</v>
      </c>
      <c r="F9768" s="15">
        <f>ROUND(2.6,3)</f>
        <v>2.6</v>
      </c>
      <c r="G9768" s="12">
        <f t="shared" si="1462"/>
        <v>3.12</v>
      </c>
    </row>
    <row r="9769" ht="30.0" customHeight="1">
      <c r="A9769" s="10" t="s">
        <v>1227</v>
      </c>
      <c r="B9769" s="10" t="s">
        <v>42</v>
      </c>
      <c r="C9769" s="10" t="s">
        <v>226</v>
      </c>
      <c r="D9769" s="10" t="s">
        <v>1228</v>
      </c>
      <c r="E9769" s="14">
        <v>0.0252</v>
      </c>
      <c r="F9769" s="15">
        <f>ROUND(27.5,3)</f>
        <v>27.5</v>
      </c>
      <c r="G9769" s="12">
        <f t="shared" si="1462"/>
        <v>0.69</v>
      </c>
    </row>
    <row r="9770" ht="21.0" customHeight="1">
      <c r="A9770" s="10" t="s">
        <v>1857</v>
      </c>
      <c r="B9770" s="10" t="s">
        <v>42</v>
      </c>
      <c r="C9770" s="10" t="s">
        <v>231</v>
      </c>
      <c r="D9770" s="10" t="s">
        <v>1858</v>
      </c>
      <c r="E9770" s="14">
        <v>0.375</v>
      </c>
      <c r="F9770" s="15">
        <f>ROUND(1.05,3)</f>
        <v>1.05</v>
      </c>
      <c r="G9770" s="12">
        <f t="shared" si="1462"/>
        <v>0.39</v>
      </c>
    </row>
    <row r="9771" ht="39.75" customHeight="1">
      <c r="A9771" s="10" t="s">
        <v>1349</v>
      </c>
      <c r="B9771" s="10" t="s">
        <v>42</v>
      </c>
      <c r="C9771" s="10" t="s">
        <v>231</v>
      </c>
      <c r="D9771" s="10" t="s">
        <v>1350</v>
      </c>
      <c r="E9771" s="14">
        <v>0.15</v>
      </c>
      <c r="F9771" s="15">
        <f>ROUND(4.05,3)</f>
        <v>4.05</v>
      </c>
      <c r="G9771" s="12">
        <f t="shared" si="1462"/>
        <v>0.61</v>
      </c>
    </row>
    <row r="9772" ht="21.0" customHeight="1">
      <c r="A9772" s="10" t="s">
        <v>22</v>
      </c>
      <c r="B9772" s="10" t="s">
        <v>18</v>
      </c>
      <c r="C9772" s="10" t="s">
        <v>23</v>
      </c>
      <c r="D9772" s="10" t="s">
        <v>24</v>
      </c>
      <c r="E9772" s="14">
        <v>0.511</v>
      </c>
      <c r="F9772" s="15">
        <f>ROUND(43.8,3)</f>
        <v>43.8</v>
      </c>
      <c r="G9772" s="12">
        <f t="shared" si="1462"/>
        <v>22.38</v>
      </c>
    </row>
    <row r="9773" ht="15.0" customHeight="1">
      <c r="A9773" s="10" t="s">
        <v>32</v>
      </c>
      <c r="B9773" s="10"/>
      <c r="C9773" s="10" t="s">
        <v>33</v>
      </c>
      <c r="D9773" s="10" t="s">
        <v>34</v>
      </c>
      <c r="E9773" s="14">
        <v>3.0</v>
      </c>
      <c r="F9773" s="15">
        <f>ROUND(22.38,3)</f>
        <v>22.38</v>
      </c>
      <c r="G9773" s="12">
        <f>ROUND((E9773*F9773)/100,2)</f>
        <v>0.67</v>
      </c>
    </row>
    <row r="9774" ht="15.0" customHeight="1">
      <c r="A9774" s="11"/>
      <c r="B9774" s="11"/>
      <c r="C9774" s="11"/>
      <c r="D9774" s="10" t="s">
        <v>4450</v>
      </c>
      <c r="E9774" s="14">
        <v>11.0</v>
      </c>
      <c r="F9774" s="15">
        <f>ROUND((G9768+G9769+G9770+G9771+G9772+G9773),3)</f>
        <v>27.86</v>
      </c>
      <c r="G9774" s="12">
        <f t="shared" ref="G9774:G9782" si="1463">ROUND(E9774*F9774,2)</f>
        <v>306.46</v>
      </c>
    </row>
    <row r="9775" ht="21.0" customHeight="1">
      <c r="A9775" s="10" t="s">
        <v>1663</v>
      </c>
      <c r="B9775" s="10" t="s">
        <v>18</v>
      </c>
      <c r="C9775" s="10" t="s">
        <v>251</v>
      </c>
      <c r="D9775" s="10" t="s">
        <v>1664</v>
      </c>
      <c r="E9775" s="14">
        <v>11.0</v>
      </c>
      <c r="F9775" s="15">
        <f>F9784</f>
        <v>11.82</v>
      </c>
      <c r="G9775" s="12">
        <f t="shared" si="1463"/>
        <v>130.02</v>
      </c>
    </row>
    <row r="9776" ht="30.0" customHeight="1">
      <c r="A9776" s="10" t="s">
        <v>1665</v>
      </c>
      <c r="B9776" s="10" t="s">
        <v>42</v>
      </c>
      <c r="C9776" s="10" t="s">
        <v>295</v>
      </c>
      <c r="D9776" s="10" t="s">
        <v>1666</v>
      </c>
      <c r="E9776" s="14">
        <v>0.0214</v>
      </c>
      <c r="F9776" s="15">
        <f>ROUND(41.9,3)</f>
        <v>41.9</v>
      </c>
      <c r="G9776" s="12">
        <f t="shared" si="1463"/>
        <v>0.9</v>
      </c>
    </row>
    <row r="9777" ht="24.0" customHeight="1">
      <c r="A9777" s="10" t="s">
        <v>1667</v>
      </c>
      <c r="B9777" s="10" t="s">
        <v>42</v>
      </c>
      <c r="C9777" s="10" t="s">
        <v>295</v>
      </c>
      <c r="D9777" s="10" t="s">
        <v>1668</v>
      </c>
      <c r="E9777" s="14">
        <v>0.01</v>
      </c>
      <c r="F9777" s="15">
        <f>ROUND(85.93,3)</f>
        <v>85.93</v>
      </c>
      <c r="G9777" s="12">
        <f t="shared" si="1463"/>
        <v>0.86</v>
      </c>
    </row>
    <row r="9778" ht="30.0" customHeight="1">
      <c r="A9778" s="10" t="s">
        <v>1669</v>
      </c>
      <c r="B9778" s="10" t="s">
        <v>42</v>
      </c>
      <c r="C9778" s="10" t="s">
        <v>304</v>
      </c>
      <c r="D9778" s="10" t="s">
        <v>1670</v>
      </c>
      <c r="E9778" s="14">
        <v>0.011</v>
      </c>
      <c r="F9778" s="15">
        <f>ROUND(2.52,3)</f>
        <v>2.52</v>
      </c>
      <c r="G9778" s="12">
        <f t="shared" si="1463"/>
        <v>0.03</v>
      </c>
    </row>
    <row r="9779" ht="24.0" customHeight="1">
      <c r="A9779" s="10" t="s">
        <v>1671</v>
      </c>
      <c r="B9779" s="10" t="s">
        <v>42</v>
      </c>
      <c r="C9779" s="10" t="s">
        <v>304</v>
      </c>
      <c r="D9779" s="10" t="s">
        <v>1672</v>
      </c>
      <c r="E9779" s="14">
        <v>0.011</v>
      </c>
      <c r="F9779" s="15">
        <f>ROUND(4.73,3)</f>
        <v>4.73</v>
      </c>
      <c r="G9779" s="12">
        <f t="shared" si="1463"/>
        <v>0.05</v>
      </c>
    </row>
    <row r="9780" ht="24.0" customHeight="1">
      <c r="A9780" s="10" t="s">
        <v>1673</v>
      </c>
      <c r="B9780" s="10" t="s">
        <v>42</v>
      </c>
      <c r="C9780" s="10" t="s">
        <v>304</v>
      </c>
      <c r="D9780" s="10" t="s">
        <v>1674</v>
      </c>
      <c r="E9780" s="14">
        <v>0.015</v>
      </c>
      <c r="F9780" s="15">
        <f>ROUND(0.65,3)</f>
        <v>0.65</v>
      </c>
      <c r="G9780" s="12">
        <f t="shared" si="1463"/>
        <v>0.01</v>
      </c>
    </row>
    <row r="9781" ht="24.0" customHeight="1">
      <c r="A9781" s="10" t="s">
        <v>1675</v>
      </c>
      <c r="B9781" s="10" t="s">
        <v>42</v>
      </c>
      <c r="C9781" s="10" t="s">
        <v>304</v>
      </c>
      <c r="D9781" s="10" t="s">
        <v>1676</v>
      </c>
      <c r="E9781" s="14">
        <v>0.011</v>
      </c>
      <c r="F9781" s="15">
        <f>ROUND(4.06,3)</f>
        <v>4.06</v>
      </c>
      <c r="G9781" s="12">
        <f t="shared" si="1463"/>
        <v>0.04</v>
      </c>
    </row>
    <row r="9782" ht="21.0" customHeight="1">
      <c r="A9782" s="10" t="s">
        <v>22</v>
      </c>
      <c r="B9782" s="10" t="s">
        <v>18</v>
      </c>
      <c r="C9782" s="10" t="s">
        <v>23</v>
      </c>
      <c r="D9782" s="10" t="s">
        <v>24</v>
      </c>
      <c r="E9782" s="14">
        <v>0.22</v>
      </c>
      <c r="F9782" s="15">
        <f>ROUND(43.8,3)</f>
        <v>43.8</v>
      </c>
      <c r="G9782" s="12">
        <f t="shared" si="1463"/>
        <v>9.64</v>
      </c>
    </row>
    <row r="9783" ht="15.0" customHeight="1">
      <c r="A9783" s="10" t="s">
        <v>32</v>
      </c>
      <c r="B9783" s="10"/>
      <c r="C9783" s="10" t="s">
        <v>33</v>
      </c>
      <c r="D9783" s="10" t="s">
        <v>34</v>
      </c>
      <c r="E9783" s="14">
        <v>3.0</v>
      </c>
      <c r="F9783" s="15">
        <f>ROUND(9.64,3)</f>
        <v>9.64</v>
      </c>
      <c r="G9783" s="12">
        <f>ROUND((E9783*F9783)/100,2)</f>
        <v>0.29</v>
      </c>
    </row>
    <row r="9784" ht="15.0" customHeight="1">
      <c r="A9784" s="11"/>
      <c r="B9784" s="11"/>
      <c r="C9784" s="11"/>
      <c r="D9784" s="10" t="s">
        <v>1663</v>
      </c>
      <c r="E9784" s="14">
        <v>11.0</v>
      </c>
      <c r="F9784" s="15">
        <f>ROUND((G9776+G9777+G9778+G9779+G9780+G9781+G9782+G9783),3)</f>
        <v>11.82</v>
      </c>
      <c r="G9784" s="12">
        <f t="shared" ref="G9784:G9787" si="1464">ROUND(E9784*F9784,2)</f>
        <v>130.02</v>
      </c>
    </row>
    <row r="9785" ht="21.0" customHeight="1">
      <c r="A9785" s="10" t="s">
        <v>4235</v>
      </c>
      <c r="B9785" s="10" t="s">
        <v>18</v>
      </c>
      <c r="C9785" s="10" t="s">
        <v>251</v>
      </c>
      <c r="D9785" s="10" t="s">
        <v>4236</v>
      </c>
      <c r="E9785" s="14">
        <v>1.5</v>
      </c>
      <c r="F9785" s="15">
        <f>F9789</f>
        <v>9.46</v>
      </c>
      <c r="G9785" s="12">
        <f t="shared" si="1464"/>
        <v>14.19</v>
      </c>
    </row>
    <row r="9786" ht="39.75" customHeight="1">
      <c r="A9786" s="10" t="s">
        <v>4116</v>
      </c>
      <c r="B9786" s="10" t="s">
        <v>42</v>
      </c>
      <c r="C9786" s="10" t="s">
        <v>1939</v>
      </c>
      <c r="D9786" s="10" t="s">
        <v>4117</v>
      </c>
      <c r="E9786" s="14">
        <v>0.06</v>
      </c>
      <c r="F9786" s="15">
        <f>ROUND(44.84,3)</f>
        <v>44.84</v>
      </c>
      <c r="G9786" s="12">
        <f t="shared" si="1464"/>
        <v>2.69</v>
      </c>
    </row>
    <row r="9787" ht="21.0" customHeight="1">
      <c r="A9787" s="10" t="s">
        <v>22</v>
      </c>
      <c r="B9787" s="10" t="s">
        <v>18</v>
      </c>
      <c r="C9787" s="10" t="s">
        <v>23</v>
      </c>
      <c r="D9787" s="10" t="s">
        <v>24</v>
      </c>
      <c r="E9787" s="14">
        <v>0.15</v>
      </c>
      <c r="F9787" s="15">
        <f>ROUND(43.8,3)</f>
        <v>43.8</v>
      </c>
      <c r="G9787" s="12">
        <f t="shared" si="1464"/>
        <v>6.57</v>
      </c>
    </row>
    <row r="9788" ht="15.0" customHeight="1">
      <c r="A9788" s="10" t="s">
        <v>32</v>
      </c>
      <c r="B9788" s="10"/>
      <c r="C9788" s="10" t="s">
        <v>33</v>
      </c>
      <c r="D9788" s="10" t="s">
        <v>34</v>
      </c>
      <c r="E9788" s="14">
        <v>3.0</v>
      </c>
      <c r="F9788" s="15">
        <f>ROUND(6.57,3)</f>
        <v>6.57</v>
      </c>
      <c r="G9788" s="12">
        <f>ROUND((E9788*F9788)/100,2)</f>
        <v>0.2</v>
      </c>
    </row>
    <row r="9789" ht="15.0" customHeight="1">
      <c r="A9789" s="11"/>
      <c r="B9789" s="11"/>
      <c r="C9789" s="11"/>
      <c r="D9789" s="10" t="s">
        <v>4235</v>
      </c>
      <c r="E9789" s="14">
        <v>1.5</v>
      </c>
      <c r="F9789" s="15">
        <f>ROUND((G9786+G9787+G9788),3)</f>
        <v>9.46</v>
      </c>
      <c r="G9789" s="12">
        <f t="shared" ref="G9789:G9792" si="1465">ROUND(E9789*F9789,2)</f>
        <v>14.19</v>
      </c>
    </row>
    <row r="9790" ht="21.0" customHeight="1">
      <c r="A9790" s="10" t="s">
        <v>4452</v>
      </c>
      <c r="B9790" s="10" t="s">
        <v>18</v>
      </c>
      <c r="C9790" s="10" t="s">
        <v>321</v>
      </c>
      <c r="D9790" s="10" t="s">
        <v>4453</v>
      </c>
      <c r="E9790" s="14">
        <v>2.5</v>
      </c>
      <c r="F9790" s="15">
        <f>F9794</f>
        <v>7.55</v>
      </c>
      <c r="G9790" s="12">
        <f t="shared" si="1465"/>
        <v>18.88</v>
      </c>
    </row>
    <row r="9791" ht="21.0" customHeight="1">
      <c r="A9791" s="10" t="s">
        <v>4454</v>
      </c>
      <c r="B9791" s="10" t="s">
        <v>42</v>
      </c>
      <c r="C9791" s="10" t="s">
        <v>304</v>
      </c>
      <c r="D9791" s="10" t="s">
        <v>4455</v>
      </c>
      <c r="E9791" s="14">
        <v>0.092</v>
      </c>
      <c r="F9791" s="15">
        <f>ROUND(24.75,3)</f>
        <v>24.75</v>
      </c>
      <c r="G9791" s="12">
        <f t="shared" si="1465"/>
        <v>2.28</v>
      </c>
    </row>
    <row r="9792" ht="21.0" customHeight="1">
      <c r="A9792" s="10" t="s">
        <v>22</v>
      </c>
      <c r="B9792" s="10" t="s">
        <v>18</v>
      </c>
      <c r="C9792" s="10" t="s">
        <v>23</v>
      </c>
      <c r="D9792" s="10" t="s">
        <v>24</v>
      </c>
      <c r="E9792" s="14">
        <v>0.117</v>
      </c>
      <c r="F9792" s="15">
        <f>ROUND(43.8,3)</f>
        <v>43.8</v>
      </c>
      <c r="G9792" s="12">
        <f t="shared" si="1465"/>
        <v>5.12</v>
      </c>
    </row>
    <row r="9793" ht="15.0" customHeight="1">
      <c r="A9793" s="10" t="s">
        <v>32</v>
      </c>
      <c r="B9793" s="10"/>
      <c r="C9793" s="10" t="s">
        <v>33</v>
      </c>
      <c r="D9793" s="10" t="s">
        <v>34</v>
      </c>
      <c r="E9793" s="14">
        <v>3.0</v>
      </c>
      <c r="F9793" s="15">
        <f>ROUND(5.12,3)</f>
        <v>5.12</v>
      </c>
      <c r="G9793" s="12">
        <f>ROUND((E9793*F9793)/100,2)</f>
        <v>0.15</v>
      </c>
    </row>
    <row r="9794" ht="15.0" customHeight="1">
      <c r="A9794" s="11"/>
      <c r="B9794" s="11"/>
      <c r="C9794" s="11"/>
      <c r="D9794" s="10" t="s">
        <v>4452</v>
      </c>
      <c r="E9794" s="14">
        <v>2.5</v>
      </c>
      <c r="F9794" s="15">
        <f>ROUND((G9791+G9792+G9793),3)</f>
        <v>7.55</v>
      </c>
      <c r="G9794" s="12">
        <f t="shared" ref="G9794:G9798" si="1466">ROUND(E9794*F9794,2)</f>
        <v>18.88</v>
      </c>
    </row>
    <row r="9795" ht="30.0" customHeight="1">
      <c r="A9795" s="10" t="s">
        <v>4113</v>
      </c>
      <c r="B9795" s="10" t="s">
        <v>18</v>
      </c>
      <c r="C9795" s="10" t="s">
        <v>251</v>
      </c>
      <c r="D9795" s="10" t="s">
        <v>4114</v>
      </c>
      <c r="E9795" s="14">
        <v>1.5</v>
      </c>
      <c r="F9795" s="15">
        <f>F9800</f>
        <v>28.23</v>
      </c>
      <c r="G9795" s="12">
        <f t="shared" si="1466"/>
        <v>42.35</v>
      </c>
    </row>
    <row r="9796" ht="39.75" customHeight="1">
      <c r="A9796" s="10" t="s">
        <v>4116</v>
      </c>
      <c r="B9796" s="10" t="s">
        <v>42</v>
      </c>
      <c r="C9796" s="10" t="s">
        <v>1939</v>
      </c>
      <c r="D9796" s="10" t="s">
        <v>4117</v>
      </c>
      <c r="E9796" s="14">
        <v>0.042</v>
      </c>
      <c r="F9796" s="15">
        <f>ROUND(44.84,3)</f>
        <v>44.84</v>
      </c>
      <c r="G9796" s="12">
        <f t="shared" si="1466"/>
        <v>1.88</v>
      </c>
    </row>
    <row r="9797" ht="48.75" customHeight="1">
      <c r="A9797" s="10" t="s">
        <v>4118</v>
      </c>
      <c r="B9797" s="10" t="s">
        <v>42</v>
      </c>
      <c r="C9797" s="10" t="s">
        <v>226</v>
      </c>
      <c r="D9797" s="10" t="s">
        <v>4119</v>
      </c>
      <c r="E9797" s="14">
        <v>0.13333</v>
      </c>
      <c r="F9797" s="15">
        <f>ROUND(28.4,3)</f>
        <v>28.4</v>
      </c>
      <c r="G9797" s="12">
        <f t="shared" si="1466"/>
        <v>3.79</v>
      </c>
    </row>
    <row r="9798" ht="21.0" customHeight="1">
      <c r="A9798" s="10" t="s">
        <v>22</v>
      </c>
      <c r="B9798" s="10" t="s">
        <v>18</v>
      </c>
      <c r="C9798" s="10" t="s">
        <v>23</v>
      </c>
      <c r="D9798" s="10" t="s">
        <v>24</v>
      </c>
      <c r="E9798" s="14">
        <v>0.5</v>
      </c>
      <c r="F9798" s="15">
        <f>ROUND(43.8,3)</f>
        <v>43.8</v>
      </c>
      <c r="G9798" s="12">
        <f t="shared" si="1466"/>
        <v>21.9</v>
      </c>
    </row>
    <row r="9799" ht="15.0" customHeight="1">
      <c r="A9799" s="10" t="s">
        <v>32</v>
      </c>
      <c r="B9799" s="10"/>
      <c r="C9799" s="10" t="s">
        <v>33</v>
      </c>
      <c r="D9799" s="10" t="s">
        <v>34</v>
      </c>
      <c r="E9799" s="14">
        <v>3.0</v>
      </c>
      <c r="F9799" s="15">
        <f>ROUND(21.9,3)</f>
        <v>21.9</v>
      </c>
      <c r="G9799" s="12">
        <f>ROUND((E9799*F9799)/100,2)</f>
        <v>0.66</v>
      </c>
    </row>
    <row r="9800" ht="15.0" customHeight="1">
      <c r="A9800" s="11"/>
      <c r="B9800" s="11"/>
      <c r="C9800" s="11"/>
      <c r="D9800" s="10" t="s">
        <v>4113</v>
      </c>
      <c r="E9800" s="14">
        <v>1.5</v>
      </c>
      <c r="F9800" s="15">
        <f>ROUND((G9796+G9797+G9798+G9799),3)</f>
        <v>28.23</v>
      </c>
      <c r="G9800" s="12">
        <f t="shared" ref="G9800:G9805" si="1467">ROUND(E9800*F9800,2)</f>
        <v>42.35</v>
      </c>
    </row>
    <row r="9801" ht="21.0" customHeight="1">
      <c r="A9801" s="10" t="s">
        <v>4128</v>
      </c>
      <c r="B9801" s="10" t="s">
        <v>18</v>
      </c>
      <c r="C9801" s="10" t="s">
        <v>321</v>
      </c>
      <c r="D9801" s="10" t="s">
        <v>4129</v>
      </c>
      <c r="E9801" s="14">
        <v>2.5</v>
      </c>
      <c r="F9801" s="15">
        <f>F9807</f>
        <v>10.58</v>
      </c>
      <c r="G9801" s="12">
        <f t="shared" si="1467"/>
        <v>26.45</v>
      </c>
    </row>
    <row r="9802" ht="48.75" customHeight="1">
      <c r="A9802" s="10" t="s">
        <v>2069</v>
      </c>
      <c r="B9802" s="10" t="s">
        <v>42</v>
      </c>
      <c r="C9802" s="10" t="s">
        <v>184</v>
      </c>
      <c r="D9802" s="10" t="s">
        <v>2070</v>
      </c>
      <c r="E9802" s="14">
        <v>0.033</v>
      </c>
      <c r="F9802" s="15">
        <f>ROUND(10.25,3)</f>
        <v>10.25</v>
      </c>
      <c r="G9802" s="12">
        <f t="shared" si="1467"/>
        <v>0.34</v>
      </c>
    </row>
    <row r="9803" ht="30.0" customHeight="1">
      <c r="A9803" s="10" t="s">
        <v>2755</v>
      </c>
      <c r="B9803" s="10" t="s">
        <v>42</v>
      </c>
      <c r="C9803" s="10" t="s">
        <v>344</v>
      </c>
      <c r="D9803" s="10" t="s">
        <v>2756</v>
      </c>
      <c r="E9803" s="14">
        <v>5.0</v>
      </c>
      <c r="F9803" s="15">
        <f>ROUND(0.4,3)</f>
        <v>0.4</v>
      </c>
      <c r="G9803" s="12">
        <f t="shared" si="1467"/>
        <v>2</v>
      </c>
    </row>
    <row r="9804" ht="30.0" customHeight="1">
      <c r="A9804" s="10" t="s">
        <v>2053</v>
      </c>
      <c r="B9804" s="10" t="s">
        <v>42</v>
      </c>
      <c r="C9804" s="10" t="s">
        <v>184</v>
      </c>
      <c r="D9804" s="10" t="s">
        <v>2054</v>
      </c>
      <c r="E9804" s="14">
        <v>0.01</v>
      </c>
      <c r="F9804" s="15">
        <f>ROUND(11.74,3)</f>
        <v>11.74</v>
      </c>
      <c r="G9804" s="12">
        <f t="shared" si="1467"/>
        <v>0.12</v>
      </c>
    </row>
    <row r="9805" ht="21.0" customHeight="1">
      <c r="A9805" s="10" t="s">
        <v>22</v>
      </c>
      <c r="B9805" s="10" t="s">
        <v>18</v>
      </c>
      <c r="C9805" s="10" t="s">
        <v>23</v>
      </c>
      <c r="D9805" s="10" t="s">
        <v>24</v>
      </c>
      <c r="E9805" s="14">
        <v>0.18</v>
      </c>
      <c r="F9805" s="15">
        <f>ROUND(43.8,3)</f>
        <v>43.8</v>
      </c>
      <c r="G9805" s="12">
        <f t="shared" si="1467"/>
        <v>7.88</v>
      </c>
    </row>
    <row r="9806" ht="15.0" customHeight="1">
      <c r="A9806" s="10" t="s">
        <v>32</v>
      </c>
      <c r="B9806" s="10"/>
      <c r="C9806" s="10" t="s">
        <v>33</v>
      </c>
      <c r="D9806" s="10" t="s">
        <v>34</v>
      </c>
      <c r="E9806" s="14">
        <v>3.0</v>
      </c>
      <c r="F9806" s="15">
        <f>ROUND(7.88,3)</f>
        <v>7.88</v>
      </c>
      <c r="G9806" s="12">
        <f>ROUND((E9806*F9806)/100,2)</f>
        <v>0.24</v>
      </c>
    </row>
    <row r="9807" ht="15.0" customHeight="1">
      <c r="A9807" s="11"/>
      <c r="B9807" s="11"/>
      <c r="C9807" s="11"/>
      <c r="D9807" s="10" t="s">
        <v>4128</v>
      </c>
      <c r="E9807" s="14">
        <v>2.5</v>
      </c>
      <c r="F9807" s="15">
        <f>ROUND((G9802+G9803+G9804+G9805+G9806),3)</f>
        <v>10.58</v>
      </c>
      <c r="G9807" s="12">
        <f t="shared" ref="G9807:G9813" si="1468">ROUND(E9807*F9807,2)</f>
        <v>26.45</v>
      </c>
    </row>
    <row r="9808" ht="21.0" customHeight="1">
      <c r="A9808" s="10" t="s">
        <v>4456</v>
      </c>
      <c r="B9808" s="10" t="s">
        <v>18</v>
      </c>
      <c r="C9808" s="10" t="s">
        <v>1357</v>
      </c>
      <c r="D9808" s="10" t="s">
        <v>4457</v>
      </c>
      <c r="E9808" s="14">
        <v>4.5</v>
      </c>
      <c r="F9808" s="15">
        <f>F9815</f>
        <v>65.66</v>
      </c>
      <c r="G9808" s="12">
        <f t="shared" si="1468"/>
        <v>295.47</v>
      </c>
    </row>
    <row r="9809" ht="57.75" customHeight="1">
      <c r="A9809" s="10" t="s">
        <v>4458</v>
      </c>
      <c r="B9809" s="10" t="s">
        <v>42</v>
      </c>
      <c r="C9809" s="10" t="s">
        <v>5</v>
      </c>
      <c r="D9809" s="10" t="s">
        <v>4459</v>
      </c>
      <c r="E9809" s="14">
        <v>58.8</v>
      </c>
      <c r="F9809" s="15">
        <f>ROUND(0.31,3)</f>
        <v>0.31</v>
      </c>
      <c r="G9809" s="12">
        <f t="shared" si="1468"/>
        <v>18.23</v>
      </c>
    </row>
    <row r="9810" ht="15.0" customHeight="1">
      <c r="A9810" s="10" t="s">
        <v>4460</v>
      </c>
      <c r="B9810" s="10" t="s">
        <v>42</v>
      </c>
      <c r="C9810" s="10" t="s">
        <v>4461</v>
      </c>
      <c r="D9810" s="10" t="s">
        <v>4462</v>
      </c>
      <c r="E9810" s="14">
        <v>0.01</v>
      </c>
      <c r="F9810" s="15">
        <f>ROUND(1.51,3)</f>
        <v>1.51</v>
      </c>
      <c r="G9810" s="12">
        <f t="shared" si="1468"/>
        <v>0.02</v>
      </c>
    </row>
    <row r="9811" ht="48.75" customHeight="1">
      <c r="A9811" s="10" t="s">
        <v>4463</v>
      </c>
      <c r="B9811" s="10" t="s">
        <v>42</v>
      </c>
      <c r="C9811" s="10" t="s">
        <v>4464</v>
      </c>
      <c r="D9811" s="10" t="s">
        <v>4465</v>
      </c>
      <c r="E9811" s="14">
        <v>0.057</v>
      </c>
      <c r="F9811" s="15">
        <f>ROUND(32.13,3)</f>
        <v>32.13</v>
      </c>
      <c r="G9811" s="12">
        <f t="shared" si="1468"/>
        <v>1.83</v>
      </c>
    </row>
    <row r="9812" ht="30.0" customHeight="1">
      <c r="A9812" s="10" t="s">
        <v>4466</v>
      </c>
      <c r="B9812" s="10" t="s">
        <v>112</v>
      </c>
      <c r="C9812" s="10" t="s">
        <v>23</v>
      </c>
      <c r="D9812" s="10" t="s">
        <v>4467</v>
      </c>
      <c r="E9812" s="14">
        <v>0.253</v>
      </c>
      <c r="F9812" s="15">
        <f>ROUND(1.95,3)</f>
        <v>1.95</v>
      </c>
      <c r="G9812" s="12">
        <f t="shared" si="1468"/>
        <v>0.49</v>
      </c>
    </row>
    <row r="9813" ht="21.0" customHeight="1">
      <c r="A9813" s="10" t="s">
        <v>22</v>
      </c>
      <c r="B9813" s="10" t="s">
        <v>18</v>
      </c>
      <c r="C9813" s="10" t="s">
        <v>23</v>
      </c>
      <c r="D9813" s="10" t="s">
        <v>24</v>
      </c>
      <c r="E9813" s="14">
        <v>1.0</v>
      </c>
      <c r="F9813" s="15">
        <f>ROUND(43.8,3)</f>
        <v>43.8</v>
      </c>
      <c r="G9813" s="12">
        <f t="shared" si="1468"/>
        <v>43.8</v>
      </c>
    </row>
    <row r="9814" ht="15.0" customHeight="1">
      <c r="A9814" s="10" t="s">
        <v>33</v>
      </c>
      <c r="B9814" s="10"/>
      <c r="C9814" s="10" t="s">
        <v>33</v>
      </c>
      <c r="D9814" s="10" t="s">
        <v>424</v>
      </c>
      <c r="E9814" s="14">
        <v>2.0</v>
      </c>
      <c r="F9814" s="15">
        <f>ROUND(64.37,3)</f>
        <v>64.37</v>
      </c>
      <c r="G9814" s="12">
        <f>ROUND((E9814*F9814)/100,2)</f>
        <v>1.29</v>
      </c>
    </row>
    <row r="9815" ht="15.0" customHeight="1">
      <c r="A9815" s="11"/>
      <c r="B9815" s="11"/>
      <c r="C9815" s="11"/>
      <c r="D9815" s="10" t="s">
        <v>4456</v>
      </c>
      <c r="E9815" s="14">
        <v>4.5</v>
      </c>
      <c r="F9815" s="15">
        <f>ROUND((G9809+G9810+G9811+G9812+G9813+G9814),3)</f>
        <v>65.66</v>
      </c>
      <c r="G9815" s="12">
        <f t="shared" ref="G9815:G9821" si="1469">ROUND(E9815*F9815,2)</f>
        <v>295.47</v>
      </c>
    </row>
    <row r="9816" ht="30.0" customHeight="1">
      <c r="A9816" s="10" t="s">
        <v>4468</v>
      </c>
      <c r="B9816" s="10" t="s">
        <v>42</v>
      </c>
      <c r="C9816" s="10" t="s">
        <v>304</v>
      </c>
      <c r="D9816" s="10" t="s">
        <v>4469</v>
      </c>
      <c r="E9816" s="14">
        <v>1.0</v>
      </c>
      <c r="F9816" s="15">
        <f>ROUND(550,3)</f>
        <v>550</v>
      </c>
      <c r="G9816" s="12">
        <f t="shared" si="1469"/>
        <v>550</v>
      </c>
    </row>
    <row r="9817" ht="21.0" customHeight="1">
      <c r="A9817" s="10" t="s">
        <v>22</v>
      </c>
      <c r="B9817" s="10" t="s">
        <v>18</v>
      </c>
      <c r="C9817" s="10" t="s">
        <v>23</v>
      </c>
      <c r="D9817" s="10" t="s">
        <v>24</v>
      </c>
      <c r="E9817" s="14">
        <v>4.0</v>
      </c>
      <c r="F9817" s="15">
        <f>F9821</f>
        <v>43.8</v>
      </c>
      <c r="G9817" s="12">
        <f t="shared" si="1469"/>
        <v>175.2</v>
      </c>
    </row>
    <row r="9818" ht="24.0" customHeight="1">
      <c r="A9818" s="10" t="s">
        <v>25</v>
      </c>
      <c r="B9818" s="10" t="s">
        <v>26</v>
      </c>
      <c r="C9818" s="10" t="s">
        <v>23</v>
      </c>
      <c r="D9818" s="10" t="s">
        <v>27</v>
      </c>
      <c r="E9818" s="14">
        <v>1.0</v>
      </c>
      <c r="F9818" s="15">
        <f>ROUND(21,3)</f>
        <v>21</v>
      </c>
      <c r="G9818" s="12">
        <f t="shared" si="1469"/>
        <v>21</v>
      </c>
    </row>
    <row r="9819" ht="24.0" customHeight="1">
      <c r="A9819" s="10" t="s">
        <v>28</v>
      </c>
      <c r="B9819" s="10" t="s">
        <v>26</v>
      </c>
      <c r="C9819" s="10" t="s">
        <v>23</v>
      </c>
      <c r="D9819" s="10" t="s">
        <v>29</v>
      </c>
      <c r="E9819" s="14">
        <v>1.0</v>
      </c>
      <c r="F9819" s="15">
        <f t="shared" ref="F9819:F9820" si="1470">ROUND(19,3)</f>
        <v>19</v>
      </c>
      <c r="G9819" s="12">
        <f t="shared" si="1469"/>
        <v>19</v>
      </c>
    </row>
    <row r="9820" ht="24.0" customHeight="1">
      <c r="A9820" s="10" t="s">
        <v>30</v>
      </c>
      <c r="B9820" s="10" t="s">
        <v>26</v>
      </c>
      <c r="C9820" s="10" t="s">
        <v>23</v>
      </c>
      <c r="D9820" s="10" t="s">
        <v>31</v>
      </c>
      <c r="E9820" s="14">
        <v>0.2</v>
      </c>
      <c r="F9820" s="15">
        <f t="shared" si="1470"/>
        <v>19</v>
      </c>
      <c r="G9820" s="12">
        <f t="shared" si="1469"/>
        <v>3.8</v>
      </c>
    </row>
    <row r="9821" ht="15.0" customHeight="1">
      <c r="A9821" s="11"/>
      <c r="B9821" s="11"/>
      <c r="C9821" s="11"/>
      <c r="D9821" s="10" t="s">
        <v>22</v>
      </c>
      <c r="E9821" s="14">
        <v>4.0</v>
      </c>
      <c r="F9821" s="15">
        <f>ROUND((G9818+G9819+G9820),3)</f>
        <v>43.8</v>
      </c>
      <c r="G9821" s="12">
        <f t="shared" si="1469"/>
        <v>175.2</v>
      </c>
    </row>
    <row r="9822" ht="15.0" customHeight="1">
      <c r="A9822" s="10" t="s">
        <v>33</v>
      </c>
      <c r="B9822" s="10"/>
      <c r="C9822" s="10" t="s">
        <v>33</v>
      </c>
      <c r="D9822" s="10" t="s">
        <v>424</v>
      </c>
      <c r="E9822" s="14">
        <v>2.0</v>
      </c>
      <c r="F9822" s="15">
        <f>ROUND(1559.02,3)</f>
        <v>1559.02</v>
      </c>
      <c r="G9822" s="12">
        <f>ROUND((E9822*F9822)/100,2)</f>
        <v>31.18</v>
      </c>
    </row>
    <row r="9823" ht="15.0" customHeight="1">
      <c r="A9823" s="16"/>
      <c r="B9823" s="16"/>
      <c r="C9823" s="16"/>
      <c r="D9823" s="17" t="s">
        <v>4447</v>
      </c>
      <c r="E9823" s="16"/>
      <c r="F9823" s="18">
        <f>ROUND((G9767+G9775+G9785+G9790+G9795+G9801+G9808+G9816+G9817+G9822)*(1+G2/100),2)</f>
        <v>1590.2</v>
      </c>
      <c r="G9823" s="16"/>
    </row>
    <row r="9824" ht="15.0" customHeight="1">
      <c r="A9824" s="19" t="s">
        <v>4470</v>
      </c>
      <c r="B9824" s="20" t="s">
        <v>18</v>
      </c>
      <c r="C9824" s="20" t="s">
        <v>251</v>
      </c>
      <c r="D9824" s="20" t="s">
        <v>4471</v>
      </c>
      <c r="E9824" s="21"/>
      <c r="F9824" s="22">
        <f>F9834</f>
        <v>10.01</v>
      </c>
      <c r="G9824" s="21"/>
    </row>
    <row r="9825" ht="21.0" customHeight="1">
      <c r="A9825" s="11"/>
      <c r="B9825" s="11"/>
      <c r="C9825" s="11"/>
      <c r="D9825" s="10" t="s">
        <v>4472</v>
      </c>
    </row>
    <row r="9826" ht="30.0" customHeight="1">
      <c r="A9826" s="10" t="s">
        <v>3710</v>
      </c>
      <c r="B9826" s="10" t="s">
        <v>42</v>
      </c>
      <c r="C9826" s="10" t="s">
        <v>351</v>
      </c>
      <c r="D9826" s="10" t="s">
        <v>3711</v>
      </c>
      <c r="E9826" s="14">
        <v>1.0</v>
      </c>
      <c r="F9826" s="15">
        <f>ROUND(0.3,3)</f>
        <v>0.3</v>
      </c>
      <c r="G9826" s="12">
        <f t="shared" ref="G9826:G9832" si="1471">ROUND(E9826*F9826,2)</f>
        <v>0.3</v>
      </c>
    </row>
    <row r="9827" ht="30.0" customHeight="1">
      <c r="A9827" s="10" t="s">
        <v>1382</v>
      </c>
      <c r="B9827" s="10" t="s">
        <v>42</v>
      </c>
      <c r="C9827" s="10" t="s">
        <v>184</v>
      </c>
      <c r="D9827" s="10" t="s">
        <v>1383</v>
      </c>
      <c r="E9827" s="14">
        <v>2.0</v>
      </c>
      <c r="F9827" s="15">
        <f>ROUND(1.47,3)</f>
        <v>1.47</v>
      </c>
      <c r="G9827" s="12">
        <f t="shared" si="1471"/>
        <v>2.94</v>
      </c>
    </row>
    <row r="9828" ht="21.0" customHeight="1">
      <c r="A9828" s="10" t="s">
        <v>22</v>
      </c>
      <c r="B9828" s="10" t="s">
        <v>18</v>
      </c>
      <c r="C9828" s="10" t="s">
        <v>23</v>
      </c>
      <c r="D9828" s="10" t="s">
        <v>24</v>
      </c>
      <c r="E9828" s="14">
        <v>0.15</v>
      </c>
      <c r="F9828" s="15">
        <f>F9832</f>
        <v>43.8</v>
      </c>
      <c r="G9828" s="12">
        <f t="shared" si="1471"/>
        <v>6.57</v>
      </c>
    </row>
    <row r="9829" ht="24.0" customHeight="1">
      <c r="A9829" s="10" t="s">
        <v>25</v>
      </c>
      <c r="B9829" s="10" t="s">
        <v>26</v>
      </c>
      <c r="C9829" s="10" t="s">
        <v>23</v>
      </c>
      <c r="D9829" s="10" t="s">
        <v>27</v>
      </c>
      <c r="E9829" s="14">
        <v>1.0</v>
      </c>
      <c r="F9829" s="15">
        <f>ROUND(21,3)</f>
        <v>21</v>
      </c>
      <c r="G9829" s="12">
        <f t="shared" si="1471"/>
        <v>21</v>
      </c>
    </row>
    <row r="9830" ht="24.0" customHeight="1">
      <c r="A9830" s="10" t="s">
        <v>28</v>
      </c>
      <c r="B9830" s="10" t="s">
        <v>26</v>
      </c>
      <c r="C9830" s="10" t="s">
        <v>23</v>
      </c>
      <c r="D9830" s="10" t="s">
        <v>29</v>
      </c>
      <c r="E9830" s="14">
        <v>1.0</v>
      </c>
      <c r="F9830" s="15">
        <f t="shared" ref="F9830:F9831" si="1472">ROUND(19,3)</f>
        <v>19</v>
      </c>
      <c r="G9830" s="12">
        <f t="shared" si="1471"/>
        <v>19</v>
      </c>
    </row>
    <row r="9831" ht="24.0" customHeight="1">
      <c r="A9831" s="10" t="s">
        <v>30</v>
      </c>
      <c r="B9831" s="10" t="s">
        <v>26</v>
      </c>
      <c r="C9831" s="10" t="s">
        <v>23</v>
      </c>
      <c r="D9831" s="10" t="s">
        <v>31</v>
      </c>
      <c r="E9831" s="14">
        <v>0.2</v>
      </c>
      <c r="F9831" s="15">
        <f t="shared" si="1472"/>
        <v>19</v>
      </c>
      <c r="G9831" s="12">
        <f t="shared" si="1471"/>
        <v>3.8</v>
      </c>
    </row>
    <row r="9832" ht="15.0" customHeight="1">
      <c r="A9832" s="11"/>
      <c r="B9832" s="11"/>
      <c r="C9832" s="11"/>
      <c r="D9832" s="10" t="s">
        <v>22</v>
      </c>
      <c r="E9832" s="14">
        <v>0.15</v>
      </c>
      <c r="F9832" s="15">
        <f>ROUND((G9829+G9830+G9831),3)</f>
        <v>43.8</v>
      </c>
      <c r="G9832" s="12">
        <f t="shared" si="1471"/>
        <v>6.57</v>
      </c>
    </row>
    <row r="9833" ht="15.0" customHeight="1">
      <c r="A9833" s="10" t="s">
        <v>32</v>
      </c>
      <c r="B9833" s="10"/>
      <c r="C9833" s="10" t="s">
        <v>33</v>
      </c>
      <c r="D9833" s="10" t="s">
        <v>34</v>
      </c>
      <c r="E9833" s="14">
        <v>3.0</v>
      </c>
      <c r="F9833" s="15">
        <f>ROUND(6.57,3)</f>
        <v>6.57</v>
      </c>
      <c r="G9833" s="12">
        <f>ROUND((E9833*F9833)/100,2)</f>
        <v>0.2</v>
      </c>
    </row>
    <row r="9834" ht="15.0" customHeight="1">
      <c r="A9834" s="16"/>
      <c r="B9834" s="16"/>
      <c r="C9834" s="16"/>
      <c r="D9834" s="17" t="s">
        <v>4470</v>
      </c>
      <c r="E9834" s="16"/>
      <c r="F9834" s="18">
        <f>ROUND((G9826+G9827+G9828+G9833)*(1+G2/100),2)</f>
        <v>10.01</v>
      </c>
      <c r="G9834" s="16"/>
    </row>
    <row r="9835" ht="39.75" customHeight="1">
      <c r="A9835" s="19" t="s">
        <v>4473</v>
      </c>
      <c r="B9835" s="20" t="s">
        <v>18</v>
      </c>
      <c r="C9835" s="20" t="s">
        <v>251</v>
      </c>
      <c r="D9835" s="20" t="s">
        <v>4474</v>
      </c>
      <c r="E9835" s="21"/>
      <c r="F9835" s="22">
        <f>F9848</f>
        <v>27.3</v>
      </c>
      <c r="G9835" s="21"/>
    </row>
    <row r="9836" ht="21.0" customHeight="1">
      <c r="A9836" s="11"/>
      <c r="B9836" s="11"/>
      <c r="C9836" s="11"/>
      <c r="D9836" s="10" t="s">
        <v>4475</v>
      </c>
    </row>
    <row r="9837" ht="30.0" customHeight="1">
      <c r="A9837" s="10" t="s">
        <v>4476</v>
      </c>
      <c r="B9837" s="10" t="s">
        <v>42</v>
      </c>
      <c r="C9837" s="10" t="s">
        <v>344</v>
      </c>
      <c r="D9837" s="10" t="s">
        <v>4477</v>
      </c>
      <c r="E9837" s="14">
        <v>3.0</v>
      </c>
      <c r="F9837" s="15">
        <f>ROUND(0.33,3)</f>
        <v>0.33</v>
      </c>
      <c r="G9837" s="12">
        <f t="shared" ref="G9837:G9846" si="1473">ROUND(E9837*F9837,2)</f>
        <v>0.99</v>
      </c>
    </row>
    <row r="9838" ht="39.75" customHeight="1">
      <c r="A9838" s="10" t="s">
        <v>4116</v>
      </c>
      <c r="B9838" s="10" t="s">
        <v>42</v>
      </c>
      <c r="C9838" s="10" t="s">
        <v>1939</v>
      </c>
      <c r="D9838" s="10" t="s">
        <v>4117</v>
      </c>
      <c r="E9838" s="14">
        <v>0.021</v>
      </c>
      <c r="F9838" s="15">
        <f>ROUND(44.84,3)</f>
        <v>44.84</v>
      </c>
      <c r="G9838" s="12">
        <f t="shared" si="1473"/>
        <v>0.94</v>
      </c>
    </row>
    <row r="9839" ht="39.75" customHeight="1">
      <c r="A9839" s="10" t="s">
        <v>2640</v>
      </c>
      <c r="B9839" s="10" t="s">
        <v>42</v>
      </c>
      <c r="C9839" s="10" t="s">
        <v>184</v>
      </c>
      <c r="D9839" s="10" t="s">
        <v>2641</v>
      </c>
      <c r="E9839" s="14">
        <v>0.24</v>
      </c>
      <c r="F9839" s="15">
        <f>ROUND(2.6,3)</f>
        <v>2.6</v>
      </c>
      <c r="G9839" s="12">
        <f t="shared" si="1473"/>
        <v>0.62</v>
      </c>
    </row>
    <row r="9840" ht="48.75" customHeight="1">
      <c r="A9840" s="10" t="s">
        <v>4478</v>
      </c>
      <c r="B9840" s="10" t="s">
        <v>42</v>
      </c>
      <c r="C9840" s="10" t="s">
        <v>184</v>
      </c>
      <c r="D9840" s="10" t="s">
        <v>4479</v>
      </c>
      <c r="E9840" s="14">
        <v>0.9</v>
      </c>
      <c r="F9840" s="15">
        <f>ROUND(5.7,3)</f>
        <v>5.7</v>
      </c>
      <c r="G9840" s="12">
        <f t="shared" si="1473"/>
        <v>5.13</v>
      </c>
    </row>
    <row r="9841" ht="30.0" customHeight="1">
      <c r="A9841" s="10" t="s">
        <v>1787</v>
      </c>
      <c r="B9841" s="10" t="s">
        <v>42</v>
      </c>
      <c r="C9841" s="10" t="s">
        <v>226</v>
      </c>
      <c r="D9841" s="10" t="s">
        <v>1788</v>
      </c>
      <c r="E9841" s="14">
        <v>0.022</v>
      </c>
      <c r="F9841" s="15">
        <f>ROUND(30.51,3)</f>
        <v>30.51</v>
      </c>
      <c r="G9841" s="12">
        <f t="shared" si="1473"/>
        <v>0.67</v>
      </c>
    </row>
    <row r="9842" ht="21.0" customHeight="1">
      <c r="A9842" s="10" t="s">
        <v>22</v>
      </c>
      <c r="B9842" s="10" t="s">
        <v>18</v>
      </c>
      <c r="C9842" s="10" t="s">
        <v>23</v>
      </c>
      <c r="D9842" s="10" t="s">
        <v>24</v>
      </c>
      <c r="E9842" s="14">
        <v>0.42</v>
      </c>
      <c r="F9842" s="15">
        <f>F9846</f>
        <v>43.8</v>
      </c>
      <c r="G9842" s="12">
        <f t="shared" si="1473"/>
        <v>18.4</v>
      </c>
    </row>
    <row r="9843" ht="24.0" customHeight="1">
      <c r="A9843" s="10" t="s">
        <v>25</v>
      </c>
      <c r="B9843" s="10" t="s">
        <v>26</v>
      </c>
      <c r="C9843" s="10" t="s">
        <v>23</v>
      </c>
      <c r="D9843" s="10" t="s">
        <v>27</v>
      </c>
      <c r="E9843" s="14">
        <v>1.0</v>
      </c>
      <c r="F9843" s="15">
        <f>ROUND(21,3)</f>
        <v>21</v>
      </c>
      <c r="G9843" s="12">
        <f t="shared" si="1473"/>
        <v>21</v>
      </c>
    </row>
    <row r="9844" ht="24.0" customHeight="1">
      <c r="A9844" s="10" t="s">
        <v>28</v>
      </c>
      <c r="B9844" s="10" t="s">
        <v>26</v>
      </c>
      <c r="C9844" s="10" t="s">
        <v>23</v>
      </c>
      <c r="D9844" s="10" t="s">
        <v>29</v>
      </c>
      <c r="E9844" s="14">
        <v>1.0</v>
      </c>
      <c r="F9844" s="15">
        <f t="shared" ref="F9844:F9845" si="1474">ROUND(19,3)</f>
        <v>19</v>
      </c>
      <c r="G9844" s="12">
        <f t="shared" si="1473"/>
        <v>19</v>
      </c>
    </row>
    <row r="9845" ht="24.0" customHeight="1">
      <c r="A9845" s="10" t="s">
        <v>30</v>
      </c>
      <c r="B9845" s="10" t="s">
        <v>26</v>
      </c>
      <c r="C9845" s="10" t="s">
        <v>23</v>
      </c>
      <c r="D9845" s="10" t="s">
        <v>31</v>
      </c>
      <c r="E9845" s="14">
        <v>0.2</v>
      </c>
      <c r="F9845" s="15">
        <f t="shared" si="1474"/>
        <v>19</v>
      </c>
      <c r="G9845" s="12">
        <f t="shared" si="1473"/>
        <v>3.8</v>
      </c>
    </row>
    <row r="9846" ht="15.0" customHeight="1">
      <c r="A9846" s="11"/>
      <c r="B9846" s="11"/>
      <c r="C9846" s="11"/>
      <c r="D9846" s="10" t="s">
        <v>22</v>
      </c>
      <c r="E9846" s="14">
        <v>0.42</v>
      </c>
      <c r="F9846" s="15">
        <f>ROUND((G9843+G9844+G9845),3)</f>
        <v>43.8</v>
      </c>
      <c r="G9846" s="12">
        <f t="shared" si="1473"/>
        <v>18.4</v>
      </c>
    </row>
    <row r="9847" ht="15.0" customHeight="1">
      <c r="A9847" s="10" t="s">
        <v>32</v>
      </c>
      <c r="B9847" s="10"/>
      <c r="C9847" s="10" t="s">
        <v>33</v>
      </c>
      <c r="D9847" s="10" t="s">
        <v>34</v>
      </c>
      <c r="E9847" s="14">
        <v>3.0</v>
      </c>
      <c r="F9847" s="15">
        <f>ROUND(18.4,3)</f>
        <v>18.4</v>
      </c>
      <c r="G9847" s="12">
        <f>ROUND((E9847*F9847)/100,2)</f>
        <v>0.55</v>
      </c>
    </row>
    <row r="9848" ht="15.0" customHeight="1">
      <c r="A9848" s="16"/>
      <c r="B9848" s="16"/>
      <c r="C9848" s="16"/>
      <c r="D9848" s="17" t="s">
        <v>4473</v>
      </c>
      <c r="E9848" s="16"/>
      <c r="F9848" s="18">
        <f>ROUND((G9837+G9838+G9839+G9840+G9841+G9842+G9847)*(1+G2/100),2)</f>
        <v>27.3</v>
      </c>
      <c r="G9848" s="16"/>
    </row>
    <row r="9849" ht="21.0" customHeight="1">
      <c r="A9849" s="19" t="s">
        <v>4480</v>
      </c>
      <c r="B9849" s="20" t="s">
        <v>18</v>
      </c>
      <c r="C9849" s="20" t="s">
        <v>295</v>
      </c>
      <c r="D9849" s="20" t="s">
        <v>4481</v>
      </c>
      <c r="E9849" s="21"/>
      <c r="F9849" s="22">
        <f>F9858</f>
        <v>24.28</v>
      </c>
      <c r="G9849" s="21"/>
    </row>
    <row r="9850" ht="48.75" customHeight="1">
      <c r="A9850" s="11"/>
      <c r="B9850" s="11"/>
      <c r="C9850" s="11"/>
      <c r="D9850" s="10" t="s">
        <v>4482</v>
      </c>
    </row>
    <row r="9851" ht="21.0" customHeight="1">
      <c r="A9851" s="10" t="s">
        <v>4483</v>
      </c>
      <c r="B9851" s="10" t="s">
        <v>42</v>
      </c>
      <c r="C9851" s="10" t="s">
        <v>304</v>
      </c>
      <c r="D9851" s="10" t="s">
        <v>4484</v>
      </c>
      <c r="E9851" s="14">
        <v>1.0</v>
      </c>
      <c r="F9851" s="15">
        <f>ROUND(11.65,3)</f>
        <v>11.65</v>
      </c>
      <c r="G9851" s="12">
        <f t="shared" ref="G9851:G9856" si="1475">ROUND(E9851*F9851,2)</f>
        <v>11.65</v>
      </c>
    </row>
    <row r="9852" ht="21.0" customHeight="1">
      <c r="A9852" s="10" t="s">
        <v>22</v>
      </c>
      <c r="B9852" s="10" t="s">
        <v>18</v>
      </c>
      <c r="C9852" s="10" t="s">
        <v>23</v>
      </c>
      <c r="D9852" s="10" t="s">
        <v>24</v>
      </c>
      <c r="E9852" s="14">
        <v>0.28</v>
      </c>
      <c r="F9852" s="15">
        <f>F9856</f>
        <v>43.8</v>
      </c>
      <c r="G9852" s="12">
        <f t="shared" si="1475"/>
        <v>12.26</v>
      </c>
    </row>
    <row r="9853" ht="24.0" customHeight="1">
      <c r="A9853" s="10" t="s">
        <v>25</v>
      </c>
      <c r="B9853" s="10" t="s">
        <v>26</v>
      </c>
      <c r="C9853" s="10" t="s">
        <v>23</v>
      </c>
      <c r="D9853" s="10" t="s">
        <v>27</v>
      </c>
      <c r="E9853" s="14">
        <v>1.0</v>
      </c>
      <c r="F9853" s="15">
        <f>ROUND(21,3)</f>
        <v>21</v>
      </c>
      <c r="G9853" s="12">
        <f t="shared" si="1475"/>
        <v>21</v>
      </c>
    </row>
    <row r="9854" ht="24.0" customHeight="1">
      <c r="A9854" s="10" t="s">
        <v>28</v>
      </c>
      <c r="B9854" s="10" t="s">
        <v>26</v>
      </c>
      <c r="C9854" s="10" t="s">
        <v>23</v>
      </c>
      <c r="D9854" s="10" t="s">
        <v>29</v>
      </c>
      <c r="E9854" s="14">
        <v>1.0</v>
      </c>
      <c r="F9854" s="15">
        <f t="shared" ref="F9854:F9855" si="1476">ROUND(19,3)</f>
        <v>19</v>
      </c>
      <c r="G9854" s="12">
        <f t="shared" si="1475"/>
        <v>19</v>
      </c>
    </row>
    <row r="9855" ht="24.0" customHeight="1">
      <c r="A9855" s="10" t="s">
        <v>30</v>
      </c>
      <c r="B9855" s="10" t="s">
        <v>26</v>
      </c>
      <c r="C9855" s="10" t="s">
        <v>23</v>
      </c>
      <c r="D9855" s="10" t="s">
        <v>31</v>
      </c>
      <c r="E9855" s="14">
        <v>0.2</v>
      </c>
      <c r="F9855" s="15">
        <f t="shared" si="1476"/>
        <v>19</v>
      </c>
      <c r="G9855" s="12">
        <f t="shared" si="1475"/>
        <v>3.8</v>
      </c>
    </row>
    <row r="9856" ht="15.0" customHeight="1">
      <c r="A9856" s="11"/>
      <c r="B9856" s="11"/>
      <c r="C9856" s="11"/>
      <c r="D9856" s="10" t="s">
        <v>22</v>
      </c>
      <c r="E9856" s="14">
        <v>0.28</v>
      </c>
      <c r="F9856" s="15">
        <f>ROUND((G9853+G9854+G9855),3)</f>
        <v>43.8</v>
      </c>
      <c r="G9856" s="12">
        <f t="shared" si="1475"/>
        <v>12.26</v>
      </c>
    </row>
    <row r="9857" ht="15.0" customHeight="1">
      <c r="A9857" s="10" t="s">
        <v>32</v>
      </c>
      <c r="B9857" s="10"/>
      <c r="C9857" s="10" t="s">
        <v>33</v>
      </c>
      <c r="D9857" s="10" t="s">
        <v>34</v>
      </c>
      <c r="E9857" s="14">
        <v>3.0</v>
      </c>
      <c r="F9857" s="15">
        <f>ROUND(12.26,3)</f>
        <v>12.26</v>
      </c>
      <c r="G9857" s="12">
        <f>ROUND((E9857*F9857)/100,2)</f>
        <v>0.37</v>
      </c>
    </row>
    <row r="9858" ht="15.0" customHeight="1">
      <c r="A9858" s="16"/>
      <c r="B9858" s="16"/>
      <c r="C9858" s="16"/>
      <c r="D9858" s="17" t="s">
        <v>4480</v>
      </c>
      <c r="E9858" s="16"/>
      <c r="F9858" s="18">
        <f>ROUND((G9851+G9852+G9857)*(1+G2/100),2)</f>
        <v>24.28</v>
      </c>
      <c r="G9858" s="16"/>
    </row>
    <row r="9859" ht="21.0" customHeight="1">
      <c r="A9859" s="19" t="s">
        <v>4452</v>
      </c>
      <c r="B9859" s="20" t="s">
        <v>18</v>
      </c>
      <c r="C9859" s="20" t="s">
        <v>321</v>
      </c>
      <c r="D9859" s="20" t="s">
        <v>4453</v>
      </c>
      <c r="E9859" s="21"/>
      <c r="F9859" s="22">
        <f>F9868</f>
        <v>7.55</v>
      </c>
      <c r="G9859" s="21"/>
    </row>
    <row r="9860" ht="12.0" customHeight="1">
      <c r="A9860" s="11"/>
      <c r="B9860" s="11"/>
      <c r="C9860" s="11"/>
      <c r="D9860" s="10" t="s">
        <v>4485</v>
      </c>
    </row>
    <row r="9861" ht="21.0" customHeight="1">
      <c r="A9861" s="10" t="s">
        <v>4454</v>
      </c>
      <c r="B9861" s="10" t="s">
        <v>42</v>
      </c>
      <c r="C9861" s="10" t="s">
        <v>304</v>
      </c>
      <c r="D9861" s="10" t="s">
        <v>4455</v>
      </c>
      <c r="E9861" s="14">
        <v>0.092</v>
      </c>
      <c r="F9861" s="15">
        <f>ROUND(24.75,3)</f>
        <v>24.75</v>
      </c>
      <c r="G9861" s="12">
        <f t="shared" ref="G9861:G9866" si="1477">ROUND(E9861*F9861,2)</f>
        <v>2.28</v>
      </c>
    </row>
    <row r="9862" ht="21.0" customHeight="1">
      <c r="A9862" s="10" t="s">
        <v>22</v>
      </c>
      <c r="B9862" s="10" t="s">
        <v>18</v>
      </c>
      <c r="C9862" s="10" t="s">
        <v>23</v>
      </c>
      <c r="D9862" s="10" t="s">
        <v>24</v>
      </c>
      <c r="E9862" s="14">
        <v>0.117</v>
      </c>
      <c r="F9862" s="15">
        <f>F9866</f>
        <v>43.8</v>
      </c>
      <c r="G9862" s="12">
        <f t="shared" si="1477"/>
        <v>5.12</v>
      </c>
    </row>
    <row r="9863" ht="24.0" customHeight="1">
      <c r="A9863" s="10" t="s">
        <v>25</v>
      </c>
      <c r="B9863" s="10" t="s">
        <v>26</v>
      </c>
      <c r="C9863" s="10" t="s">
        <v>23</v>
      </c>
      <c r="D9863" s="10" t="s">
        <v>27</v>
      </c>
      <c r="E9863" s="14">
        <v>1.0</v>
      </c>
      <c r="F9863" s="15">
        <f>ROUND(21,3)</f>
        <v>21</v>
      </c>
      <c r="G9863" s="12">
        <f t="shared" si="1477"/>
        <v>21</v>
      </c>
    </row>
    <row r="9864" ht="24.0" customHeight="1">
      <c r="A9864" s="10" t="s">
        <v>28</v>
      </c>
      <c r="B9864" s="10" t="s">
        <v>26</v>
      </c>
      <c r="C9864" s="10" t="s">
        <v>23</v>
      </c>
      <c r="D9864" s="10" t="s">
        <v>29</v>
      </c>
      <c r="E9864" s="14">
        <v>1.0</v>
      </c>
      <c r="F9864" s="15">
        <f t="shared" ref="F9864:F9865" si="1478">ROUND(19,3)</f>
        <v>19</v>
      </c>
      <c r="G9864" s="12">
        <f t="shared" si="1477"/>
        <v>19</v>
      </c>
    </row>
    <row r="9865" ht="24.0" customHeight="1">
      <c r="A9865" s="10" t="s">
        <v>30</v>
      </c>
      <c r="B9865" s="10" t="s">
        <v>26</v>
      </c>
      <c r="C9865" s="10" t="s">
        <v>23</v>
      </c>
      <c r="D9865" s="10" t="s">
        <v>31</v>
      </c>
      <c r="E9865" s="14">
        <v>0.2</v>
      </c>
      <c r="F9865" s="15">
        <f t="shared" si="1478"/>
        <v>19</v>
      </c>
      <c r="G9865" s="12">
        <f t="shared" si="1477"/>
        <v>3.8</v>
      </c>
    </row>
    <row r="9866" ht="15.0" customHeight="1">
      <c r="A9866" s="11"/>
      <c r="B9866" s="11"/>
      <c r="C9866" s="11"/>
      <c r="D9866" s="10" t="s">
        <v>22</v>
      </c>
      <c r="E9866" s="14">
        <v>0.117</v>
      </c>
      <c r="F9866" s="15">
        <f>ROUND((G9863+G9864+G9865),3)</f>
        <v>43.8</v>
      </c>
      <c r="G9866" s="12">
        <f t="shared" si="1477"/>
        <v>5.12</v>
      </c>
    </row>
    <row r="9867" ht="15.0" customHeight="1">
      <c r="A9867" s="10" t="s">
        <v>32</v>
      </c>
      <c r="B9867" s="10"/>
      <c r="C9867" s="10" t="s">
        <v>33</v>
      </c>
      <c r="D9867" s="10" t="s">
        <v>34</v>
      </c>
      <c r="E9867" s="14">
        <v>3.0</v>
      </c>
      <c r="F9867" s="15">
        <f>ROUND(5.12,3)</f>
        <v>5.12</v>
      </c>
      <c r="G9867" s="12">
        <f>ROUND((E9867*F9867)/100,2)</f>
        <v>0.15</v>
      </c>
    </row>
    <row r="9868" ht="15.0" customHeight="1">
      <c r="A9868" s="16"/>
      <c r="B9868" s="16"/>
      <c r="C9868" s="16"/>
      <c r="D9868" s="17" t="s">
        <v>4452</v>
      </c>
      <c r="E9868" s="16"/>
      <c r="F9868" s="18">
        <f>ROUND((G9861+G9862+G9867)*(1+G2/100),2)</f>
        <v>7.55</v>
      </c>
      <c r="G9868" s="16"/>
    </row>
    <row r="9869" ht="21.0" customHeight="1">
      <c r="A9869" s="19" t="s">
        <v>4486</v>
      </c>
      <c r="B9869" s="20" t="s">
        <v>18</v>
      </c>
      <c r="C9869" s="20" t="s">
        <v>295</v>
      </c>
      <c r="D9869" s="20" t="s">
        <v>4487</v>
      </c>
      <c r="E9869" s="21"/>
      <c r="F9869" s="22">
        <f>F9880</f>
        <v>132.73</v>
      </c>
      <c r="G9869" s="21"/>
    </row>
    <row r="9870" ht="39.75" customHeight="1">
      <c r="A9870" s="11"/>
      <c r="B9870" s="11"/>
      <c r="C9870" s="11"/>
      <c r="D9870" s="10" t="s">
        <v>2933</v>
      </c>
    </row>
    <row r="9871" ht="39.75" customHeight="1">
      <c r="A9871" s="10" t="s">
        <v>2934</v>
      </c>
      <c r="B9871" s="10" t="s">
        <v>42</v>
      </c>
      <c r="C9871" s="10" t="s">
        <v>344</v>
      </c>
      <c r="D9871" s="10" t="s">
        <v>2935</v>
      </c>
      <c r="E9871" s="14">
        <v>1.0</v>
      </c>
      <c r="F9871" s="15">
        <f>ROUND(119.53,3)</f>
        <v>119.53</v>
      </c>
      <c r="G9871" s="12">
        <f t="shared" ref="G9871:G9878" si="1479">ROUND(E9871*F9871,2)</f>
        <v>119.53</v>
      </c>
    </row>
    <row r="9872" ht="39.75" customHeight="1">
      <c r="A9872" s="10" t="s">
        <v>2936</v>
      </c>
      <c r="B9872" s="10" t="s">
        <v>42</v>
      </c>
      <c r="C9872" s="10" t="s">
        <v>43</v>
      </c>
      <c r="D9872" s="10" t="s">
        <v>2937</v>
      </c>
      <c r="E9872" s="14">
        <v>0.05</v>
      </c>
      <c r="F9872" s="15">
        <f>ROUND(31.41,3)</f>
        <v>31.41</v>
      </c>
      <c r="G9872" s="12">
        <f t="shared" si="1479"/>
        <v>1.57</v>
      </c>
    </row>
    <row r="9873" ht="21.0" customHeight="1">
      <c r="A9873" s="10" t="s">
        <v>2585</v>
      </c>
      <c r="B9873" s="10" t="s">
        <v>42</v>
      </c>
      <c r="C9873" s="10" t="s">
        <v>304</v>
      </c>
      <c r="D9873" s="10" t="s">
        <v>2586</v>
      </c>
      <c r="E9873" s="14">
        <v>0.2</v>
      </c>
      <c r="F9873" s="15">
        <f>ROUND(8.5,3)</f>
        <v>8.5</v>
      </c>
      <c r="G9873" s="12">
        <f t="shared" si="1479"/>
        <v>1.7</v>
      </c>
    </row>
    <row r="9874" ht="21.0" customHeight="1">
      <c r="A9874" s="10" t="s">
        <v>22</v>
      </c>
      <c r="B9874" s="10" t="s">
        <v>18</v>
      </c>
      <c r="C9874" s="10" t="s">
        <v>23</v>
      </c>
      <c r="D9874" s="10" t="s">
        <v>24</v>
      </c>
      <c r="E9874" s="14">
        <v>0.22</v>
      </c>
      <c r="F9874" s="15">
        <f>F9878</f>
        <v>43.8</v>
      </c>
      <c r="G9874" s="12">
        <f t="shared" si="1479"/>
        <v>9.64</v>
      </c>
    </row>
    <row r="9875" ht="24.0" customHeight="1">
      <c r="A9875" s="10" t="s">
        <v>25</v>
      </c>
      <c r="B9875" s="10" t="s">
        <v>26</v>
      </c>
      <c r="C9875" s="10" t="s">
        <v>23</v>
      </c>
      <c r="D9875" s="10" t="s">
        <v>27</v>
      </c>
      <c r="E9875" s="14">
        <v>1.0</v>
      </c>
      <c r="F9875" s="15">
        <f>ROUND(21,3)</f>
        <v>21</v>
      </c>
      <c r="G9875" s="12">
        <f t="shared" si="1479"/>
        <v>21</v>
      </c>
    </row>
    <row r="9876" ht="24.0" customHeight="1">
      <c r="A9876" s="10" t="s">
        <v>28</v>
      </c>
      <c r="B9876" s="10" t="s">
        <v>26</v>
      </c>
      <c r="C9876" s="10" t="s">
        <v>23</v>
      </c>
      <c r="D9876" s="10" t="s">
        <v>29</v>
      </c>
      <c r="E9876" s="14">
        <v>1.0</v>
      </c>
      <c r="F9876" s="15">
        <f t="shared" ref="F9876:F9877" si="1480">ROUND(19,3)</f>
        <v>19</v>
      </c>
      <c r="G9876" s="12">
        <f t="shared" si="1479"/>
        <v>19</v>
      </c>
    </row>
    <row r="9877" ht="24.0" customHeight="1">
      <c r="A9877" s="10" t="s">
        <v>30</v>
      </c>
      <c r="B9877" s="10" t="s">
        <v>26</v>
      </c>
      <c r="C9877" s="10" t="s">
        <v>23</v>
      </c>
      <c r="D9877" s="10" t="s">
        <v>31</v>
      </c>
      <c r="E9877" s="14">
        <v>0.2</v>
      </c>
      <c r="F9877" s="15">
        <f t="shared" si="1480"/>
        <v>19</v>
      </c>
      <c r="G9877" s="12">
        <f t="shared" si="1479"/>
        <v>3.8</v>
      </c>
    </row>
    <row r="9878" ht="15.0" customHeight="1">
      <c r="A9878" s="11"/>
      <c r="B9878" s="11"/>
      <c r="C9878" s="11"/>
      <c r="D9878" s="10" t="s">
        <v>22</v>
      </c>
      <c r="E9878" s="14">
        <v>0.22</v>
      </c>
      <c r="F9878" s="15">
        <f>ROUND((G9875+G9876+G9877),3)</f>
        <v>43.8</v>
      </c>
      <c r="G9878" s="12">
        <f t="shared" si="1479"/>
        <v>9.64</v>
      </c>
    </row>
    <row r="9879" ht="15.0" customHeight="1">
      <c r="A9879" s="10" t="s">
        <v>32</v>
      </c>
      <c r="B9879" s="10"/>
      <c r="C9879" s="10" t="s">
        <v>33</v>
      </c>
      <c r="D9879" s="10" t="s">
        <v>34</v>
      </c>
      <c r="E9879" s="14">
        <v>3.0</v>
      </c>
      <c r="F9879" s="15">
        <f>ROUND(9.64,3)</f>
        <v>9.64</v>
      </c>
      <c r="G9879" s="12">
        <f>ROUND((E9879*F9879)/100,2)</f>
        <v>0.29</v>
      </c>
    </row>
    <row r="9880" ht="15.0" customHeight="1">
      <c r="A9880" s="16"/>
      <c r="B9880" s="16"/>
      <c r="C9880" s="16"/>
      <c r="D9880" s="17" t="s">
        <v>4486</v>
      </c>
      <c r="E9880" s="16"/>
      <c r="F9880" s="18">
        <f>ROUND((G9871+G9872+G9873+G9874+G9879)*(1+G2/100),2)</f>
        <v>132.73</v>
      </c>
      <c r="G9880" s="16"/>
    </row>
    <row r="9881" ht="15.0" customHeight="1">
      <c r="A9881" s="19" t="s">
        <v>4488</v>
      </c>
      <c r="B9881" s="20" t="s">
        <v>18</v>
      </c>
      <c r="C9881" s="20" t="s">
        <v>321</v>
      </c>
      <c r="D9881" s="20" t="s">
        <v>4489</v>
      </c>
      <c r="E9881" s="21"/>
      <c r="F9881" s="22">
        <f>F9891</f>
        <v>15.16</v>
      </c>
      <c r="G9881" s="21"/>
    </row>
    <row r="9882" ht="30.0" customHeight="1">
      <c r="A9882" s="11"/>
      <c r="B9882" s="11"/>
      <c r="C9882" s="11"/>
      <c r="D9882" s="10" t="s">
        <v>4490</v>
      </c>
    </row>
    <row r="9883" ht="30.0" customHeight="1">
      <c r="A9883" s="10" t="s">
        <v>3047</v>
      </c>
      <c r="B9883" s="10" t="s">
        <v>42</v>
      </c>
      <c r="C9883" s="10" t="s">
        <v>344</v>
      </c>
      <c r="D9883" s="10" t="s">
        <v>3048</v>
      </c>
      <c r="E9883" s="14">
        <v>2.0</v>
      </c>
      <c r="F9883" s="15">
        <f>ROUND(3.41,3)</f>
        <v>3.41</v>
      </c>
      <c r="G9883" s="12">
        <f t="shared" ref="G9883:G9889" si="1481">ROUND(E9883*F9883,2)</f>
        <v>6.82</v>
      </c>
    </row>
    <row r="9884" ht="21.0" customHeight="1">
      <c r="A9884" s="10" t="s">
        <v>2585</v>
      </c>
      <c r="B9884" s="10" t="s">
        <v>42</v>
      </c>
      <c r="C9884" s="10" t="s">
        <v>304</v>
      </c>
      <c r="D9884" s="10" t="s">
        <v>2586</v>
      </c>
      <c r="E9884" s="14">
        <v>0.1</v>
      </c>
      <c r="F9884" s="15">
        <f>ROUND(8.5,3)</f>
        <v>8.5</v>
      </c>
      <c r="G9884" s="12">
        <f t="shared" si="1481"/>
        <v>0.85</v>
      </c>
    </row>
    <row r="9885" ht="21.0" customHeight="1">
      <c r="A9885" s="10" t="s">
        <v>22</v>
      </c>
      <c r="B9885" s="10" t="s">
        <v>18</v>
      </c>
      <c r="C9885" s="10" t="s">
        <v>23</v>
      </c>
      <c r="D9885" s="10" t="s">
        <v>24</v>
      </c>
      <c r="E9885" s="14">
        <v>0.166</v>
      </c>
      <c r="F9885" s="15">
        <f>F9889</f>
        <v>43.8</v>
      </c>
      <c r="G9885" s="12">
        <f t="shared" si="1481"/>
        <v>7.27</v>
      </c>
    </row>
    <row r="9886" ht="24.0" customHeight="1">
      <c r="A9886" s="10" t="s">
        <v>25</v>
      </c>
      <c r="B9886" s="10" t="s">
        <v>26</v>
      </c>
      <c r="C9886" s="10" t="s">
        <v>23</v>
      </c>
      <c r="D9886" s="10" t="s">
        <v>27</v>
      </c>
      <c r="E9886" s="14">
        <v>1.0</v>
      </c>
      <c r="F9886" s="15">
        <f>ROUND(21,3)</f>
        <v>21</v>
      </c>
      <c r="G9886" s="12">
        <f t="shared" si="1481"/>
        <v>21</v>
      </c>
    </row>
    <row r="9887" ht="24.0" customHeight="1">
      <c r="A9887" s="10" t="s">
        <v>28</v>
      </c>
      <c r="B9887" s="10" t="s">
        <v>26</v>
      </c>
      <c r="C9887" s="10" t="s">
        <v>23</v>
      </c>
      <c r="D9887" s="10" t="s">
        <v>29</v>
      </c>
      <c r="E9887" s="14">
        <v>1.0</v>
      </c>
      <c r="F9887" s="15">
        <f t="shared" ref="F9887:F9888" si="1482">ROUND(19,3)</f>
        <v>19</v>
      </c>
      <c r="G9887" s="12">
        <f t="shared" si="1481"/>
        <v>19</v>
      </c>
    </row>
    <row r="9888" ht="24.0" customHeight="1">
      <c r="A9888" s="10" t="s">
        <v>30</v>
      </c>
      <c r="B9888" s="10" t="s">
        <v>26</v>
      </c>
      <c r="C9888" s="10" t="s">
        <v>23</v>
      </c>
      <c r="D9888" s="10" t="s">
        <v>31</v>
      </c>
      <c r="E9888" s="14">
        <v>0.2</v>
      </c>
      <c r="F9888" s="15">
        <f t="shared" si="1482"/>
        <v>19</v>
      </c>
      <c r="G9888" s="12">
        <f t="shared" si="1481"/>
        <v>3.8</v>
      </c>
    </row>
    <row r="9889" ht="15.0" customHeight="1">
      <c r="A9889" s="11"/>
      <c r="B9889" s="11"/>
      <c r="C9889" s="11"/>
      <c r="D9889" s="10" t="s">
        <v>22</v>
      </c>
      <c r="E9889" s="14">
        <v>0.166</v>
      </c>
      <c r="F9889" s="15">
        <f>ROUND((G9886+G9887+G9888),3)</f>
        <v>43.8</v>
      </c>
      <c r="G9889" s="12">
        <f t="shared" si="1481"/>
        <v>7.27</v>
      </c>
    </row>
    <row r="9890" ht="15.0" customHeight="1">
      <c r="A9890" s="10" t="s">
        <v>32</v>
      </c>
      <c r="B9890" s="10"/>
      <c r="C9890" s="10" t="s">
        <v>33</v>
      </c>
      <c r="D9890" s="10" t="s">
        <v>34</v>
      </c>
      <c r="E9890" s="14">
        <v>3.0</v>
      </c>
      <c r="F9890" s="15">
        <f>ROUND(7.27,3)</f>
        <v>7.27</v>
      </c>
      <c r="G9890" s="12">
        <f>ROUND((E9890*F9890)/100,2)</f>
        <v>0.22</v>
      </c>
    </row>
    <row r="9891" ht="15.0" customHeight="1">
      <c r="A9891" s="16"/>
      <c r="B9891" s="16"/>
      <c r="C9891" s="16"/>
      <c r="D9891" s="17" t="s">
        <v>4488</v>
      </c>
      <c r="E9891" s="16"/>
      <c r="F9891" s="18">
        <f>ROUND((G9883+G9884+G9885+G9890)*(1+G2/100),2)</f>
        <v>15.16</v>
      </c>
      <c r="G9891" s="16"/>
    </row>
    <row r="9892" ht="21.0" customHeight="1">
      <c r="A9892" s="19" t="s">
        <v>4491</v>
      </c>
      <c r="B9892" s="20" t="s">
        <v>18</v>
      </c>
      <c r="C9892" s="20" t="s">
        <v>321</v>
      </c>
      <c r="D9892" s="20" t="s">
        <v>4492</v>
      </c>
      <c r="E9892" s="21"/>
      <c r="F9892" s="22">
        <f>F9902</f>
        <v>24.64</v>
      </c>
      <c r="G9892" s="21"/>
    </row>
    <row r="9893" ht="30.0" customHeight="1">
      <c r="A9893" s="11"/>
      <c r="B9893" s="11"/>
      <c r="C9893" s="11"/>
      <c r="D9893" s="10" t="s">
        <v>4493</v>
      </c>
    </row>
    <row r="9894" ht="30.0" customHeight="1">
      <c r="A9894" s="10" t="s">
        <v>3047</v>
      </c>
      <c r="B9894" s="10" t="s">
        <v>42</v>
      </c>
      <c r="C9894" s="10" t="s">
        <v>344</v>
      </c>
      <c r="D9894" s="10" t="s">
        <v>3048</v>
      </c>
      <c r="E9894" s="14">
        <v>2.0</v>
      </c>
      <c r="F9894" s="15">
        <f>ROUND(3.41,3)</f>
        <v>3.41</v>
      </c>
      <c r="G9894" s="12">
        <f t="shared" ref="G9894:G9900" si="1483">ROUND(E9894*F9894,2)</f>
        <v>6.82</v>
      </c>
    </row>
    <row r="9895" ht="21.0" customHeight="1">
      <c r="A9895" s="10" t="s">
        <v>2585</v>
      </c>
      <c r="B9895" s="10" t="s">
        <v>42</v>
      </c>
      <c r="C9895" s="10" t="s">
        <v>304</v>
      </c>
      <c r="D9895" s="10" t="s">
        <v>2586</v>
      </c>
      <c r="E9895" s="14">
        <v>0.1</v>
      </c>
      <c r="F9895" s="15">
        <f>ROUND(8.5,3)</f>
        <v>8.5</v>
      </c>
      <c r="G9895" s="12">
        <f t="shared" si="1483"/>
        <v>0.85</v>
      </c>
    </row>
    <row r="9896" ht="24.0" customHeight="1">
      <c r="A9896" s="10" t="s">
        <v>286</v>
      </c>
      <c r="B9896" s="10" t="s">
        <v>18</v>
      </c>
      <c r="C9896" s="10" t="s">
        <v>23</v>
      </c>
      <c r="D9896" s="10" t="s">
        <v>287</v>
      </c>
      <c r="E9896" s="14">
        <v>0.333</v>
      </c>
      <c r="F9896" s="15">
        <f>F9900</f>
        <v>49.5</v>
      </c>
      <c r="G9896" s="12">
        <f t="shared" si="1483"/>
        <v>16.48</v>
      </c>
    </row>
    <row r="9897" ht="24.0" customHeight="1">
      <c r="A9897" s="10" t="s">
        <v>288</v>
      </c>
      <c r="B9897" s="10" t="s">
        <v>26</v>
      </c>
      <c r="C9897" s="10" t="s">
        <v>23</v>
      </c>
      <c r="D9897" s="10" t="s">
        <v>289</v>
      </c>
      <c r="E9897" s="14">
        <v>1.0</v>
      </c>
      <c r="F9897" s="15">
        <f>ROUND(21,3)</f>
        <v>21</v>
      </c>
      <c r="G9897" s="12">
        <f t="shared" si="1483"/>
        <v>21</v>
      </c>
    </row>
    <row r="9898" ht="24.0" customHeight="1">
      <c r="A9898" s="10" t="s">
        <v>290</v>
      </c>
      <c r="B9898" s="10" t="s">
        <v>26</v>
      </c>
      <c r="C9898" s="10" t="s">
        <v>23</v>
      </c>
      <c r="D9898" s="10" t="s">
        <v>291</v>
      </c>
      <c r="E9898" s="14">
        <v>1.0</v>
      </c>
      <c r="F9898" s="15">
        <f t="shared" ref="F9898:F9899" si="1484">ROUND(19,3)</f>
        <v>19</v>
      </c>
      <c r="G9898" s="12">
        <f t="shared" si="1483"/>
        <v>19</v>
      </c>
    </row>
    <row r="9899" ht="24.0" customHeight="1">
      <c r="A9899" s="10" t="s">
        <v>292</v>
      </c>
      <c r="B9899" s="10" t="s">
        <v>26</v>
      </c>
      <c r="C9899" s="10" t="s">
        <v>23</v>
      </c>
      <c r="D9899" s="10" t="s">
        <v>293</v>
      </c>
      <c r="E9899" s="14">
        <v>0.5</v>
      </c>
      <c r="F9899" s="15">
        <f t="shared" si="1484"/>
        <v>19</v>
      </c>
      <c r="G9899" s="12">
        <f t="shared" si="1483"/>
        <v>9.5</v>
      </c>
    </row>
    <row r="9900" ht="15.0" customHeight="1">
      <c r="A9900" s="11"/>
      <c r="B9900" s="11"/>
      <c r="C9900" s="11"/>
      <c r="D9900" s="10" t="s">
        <v>286</v>
      </c>
      <c r="E9900" s="14">
        <v>0.333</v>
      </c>
      <c r="F9900" s="15">
        <f>ROUND((G9897+G9898+G9899),3)</f>
        <v>49.5</v>
      </c>
      <c r="G9900" s="12">
        <f t="shared" si="1483"/>
        <v>16.48</v>
      </c>
    </row>
    <row r="9901" ht="15.0" customHeight="1">
      <c r="A9901" s="10" t="s">
        <v>32</v>
      </c>
      <c r="B9901" s="10"/>
      <c r="C9901" s="10" t="s">
        <v>33</v>
      </c>
      <c r="D9901" s="10" t="s">
        <v>34</v>
      </c>
      <c r="E9901" s="14">
        <v>3.0</v>
      </c>
      <c r="F9901" s="15">
        <f>ROUND(16.48,3)</f>
        <v>16.48</v>
      </c>
      <c r="G9901" s="12">
        <f>ROUND((E9901*F9901)/100,2)</f>
        <v>0.49</v>
      </c>
    </row>
    <row r="9902" ht="15.0" customHeight="1">
      <c r="A9902" s="16"/>
      <c r="B9902" s="16"/>
      <c r="C9902" s="16"/>
      <c r="D9902" s="17" t="s">
        <v>4491</v>
      </c>
      <c r="E9902" s="16"/>
      <c r="F9902" s="18">
        <f>ROUND((G9894+G9895+G9896+G9901)*(1+G2/100),2)</f>
        <v>24.64</v>
      </c>
      <c r="G9902" s="16"/>
    </row>
    <row r="9903" ht="15.0" customHeight="1">
      <c r="A9903" s="19" t="s">
        <v>4494</v>
      </c>
      <c r="B9903" s="20" t="s">
        <v>18</v>
      </c>
      <c r="C9903" s="20" t="s">
        <v>251</v>
      </c>
      <c r="D9903" s="20" t="s">
        <v>4495</v>
      </c>
      <c r="E9903" s="21"/>
      <c r="F9903" s="22">
        <f>F9912</f>
        <v>17.89</v>
      </c>
      <c r="G9903" s="21"/>
    </row>
    <row r="9904" ht="21.0" customHeight="1">
      <c r="A9904" s="11"/>
      <c r="B9904" s="11"/>
      <c r="C9904" s="11"/>
      <c r="D9904" s="10" t="s">
        <v>4496</v>
      </c>
    </row>
    <row r="9905" ht="30.0" customHeight="1">
      <c r="A9905" s="10" t="s">
        <v>4497</v>
      </c>
      <c r="B9905" s="10" t="s">
        <v>42</v>
      </c>
      <c r="C9905" s="10" t="s">
        <v>19</v>
      </c>
      <c r="D9905" s="10" t="s">
        <v>4498</v>
      </c>
      <c r="E9905" s="14">
        <v>0.2</v>
      </c>
      <c r="F9905" s="15">
        <f>ROUND(21.79,3)</f>
        <v>21.79</v>
      </c>
      <c r="G9905" s="12">
        <f t="shared" ref="G9905:G9910" si="1485">ROUND(E9905*F9905,2)</f>
        <v>4.36</v>
      </c>
    </row>
    <row r="9906" ht="21.0" customHeight="1">
      <c r="A9906" s="10" t="s">
        <v>22</v>
      </c>
      <c r="B9906" s="10" t="s">
        <v>18</v>
      </c>
      <c r="C9906" s="10" t="s">
        <v>23</v>
      </c>
      <c r="D9906" s="10" t="s">
        <v>24</v>
      </c>
      <c r="E9906" s="14">
        <v>0.3</v>
      </c>
      <c r="F9906" s="15">
        <f>F9910</f>
        <v>43.8</v>
      </c>
      <c r="G9906" s="12">
        <f t="shared" si="1485"/>
        <v>13.14</v>
      </c>
    </row>
    <row r="9907" ht="24.0" customHeight="1">
      <c r="A9907" s="10" t="s">
        <v>25</v>
      </c>
      <c r="B9907" s="10" t="s">
        <v>26</v>
      </c>
      <c r="C9907" s="10" t="s">
        <v>23</v>
      </c>
      <c r="D9907" s="10" t="s">
        <v>27</v>
      </c>
      <c r="E9907" s="14">
        <v>1.0</v>
      </c>
      <c r="F9907" s="15">
        <f>ROUND(21,3)</f>
        <v>21</v>
      </c>
      <c r="G9907" s="12">
        <f t="shared" si="1485"/>
        <v>21</v>
      </c>
    </row>
    <row r="9908" ht="24.0" customHeight="1">
      <c r="A9908" s="10" t="s">
        <v>28</v>
      </c>
      <c r="B9908" s="10" t="s">
        <v>26</v>
      </c>
      <c r="C9908" s="10" t="s">
        <v>23</v>
      </c>
      <c r="D9908" s="10" t="s">
        <v>29</v>
      </c>
      <c r="E9908" s="14">
        <v>1.0</v>
      </c>
      <c r="F9908" s="15">
        <f t="shared" ref="F9908:F9909" si="1486">ROUND(19,3)</f>
        <v>19</v>
      </c>
      <c r="G9908" s="12">
        <f t="shared" si="1485"/>
        <v>19</v>
      </c>
    </row>
    <row r="9909" ht="24.0" customHeight="1">
      <c r="A9909" s="10" t="s">
        <v>30</v>
      </c>
      <c r="B9909" s="10" t="s">
        <v>26</v>
      </c>
      <c r="C9909" s="10" t="s">
        <v>23</v>
      </c>
      <c r="D9909" s="10" t="s">
        <v>31</v>
      </c>
      <c r="E9909" s="14">
        <v>0.2</v>
      </c>
      <c r="F9909" s="15">
        <f t="shared" si="1486"/>
        <v>19</v>
      </c>
      <c r="G9909" s="12">
        <f t="shared" si="1485"/>
        <v>3.8</v>
      </c>
    </row>
    <row r="9910" ht="15.0" customHeight="1">
      <c r="A9910" s="11"/>
      <c r="B9910" s="11"/>
      <c r="C9910" s="11"/>
      <c r="D9910" s="10" t="s">
        <v>22</v>
      </c>
      <c r="E9910" s="14">
        <v>0.3</v>
      </c>
      <c r="F9910" s="15">
        <f>ROUND((G9907+G9908+G9909),3)</f>
        <v>43.8</v>
      </c>
      <c r="G9910" s="12">
        <f t="shared" si="1485"/>
        <v>13.14</v>
      </c>
    </row>
    <row r="9911" ht="15.0" customHeight="1">
      <c r="A9911" s="10" t="s">
        <v>32</v>
      </c>
      <c r="B9911" s="10"/>
      <c r="C9911" s="10" t="s">
        <v>33</v>
      </c>
      <c r="D9911" s="10" t="s">
        <v>34</v>
      </c>
      <c r="E9911" s="14">
        <v>3.0</v>
      </c>
      <c r="F9911" s="15">
        <f>ROUND(13.14,3)</f>
        <v>13.14</v>
      </c>
      <c r="G9911" s="12">
        <f>ROUND((E9911*F9911)/100,2)</f>
        <v>0.39</v>
      </c>
    </row>
    <row r="9912" ht="15.0" customHeight="1">
      <c r="A9912" s="16"/>
      <c r="B9912" s="16"/>
      <c r="C9912" s="16"/>
      <c r="D9912" s="17" t="s">
        <v>4494</v>
      </c>
      <c r="E9912" s="16"/>
      <c r="F9912" s="18">
        <f>ROUND((G9905+G9906+G9911)*(1+G2/100),2)</f>
        <v>17.89</v>
      </c>
      <c r="G9912" s="16"/>
    </row>
    <row r="9913" ht="21.0" customHeight="1">
      <c r="A9913" s="19" t="s">
        <v>4499</v>
      </c>
      <c r="B9913" s="20" t="s">
        <v>18</v>
      </c>
      <c r="C9913" s="20" t="s">
        <v>251</v>
      </c>
      <c r="D9913" s="20" t="s">
        <v>4500</v>
      </c>
      <c r="E9913" s="21"/>
      <c r="F9913" s="22">
        <f>F9922</f>
        <v>34.95</v>
      </c>
      <c r="G9913" s="21"/>
    </row>
    <row r="9914" ht="21.0" customHeight="1">
      <c r="A9914" s="11"/>
      <c r="B9914" s="11"/>
      <c r="C9914" s="11"/>
      <c r="D9914" s="10" t="s">
        <v>4501</v>
      </c>
    </row>
    <row r="9915" ht="30.0" customHeight="1">
      <c r="A9915" s="10" t="s">
        <v>4497</v>
      </c>
      <c r="B9915" s="10" t="s">
        <v>42</v>
      </c>
      <c r="C9915" s="10" t="s">
        <v>19</v>
      </c>
      <c r="D9915" s="10" t="s">
        <v>4498</v>
      </c>
      <c r="E9915" s="14">
        <v>0.2</v>
      </c>
      <c r="F9915" s="15">
        <f>ROUND(21.79,3)</f>
        <v>21.79</v>
      </c>
      <c r="G9915" s="12">
        <f t="shared" ref="G9915:G9920" si="1487">ROUND(E9915*F9915,2)</f>
        <v>4.36</v>
      </c>
    </row>
    <row r="9916" ht="24.0" customHeight="1">
      <c r="A9916" s="10" t="s">
        <v>286</v>
      </c>
      <c r="B9916" s="10" t="s">
        <v>18</v>
      </c>
      <c r="C9916" s="10" t="s">
        <v>23</v>
      </c>
      <c r="D9916" s="10" t="s">
        <v>287</v>
      </c>
      <c r="E9916" s="14">
        <v>0.6</v>
      </c>
      <c r="F9916" s="15">
        <f>F9920</f>
        <v>49.5</v>
      </c>
      <c r="G9916" s="12">
        <f t="shared" si="1487"/>
        <v>29.7</v>
      </c>
    </row>
    <row r="9917" ht="24.0" customHeight="1">
      <c r="A9917" s="10" t="s">
        <v>288</v>
      </c>
      <c r="B9917" s="10" t="s">
        <v>26</v>
      </c>
      <c r="C9917" s="10" t="s">
        <v>23</v>
      </c>
      <c r="D9917" s="10" t="s">
        <v>289</v>
      </c>
      <c r="E9917" s="14">
        <v>1.0</v>
      </c>
      <c r="F9917" s="15">
        <f>ROUND(21,3)</f>
        <v>21</v>
      </c>
      <c r="G9917" s="12">
        <f t="shared" si="1487"/>
        <v>21</v>
      </c>
    </row>
    <row r="9918" ht="24.0" customHeight="1">
      <c r="A9918" s="10" t="s">
        <v>290</v>
      </c>
      <c r="B9918" s="10" t="s">
        <v>26</v>
      </c>
      <c r="C9918" s="10" t="s">
        <v>23</v>
      </c>
      <c r="D9918" s="10" t="s">
        <v>291</v>
      </c>
      <c r="E9918" s="14">
        <v>1.0</v>
      </c>
      <c r="F9918" s="15">
        <f t="shared" ref="F9918:F9919" si="1488">ROUND(19,3)</f>
        <v>19</v>
      </c>
      <c r="G9918" s="12">
        <f t="shared" si="1487"/>
        <v>19</v>
      </c>
    </row>
    <row r="9919" ht="24.0" customHeight="1">
      <c r="A9919" s="10" t="s">
        <v>292</v>
      </c>
      <c r="B9919" s="10" t="s">
        <v>26</v>
      </c>
      <c r="C9919" s="10" t="s">
        <v>23</v>
      </c>
      <c r="D9919" s="10" t="s">
        <v>293</v>
      </c>
      <c r="E9919" s="14">
        <v>0.5</v>
      </c>
      <c r="F9919" s="15">
        <f t="shared" si="1488"/>
        <v>19</v>
      </c>
      <c r="G9919" s="12">
        <f t="shared" si="1487"/>
        <v>9.5</v>
      </c>
    </row>
    <row r="9920" ht="15.0" customHeight="1">
      <c r="A9920" s="11"/>
      <c r="B9920" s="11"/>
      <c r="C9920" s="11"/>
      <c r="D9920" s="10" t="s">
        <v>286</v>
      </c>
      <c r="E9920" s="14">
        <v>0.6</v>
      </c>
      <c r="F9920" s="15">
        <f>ROUND((G9917+G9918+G9919),3)</f>
        <v>49.5</v>
      </c>
      <c r="G9920" s="12">
        <f t="shared" si="1487"/>
        <v>29.7</v>
      </c>
    </row>
    <row r="9921" ht="15.0" customHeight="1">
      <c r="A9921" s="10" t="s">
        <v>32</v>
      </c>
      <c r="B9921" s="10"/>
      <c r="C9921" s="10" t="s">
        <v>33</v>
      </c>
      <c r="D9921" s="10" t="s">
        <v>34</v>
      </c>
      <c r="E9921" s="14">
        <v>3.0</v>
      </c>
      <c r="F9921" s="15">
        <f>ROUND(29.7,3)</f>
        <v>29.7</v>
      </c>
      <c r="G9921" s="12">
        <f>ROUND((E9921*F9921)/100,2)</f>
        <v>0.89</v>
      </c>
    </row>
    <row r="9922" ht="15.0" customHeight="1">
      <c r="A9922" s="16"/>
      <c r="B9922" s="16"/>
      <c r="C9922" s="16"/>
      <c r="D9922" s="17" t="s">
        <v>4499</v>
      </c>
      <c r="E9922" s="16"/>
      <c r="F9922" s="18">
        <f>ROUND((G9915+G9916+G9921)*(1+G2/100),2)</f>
        <v>34.95</v>
      </c>
      <c r="G9922" s="16"/>
    </row>
    <row r="9923" ht="30.0" customHeight="1">
      <c r="A9923" s="19" t="s">
        <v>4502</v>
      </c>
      <c r="B9923" s="20" t="s">
        <v>18</v>
      </c>
      <c r="C9923" s="20" t="s">
        <v>295</v>
      </c>
      <c r="D9923" s="20" t="s">
        <v>4503</v>
      </c>
      <c r="E9923" s="21"/>
      <c r="F9923" s="22">
        <f>F9946</f>
        <v>861.33</v>
      </c>
      <c r="G9923" s="21"/>
    </row>
    <row r="9924" ht="196.5" customHeight="1">
      <c r="A9924" s="11"/>
      <c r="B9924" s="11"/>
      <c r="C9924" s="11"/>
      <c r="D9924" s="10" t="s">
        <v>4504</v>
      </c>
    </row>
    <row r="9925" ht="39.75" customHeight="1">
      <c r="A9925" s="10" t="s">
        <v>4505</v>
      </c>
      <c r="B9925" s="10" t="s">
        <v>42</v>
      </c>
      <c r="C9925" s="10" t="s">
        <v>304</v>
      </c>
      <c r="D9925" s="10" t="s">
        <v>4506</v>
      </c>
      <c r="E9925" s="14">
        <v>1.0</v>
      </c>
      <c r="F9925" s="15">
        <f>ROUND(15.95,3)</f>
        <v>15.95</v>
      </c>
      <c r="G9925" s="12">
        <f t="shared" ref="G9925:G9944" si="1489">ROUND(E9925*F9925,2)</f>
        <v>15.95</v>
      </c>
    </row>
    <row r="9926" ht="30.0" customHeight="1">
      <c r="A9926" s="10" t="s">
        <v>4507</v>
      </c>
      <c r="B9926" s="10" t="s">
        <v>42</v>
      </c>
      <c r="C9926" s="10" t="s">
        <v>304</v>
      </c>
      <c r="D9926" s="10" t="s">
        <v>4508</v>
      </c>
      <c r="E9926" s="14">
        <v>1.0</v>
      </c>
      <c r="F9926" s="15">
        <f>ROUND(39.9,3)</f>
        <v>39.9</v>
      </c>
      <c r="G9926" s="12">
        <f t="shared" si="1489"/>
        <v>39.9</v>
      </c>
    </row>
    <row r="9927" ht="30.0" customHeight="1">
      <c r="A9927" s="10" t="s">
        <v>4509</v>
      </c>
      <c r="B9927" s="10" t="s">
        <v>42</v>
      </c>
      <c r="C9927" s="10" t="s">
        <v>231</v>
      </c>
      <c r="D9927" s="10" t="s">
        <v>4510</v>
      </c>
      <c r="E9927" s="14">
        <v>1.0</v>
      </c>
      <c r="F9927" s="15">
        <f>ROUND(1.89,3)</f>
        <v>1.89</v>
      </c>
      <c r="G9927" s="12">
        <f t="shared" si="1489"/>
        <v>1.89</v>
      </c>
    </row>
    <row r="9928" ht="39.75" customHeight="1">
      <c r="A9928" s="10" t="s">
        <v>4511</v>
      </c>
      <c r="B9928" s="10" t="s">
        <v>42</v>
      </c>
      <c r="C9928" s="10" t="s">
        <v>304</v>
      </c>
      <c r="D9928" s="10" t="s">
        <v>4512</v>
      </c>
      <c r="E9928" s="14">
        <v>1.0</v>
      </c>
      <c r="F9928" s="15">
        <f>ROUND(7.02,3)</f>
        <v>7.02</v>
      </c>
      <c r="G9928" s="12">
        <f t="shared" si="1489"/>
        <v>7.02</v>
      </c>
    </row>
    <row r="9929" ht="21.0" customHeight="1">
      <c r="A9929" s="10" t="s">
        <v>242</v>
      </c>
      <c r="B9929" s="10" t="s">
        <v>42</v>
      </c>
      <c r="C9929" s="10" t="s">
        <v>226</v>
      </c>
      <c r="D9929" s="10" t="s">
        <v>243</v>
      </c>
      <c r="E9929" s="14">
        <v>1.0</v>
      </c>
      <c r="F9929" s="15">
        <f>ROUND(1.32,3)</f>
        <v>1.32</v>
      </c>
      <c r="G9929" s="12">
        <f t="shared" si="1489"/>
        <v>1.32</v>
      </c>
    </row>
    <row r="9930" ht="30.0" customHeight="1">
      <c r="A9930" s="10" t="s">
        <v>1382</v>
      </c>
      <c r="B9930" s="10" t="s">
        <v>42</v>
      </c>
      <c r="C9930" s="10" t="s">
        <v>184</v>
      </c>
      <c r="D9930" s="10" t="s">
        <v>1383</v>
      </c>
      <c r="E9930" s="14">
        <v>5.0</v>
      </c>
      <c r="F9930" s="15">
        <f>ROUND(1.47,3)</f>
        <v>1.47</v>
      </c>
      <c r="G9930" s="12">
        <f t="shared" si="1489"/>
        <v>7.35</v>
      </c>
    </row>
    <row r="9931" ht="30.0" customHeight="1">
      <c r="A9931" s="10" t="s">
        <v>3804</v>
      </c>
      <c r="B9931" s="10" t="s">
        <v>42</v>
      </c>
      <c r="C9931" s="10" t="s">
        <v>184</v>
      </c>
      <c r="D9931" s="10" t="s">
        <v>3805</v>
      </c>
      <c r="E9931" s="14">
        <v>1.0</v>
      </c>
      <c r="F9931" s="15">
        <f>ROUND(8.35,3)</f>
        <v>8.35</v>
      </c>
      <c r="G9931" s="12">
        <f t="shared" si="1489"/>
        <v>8.35</v>
      </c>
    </row>
    <row r="9932" ht="30.0" customHeight="1">
      <c r="A9932" s="10" t="s">
        <v>2071</v>
      </c>
      <c r="B9932" s="10" t="s">
        <v>42</v>
      </c>
      <c r="C9932" s="10" t="s">
        <v>184</v>
      </c>
      <c r="D9932" s="10" t="s">
        <v>2072</v>
      </c>
      <c r="E9932" s="14">
        <v>1.0</v>
      </c>
      <c r="F9932" s="15">
        <f>ROUND(11,3)</f>
        <v>11</v>
      </c>
      <c r="G9932" s="12">
        <f t="shared" si="1489"/>
        <v>11</v>
      </c>
    </row>
    <row r="9933" ht="21.0" customHeight="1">
      <c r="A9933" s="10" t="s">
        <v>4513</v>
      </c>
      <c r="B9933" s="10" t="s">
        <v>42</v>
      </c>
      <c r="C9933" s="10" t="s">
        <v>304</v>
      </c>
      <c r="D9933" s="10" t="s">
        <v>4514</v>
      </c>
      <c r="E9933" s="14">
        <v>1.0</v>
      </c>
      <c r="F9933" s="15">
        <f>ROUND(1.67,3)</f>
        <v>1.67</v>
      </c>
      <c r="G9933" s="12">
        <f t="shared" si="1489"/>
        <v>1.67</v>
      </c>
    </row>
    <row r="9934" ht="30.0" customHeight="1">
      <c r="A9934" s="10" t="s">
        <v>363</v>
      </c>
      <c r="B9934" s="10" t="s">
        <v>42</v>
      </c>
      <c r="C9934" s="10" t="s">
        <v>231</v>
      </c>
      <c r="D9934" s="10" t="s">
        <v>364</v>
      </c>
      <c r="E9934" s="14">
        <v>10.0</v>
      </c>
      <c r="F9934" s="15">
        <f>ROUND(0.17,3)</f>
        <v>0.17</v>
      </c>
      <c r="G9934" s="12">
        <f t="shared" si="1489"/>
        <v>1.7</v>
      </c>
    </row>
    <row r="9935" ht="30.0" customHeight="1">
      <c r="A9935" s="10" t="s">
        <v>4515</v>
      </c>
      <c r="B9935" s="10" t="s">
        <v>42</v>
      </c>
      <c r="C9935" s="10" t="s">
        <v>344</v>
      </c>
      <c r="D9935" s="10" t="s">
        <v>4516</v>
      </c>
      <c r="E9935" s="14">
        <v>1.0</v>
      </c>
      <c r="F9935" s="15">
        <f>ROUND(10.73,3)</f>
        <v>10.73</v>
      </c>
      <c r="G9935" s="12">
        <f t="shared" si="1489"/>
        <v>10.73</v>
      </c>
    </row>
    <row r="9936" ht="39.75" customHeight="1">
      <c r="A9936" s="10" t="s">
        <v>4138</v>
      </c>
      <c r="B9936" s="10" t="s">
        <v>42</v>
      </c>
      <c r="C9936" s="10" t="s">
        <v>344</v>
      </c>
      <c r="D9936" s="10" t="s">
        <v>4139</v>
      </c>
      <c r="E9936" s="14">
        <v>1.0</v>
      </c>
      <c r="F9936" s="15">
        <f>ROUND(8.84,3)</f>
        <v>8.84</v>
      </c>
      <c r="G9936" s="12">
        <f t="shared" si="1489"/>
        <v>8.84</v>
      </c>
    </row>
    <row r="9937" ht="21.0" customHeight="1">
      <c r="A9937" s="10" t="s">
        <v>4517</v>
      </c>
      <c r="B9937" s="10" t="s">
        <v>42</v>
      </c>
      <c r="C9937" s="10" t="s">
        <v>304</v>
      </c>
      <c r="D9937" s="10" t="s">
        <v>4518</v>
      </c>
      <c r="E9937" s="14">
        <v>1.0</v>
      </c>
      <c r="F9937" s="15">
        <f>ROUND(1.85,3)</f>
        <v>1.85</v>
      </c>
      <c r="G9937" s="12">
        <f t="shared" si="1489"/>
        <v>1.85</v>
      </c>
    </row>
    <row r="9938" ht="30.0" customHeight="1">
      <c r="A9938" s="10" t="s">
        <v>3434</v>
      </c>
      <c r="B9938" s="10" t="s">
        <v>42</v>
      </c>
      <c r="C9938" s="10" t="s">
        <v>344</v>
      </c>
      <c r="D9938" s="10" t="s">
        <v>3435</v>
      </c>
      <c r="E9938" s="14">
        <v>1.0</v>
      </c>
      <c r="F9938" s="15">
        <f>ROUND(10.74,3)</f>
        <v>10.74</v>
      </c>
      <c r="G9938" s="12">
        <f t="shared" si="1489"/>
        <v>10.74</v>
      </c>
    </row>
    <row r="9939" ht="30.0" customHeight="1">
      <c r="A9939" s="10" t="s">
        <v>2755</v>
      </c>
      <c r="B9939" s="10" t="s">
        <v>42</v>
      </c>
      <c r="C9939" s="10" t="s">
        <v>344</v>
      </c>
      <c r="D9939" s="10" t="s">
        <v>2756</v>
      </c>
      <c r="E9939" s="14">
        <v>28.0</v>
      </c>
      <c r="F9939" s="15">
        <f>ROUND(0.4,3)</f>
        <v>0.4</v>
      </c>
      <c r="G9939" s="12">
        <f t="shared" si="1489"/>
        <v>11.2</v>
      </c>
    </row>
    <row r="9940" ht="21.0" customHeight="1">
      <c r="A9940" s="10" t="s">
        <v>22</v>
      </c>
      <c r="B9940" s="10" t="s">
        <v>18</v>
      </c>
      <c r="C9940" s="10" t="s">
        <v>23</v>
      </c>
      <c r="D9940" s="10" t="s">
        <v>24</v>
      </c>
      <c r="E9940" s="14">
        <v>16.0</v>
      </c>
      <c r="F9940" s="15">
        <f>F9944</f>
        <v>43.8</v>
      </c>
      <c r="G9940" s="12">
        <f t="shared" si="1489"/>
        <v>700.8</v>
      </c>
    </row>
    <row r="9941" ht="24.0" customHeight="1">
      <c r="A9941" s="10" t="s">
        <v>25</v>
      </c>
      <c r="B9941" s="10" t="s">
        <v>26</v>
      </c>
      <c r="C9941" s="10" t="s">
        <v>23</v>
      </c>
      <c r="D9941" s="10" t="s">
        <v>27</v>
      </c>
      <c r="E9941" s="14">
        <v>1.0</v>
      </c>
      <c r="F9941" s="15">
        <f>ROUND(21,3)</f>
        <v>21</v>
      </c>
      <c r="G9941" s="12">
        <f t="shared" si="1489"/>
        <v>21</v>
      </c>
    </row>
    <row r="9942" ht="24.0" customHeight="1">
      <c r="A9942" s="10" t="s">
        <v>28</v>
      </c>
      <c r="B9942" s="10" t="s">
        <v>26</v>
      </c>
      <c r="C9942" s="10" t="s">
        <v>23</v>
      </c>
      <c r="D9942" s="10" t="s">
        <v>29</v>
      </c>
      <c r="E9942" s="14">
        <v>1.0</v>
      </c>
      <c r="F9942" s="15">
        <f t="shared" ref="F9942:F9943" si="1490">ROUND(19,3)</f>
        <v>19</v>
      </c>
      <c r="G9942" s="12">
        <f t="shared" si="1489"/>
        <v>19</v>
      </c>
    </row>
    <row r="9943" ht="24.0" customHeight="1">
      <c r="A9943" s="10" t="s">
        <v>30</v>
      </c>
      <c r="B9943" s="10" t="s">
        <v>26</v>
      </c>
      <c r="C9943" s="10" t="s">
        <v>23</v>
      </c>
      <c r="D9943" s="10" t="s">
        <v>31</v>
      </c>
      <c r="E9943" s="14">
        <v>0.2</v>
      </c>
      <c r="F9943" s="15">
        <f t="shared" si="1490"/>
        <v>19</v>
      </c>
      <c r="G9943" s="12">
        <f t="shared" si="1489"/>
        <v>3.8</v>
      </c>
    </row>
    <row r="9944" ht="15.0" customHeight="1">
      <c r="A9944" s="11"/>
      <c r="B9944" s="11"/>
      <c r="C9944" s="11"/>
      <c r="D9944" s="10" t="s">
        <v>22</v>
      </c>
      <c r="E9944" s="14">
        <v>16.0</v>
      </c>
      <c r="F9944" s="15">
        <f>ROUND((G9941+G9942+G9943),3)</f>
        <v>43.8</v>
      </c>
      <c r="G9944" s="12">
        <f t="shared" si="1489"/>
        <v>700.8</v>
      </c>
    </row>
    <row r="9945" ht="15.0" customHeight="1">
      <c r="A9945" s="10" t="s">
        <v>32</v>
      </c>
      <c r="B9945" s="10"/>
      <c r="C9945" s="10" t="s">
        <v>33</v>
      </c>
      <c r="D9945" s="10" t="s">
        <v>34</v>
      </c>
      <c r="E9945" s="14">
        <v>3.0</v>
      </c>
      <c r="F9945" s="15">
        <f>ROUND(700.8,3)</f>
        <v>700.8</v>
      </c>
      <c r="G9945" s="12">
        <f>ROUND((E9945*F9945)/100,2)</f>
        <v>21.02</v>
      </c>
    </row>
    <row r="9946" ht="15.0" customHeight="1">
      <c r="A9946" s="16"/>
      <c r="B9946" s="16"/>
      <c r="C9946" s="16"/>
      <c r="D9946" s="17" t="s">
        <v>4502</v>
      </c>
      <c r="E9946" s="16"/>
      <c r="F9946" s="18">
        <f>ROUND((G9925+G9926+G9927+G9928+G9929+G9930+G9931+G9932+G9933+G9934+G9935+G9936+G9937+G9938+G9939+G9940+G9945)*(1+G2/100),2)</f>
        <v>861.33</v>
      </c>
      <c r="G9946" s="16"/>
    </row>
    <row r="9947" ht="39.75" customHeight="1">
      <c r="A9947" s="19" t="s">
        <v>4519</v>
      </c>
      <c r="B9947" s="20" t="s">
        <v>18</v>
      </c>
      <c r="C9947" s="20" t="s">
        <v>19</v>
      </c>
      <c r="D9947" s="20" t="s">
        <v>4520</v>
      </c>
      <c r="E9947" s="21"/>
      <c r="F9947" s="22">
        <f>F9958</f>
        <v>44.25</v>
      </c>
      <c r="G9947" s="21"/>
    </row>
    <row r="9948" ht="21.0" customHeight="1">
      <c r="A9948" s="11"/>
      <c r="B9948" s="11"/>
      <c r="C9948" s="11"/>
      <c r="D9948" s="10" t="s">
        <v>4521</v>
      </c>
    </row>
    <row r="9949" ht="48.75" customHeight="1">
      <c r="A9949" s="10" t="s">
        <v>4185</v>
      </c>
      <c r="B9949" s="10" t="s">
        <v>42</v>
      </c>
      <c r="C9949" s="10" t="s">
        <v>584</v>
      </c>
      <c r="D9949" s="10" t="s">
        <v>4186</v>
      </c>
      <c r="E9949" s="14">
        <v>0.025</v>
      </c>
      <c r="F9949" s="15">
        <f>ROUND(330.54,3)</f>
        <v>330.54</v>
      </c>
      <c r="G9949" s="12">
        <f t="shared" ref="G9949:G9956" si="1491">ROUND(E9949*F9949,2)</f>
        <v>8.26</v>
      </c>
    </row>
    <row r="9950" ht="48.75" customHeight="1">
      <c r="A9950" s="10" t="s">
        <v>4522</v>
      </c>
      <c r="B9950" s="10" t="s">
        <v>42</v>
      </c>
      <c r="C9950" s="10" t="s">
        <v>43</v>
      </c>
      <c r="D9950" s="10" t="s">
        <v>4523</v>
      </c>
      <c r="E9950" s="14">
        <v>0.25</v>
      </c>
      <c r="F9950" s="15">
        <f>ROUND(75.08,3)</f>
        <v>75.08</v>
      </c>
      <c r="G9950" s="12">
        <f t="shared" si="1491"/>
        <v>18.77</v>
      </c>
    </row>
    <row r="9951" ht="30.0" customHeight="1">
      <c r="A9951" s="10" t="s">
        <v>4171</v>
      </c>
      <c r="B9951" s="10" t="s">
        <v>42</v>
      </c>
      <c r="C9951" s="10" t="s">
        <v>226</v>
      </c>
      <c r="D9951" s="10" t="s">
        <v>4172</v>
      </c>
      <c r="E9951" s="14">
        <v>0.022</v>
      </c>
      <c r="F9951" s="15">
        <f>ROUND(167.87,3)</f>
        <v>167.87</v>
      </c>
      <c r="G9951" s="12">
        <f t="shared" si="1491"/>
        <v>3.69</v>
      </c>
    </row>
    <row r="9952" ht="21.0" customHeight="1">
      <c r="A9952" s="10" t="s">
        <v>22</v>
      </c>
      <c r="B9952" s="10" t="s">
        <v>18</v>
      </c>
      <c r="C9952" s="10" t="s">
        <v>23</v>
      </c>
      <c r="D9952" s="10" t="s">
        <v>24</v>
      </c>
      <c r="E9952" s="14">
        <v>0.3</v>
      </c>
      <c r="F9952" s="15">
        <f>F9956</f>
        <v>43.8</v>
      </c>
      <c r="G9952" s="12">
        <f t="shared" si="1491"/>
        <v>13.14</v>
      </c>
    </row>
    <row r="9953" ht="24.0" customHeight="1">
      <c r="A9953" s="10" t="s">
        <v>25</v>
      </c>
      <c r="B9953" s="10" t="s">
        <v>26</v>
      </c>
      <c r="C9953" s="10" t="s">
        <v>23</v>
      </c>
      <c r="D9953" s="10" t="s">
        <v>27</v>
      </c>
      <c r="E9953" s="14">
        <v>1.0</v>
      </c>
      <c r="F9953" s="15">
        <f>ROUND(21,3)</f>
        <v>21</v>
      </c>
      <c r="G9953" s="12">
        <f t="shared" si="1491"/>
        <v>21</v>
      </c>
    </row>
    <row r="9954" ht="24.0" customHeight="1">
      <c r="A9954" s="10" t="s">
        <v>28</v>
      </c>
      <c r="B9954" s="10" t="s">
        <v>26</v>
      </c>
      <c r="C9954" s="10" t="s">
        <v>23</v>
      </c>
      <c r="D9954" s="10" t="s">
        <v>29</v>
      </c>
      <c r="E9954" s="14">
        <v>1.0</v>
      </c>
      <c r="F9954" s="15">
        <f t="shared" ref="F9954:F9955" si="1492">ROUND(19,3)</f>
        <v>19</v>
      </c>
      <c r="G9954" s="12">
        <f t="shared" si="1491"/>
        <v>19</v>
      </c>
    </row>
    <row r="9955" ht="24.0" customHeight="1">
      <c r="A9955" s="10" t="s">
        <v>30</v>
      </c>
      <c r="B9955" s="10" t="s">
        <v>26</v>
      </c>
      <c r="C9955" s="10" t="s">
        <v>23</v>
      </c>
      <c r="D9955" s="10" t="s">
        <v>31</v>
      </c>
      <c r="E9955" s="14">
        <v>0.2</v>
      </c>
      <c r="F9955" s="15">
        <f t="shared" si="1492"/>
        <v>19</v>
      </c>
      <c r="G9955" s="12">
        <f t="shared" si="1491"/>
        <v>3.8</v>
      </c>
    </row>
    <row r="9956" ht="15.0" customHeight="1">
      <c r="A9956" s="11"/>
      <c r="B9956" s="11"/>
      <c r="C9956" s="11"/>
      <c r="D9956" s="10" t="s">
        <v>22</v>
      </c>
      <c r="E9956" s="14">
        <v>0.3</v>
      </c>
      <c r="F9956" s="15">
        <f>ROUND((G9953+G9954+G9955),3)</f>
        <v>43.8</v>
      </c>
      <c r="G9956" s="12">
        <f t="shared" si="1491"/>
        <v>13.14</v>
      </c>
    </row>
    <row r="9957" ht="15.0" customHeight="1">
      <c r="A9957" s="10" t="s">
        <v>32</v>
      </c>
      <c r="B9957" s="10"/>
      <c r="C9957" s="10" t="s">
        <v>33</v>
      </c>
      <c r="D9957" s="10" t="s">
        <v>34</v>
      </c>
      <c r="E9957" s="14">
        <v>3.0</v>
      </c>
      <c r="F9957" s="15">
        <f>ROUND(13.14,3)</f>
        <v>13.14</v>
      </c>
      <c r="G9957" s="12">
        <f>ROUND((E9957*F9957)/100,2)</f>
        <v>0.39</v>
      </c>
    </row>
    <row r="9958" ht="15.0" customHeight="1">
      <c r="A9958" s="16"/>
      <c r="B9958" s="16"/>
      <c r="C9958" s="16"/>
      <c r="D9958" s="17" t="s">
        <v>4519</v>
      </c>
      <c r="E9958" s="16"/>
      <c r="F9958" s="18">
        <f>ROUND((G9949+G9950+G9951+G9952+G9957)*(1+G2/100),2)</f>
        <v>44.25</v>
      </c>
      <c r="G9958" s="16"/>
    </row>
    <row r="9959" ht="34.5" customHeight="1">
      <c r="A9959" s="19" t="s">
        <v>4524</v>
      </c>
      <c r="B9959" s="20" t="s">
        <v>18</v>
      </c>
      <c r="C9959" s="20" t="s">
        <v>19</v>
      </c>
      <c r="D9959" s="20" t="s">
        <v>4525</v>
      </c>
      <c r="E9959" s="21"/>
      <c r="F9959" s="22">
        <f>F9969</f>
        <v>34.48</v>
      </c>
      <c r="G9959" s="21"/>
    </row>
    <row r="9960" ht="12.0" customHeight="1">
      <c r="A9960" s="11"/>
      <c r="B9960" s="11"/>
      <c r="C9960" s="11"/>
      <c r="D9960" s="10" t="s">
        <v>4526</v>
      </c>
    </row>
    <row r="9961" ht="30.0" customHeight="1">
      <c r="A9961" s="10" t="s">
        <v>2053</v>
      </c>
      <c r="B9961" s="10" t="s">
        <v>42</v>
      </c>
      <c r="C9961" s="10" t="s">
        <v>184</v>
      </c>
      <c r="D9961" s="10" t="s">
        <v>2054</v>
      </c>
      <c r="E9961" s="14">
        <v>0.23</v>
      </c>
      <c r="F9961" s="15">
        <f>ROUND(11.74,3)</f>
        <v>11.74</v>
      </c>
      <c r="G9961" s="12">
        <f t="shared" ref="G9961:G9967" si="1493">ROUND(E9961*F9961,2)</f>
        <v>2.7</v>
      </c>
    </row>
    <row r="9962" ht="30.0" customHeight="1">
      <c r="A9962" s="10" t="s">
        <v>4143</v>
      </c>
      <c r="B9962" s="10" t="s">
        <v>42</v>
      </c>
      <c r="C9962" s="10" t="s">
        <v>43</v>
      </c>
      <c r="D9962" s="10" t="s">
        <v>4144</v>
      </c>
      <c r="E9962" s="14">
        <v>0.0063</v>
      </c>
      <c r="F9962" s="15">
        <f>ROUND(31.65,3)</f>
        <v>31.65</v>
      </c>
      <c r="G9962" s="12">
        <f t="shared" si="1493"/>
        <v>0.2</v>
      </c>
    </row>
    <row r="9963" ht="21.0" customHeight="1">
      <c r="A9963" s="10" t="s">
        <v>22</v>
      </c>
      <c r="B9963" s="10" t="s">
        <v>18</v>
      </c>
      <c r="C9963" s="10" t="s">
        <v>23</v>
      </c>
      <c r="D9963" s="10" t="s">
        <v>24</v>
      </c>
      <c r="E9963" s="14">
        <v>0.7</v>
      </c>
      <c r="F9963" s="15">
        <f>F9967</f>
        <v>43.8</v>
      </c>
      <c r="G9963" s="12">
        <f t="shared" si="1493"/>
        <v>30.66</v>
      </c>
    </row>
    <row r="9964" ht="24.0" customHeight="1">
      <c r="A9964" s="10" t="s">
        <v>25</v>
      </c>
      <c r="B9964" s="10" t="s">
        <v>26</v>
      </c>
      <c r="C9964" s="10" t="s">
        <v>23</v>
      </c>
      <c r="D9964" s="10" t="s">
        <v>27</v>
      </c>
      <c r="E9964" s="14">
        <v>1.0</v>
      </c>
      <c r="F9964" s="15">
        <f>ROUND(21,3)</f>
        <v>21</v>
      </c>
      <c r="G9964" s="12">
        <f t="shared" si="1493"/>
        <v>21</v>
      </c>
    </row>
    <row r="9965" ht="24.0" customHeight="1">
      <c r="A9965" s="10" t="s">
        <v>28</v>
      </c>
      <c r="B9965" s="10" t="s">
        <v>26</v>
      </c>
      <c r="C9965" s="10" t="s">
        <v>23</v>
      </c>
      <c r="D9965" s="10" t="s">
        <v>29</v>
      </c>
      <c r="E9965" s="14">
        <v>1.0</v>
      </c>
      <c r="F9965" s="15">
        <f t="shared" ref="F9965:F9966" si="1494">ROUND(19,3)</f>
        <v>19</v>
      </c>
      <c r="G9965" s="12">
        <f t="shared" si="1493"/>
        <v>19</v>
      </c>
    </row>
    <row r="9966" ht="24.0" customHeight="1">
      <c r="A9966" s="10" t="s">
        <v>30</v>
      </c>
      <c r="B9966" s="10" t="s">
        <v>26</v>
      </c>
      <c r="C9966" s="10" t="s">
        <v>23</v>
      </c>
      <c r="D9966" s="10" t="s">
        <v>31</v>
      </c>
      <c r="E9966" s="14">
        <v>0.2</v>
      </c>
      <c r="F9966" s="15">
        <f t="shared" si="1494"/>
        <v>19</v>
      </c>
      <c r="G9966" s="12">
        <f t="shared" si="1493"/>
        <v>3.8</v>
      </c>
    </row>
    <row r="9967" ht="15.0" customHeight="1">
      <c r="A9967" s="11"/>
      <c r="B9967" s="11"/>
      <c r="C9967" s="11"/>
      <c r="D9967" s="10" t="s">
        <v>22</v>
      </c>
      <c r="E9967" s="14">
        <v>0.7</v>
      </c>
      <c r="F9967" s="15">
        <f>ROUND((G9964+G9965+G9966),3)</f>
        <v>43.8</v>
      </c>
      <c r="G9967" s="12">
        <f t="shared" si="1493"/>
        <v>30.66</v>
      </c>
    </row>
    <row r="9968" ht="15.0" customHeight="1">
      <c r="A9968" s="10" t="s">
        <v>32</v>
      </c>
      <c r="B9968" s="10"/>
      <c r="C9968" s="10" t="s">
        <v>33</v>
      </c>
      <c r="D9968" s="10" t="s">
        <v>34</v>
      </c>
      <c r="E9968" s="14">
        <v>3.0</v>
      </c>
      <c r="F9968" s="15">
        <f>ROUND(30.66,3)</f>
        <v>30.66</v>
      </c>
      <c r="G9968" s="12">
        <f>ROUND((E9968*F9968)/100,2)</f>
        <v>0.92</v>
      </c>
    </row>
    <row r="9969" ht="24.75" customHeight="1">
      <c r="A9969" s="16"/>
      <c r="B9969" s="16"/>
      <c r="C9969" s="16"/>
      <c r="D9969" s="17" t="s">
        <v>4524</v>
      </c>
      <c r="E9969" s="16"/>
      <c r="F9969" s="18">
        <f>ROUND((G9961+G9962+G9963+G9968)*(1+G2/100),2)</f>
        <v>34.48</v>
      </c>
      <c r="G9969" s="16"/>
    </row>
    <row r="9970" ht="34.5" customHeight="1">
      <c r="A9970" s="19" t="s">
        <v>4527</v>
      </c>
      <c r="B9970" s="20" t="s">
        <v>18</v>
      </c>
      <c r="C9970" s="20" t="s">
        <v>19</v>
      </c>
      <c r="D9970" s="20" t="s">
        <v>4528</v>
      </c>
      <c r="E9970" s="21"/>
      <c r="F9970" s="22">
        <f>F9980</f>
        <v>32.07</v>
      </c>
      <c r="G9970" s="21"/>
    </row>
    <row r="9971" ht="12.0" customHeight="1">
      <c r="A9971" s="11"/>
      <c r="B9971" s="11"/>
      <c r="C9971" s="11"/>
      <c r="D9971" s="10" t="s">
        <v>4529</v>
      </c>
    </row>
    <row r="9972" ht="30.0" customHeight="1">
      <c r="A9972" s="10" t="s">
        <v>2053</v>
      </c>
      <c r="B9972" s="10" t="s">
        <v>42</v>
      </c>
      <c r="C9972" s="10" t="s">
        <v>184</v>
      </c>
      <c r="D9972" s="10" t="s">
        <v>2054</v>
      </c>
      <c r="E9972" s="14">
        <v>0.169</v>
      </c>
      <c r="F9972" s="15">
        <f>ROUND(11.74,3)</f>
        <v>11.74</v>
      </c>
      <c r="G9972" s="12">
        <f t="shared" ref="G9972:G9978" si="1495">ROUND(E9972*F9972,2)</f>
        <v>1.98</v>
      </c>
    </row>
    <row r="9973" ht="30.0" customHeight="1">
      <c r="A9973" s="10" t="s">
        <v>4143</v>
      </c>
      <c r="B9973" s="10" t="s">
        <v>42</v>
      </c>
      <c r="C9973" s="10" t="s">
        <v>43</v>
      </c>
      <c r="D9973" s="10" t="s">
        <v>4144</v>
      </c>
      <c r="E9973" s="14">
        <v>0.0063</v>
      </c>
      <c r="F9973" s="15">
        <f>ROUND(31.65,3)</f>
        <v>31.65</v>
      </c>
      <c r="G9973" s="12">
        <f t="shared" si="1495"/>
        <v>0.2</v>
      </c>
    </row>
    <row r="9974" ht="21.0" customHeight="1">
      <c r="A9974" s="10" t="s">
        <v>22</v>
      </c>
      <c r="B9974" s="10" t="s">
        <v>18</v>
      </c>
      <c r="C9974" s="10" t="s">
        <v>23</v>
      </c>
      <c r="D9974" s="10" t="s">
        <v>24</v>
      </c>
      <c r="E9974" s="14">
        <v>0.65</v>
      </c>
      <c r="F9974" s="15">
        <f>F9978</f>
        <v>43.8</v>
      </c>
      <c r="G9974" s="12">
        <f t="shared" si="1495"/>
        <v>28.47</v>
      </c>
    </row>
    <row r="9975" ht="24.0" customHeight="1">
      <c r="A9975" s="10" t="s">
        <v>25</v>
      </c>
      <c r="B9975" s="10" t="s">
        <v>26</v>
      </c>
      <c r="C9975" s="10" t="s">
        <v>23</v>
      </c>
      <c r="D9975" s="10" t="s">
        <v>27</v>
      </c>
      <c r="E9975" s="14">
        <v>1.0</v>
      </c>
      <c r="F9975" s="15">
        <f>ROUND(21,3)</f>
        <v>21</v>
      </c>
      <c r="G9975" s="12">
        <f t="shared" si="1495"/>
        <v>21</v>
      </c>
    </row>
    <row r="9976" ht="24.0" customHeight="1">
      <c r="A9976" s="10" t="s">
        <v>28</v>
      </c>
      <c r="B9976" s="10" t="s">
        <v>26</v>
      </c>
      <c r="C9976" s="10" t="s">
        <v>23</v>
      </c>
      <c r="D9976" s="10" t="s">
        <v>29</v>
      </c>
      <c r="E9976" s="14">
        <v>1.0</v>
      </c>
      <c r="F9976" s="15">
        <f t="shared" ref="F9976:F9977" si="1496">ROUND(19,3)</f>
        <v>19</v>
      </c>
      <c r="G9976" s="12">
        <f t="shared" si="1495"/>
        <v>19</v>
      </c>
    </row>
    <row r="9977" ht="24.0" customHeight="1">
      <c r="A9977" s="10" t="s">
        <v>30</v>
      </c>
      <c r="B9977" s="10" t="s">
        <v>26</v>
      </c>
      <c r="C9977" s="10" t="s">
        <v>23</v>
      </c>
      <c r="D9977" s="10" t="s">
        <v>31</v>
      </c>
      <c r="E9977" s="14">
        <v>0.2</v>
      </c>
      <c r="F9977" s="15">
        <f t="shared" si="1496"/>
        <v>19</v>
      </c>
      <c r="G9977" s="12">
        <f t="shared" si="1495"/>
        <v>3.8</v>
      </c>
    </row>
    <row r="9978" ht="15.0" customHeight="1">
      <c r="A9978" s="11"/>
      <c r="B9978" s="11"/>
      <c r="C9978" s="11"/>
      <c r="D9978" s="10" t="s">
        <v>22</v>
      </c>
      <c r="E9978" s="14">
        <v>0.65</v>
      </c>
      <c r="F9978" s="15">
        <f>ROUND((G9975+G9976+G9977),3)</f>
        <v>43.8</v>
      </c>
      <c r="G9978" s="12">
        <f t="shared" si="1495"/>
        <v>28.47</v>
      </c>
    </row>
    <row r="9979" ht="15.0" customHeight="1">
      <c r="A9979" s="10" t="s">
        <v>32</v>
      </c>
      <c r="B9979" s="10"/>
      <c r="C9979" s="10" t="s">
        <v>33</v>
      </c>
      <c r="D9979" s="10" t="s">
        <v>34</v>
      </c>
      <c r="E9979" s="14">
        <v>5.0</v>
      </c>
      <c r="F9979" s="15">
        <f>ROUND(28.47,3)</f>
        <v>28.47</v>
      </c>
      <c r="G9979" s="12">
        <f>ROUND((E9979*F9979)/100,2)</f>
        <v>1.42</v>
      </c>
    </row>
    <row r="9980" ht="24.75" customHeight="1">
      <c r="A9980" s="16"/>
      <c r="B9980" s="16"/>
      <c r="C9980" s="16"/>
      <c r="D9980" s="17" t="s">
        <v>4527</v>
      </c>
      <c r="E9980" s="16"/>
      <c r="F9980" s="18">
        <f>ROUND((G9972+G9973+G9974+G9979)*(1+G2/100),2)</f>
        <v>32.07</v>
      </c>
      <c r="G9980" s="16"/>
    </row>
    <row r="9981" ht="34.5" customHeight="1">
      <c r="A9981" s="19" t="s">
        <v>4530</v>
      </c>
      <c r="B9981" s="20" t="s">
        <v>18</v>
      </c>
      <c r="C9981" s="20" t="s">
        <v>19</v>
      </c>
      <c r="D9981" s="20" t="s">
        <v>4531</v>
      </c>
      <c r="E9981" s="21"/>
      <c r="F9981" s="22">
        <f>F9991</f>
        <v>25.9</v>
      </c>
      <c r="G9981" s="21"/>
    </row>
    <row r="9982" ht="21.0" customHeight="1">
      <c r="A9982" s="11"/>
      <c r="B9982" s="11"/>
      <c r="C9982" s="11"/>
      <c r="D9982" s="10" t="s">
        <v>4532</v>
      </c>
    </row>
    <row r="9983" ht="30.0" customHeight="1">
      <c r="A9983" s="10" t="s">
        <v>2053</v>
      </c>
      <c r="B9983" s="10" t="s">
        <v>42</v>
      </c>
      <c r="C9983" s="10" t="s">
        <v>184</v>
      </c>
      <c r="D9983" s="10" t="s">
        <v>2054</v>
      </c>
      <c r="E9983" s="14">
        <v>0.23</v>
      </c>
      <c r="F9983" s="15">
        <f>ROUND(11.74,3)</f>
        <v>11.74</v>
      </c>
      <c r="G9983" s="12">
        <f t="shared" ref="G9983:G9989" si="1497">ROUND(E9983*F9983,2)</f>
        <v>2.7</v>
      </c>
    </row>
    <row r="9984" ht="30.0" customHeight="1">
      <c r="A9984" s="10" t="s">
        <v>4143</v>
      </c>
      <c r="B9984" s="10" t="s">
        <v>42</v>
      </c>
      <c r="C9984" s="10" t="s">
        <v>43</v>
      </c>
      <c r="D9984" s="10" t="s">
        <v>4144</v>
      </c>
      <c r="E9984" s="14">
        <v>0.0063</v>
      </c>
      <c r="F9984" s="15">
        <f>ROUND(31.65,3)</f>
        <v>31.65</v>
      </c>
      <c r="G9984" s="12">
        <f t="shared" si="1497"/>
        <v>0.2</v>
      </c>
    </row>
    <row r="9985" ht="21.0" customHeight="1">
      <c r="A9985" s="10" t="s">
        <v>22</v>
      </c>
      <c r="B9985" s="10" t="s">
        <v>18</v>
      </c>
      <c r="C9985" s="10" t="s">
        <v>23</v>
      </c>
      <c r="D9985" s="10" t="s">
        <v>24</v>
      </c>
      <c r="E9985" s="14">
        <v>0.5</v>
      </c>
      <c r="F9985" s="15">
        <f>F9989</f>
        <v>43.8</v>
      </c>
      <c r="G9985" s="12">
        <f t="shared" si="1497"/>
        <v>21.9</v>
      </c>
    </row>
    <row r="9986" ht="24.0" customHeight="1">
      <c r="A9986" s="10" t="s">
        <v>25</v>
      </c>
      <c r="B9986" s="10" t="s">
        <v>26</v>
      </c>
      <c r="C9986" s="10" t="s">
        <v>23</v>
      </c>
      <c r="D9986" s="10" t="s">
        <v>27</v>
      </c>
      <c r="E9986" s="14">
        <v>1.0</v>
      </c>
      <c r="F9986" s="15">
        <f>ROUND(21,3)</f>
        <v>21</v>
      </c>
      <c r="G9986" s="12">
        <f t="shared" si="1497"/>
        <v>21</v>
      </c>
    </row>
    <row r="9987" ht="24.0" customHeight="1">
      <c r="A9987" s="10" t="s">
        <v>28</v>
      </c>
      <c r="B9987" s="10" t="s">
        <v>26</v>
      </c>
      <c r="C9987" s="10" t="s">
        <v>23</v>
      </c>
      <c r="D9987" s="10" t="s">
        <v>29</v>
      </c>
      <c r="E9987" s="14">
        <v>1.0</v>
      </c>
      <c r="F9987" s="15">
        <f t="shared" ref="F9987:F9988" si="1498">ROUND(19,3)</f>
        <v>19</v>
      </c>
      <c r="G9987" s="12">
        <f t="shared" si="1497"/>
        <v>19</v>
      </c>
    </row>
    <row r="9988" ht="24.0" customHeight="1">
      <c r="A9988" s="10" t="s">
        <v>30</v>
      </c>
      <c r="B9988" s="10" t="s">
        <v>26</v>
      </c>
      <c r="C9988" s="10" t="s">
        <v>23</v>
      </c>
      <c r="D9988" s="10" t="s">
        <v>31</v>
      </c>
      <c r="E9988" s="14">
        <v>0.2</v>
      </c>
      <c r="F9988" s="15">
        <f t="shared" si="1498"/>
        <v>19</v>
      </c>
      <c r="G9988" s="12">
        <f t="shared" si="1497"/>
        <v>3.8</v>
      </c>
    </row>
    <row r="9989" ht="15.0" customHeight="1">
      <c r="A9989" s="11"/>
      <c r="B9989" s="11"/>
      <c r="C9989" s="11"/>
      <c r="D9989" s="10" t="s">
        <v>22</v>
      </c>
      <c r="E9989" s="14">
        <v>0.5</v>
      </c>
      <c r="F9989" s="15">
        <f>ROUND((G9986+G9987+G9988),3)</f>
        <v>43.8</v>
      </c>
      <c r="G9989" s="12">
        <f t="shared" si="1497"/>
        <v>21.9</v>
      </c>
    </row>
    <row r="9990" ht="15.0" customHeight="1">
      <c r="A9990" s="10" t="s">
        <v>32</v>
      </c>
      <c r="B9990" s="10"/>
      <c r="C9990" s="10" t="s">
        <v>33</v>
      </c>
      <c r="D9990" s="10" t="s">
        <v>34</v>
      </c>
      <c r="E9990" s="14">
        <v>5.0</v>
      </c>
      <c r="F9990" s="15">
        <f>ROUND(21.9,3)</f>
        <v>21.9</v>
      </c>
      <c r="G9990" s="12">
        <f>ROUND((E9990*F9990)/100,2)</f>
        <v>1.1</v>
      </c>
    </row>
    <row r="9991" ht="24.75" customHeight="1">
      <c r="A9991" s="16"/>
      <c r="B9991" s="16"/>
      <c r="C9991" s="16"/>
      <c r="D9991" s="17" t="s">
        <v>4530</v>
      </c>
      <c r="E9991" s="16"/>
      <c r="F9991" s="18">
        <f>ROUND((G9983+G9984+G9985+G9990)*(1+G2/100),2)</f>
        <v>25.9</v>
      </c>
      <c r="G9991" s="16"/>
    </row>
    <row r="9992" ht="34.5" customHeight="1">
      <c r="A9992" s="19" t="s">
        <v>4533</v>
      </c>
      <c r="B9992" s="20" t="s">
        <v>18</v>
      </c>
      <c r="C9992" s="20" t="s">
        <v>19</v>
      </c>
      <c r="D9992" s="20" t="s">
        <v>4534</v>
      </c>
      <c r="E9992" s="21"/>
      <c r="F9992" s="22">
        <f>F10002</f>
        <v>23.34</v>
      </c>
      <c r="G9992" s="21"/>
    </row>
    <row r="9993" ht="21.0" customHeight="1">
      <c r="A9993" s="11"/>
      <c r="B9993" s="11"/>
      <c r="C9993" s="11"/>
      <c r="D9993" s="10" t="s">
        <v>4535</v>
      </c>
    </row>
    <row r="9994" ht="30.0" customHeight="1">
      <c r="A9994" s="10" t="s">
        <v>2053</v>
      </c>
      <c r="B9994" s="10" t="s">
        <v>42</v>
      </c>
      <c r="C9994" s="10" t="s">
        <v>184</v>
      </c>
      <c r="D9994" s="10" t="s">
        <v>2054</v>
      </c>
      <c r="E9994" s="14">
        <v>0.169</v>
      </c>
      <c r="F9994" s="15">
        <f>ROUND(11.74,3)</f>
        <v>11.74</v>
      </c>
      <c r="G9994" s="12">
        <f t="shared" ref="G9994:G10000" si="1499">ROUND(E9994*F9994,2)</f>
        <v>1.98</v>
      </c>
    </row>
    <row r="9995" ht="30.0" customHeight="1">
      <c r="A9995" s="10" t="s">
        <v>4143</v>
      </c>
      <c r="B9995" s="10" t="s">
        <v>42</v>
      </c>
      <c r="C9995" s="10" t="s">
        <v>43</v>
      </c>
      <c r="D9995" s="10" t="s">
        <v>4144</v>
      </c>
      <c r="E9995" s="14">
        <v>0.0063</v>
      </c>
      <c r="F9995" s="15">
        <f>ROUND(31.65,3)</f>
        <v>31.65</v>
      </c>
      <c r="G9995" s="12">
        <f t="shared" si="1499"/>
        <v>0.2</v>
      </c>
    </row>
    <row r="9996" ht="21.0" customHeight="1">
      <c r="A9996" s="10" t="s">
        <v>22</v>
      </c>
      <c r="B9996" s="10" t="s">
        <v>18</v>
      </c>
      <c r="C9996" s="10" t="s">
        <v>23</v>
      </c>
      <c r="D9996" s="10" t="s">
        <v>24</v>
      </c>
      <c r="E9996" s="14">
        <v>0.46</v>
      </c>
      <c r="F9996" s="15">
        <f>F10000</f>
        <v>43.8</v>
      </c>
      <c r="G9996" s="12">
        <f t="shared" si="1499"/>
        <v>20.15</v>
      </c>
    </row>
    <row r="9997" ht="24.0" customHeight="1">
      <c r="A9997" s="10" t="s">
        <v>25</v>
      </c>
      <c r="B9997" s="10" t="s">
        <v>26</v>
      </c>
      <c r="C9997" s="10" t="s">
        <v>23</v>
      </c>
      <c r="D9997" s="10" t="s">
        <v>27</v>
      </c>
      <c r="E9997" s="14">
        <v>1.0</v>
      </c>
      <c r="F9997" s="15">
        <f>ROUND(21,3)</f>
        <v>21</v>
      </c>
      <c r="G9997" s="12">
        <f t="shared" si="1499"/>
        <v>21</v>
      </c>
    </row>
    <row r="9998" ht="24.0" customHeight="1">
      <c r="A9998" s="10" t="s">
        <v>28</v>
      </c>
      <c r="B9998" s="10" t="s">
        <v>26</v>
      </c>
      <c r="C9998" s="10" t="s">
        <v>23</v>
      </c>
      <c r="D9998" s="10" t="s">
        <v>29</v>
      </c>
      <c r="E9998" s="14">
        <v>1.0</v>
      </c>
      <c r="F9998" s="15">
        <f t="shared" ref="F9998:F9999" si="1500">ROUND(19,3)</f>
        <v>19</v>
      </c>
      <c r="G9998" s="12">
        <f t="shared" si="1499"/>
        <v>19</v>
      </c>
    </row>
    <row r="9999" ht="24.0" customHeight="1">
      <c r="A9999" s="10" t="s">
        <v>30</v>
      </c>
      <c r="B9999" s="10" t="s">
        <v>26</v>
      </c>
      <c r="C9999" s="10" t="s">
        <v>23</v>
      </c>
      <c r="D9999" s="10" t="s">
        <v>31</v>
      </c>
      <c r="E9999" s="14">
        <v>0.2</v>
      </c>
      <c r="F9999" s="15">
        <f t="shared" si="1500"/>
        <v>19</v>
      </c>
      <c r="G9999" s="12">
        <f t="shared" si="1499"/>
        <v>3.8</v>
      </c>
    </row>
    <row r="10000" ht="15.0" customHeight="1">
      <c r="A10000" s="11"/>
      <c r="B10000" s="11"/>
      <c r="C10000" s="11"/>
      <c r="D10000" s="10" t="s">
        <v>22</v>
      </c>
      <c r="E10000" s="14">
        <v>0.46</v>
      </c>
      <c r="F10000" s="15">
        <f>ROUND((G9997+G9998+G9999),3)</f>
        <v>43.8</v>
      </c>
      <c r="G10000" s="12">
        <f t="shared" si="1499"/>
        <v>20.15</v>
      </c>
    </row>
    <row r="10001" ht="15.0" customHeight="1">
      <c r="A10001" s="10" t="s">
        <v>32</v>
      </c>
      <c r="B10001" s="10"/>
      <c r="C10001" s="10" t="s">
        <v>33</v>
      </c>
      <c r="D10001" s="10" t="s">
        <v>34</v>
      </c>
      <c r="E10001" s="14">
        <v>5.0</v>
      </c>
      <c r="F10001" s="15">
        <f>ROUND(20.15,3)</f>
        <v>20.15</v>
      </c>
      <c r="G10001" s="12">
        <f>ROUND((E10001*F10001)/100,2)</f>
        <v>1.01</v>
      </c>
    </row>
    <row r="10002" ht="24.75" customHeight="1">
      <c r="A10002" s="16"/>
      <c r="B10002" s="16"/>
      <c r="C10002" s="16"/>
      <c r="D10002" s="17" t="s">
        <v>4533</v>
      </c>
      <c r="E10002" s="16"/>
      <c r="F10002" s="18">
        <f>ROUND((G9994+G9995+G9996+G10001)*(1+G2/100),2)</f>
        <v>23.34</v>
      </c>
      <c r="G10002" s="16"/>
    </row>
    <row r="10003" ht="21.0" customHeight="1">
      <c r="A10003" s="19" t="s">
        <v>4536</v>
      </c>
      <c r="B10003" s="20" t="s">
        <v>18</v>
      </c>
      <c r="C10003" s="20" t="s">
        <v>251</v>
      </c>
      <c r="D10003" s="20" t="s">
        <v>4537</v>
      </c>
      <c r="E10003" s="21"/>
      <c r="F10003" s="22">
        <f>F10014</f>
        <v>38.07</v>
      </c>
      <c r="G10003" s="21"/>
    </row>
    <row r="10004" ht="12.0" customHeight="1">
      <c r="A10004" s="11"/>
      <c r="B10004" s="11"/>
      <c r="C10004" s="11"/>
      <c r="D10004" s="10" t="s">
        <v>4538</v>
      </c>
    </row>
    <row r="10005" ht="15.0" customHeight="1">
      <c r="A10005" s="10" t="s">
        <v>4539</v>
      </c>
      <c r="B10005" s="10" t="s">
        <v>18</v>
      </c>
      <c r="C10005" s="10" t="s">
        <v>251</v>
      </c>
      <c r="D10005" s="10" t="s">
        <v>4540</v>
      </c>
      <c r="E10005" s="14">
        <v>1.0</v>
      </c>
      <c r="F10005" s="15">
        <f>F10008</f>
        <v>14.06</v>
      </c>
      <c r="G10005" s="12">
        <f t="shared" ref="G10005:G10013" si="1501">ROUND(E10005*F10005,2)</f>
        <v>14.06</v>
      </c>
    </row>
    <row r="10006" ht="15.0" customHeight="1">
      <c r="A10006" s="10" t="s">
        <v>4541</v>
      </c>
      <c r="B10006" s="10" t="s">
        <v>42</v>
      </c>
      <c r="C10006" s="10" t="s">
        <v>521</v>
      </c>
      <c r="D10006" s="10" t="s">
        <v>4542</v>
      </c>
      <c r="E10006" s="14">
        <v>2.5</v>
      </c>
      <c r="F10006" s="15">
        <f>ROUND(2.65,3)</f>
        <v>2.65</v>
      </c>
      <c r="G10006" s="12">
        <f t="shared" si="1501"/>
        <v>6.63</v>
      </c>
    </row>
    <row r="10007" ht="24.0" customHeight="1">
      <c r="A10007" s="10" t="s">
        <v>1186</v>
      </c>
      <c r="B10007" s="10" t="s">
        <v>26</v>
      </c>
      <c r="C10007" s="10" t="s">
        <v>23</v>
      </c>
      <c r="D10007" s="10" t="s">
        <v>1187</v>
      </c>
      <c r="E10007" s="14">
        <v>0.15</v>
      </c>
      <c r="F10007" s="15">
        <f>ROUND(49.5,3)</f>
        <v>49.5</v>
      </c>
      <c r="G10007" s="12">
        <f t="shared" si="1501"/>
        <v>7.43</v>
      </c>
    </row>
    <row r="10008" ht="15.0" customHeight="1">
      <c r="A10008" s="11"/>
      <c r="B10008" s="11"/>
      <c r="C10008" s="11"/>
      <c r="D10008" s="10" t="s">
        <v>4539</v>
      </c>
      <c r="E10008" s="14">
        <v>1.0</v>
      </c>
      <c r="F10008" s="15">
        <f>ROUND((G10006+G10007),3)</f>
        <v>14.06</v>
      </c>
      <c r="G10008" s="12">
        <f t="shared" si="1501"/>
        <v>14.06</v>
      </c>
    </row>
    <row r="10009" ht="21.0" customHeight="1">
      <c r="A10009" s="10" t="s">
        <v>4543</v>
      </c>
      <c r="B10009" s="10" t="s">
        <v>18</v>
      </c>
      <c r="C10009" s="10" t="s">
        <v>251</v>
      </c>
      <c r="D10009" s="10" t="s">
        <v>4544</v>
      </c>
      <c r="E10009" s="14">
        <v>1.0</v>
      </c>
      <c r="F10009" s="15">
        <f>F10013</f>
        <v>24.01</v>
      </c>
      <c r="G10009" s="12">
        <f t="shared" si="1501"/>
        <v>24.01</v>
      </c>
    </row>
    <row r="10010" ht="39.75" customHeight="1">
      <c r="A10010" s="10" t="s">
        <v>4123</v>
      </c>
      <c r="B10010" s="10" t="s">
        <v>42</v>
      </c>
      <c r="C10010" s="10" t="s">
        <v>226</v>
      </c>
      <c r="D10010" s="10" t="s">
        <v>4124</v>
      </c>
      <c r="E10010" s="14">
        <v>0.022</v>
      </c>
      <c r="F10010" s="15">
        <f>ROUND(41.25,3)</f>
        <v>41.25</v>
      </c>
      <c r="G10010" s="12">
        <f t="shared" si="1501"/>
        <v>0.91</v>
      </c>
    </row>
    <row r="10011" ht="15.0" customHeight="1">
      <c r="A10011" s="10" t="s">
        <v>4545</v>
      </c>
      <c r="B10011" s="10" t="s">
        <v>42</v>
      </c>
      <c r="C10011" s="10" t="s">
        <v>521</v>
      </c>
      <c r="D10011" s="10" t="s">
        <v>4546</v>
      </c>
      <c r="E10011" s="14">
        <v>1.5</v>
      </c>
      <c r="F10011" s="15">
        <f>ROUND(5.5,3)</f>
        <v>5.5</v>
      </c>
      <c r="G10011" s="12">
        <f t="shared" si="1501"/>
        <v>8.25</v>
      </c>
    </row>
    <row r="10012" ht="24.0" customHeight="1">
      <c r="A10012" s="10" t="s">
        <v>1186</v>
      </c>
      <c r="B10012" s="10" t="s">
        <v>26</v>
      </c>
      <c r="C10012" s="10" t="s">
        <v>23</v>
      </c>
      <c r="D10012" s="10" t="s">
        <v>1187</v>
      </c>
      <c r="E10012" s="14">
        <v>0.3</v>
      </c>
      <c r="F10012" s="15">
        <f>ROUND(49.5,3)</f>
        <v>49.5</v>
      </c>
      <c r="G10012" s="12">
        <f t="shared" si="1501"/>
        <v>14.85</v>
      </c>
    </row>
    <row r="10013" ht="15.0" customHeight="1">
      <c r="A10013" s="11"/>
      <c r="B10013" s="11"/>
      <c r="C10013" s="11"/>
      <c r="D10013" s="10" t="s">
        <v>4543</v>
      </c>
      <c r="E10013" s="14">
        <v>1.0</v>
      </c>
      <c r="F10013" s="15">
        <f>ROUND((G10010+G10011+G10012),3)</f>
        <v>24.01</v>
      </c>
      <c r="G10013" s="12">
        <f t="shared" si="1501"/>
        <v>24.01</v>
      </c>
    </row>
    <row r="10014" ht="15.0" customHeight="1">
      <c r="A10014" s="16"/>
      <c r="B10014" s="16"/>
      <c r="C10014" s="16"/>
      <c r="D10014" s="17" t="s">
        <v>4536</v>
      </c>
      <c r="E10014" s="16"/>
      <c r="F10014" s="18">
        <f>ROUND((G10005+G10009)*(1+G2/100),2)</f>
        <v>38.07</v>
      </c>
      <c r="G10014" s="16"/>
    </row>
    <row r="10015" ht="21.0" customHeight="1">
      <c r="A10015" s="19" t="s">
        <v>4547</v>
      </c>
      <c r="B10015" s="20" t="s">
        <v>18</v>
      </c>
      <c r="C10015" s="20" t="s">
        <v>222</v>
      </c>
      <c r="D10015" s="20" t="s">
        <v>4548</v>
      </c>
      <c r="E10015" s="21"/>
      <c r="F10015" s="22">
        <f>F10018</f>
        <v>80</v>
      </c>
      <c r="G10015" s="21"/>
    </row>
    <row r="10016" ht="21.0" customHeight="1">
      <c r="A10016" s="11"/>
      <c r="B10016" s="11"/>
      <c r="C10016" s="11"/>
      <c r="D10016" s="10" t="s">
        <v>4549</v>
      </c>
    </row>
    <row r="10017" ht="24.0" customHeight="1">
      <c r="A10017" s="10" t="s">
        <v>1214</v>
      </c>
      <c r="B10017" s="10" t="s">
        <v>26</v>
      </c>
      <c r="C10017" s="10" t="s">
        <v>23</v>
      </c>
      <c r="D10017" s="10" t="s">
        <v>1215</v>
      </c>
      <c r="E10017" s="14">
        <v>5.333</v>
      </c>
      <c r="F10017" s="15">
        <f>ROUND(15,3)</f>
        <v>15</v>
      </c>
      <c r="G10017" s="12">
        <f>ROUND(E10017*F10017,2)</f>
        <v>80</v>
      </c>
    </row>
    <row r="10018" ht="15.0" customHeight="1">
      <c r="A10018" s="16"/>
      <c r="B10018" s="16"/>
      <c r="C10018" s="16"/>
      <c r="D10018" s="17" t="s">
        <v>4547</v>
      </c>
      <c r="E10018" s="16"/>
      <c r="F10018" s="18">
        <f>ROUND((G10017)*(1+G2/100),2)</f>
        <v>80</v>
      </c>
      <c r="G10018" s="16"/>
    </row>
    <row r="10019" ht="48.75" customHeight="1">
      <c r="A10019" s="19" t="s">
        <v>4550</v>
      </c>
      <c r="B10019" s="20" t="s">
        <v>18</v>
      </c>
      <c r="C10019" s="20" t="s">
        <v>19</v>
      </c>
      <c r="D10019" s="20" t="s">
        <v>4551</v>
      </c>
      <c r="E10019" s="21"/>
      <c r="F10019" s="22">
        <f>F10031</f>
        <v>39.73</v>
      </c>
      <c r="G10019" s="21"/>
    </row>
    <row r="10020" ht="21.0" customHeight="1">
      <c r="A10020" s="11"/>
      <c r="B10020" s="11"/>
      <c r="C10020" s="11"/>
      <c r="D10020" s="10" t="s">
        <v>4552</v>
      </c>
    </row>
    <row r="10021" ht="30.0" customHeight="1">
      <c r="A10021" s="10" t="s">
        <v>4476</v>
      </c>
      <c r="B10021" s="10" t="s">
        <v>42</v>
      </c>
      <c r="C10021" s="10" t="s">
        <v>344</v>
      </c>
      <c r="D10021" s="10" t="s">
        <v>4477</v>
      </c>
      <c r="E10021" s="14">
        <v>3.0</v>
      </c>
      <c r="F10021" s="15">
        <f>ROUND(0.33,3)</f>
        <v>0.33</v>
      </c>
      <c r="G10021" s="12">
        <f t="shared" ref="G10021:G10029" si="1502">ROUND(E10021*F10021,2)</f>
        <v>0.99</v>
      </c>
    </row>
    <row r="10022" ht="39.75" customHeight="1">
      <c r="A10022" s="10" t="s">
        <v>4116</v>
      </c>
      <c r="B10022" s="10" t="s">
        <v>42</v>
      </c>
      <c r="C10022" s="10" t="s">
        <v>1939</v>
      </c>
      <c r="D10022" s="10" t="s">
        <v>4117</v>
      </c>
      <c r="E10022" s="14">
        <v>0.021</v>
      </c>
      <c r="F10022" s="15">
        <f>ROUND(44.84,3)</f>
        <v>44.84</v>
      </c>
      <c r="G10022" s="12">
        <f t="shared" si="1502"/>
        <v>0.94</v>
      </c>
    </row>
    <row r="10023" ht="39.75" customHeight="1">
      <c r="A10023" s="10" t="s">
        <v>2640</v>
      </c>
      <c r="B10023" s="10" t="s">
        <v>42</v>
      </c>
      <c r="C10023" s="10" t="s">
        <v>184</v>
      </c>
      <c r="D10023" s="10" t="s">
        <v>2641</v>
      </c>
      <c r="E10023" s="14">
        <v>4.6656</v>
      </c>
      <c r="F10023" s="15">
        <f>ROUND(2.6,3)</f>
        <v>2.6</v>
      </c>
      <c r="G10023" s="12">
        <f t="shared" si="1502"/>
        <v>12.13</v>
      </c>
    </row>
    <row r="10024" ht="30.0" customHeight="1">
      <c r="A10024" s="10" t="s">
        <v>1787</v>
      </c>
      <c r="B10024" s="10" t="s">
        <v>42</v>
      </c>
      <c r="C10024" s="10" t="s">
        <v>226</v>
      </c>
      <c r="D10024" s="10" t="s">
        <v>1788</v>
      </c>
      <c r="E10024" s="14">
        <v>0.022</v>
      </c>
      <c r="F10024" s="15">
        <f>ROUND(30.51,3)</f>
        <v>30.51</v>
      </c>
      <c r="G10024" s="12">
        <f t="shared" si="1502"/>
        <v>0.67</v>
      </c>
    </row>
    <row r="10025" ht="21.0" customHeight="1">
      <c r="A10025" s="10" t="s">
        <v>22</v>
      </c>
      <c r="B10025" s="10" t="s">
        <v>18</v>
      </c>
      <c r="C10025" s="10" t="s">
        <v>23</v>
      </c>
      <c r="D10025" s="10" t="s">
        <v>24</v>
      </c>
      <c r="E10025" s="14">
        <v>0.53333</v>
      </c>
      <c r="F10025" s="15">
        <f>F10029</f>
        <v>43.8</v>
      </c>
      <c r="G10025" s="12">
        <f t="shared" si="1502"/>
        <v>23.36</v>
      </c>
    </row>
    <row r="10026" ht="24.0" customHeight="1">
      <c r="A10026" s="10" t="s">
        <v>25</v>
      </c>
      <c r="B10026" s="10" t="s">
        <v>26</v>
      </c>
      <c r="C10026" s="10" t="s">
        <v>23</v>
      </c>
      <c r="D10026" s="10" t="s">
        <v>27</v>
      </c>
      <c r="E10026" s="14">
        <v>1.0</v>
      </c>
      <c r="F10026" s="15">
        <f>ROUND(21,3)</f>
        <v>21</v>
      </c>
      <c r="G10026" s="12">
        <f t="shared" si="1502"/>
        <v>21</v>
      </c>
    </row>
    <row r="10027" ht="24.0" customHeight="1">
      <c r="A10027" s="10" t="s">
        <v>28</v>
      </c>
      <c r="B10027" s="10" t="s">
        <v>26</v>
      </c>
      <c r="C10027" s="10" t="s">
        <v>23</v>
      </c>
      <c r="D10027" s="10" t="s">
        <v>29</v>
      </c>
      <c r="E10027" s="14">
        <v>1.0</v>
      </c>
      <c r="F10027" s="15">
        <f t="shared" ref="F10027:F10028" si="1503">ROUND(19,3)</f>
        <v>19</v>
      </c>
      <c r="G10027" s="12">
        <f t="shared" si="1502"/>
        <v>19</v>
      </c>
    </row>
    <row r="10028" ht="24.0" customHeight="1">
      <c r="A10028" s="10" t="s">
        <v>30</v>
      </c>
      <c r="B10028" s="10" t="s">
        <v>26</v>
      </c>
      <c r="C10028" s="10" t="s">
        <v>23</v>
      </c>
      <c r="D10028" s="10" t="s">
        <v>31</v>
      </c>
      <c r="E10028" s="14">
        <v>0.2</v>
      </c>
      <c r="F10028" s="15">
        <f t="shared" si="1503"/>
        <v>19</v>
      </c>
      <c r="G10028" s="12">
        <f t="shared" si="1502"/>
        <v>3.8</v>
      </c>
    </row>
    <row r="10029" ht="15.0" customHeight="1">
      <c r="A10029" s="11"/>
      <c r="B10029" s="11"/>
      <c r="C10029" s="11"/>
      <c r="D10029" s="10" t="s">
        <v>22</v>
      </c>
      <c r="E10029" s="14">
        <v>0.53333</v>
      </c>
      <c r="F10029" s="15">
        <f>ROUND((G10026+G10027+G10028),3)</f>
        <v>43.8</v>
      </c>
      <c r="G10029" s="12">
        <f t="shared" si="1502"/>
        <v>23.36</v>
      </c>
    </row>
    <row r="10030" ht="15.0" customHeight="1">
      <c r="A10030" s="10" t="s">
        <v>32</v>
      </c>
      <c r="B10030" s="10"/>
      <c r="C10030" s="10" t="s">
        <v>33</v>
      </c>
      <c r="D10030" s="10" t="s">
        <v>34</v>
      </c>
      <c r="E10030" s="14">
        <v>7.0</v>
      </c>
      <c r="F10030" s="15">
        <f>ROUND(23.36,3)</f>
        <v>23.36</v>
      </c>
      <c r="G10030" s="12">
        <f>ROUND((E10030*F10030)/100,2)</f>
        <v>1.64</v>
      </c>
    </row>
    <row r="10031" ht="15.0" customHeight="1">
      <c r="A10031" s="16"/>
      <c r="B10031" s="16"/>
      <c r="C10031" s="16"/>
      <c r="D10031" s="17" t="s">
        <v>4550</v>
      </c>
      <c r="E10031" s="16"/>
      <c r="F10031" s="18">
        <f>ROUND((G10021+G10022+G10023+G10024+G10025+G10030)*(1+G2/100),2)</f>
        <v>39.73</v>
      </c>
      <c r="G10031" s="16"/>
    </row>
    <row r="10032" ht="48.75" customHeight="1">
      <c r="A10032" s="19" t="s">
        <v>4553</v>
      </c>
      <c r="B10032" s="20" t="s">
        <v>18</v>
      </c>
      <c r="C10032" s="20" t="s">
        <v>19</v>
      </c>
      <c r="D10032" s="20" t="s">
        <v>4554</v>
      </c>
      <c r="E10032" s="21"/>
      <c r="F10032" s="22">
        <f>F10045</f>
        <v>42.3</v>
      </c>
      <c r="G10032" s="21"/>
    </row>
    <row r="10033" ht="21.0" customHeight="1">
      <c r="A10033" s="11"/>
      <c r="B10033" s="11"/>
      <c r="C10033" s="11"/>
      <c r="D10033" s="10" t="s">
        <v>4555</v>
      </c>
    </row>
    <row r="10034" ht="30.0" customHeight="1">
      <c r="A10034" s="10" t="s">
        <v>4476</v>
      </c>
      <c r="B10034" s="10" t="s">
        <v>42</v>
      </c>
      <c r="C10034" s="10" t="s">
        <v>344</v>
      </c>
      <c r="D10034" s="10" t="s">
        <v>4477</v>
      </c>
      <c r="E10034" s="14">
        <v>3.0</v>
      </c>
      <c r="F10034" s="15">
        <f>ROUND(0.33,3)</f>
        <v>0.33</v>
      </c>
      <c r="G10034" s="12">
        <f t="shared" ref="G10034:G10043" si="1504">ROUND(E10034*F10034,2)</f>
        <v>0.99</v>
      </c>
    </row>
    <row r="10035" ht="39.75" customHeight="1">
      <c r="A10035" s="10" t="s">
        <v>4116</v>
      </c>
      <c r="B10035" s="10" t="s">
        <v>42</v>
      </c>
      <c r="C10035" s="10" t="s">
        <v>1939</v>
      </c>
      <c r="D10035" s="10" t="s">
        <v>4117</v>
      </c>
      <c r="E10035" s="14">
        <v>0.021</v>
      </c>
      <c r="F10035" s="15">
        <f>ROUND(44.84,3)</f>
        <v>44.84</v>
      </c>
      <c r="G10035" s="12">
        <f t="shared" si="1504"/>
        <v>0.94</v>
      </c>
    </row>
    <row r="10036" ht="39.75" customHeight="1">
      <c r="A10036" s="10" t="s">
        <v>2640</v>
      </c>
      <c r="B10036" s="10" t="s">
        <v>42</v>
      </c>
      <c r="C10036" s="10" t="s">
        <v>184</v>
      </c>
      <c r="D10036" s="10" t="s">
        <v>2641</v>
      </c>
      <c r="E10036" s="14">
        <v>0.36</v>
      </c>
      <c r="F10036" s="15">
        <f>ROUND(2.6,3)</f>
        <v>2.6</v>
      </c>
      <c r="G10036" s="12">
        <f t="shared" si="1504"/>
        <v>0.94</v>
      </c>
    </row>
    <row r="10037" ht="48.75" customHeight="1">
      <c r="A10037" s="10" t="s">
        <v>4478</v>
      </c>
      <c r="B10037" s="10" t="s">
        <v>42</v>
      </c>
      <c r="C10037" s="10" t="s">
        <v>184</v>
      </c>
      <c r="D10037" s="10" t="s">
        <v>4479</v>
      </c>
      <c r="E10037" s="14">
        <v>1.32</v>
      </c>
      <c r="F10037" s="15">
        <f>ROUND(5.7,3)</f>
        <v>5.7</v>
      </c>
      <c r="G10037" s="12">
        <f t="shared" si="1504"/>
        <v>7.52</v>
      </c>
    </row>
    <row r="10038" ht="30.0" customHeight="1">
      <c r="A10038" s="10" t="s">
        <v>1787</v>
      </c>
      <c r="B10038" s="10" t="s">
        <v>42</v>
      </c>
      <c r="C10038" s="10" t="s">
        <v>226</v>
      </c>
      <c r="D10038" s="10" t="s">
        <v>1788</v>
      </c>
      <c r="E10038" s="14">
        <v>0.022</v>
      </c>
      <c r="F10038" s="15">
        <f>ROUND(30.51,3)</f>
        <v>30.51</v>
      </c>
      <c r="G10038" s="12">
        <f t="shared" si="1504"/>
        <v>0.67</v>
      </c>
    </row>
    <row r="10039" ht="21.0" customHeight="1">
      <c r="A10039" s="10" t="s">
        <v>22</v>
      </c>
      <c r="B10039" s="10" t="s">
        <v>18</v>
      </c>
      <c r="C10039" s="10" t="s">
        <v>23</v>
      </c>
      <c r="D10039" s="10" t="s">
        <v>24</v>
      </c>
      <c r="E10039" s="14">
        <v>0.66667</v>
      </c>
      <c r="F10039" s="15">
        <f>F10043</f>
        <v>43.8</v>
      </c>
      <c r="G10039" s="12">
        <f t="shared" si="1504"/>
        <v>29.2</v>
      </c>
    </row>
    <row r="10040" ht="24.0" customHeight="1">
      <c r="A10040" s="10" t="s">
        <v>25</v>
      </c>
      <c r="B10040" s="10" t="s">
        <v>26</v>
      </c>
      <c r="C10040" s="10" t="s">
        <v>23</v>
      </c>
      <c r="D10040" s="10" t="s">
        <v>27</v>
      </c>
      <c r="E10040" s="14">
        <v>1.0</v>
      </c>
      <c r="F10040" s="15">
        <f>ROUND(21,3)</f>
        <v>21</v>
      </c>
      <c r="G10040" s="12">
        <f t="shared" si="1504"/>
        <v>21</v>
      </c>
    </row>
    <row r="10041" ht="24.0" customHeight="1">
      <c r="A10041" s="10" t="s">
        <v>28</v>
      </c>
      <c r="B10041" s="10" t="s">
        <v>26</v>
      </c>
      <c r="C10041" s="10" t="s">
        <v>23</v>
      </c>
      <c r="D10041" s="10" t="s">
        <v>29</v>
      </c>
      <c r="E10041" s="14">
        <v>1.0</v>
      </c>
      <c r="F10041" s="15">
        <f t="shared" ref="F10041:F10042" si="1505">ROUND(19,3)</f>
        <v>19</v>
      </c>
      <c r="G10041" s="12">
        <f t="shared" si="1504"/>
        <v>19</v>
      </c>
    </row>
    <row r="10042" ht="24.0" customHeight="1">
      <c r="A10042" s="10" t="s">
        <v>30</v>
      </c>
      <c r="B10042" s="10" t="s">
        <v>26</v>
      </c>
      <c r="C10042" s="10" t="s">
        <v>23</v>
      </c>
      <c r="D10042" s="10" t="s">
        <v>31</v>
      </c>
      <c r="E10042" s="14">
        <v>0.2</v>
      </c>
      <c r="F10042" s="15">
        <f t="shared" si="1505"/>
        <v>19</v>
      </c>
      <c r="G10042" s="12">
        <f t="shared" si="1504"/>
        <v>3.8</v>
      </c>
    </row>
    <row r="10043" ht="15.0" customHeight="1">
      <c r="A10043" s="11"/>
      <c r="B10043" s="11"/>
      <c r="C10043" s="11"/>
      <c r="D10043" s="10" t="s">
        <v>22</v>
      </c>
      <c r="E10043" s="14">
        <v>0.66667</v>
      </c>
      <c r="F10043" s="15">
        <f>ROUND((G10040+G10041+G10042),3)</f>
        <v>43.8</v>
      </c>
      <c r="G10043" s="12">
        <f t="shared" si="1504"/>
        <v>29.2</v>
      </c>
    </row>
    <row r="10044" ht="15.0" customHeight="1">
      <c r="A10044" s="10" t="s">
        <v>32</v>
      </c>
      <c r="B10044" s="10"/>
      <c r="C10044" s="10" t="s">
        <v>33</v>
      </c>
      <c r="D10044" s="10" t="s">
        <v>34</v>
      </c>
      <c r="E10044" s="14">
        <v>7.0</v>
      </c>
      <c r="F10044" s="15">
        <f>ROUND(29.2,3)</f>
        <v>29.2</v>
      </c>
      <c r="G10044" s="12">
        <f>ROUND((E10044*F10044)/100,2)</f>
        <v>2.04</v>
      </c>
    </row>
    <row r="10045" ht="15.0" customHeight="1">
      <c r="A10045" s="16"/>
      <c r="B10045" s="16"/>
      <c r="C10045" s="16"/>
      <c r="D10045" s="17" t="s">
        <v>4553</v>
      </c>
      <c r="E10045" s="16"/>
      <c r="F10045" s="18">
        <f>ROUND((G10034+G10035+G10036+G10037+G10038+G10039+G10044)*(1+G2/100),2)</f>
        <v>42.3</v>
      </c>
      <c r="G10045" s="16"/>
    </row>
    <row r="10046" ht="67.5" customHeight="1">
      <c r="A10046" s="19" t="s">
        <v>4556</v>
      </c>
      <c r="B10046" s="20" t="s">
        <v>18</v>
      </c>
      <c r="C10046" s="20" t="s">
        <v>19</v>
      </c>
      <c r="D10046" s="20" t="s">
        <v>4557</v>
      </c>
      <c r="E10046" s="21"/>
      <c r="F10046" s="22">
        <f>F10056</f>
        <v>27.25</v>
      </c>
      <c r="G10046" s="21"/>
    </row>
    <row r="10047" ht="30.0" customHeight="1">
      <c r="A10047" s="11"/>
      <c r="B10047" s="11"/>
      <c r="C10047" s="11"/>
      <c r="D10047" s="10" t="s">
        <v>4558</v>
      </c>
    </row>
    <row r="10048" ht="39.75" customHeight="1">
      <c r="A10048" s="10" t="s">
        <v>4116</v>
      </c>
      <c r="B10048" s="10" t="s">
        <v>42</v>
      </c>
      <c r="C10048" s="10" t="s">
        <v>1939</v>
      </c>
      <c r="D10048" s="10" t="s">
        <v>4117</v>
      </c>
      <c r="E10048" s="14">
        <v>0.042</v>
      </c>
      <c r="F10048" s="15">
        <f>ROUND(44.84,3)</f>
        <v>44.84</v>
      </c>
      <c r="G10048" s="12">
        <f t="shared" ref="G10048:G10054" si="1506">ROUND(E10048*F10048,2)</f>
        <v>1.88</v>
      </c>
    </row>
    <row r="10049" ht="57.75" customHeight="1">
      <c r="A10049" s="10" t="s">
        <v>4249</v>
      </c>
      <c r="B10049" s="10" t="s">
        <v>42</v>
      </c>
      <c r="C10049" s="10" t="s">
        <v>226</v>
      </c>
      <c r="D10049" s="10" t="s">
        <v>4250</v>
      </c>
      <c r="E10049" s="14">
        <v>0.13333</v>
      </c>
      <c r="F10049" s="15">
        <f>ROUND(39.9,3)</f>
        <v>39.9</v>
      </c>
      <c r="G10049" s="12">
        <f t="shared" si="1506"/>
        <v>5.32</v>
      </c>
    </row>
    <row r="10050" ht="21.0" customHeight="1">
      <c r="A10050" s="10" t="s">
        <v>22</v>
      </c>
      <c r="B10050" s="10" t="s">
        <v>18</v>
      </c>
      <c r="C10050" s="10" t="s">
        <v>23</v>
      </c>
      <c r="D10050" s="10" t="s">
        <v>24</v>
      </c>
      <c r="E10050" s="14">
        <v>0.44444</v>
      </c>
      <c r="F10050" s="15">
        <f>F10054</f>
        <v>43.8</v>
      </c>
      <c r="G10050" s="12">
        <f t="shared" si="1506"/>
        <v>19.47</v>
      </c>
    </row>
    <row r="10051" ht="24.0" customHeight="1">
      <c r="A10051" s="10" t="s">
        <v>25</v>
      </c>
      <c r="B10051" s="10" t="s">
        <v>26</v>
      </c>
      <c r="C10051" s="10" t="s">
        <v>23</v>
      </c>
      <c r="D10051" s="10" t="s">
        <v>27</v>
      </c>
      <c r="E10051" s="14">
        <v>1.0</v>
      </c>
      <c r="F10051" s="15">
        <f>ROUND(21,3)</f>
        <v>21</v>
      </c>
      <c r="G10051" s="12">
        <f t="shared" si="1506"/>
        <v>21</v>
      </c>
    </row>
    <row r="10052" ht="24.0" customHeight="1">
      <c r="A10052" s="10" t="s">
        <v>28</v>
      </c>
      <c r="B10052" s="10" t="s">
        <v>26</v>
      </c>
      <c r="C10052" s="10" t="s">
        <v>23</v>
      </c>
      <c r="D10052" s="10" t="s">
        <v>29</v>
      </c>
      <c r="E10052" s="14">
        <v>1.0</v>
      </c>
      <c r="F10052" s="15">
        <f t="shared" ref="F10052:F10053" si="1507">ROUND(19,3)</f>
        <v>19</v>
      </c>
      <c r="G10052" s="12">
        <f t="shared" si="1506"/>
        <v>19</v>
      </c>
    </row>
    <row r="10053" ht="24.0" customHeight="1">
      <c r="A10053" s="10" t="s">
        <v>30</v>
      </c>
      <c r="B10053" s="10" t="s">
        <v>26</v>
      </c>
      <c r="C10053" s="10" t="s">
        <v>23</v>
      </c>
      <c r="D10053" s="10" t="s">
        <v>31</v>
      </c>
      <c r="E10053" s="14">
        <v>0.2</v>
      </c>
      <c r="F10053" s="15">
        <f t="shared" si="1507"/>
        <v>19</v>
      </c>
      <c r="G10053" s="12">
        <f t="shared" si="1506"/>
        <v>3.8</v>
      </c>
    </row>
    <row r="10054" ht="15.0" customHeight="1">
      <c r="A10054" s="11"/>
      <c r="B10054" s="11"/>
      <c r="C10054" s="11"/>
      <c r="D10054" s="10" t="s">
        <v>22</v>
      </c>
      <c r="E10054" s="14">
        <v>0.44444</v>
      </c>
      <c r="F10054" s="15">
        <f>ROUND((G10051+G10052+G10053),3)</f>
        <v>43.8</v>
      </c>
      <c r="G10054" s="12">
        <f t="shared" si="1506"/>
        <v>19.47</v>
      </c>
    </row>
    <row r="10055" ht="15.0" customHeight="1">
      <c r="A10055" s="10" t="s">
        <v>32</v>
      </c>
      <c r="B10055" s="10"/>
      <c r="C10055" s="10" t="s">
        <v>33</v>
      </c>
      <c r="D10055" s="10" t="s">
        <v>34</v>
      </c>
      <c r="E10055" s="14">
        <v>3.0</v>
      </c>
      <c r="F10055" s="15">
        <f>ROUND(19.47,3)</f>
        <v>19.47</v>
      </c>
      <c r="G10055" s="12">
        <f>ROUND((E10055*F10055)/100,2)</f>
        <v>0.58</v>
      </c>
    </row>
    <row r="10056" ht="15.0" customHeight="1">
      <c r="A10056" s="16"/>
      <c r="B10056" s="16"/>
      <c r="C10056" s="16"/>
      <c r="D10056" s="17" t="s">
        <v>4556</v>
      </c>
      <c r="E10056" s="16"/>
      <c r="F10056" s="18">
        <f>ROUND((G10048+G10049+G10050+G10055)*(1+G2/100),2)</f>
        <v>27.25</v>
      </c>
      <c r="G10056" s="16"/>
    </row>
    <row r="10057" ht="67.5" customHeight="1">
      <c r="A10057" s="19" t="s">
        <v>4559</v>
      </c>
      <c r="B10057" s="20" t="s">
        <v>18</v>
      </c>
      <c r="C10057" s="20" t="s">
        <v>19</v>
      </c>
      <c r="D10057" s="20" t="s">
        <v>4560</v>
      </c>
      <c r="E10057" s="21"/>
      <c r="F10057" s="22">
        <f>F10067</f>
        <v>26.78</v>
      </c>
      <c r="G10057" s="21"/>
    </row>
    <row r="10058" ht="30.0" customHeight="1">
      <c r="A10058" s="11"/>
      <c r="B10058" s="11"/>
      <c r="C10058" s="11"/>
      <c r="D10058" s="10" t="s">
        <v>4561</v>
      </c>
    </row>
    <row r="10059" ht="48.75" customHeight="1">
      <c r="A10059" s="10" t="s">
        <v>4228</v>
      </c>
      <c r="B10059" s="10" t="s">
        <v>42</v>
      </c>
      <c r="C10059" s="10" t="s">
        <v>276</v>
      </c>
      <c r="D10059" s="10" t="s">
        <v>4229</v>
      </c>
      <c r="E10059" s="14">
        <v>0.01458</v>
      </c>
      <c r="F10059" s="15">
        <f>ROUND(42.95,3)</f>
        <v>42.95</v>
      </c>
      <c r="G10059" s="12">
        <f t="shared" ref="G10059:G10065" si="1508">ROUND(E10059*F10059,2)</f>
        <v>0.63</v>
      </c>
    </row>
    <row r="10060" ht="57.75" customHeight="1">
      <c r="A10060" s="10" t="s">
        <v>4249</v>
      </c>
      <c r="B10060" s="10" t="s">
        <v>42</v>
      </c>
      <c r="C10060" s="10" t="s">
        <v>226</v>
      </c>
      <c r="D10060" s="10" t="s">
        <v>4250</v>
      </c>
      <c r="E10060" s="14">
        <v>0.13333</v>
      </c>
      <c r="F10060" s="15">
        <f>ROUND(39.9,3)</f>
        <v>39.9</v>
      </c>
      <c r="G10060" s="12">
        <f t="shared" si="1508"/>
        <v>5.32</v>
      </c>
    </row>
    <row r="10061" ht="21.0" customHeight="1">
      <c r="A10061" s="10" t="s">
        <v>22</v>
      </c>
      <c r="B10061" s="10" t="s">
        <v>18</v>
      </c>
      <c r="C10061" s="10" t="s">
        <v>23</v>
      </c>
      <c r="D10061" s="10" t="s">
        <v>24</v>
      </c>
      <c r="E10061" s="14">
        <v>0.44444</v>
      </c>
      <c r="F10061" s="15">
        <f>F10065</f>
        <v>43.8</v>
      </c>
      <c r="G10061" s="12">
        <f t="shared" si="1508"/>
        <v>19.47</v>
      </c>
    </row>
    <row r="10062" ht="24.0" customHeight="1">
      <c r="A10062" s="10" t="s">
        <v>25</v>
      </c>
      <c r="B10062" s="10" t="s">
        <v>26</v>
      </c>
      <c r="C10062" s="10" t="s">
        <v>23</v>
      </c>
      <c r="D10062" s="10" t="s">
        <v>27</v>
      </c>
      <c r="E10062" s="14">
        <v>1.0</v>
      </c>
      <c r="F10062" s="15">
        <f>ROUND(21,3)</f>
        <v>21</v>
      </c>
      <c r="G10062" s="12">
        <f t="shared" si="1508"/>
        <v>21</v>
      </c>
    </row>
    <row r="10063" ht="24.0" customHeight="1">
      <c r="A10063" s="10" t="s">
        <v>28</v>
      </c>
      <c r="B10063" s="10" t="s">
        <v>26</v>
      </c>
      <c r="C10063" s="10" t="s">
        <v>23</v>
      </c>
      <c r="D10063" s="10" t="s">
        <v>29</v>
      </c>
      <c r="E10063" s="14">
        <v>1.0</v>
      </c>
      <c r="F10063" s="15">
        <f t="shared" ref="F10063:F10064" si="1509">ROUND(19,3)</f>
        <v>19</v>
      </c>
      <c r="G10063" s="12">
        <f t="shared" si="1508"/>
        <v>19</v>
      </c>
    </row>
    <row r="10064" ht="24.0" customHeight="1">
      <c r="A10064" s="10" t="s">
        <v>30</v>
      </c>
      <c r="B10064" s="10" t="s">
        <v>26</v>
      </c>
      <c r="C10064" s="10" t="s">
        <v>23</v>
      </c>
      <c r="D10064" s="10" t="s">
        <v>31</v>
      </c>
      <c r="E10064" s="14">
        <v>0.2</v>
      </c>
      <c r="F10064" s="15">
        <f t="shared" si="1509"/>
        <v>19</v>
      </c>
      <c r="G10064" s="12">
        <f t="shared" si="1508"/>
        <v>3.8</v>
      </c>
    </row>
    <row r="10065" ht="15.0" customHeight="1">
      <c r="A10065" s="11"/>
      <c r="B10065" s="11"/>
      <c r="C10065" s="11"/>
      <c r="D10065" s="10" t="s">
        <v>22</v>
      </c>
      <c r="E10065" s="14">
        <v>0.44444</v>
      </c>
      <c r="F10065" s="15">
        <f>ROUND((G10062+G10063+G10064),3)</f>
        <v>43.8</v>
      </c>
      <c r="G10065" s="12">
        <f t="shared" si="1508"/>
        <v>19.47</v>
      </c>
    </row>
    <row r="10066" ht="15.0" customHeight="1">
      <c r="A10066" s="10" t="s">
        <v>32</v>
      </c>
      <c r="B10066" s="10"/>
      <c r="C10066" s="10" t="s">
        <v>33</v>
      </c>
      <c r="D10066" s="10" t="s">
        <v>34</v>
      </c>
      <c r="E10066" s="14">
        <v>7.0</v>
      </c>
      <c r="F10066" s="15">
        <f>ROUND(19.47,3)</f>
        <v>19.47</v>
      </c>
      <c r="G10066" s="12">
        <f>ROUND((E10066*F10066)/100,2)</f>
        <v>1.36</v>
      </c>
    </row>
    <row r="10067" ht="15.0" customHeight="1">
      <c r="A10067" s="16"/>
      <c r="B10067" s="16"/>
      <c r="C10067" s="16"/>
      <c r="D10067" s="17" t="s">
        <v>4559</v>
      </c>
      <c r="E10067" s="16"/>
      <c r="F10067" s="18">
        <f>ROUND((G10059+G10060+G10061+G10066)*(1+G2/100),2)</f>
        <v>26.78</v>
      </c>
      <c r="G10067" s="16"/>
    </row>
    <row r="10068" ht="67.5" customHeight="1">
      <c r="A10068" s="19" t="s">
        <v>4562</v>
      </c>
      <c r="B10068" s="20" t="s">
        <v>18</v>
      </c>
      <c r="C10068" s="20" t="s">
        <v>19</v>
      </c>
      <c r="D10068" s="20" t="s">
        <v>4563</v>
      </c>
      <c r="E10068" s="21"/>
      <c r="F10068" s="22">
        <f>F10078</f>
        <v>29.71</v>
      </c>
      <c r="G10068" s="21"/>
    </row>
    <row r="10069" ht="30.0" customHeight="1">
      <c r="A10069" s="11"/>
      <c r="B10069" s="11"/>
      <c r="C10069" s="11"/>
      <c r="D10069" s="10" t="s">
        <v>4564</v>
      </c>
    </row>
    <row r="10070" ht="39.75" customHeight="1">
      <c r="A10070" s="10" t="s">
        <v>4116</v>
      </c>
      <c r="B10070" s="10" t="s">
        <v>42</v>
      </c>
      <c r="C10070" s="10" t="s">
        <v>1939</v>
      </c>
      <c r="D10070" s="10" t="s">
        <v>4117</v>
      </c>
      <c r="E10070" s="14">
        <v>0.042</v>
      </c>
      <c r="F10070" s="15">
        <f>ROUND(44.84,3)</f>
        <v>44.84</v>
      </c>
      <c r="G10070" s="12">
        <f t="shared" ref="G10070:G10076" si="1510">ROUND(E10070*F10070,2)</f>
        <v>1.88</v>
      </c>
    </row>
    <row r="10071" ht="48.75" customHeight="1">
      <c r="A10071" s="10" t="s">
        <v>4244</v>
      </c>
      <c r="B10071" s="10" t="s">
        <v>42</v>
      </c>
      <c r="C10071" s="10" t="s">
        <v>226</v>
      </c>
      <c r="D10071" s="10" t="s">
        <v>4245</v>
      </c>
      <c r="E10071" s="14">
        <v>0.13333</v>
      </c>
      <c r="F10071" s="15">
        <f>ROUND(52.5,3)</f>
        <v>52.5</v>
      </c>
      <c r="G10071" s="12">
        <f t="shared" si="1510"/>
        <v>7</v>
      </c>
    </row>
    <row r="10072" ht="21.0" customHeight="1">
      <c r="A10072" s="10" t="s">
        <v>22</v>
      </c>
      <c r="B10072" s="10" t="s">
        <v>18</v>
      </c>
      <c r="C10072" s="10" t="s">
        <v>23</v>
      </c>
      <c r="D10072" s="10" t="s">
        <v>24</v>
      </c>
      <c r="E10072" s="14">
        <v>0.44444</v>
      </c>
      <c r="F10072" s="15">
        <f>F10076</f>
        <v>43.8</v>
      </c>
      <c r="G10072" s="12">
        <f t="shared" si="1510"/>
        <v>19.47</v>
      </c>
    </row>
    <row r="10073" ht="24.0" customHeight="1">
      <c r="A10073" s="10" t="s">
        <v>25</v>
      </c>
      <c r="B10073" s="10" t="s">
        <v>26</v>
      </c>
      <c r="C10073" s="10" t="s">
        <v>23</v>
      </c>
      <c r="D10073" s="10" t="s">
        <v>27</v>
      </c>
      <c r="E10073" s="14">
        <v>1.0</v>
      </c>
      <c r="F10073" s="15">
        <f>ROUND(21,3)</f>
        <v>21</v>
      </c>
      <c r="G10073" s="12">
        <f t="shared" si="1510"/>
        <v>21</v>
      </c>
    </row>
    <row r="10074" ht="24.0" customHeight="1">
      <c r="A10074" s="10" t="s">
        <v>28</v>
      </c>
      <c r="B10074" s="10" t="s">
        <v>26</v>
      </c>
      <c r="C10074" s="10" t="s">
        <v>23</v>
      </c>
      <c r="D10074" s="10" t="s">
        <v>29</v>
      </c>
      <c r="E10074" s="14">
        <v>1.0</v>
      </c>
      <c r="F10074" s="15">
        <f t="shared" ref="F10074:F10075" si="1511">ROUND(19,3)</f>
        <v>19</v>
      </c>
      <c r="G10074" s="12">
        <f t="shared" si="1510"/>
        <v>19</v>
      </c>
    </row>
    <row r="10075" ht="24.0" customHeight="1">
      <c r="A10075" s="10" t="s">
        <v>30</v>
      </c>
      <c r="B10075" s="10" t="s">
        <v>26</v>
      </c>
      <c r="C10075" s="10" t="s">
        <v>23</v>
      </c>
      <c r="D10075" s="10" t="s">
        <v>31</v>
      </c>
      <c r="E10075" s="14">
        <v>0.2</v>
      </c>
      <c r="F10075" s="15">
        <f t="shared" si="1511"/>
        <v>19</v>
      </c>
      <c r="G10075" s="12">
        <f t="shared" si="1510"/>
        <v>3.8</v>
      </c>
    </row>
    <row r="10076" ht="15.0" customHeight="1">
      <c r="A10076" s="11"/>
      <c r="B10076" s="11"/>
      <c r="C10076" s="11"/>
      <c r="D10076" s="10" t="s">
        <v>22</v>
      </c>
      <c r="E10076" s="14">
        <v>0.44444</v>
      </c>
      <c r="F10076" s="15">
        <f>ROUND((G10073+G10074+G10075),3)</f>
        <v>43.8</v>
      </c>
      <c r="G10076" s="12">
        <f t="shared" si="1510"/>
        <v>19.47</v>
      </c>
    </row>
    <row r="10077" ht="15.0" customHeight="1">
      <c r="A10077" s="10" t="s">
        <v>32</v>
      </c>
      <c r="B10077" s="10"/>
      <c r="C10077" s="10" t="s">
        <v>33</v>
      </c>
      <c r="D10077" s="10" t="s">
        <v>34</v>
      </c>
      <c r="E10077" s="14">
        <v>7.0</v>
      </c>
      <c r="F10077" s="15">
        <f>ROUND(19.47,3)</f>
        <v>19.47</v>
      </c>
      <c r="G10077" s="12">
        <f>ROUND((E10077*F10077)/100,2)</f>
        <v>1.36</v>
      </c>
    </row>
    <row r="10078" ht="15.0" customHeight="1">
      <c r="A10078" s="16"/>
      <c r="B10078" s="16"/>
      <c r="C10078" s="16"/>
      <c r="D10078" s="17" t="s">
        <v>4562</v>
      </c>
      <c r="E10078" s="16"/>
      <c r="F10078" s="18">
        <f>ROUND((G10070+G10071+G10072+G10077)*(1+G2/100),2)</f>
        <v>29.71</v>
      </c>
      <c r="G10078" s="16"/>
    </row>
    <row r="10079" ht="67.5" customHeight="1">
      <c r="A10079" s="19" t="s">
        <v>4565</v>
      </c>
      <c r="B10079" s="20" t="s">
        <v>18</v>
      </c>
      <c r="C10079" s="20" t="s">
        <v>19</v>
      </c>
      <c r="D10079" s="20" t="s">
        <v>4566</v>
      </c>
      <c r="E10079" s="21"/>
      <c r="F10079" s="22">
        <f>F10089</f>
        <v>28.46</v>
      </c>
      <c r="G10079" s="21"/>
    </row>
    <row r="10080" ht="30.0" customHeight="1">
      <c r="A10080" s="11"/>
      <c r="B10080" s="11"/>
      <c r="C10080" s="11"/>
      <c r="D10080" s="10" t="s">
        <v>4567</v>
      </c>
    </row>
    <row r="10081" ht="48.75" customHeight="1">
      <c r="A10081" s="10" t="s">
        <v>4228</v>
      </c>
      <c r="B10081" s="10" t="s">
        <v>42</v>
      </c>
      <c r="C10081" s="10" t="s">
        <v>276</v>
      </c>
      <c r="D10081" s="10" t="s">
        <v>4229</v>
      </c>
      <c r="E10081" s="14">
        <v>0.01458</v>
      </c>
      <c r="F10081" s="15">
        <f>ROUND(42.95,3)</f>
        <v>42.95</v>
      </c>
      <c r="G10081" s="12">
        <f t="shared" ref="G10081:G10087" si="1512">ROUND(E10081*F10081,2)</f>
        <v>0.63</v>
      </c>
    </row>
    <row r="10082" ht="48.75" customHeight="1">
      <c r="A10082" s="10" t="s">
        <v>4244</v>
      </c>
      <c r="B10082" s="10" t="s">
        <v>42</v>
      </c>
      <c r="C10082" s="10" t="s">
        <v>226</v>
      </c>
      <c r="D10082" s="10" t="s">
        <v>4245</v>
      </c>
      <c r="E10082" s="14">
        <v>0.13333</v>
      </c>
      <c r="F10082" s="15">
        <f>ROUND(52.5,3)</f>
        <v>52.5</v>
      </c>
      <c r="G10082" s="12">
        <f t="shared" si="1512"/>
        <v>7</v>
      </c>
    </row>
    <row r="10083" ht="21.0" customHeight="1">
      <c r="A10083" s="10" t="s">
        <v>22</v>
      </c>
      <c r="B10083" s="10" t="s">
        <v>18</v>
      </c>
      <c r="C10083" s="10" t="s">
        <v>23</v>
      </c>
      <c r="D10083" s="10" t="s">
        <v>24</v>
      </c>
      <c r="E10083" s="14">
        <v>0.44444</v>
      </c>
      <c r="F10083" s="15">
        <f>F10087</f>
        <v>43.8</v>
      </c>
      <c r="G10083" s="12">
        <f t="shared" si="1512"/>
        <v>19.47</v>
      </c>
    </row>
    <row r="10084" ht="24.0" customHeight="1">
      <c r="A10084" s="10" t="s">
        <v>25</v>
      </c>
      <c r="B10084" s="10" t="s">
        <v>26</v>
      </c>
      <c r="C10084" s="10" t="s">
        <v>23</v>
      </c>
      <c r="D10084" s="10" t="s">
        <v>27</v>
      </c>
      <c r="E10084" s="14">
        <v>1.0</v>
      </c>
      <c r="F10084" s="15">
        <f>ROUND(21,3)</f>
        <v>21</v>
      </c>
      <c r="G10084" s="12">
        <f t="shared" si="1512"/>
        <v>21</v>
      </c>
    </row>
    <row r="10085" ht="24.0" customHeight="1">
      <c r="A10085" s="10" t="s">
        <v>28</v>
      </c>
      <c r="B10085" s="10" t="s">
        <v>26</v>
      </c>
      <c r="C10085" s="10" t="s">
        <v>23</v>
      </c>
      <c r="D10085" s="10" t="s">
        <v>29</v>
      </c>
      <c r="E10085" s="14">
        <v>1.0</v>
      </c>
      <c r="F10085" s="15">
        <f t="shared" ref="F10085:F10086" si="1513">ROUND(19,3)</f>
        <v>19</v>
      </c>
      <c r="G10085" s="12">
        <f t="shared" si="1512"/>
        <v>19</v>
      </c>
    </row>
    <row r="10086" ht="24.0" customHeight="1">
      <c r="A10086" s="10" t="s">
        <v>30</v>
      </c>
      <c r="B10086" s="10" t="s">
        <v>26</v>
      </c>
      <c r="C10086" s="10" t="s">
        <v>23</v>
      </c>
      <c r="D10086" s="10" t="s">
        <v>31</v>
      </c>
      <c r="E10086" s="14">
        <v>0.2</v>
      </c>
      <c r="F10086" s="15">
        <f t="shared" si="1513"/>
        <v>19</v>
      </c>
      <c r="G10086" s="12">
        <f t="shared" si="1512"/>
        <v>3.8</v>
      </c>
    </row>
    <row r="10087" ht="15.0" customHeight="1">
      <c r="A10087" s="11"/>
      <c r="B10087" s="11"/>
      <c r="C10087" s="11"/>
      <c r="D10087" s="10" t="s">
        <v>22</v>
      </c>
      <c r="E10087" s="14">
        <v>0.44444</v>
      </c>
      <c r="F10087" s="15">
        <f>ROUND((G10084+G10085+G10086),3)</f>
        <v>43.8</v>
      </c>
      <c r="G10087" s="12">
        <f t="shared" si="1512"/>
        <v>19.47</v>
      </c>
    </row>
    <row r="10088" ht="15.0" customHeight="1">
      <c r="A10088" s="10" t="s">
        <v>32</v>
      </c>
      <c r="B10088" s="10"/>
      <c r="C10088" s="10" t="s">
        <v>33</v>
      </c>
      <c r="D10088" s="10" t="s">
        <v>34</v>
      </c>
      <c r="E10088" s="14">
        <v>7.0</v>
      </c>
      <c r="F10088" s="15">
        <f>ROUND(19.47,3)</f>
        <v>19.47</v>
      </c>
      <c r="G10088" s="12">
        <f>ROUND((E10088*F10088)/100,2)</f>
        <v>1.36</v>
      </c>
    </row>
    <row r="10089" ht="15.0" customHeight="1">
      <c r="A10089" s="16"/>
      <c r="B10089" s="16"/>
      <c r="C10089" s="16"/>
      <c r="D10089" s="17" t="s">
        <v>4565</v>
      </c>
      <c r="E10089" s="16"/>
      <c r="F10089" s="18">
        <f>ROUND((G10081+G10082+G10083+G10088)*(1+G2/100),2)</f>
        <v>28.46</v>
      </c>
      <c r="G10089" s="16"/>
    </row>
    <row r="10090" ht="67.5" customHeight="1">
      <c r="A10090" s="19" t="s">
        <v>4568</v>
      </c>
      <c r="B10090" s="20" t="s">
        <v>18</v>
      </c>
      <c r="C10090" s="20" t="s">
        <v>19</v>
      </c>
      <c r="D10090" s="20" t="s">
        <v>4569</v>
      </c>
      <c r="E10090" s="21"/>
      <c r="F10090" s="22">
        <f>F10100</f>
        <v>25.25</v>
      </c>
      <c r="G10090" s="21"/>
    </row>
    <row r="10091" ht="30.0" customHeight="1">
      <c r="A10091" s="11"/>
      <c r="B10091" s="11"/>
      <c r="C10091" s="11"/>
      <c r="D10091" s="10" t="s">
        <v>4570</v>
      </c>
    </row>
    <row r="10092" ht="48.75" customHeight="1">
      <c r="A10092" s="10" t="s">
        <v>4228</v>
      </c>
      <c r="B10092" s="10" t="s">
        <v>42</v>
      </c>
      <c r="C10092" s="10" t="s">
        <v>276</v>
      </c>
      <c r="D10092" s="10" t="s">
        <v>4229</v>
      </c>
      <c r="E10092" s="14">
        <v>0.01458</v>
      </c>
      <c r="F10092" s="15">
        <f>ROUND(42.95,3)</f>
        <v>42.95</v>
      </c>
      <c r="G10092" s="12">
        <f t="shared" ref="G10092:G10098" si="1514">ROUND(E10092*F10092,2)</f>
        <v>0.63</v>
      </c>
    </row>
    <row r="10093" ht="48.75" customHeight="1">
      <c r="A10093" s="10" t="s">
        <v>4118</v>
      </c>
      <c r="B10093" s="10" t="s">
        <v>42</v>
      </c>
      <c r="C10093" s="10" t="s">
        <v>226</v>
      </c>
      <c r="D10093" s="10" t="s">
        <v>4119</v>
      </c>
      <c r="E10093" s="14">
        <v>0.13333</v>
      </c>
      <c r="F10093" s="15">
        <f>ROUND(28.4,3)</f>
        <v>28.4</v>
      </c>
      <c r="G10093" s="12">
        <f t="shared" si="1514"/>
        <v>3.79</v>
      </c>
    </row>
    <row r="10094" ht="21.0" customHeight="1">
      <c r="A10094" s="10" t="s">
        <v>22</v>
      </c>
      <c r="B10094" s="10" t="s">
        <v>18</v>
      </c>
      <c r="C10094" s="10" t="s">
        <v>23</v>
      </c>
      <c r="D10094" s="10" t="s">
        <v>24</v>
      </c>
      <c r="E10094" s="14">
        <v>0.44444</v>
      </c>
      <c r="F10094" s="15">
        <f>F10098</f>
        <v>43.8</v>
      </c>
      <c r="G10094" s="12">
        <f t="shared" si="1514"/>
        <v>19.47</v>
      </c>
    </row>
    <row r="10095" ht="24.0" customHeight="1">
      <c r="A10095" s="10" t="s">
        <v>25</v>
      </c>
      <c r="B10095" s="10" t="s">
        <v>26</v>
      </c>
      <c r="C10095" s="10" t="s">
        <v>23</v>
      </c>
      <c r="D10095" s="10" t="s">
        <v>27</v>
      </c>
      <c r="E10095" s="14">
        <v>1.0</v>
      </c>
      <c r="F10095" s="15">
        <f>ROUND(21,3)</f>
        <v>21</v>
      </c>
      <c r="G10095" s="12">
        <f t="shared" si="1514"/>
        <v>21</v>
      </c>
    </row>
    <row r="10096" ht="24.0" customHeight="1">
      <c r="A10096" s="10" t="s">
        <v>28</v>
      </c>
      <c r="B10096" s="10" t="s">
        <v>26</v>
      </c>
      <c r="C10096" s="10" t="s">
        <v>23</v>
      </c>
      <c r="D10096" s="10" t="s">
        <v>29</v>
      </c>
      <c r="E10096" s="14">
        <v>1.0</v>
      </c>
      <c r="F10096" s="15">
        <f t="shared" ref="F10096:F10097" si="1515">ROUND(19,3)</f>
        <v>19</v>
      </c>
      <c r="G10096" s="12">
        <f t="shared" si="1514"/>
        <v>19</v>
      </c>
    </row>
    <row r="10097" ht="24.0" customHeight="1">
      <c r="A10097" s="10" t="s">
        <v>30</v>
      </c>
      <c r="B10097" s="10" t="s">
        <v>26</v>
      </c>
      <c r="C10097" s="10" t="s">
        <v>23</v>
      </c>
      <c r="D10097" s="10" t="s">
        <v>31</v>
      </c>
      <c r="E10097" s="14">
        <v>0.2</v>
      </c>
      <c r="F10097" s="15">
        <f t="shared" si="1515"/>
        <v>19</v>
      </c>
      <c r="G10097" s="12">
        <f t="shared" si="1514"/>
        <v>3.8</v>
      </c>
    </row>
    <row r="10098" ht="15.0" customHeight="1">
      <c r="A10098" s="11"/>
      <c r="B10098" s="11"/>
      <c r="C10098" s="11"/>
      <c r="D10098" s="10" t="s">
        <v>22</v>
      </c>
      <c r="E10098" s="14">
        <v>0.44444</v>
      </c>
      <c r="F10098" s="15">
        <f>ROUND((G10095+G10096+G10097),3)</f>
        <v>43.8</v>
      </c>
      <c r="G10098" s="12">
        <f t="shared" si="1514"/>
        <v>19.47</v>
      </c>
    </row>
    <row r="10099" ht="15.0" customHeight="1">
      <c r="A10099" s="10" t="s">
        <v>32</v>
      </c>
      <c r="B10099" s="10"/>
      <c r="C10099" s="10" t="s">
        <v>33</v>
      </c>
      <c r="D10099" s="10" t="s">
        <v>34</v>
      </c>
      <c r="E10099" s="14">
        <v>7.0</v>
      </c>
      <c r="F10099" s="15">
        <f>ROUND(19.47,3)</f>
        <v>19.47</v>
      </c>
      <c r="G10099" s="12">
        <f>ROUND((E10099*F10099)/100,2)</f>
        <v>1.36</v>
      </c>
    </row>
    <row r="10100" ht="15.0" customHeight="1">
      <c r="A10100" s="16"/>
      <c r="B10100" s="16"/>
      <c r="C10100" s="16"/>
      <c r="D10100" s="17" t="s">
        <v>4568</v>
      </c>
      <c r="E10100" s="16"/>
      <c r="F10100" s="18">
        <f>ROUND((G10092+G10093+G10094+G10099)*(1+G2/100),2)</f>
        <v>25.25</v>
      </c>
      <c r="G10100" s="16"/>
    </row>
    <row r="10101" ht="48.75" customHeight="1">
      <c r="A10101" s="19" t="s">
        <v>4571</v>
      </c>
      <c r="B10101" s="20" t="s">
        <v>18</v>
      </c>
      <c r="C10101" s="20" t="s">
        <v>19</v>
      </c>
      <c r="D10101" s="20" t="s">
        <v>4572</v>
      </c>
      <c r="E10101" s="21"/>
      <c r="F10101" s="22">
        <f>F10111</f>
        <v>28.58</v>
      </c>
      <c r="G10101" s="21"/>
    </row>
    <row r="10102" ht="21.0" customHeight="1">
      <c r="A10102" s="11"/>
      <c r="B10102" s="11"/>
      <c r="C10102" s="11"/>
      <c r="D10102" s="10" t="s">
        <v>4573</v>
      </c>
    </row>
    <row r="10103" ht="48.75" customHeight="1">
      <c r="A10103" s="10" t="s">
        <v>3679</v>
      </c>
      <c r="B10103" s="10" t="s">
        <v>42</v>
      </c>
      <c r="C10103" s="10" t="s">
        <v>43</v>
      </c>
      <c r="D10103" s="10" t="s">
        <v>3680</v>
      </c>
      <c r="E10103" s="14">
        <v>0.17733</v>
      </c>
      <c r="F10103" s="15">
        <f>ROUND(37.92,3)</f>
        <v>37.92</v>
      </c>
      <c r="G10103" s="12">
        <f t="shared" ref="G10103:G10109" si="1516">ROUND(E10103*F10103,2)</f>
        <v>6.72</v>
      </c>
    </row>
    <row r="10104" ht="39.75" customHeight="1">
      <c r="A10104" s="10" t="s">
        <v>4574</v>
      </c>
      <c r="B10104" s="10" t="s">
        <v>42</v>
      </c>
      <c r="C10104" s="10" t="s">
        <v>351</v>
      </c>
      <c r="D10104" s="10" t="s">
        <v>4575</v>
      </c>
      <c r="E10104" s="14">
        <v>0.04433</v>
      </c>
      <c r="F10104" s="15">
        <f>ROUND(23.25,3)</f>
        <v>23.25</v>
      </c>
      <c r="G10104" s="12">
        <f t="shared" si="1516"/>
        <v>1.03</v>
      </c>
    </row>
    <row r="10105" ht="21.0" customHeight="1">
      <c r="A10105" s="10" t="s">
        <v>22</v>
      </c>
      <c r="B10105" s="10" t="s">
        <v>18</v>
      </c>
      <c r="C10105" s="10" t="s">
        <v>23</v>
      </c>
      <c r="D10105" s="10" t="s">
        <v>24</v>
      </c>
      <c r="E10105" s="14">
        <v>0.44444</v>
      </c>
      <c r="F10105" s="15">
        <f>F10109</f>
        <v>43.8</v>
      </c>
      <c r="G10105" s="12">
        <f t="shared" si="1516"/>
        <v>19.47</v>
      </c>
    </row>
    <row r="10106" ht="24.0" customHeight="1">
      <c r="A10106" s="10" t="s">
        <v>25</v>
      </c>
      <c r="B10106" s="10" t="s">
        <v>26</v>
      </c>
      <c r="C10106" s="10" t="s">
        <v>23</v>
      </c>
      <c r="D10106" s="10" t="s">
        <v>27</v>
      </c>
      <c r="E10106" s="14">
        <v>1.0</v>
      </c>
      <c r="F10106" s="15">
        <f>ROUND(21,3)</f>
        <v>21</v>
      </c>
      <c r="G10106" s="12">
        <f t="shared" si="1516"/>
        <v>21</v>
      </c>
    </row>
    <row r="10107" ht="24.0" customHeight="1">
      <c r="A10107" s="10" t="s">
        <v>28</v>
      </c>
      <c r="B10107" s="10" t="s">
        <v>26</v>
      </c>
      <c r="C10107" s="10" t="s">
        <v>23</v>
      </c>
      <c r="D10107" s="10" t="s">
        <v>29</v>
      </c>
      <c r="E10107" s="14">
        <v>1.0</v>
      </c>
      <c r="F10107" s="15">
        <f t="shared" ref="F10107:F10108" si="1517">ROUND(19,3)</f>
        <v>19</v>
      </c>
      <c r="G10107" s="12">
        <f t="shared" si="1516"/>
        <v>19</v>
      </c>
    </row>
    <row r="10108" ht="24.0" customHeight="1">
      <c r="A10108" s="10" t="s">
        <v>30</v>
      </c>
      <c r="B10108" s="10" t="s">
        <v>26</v>
      </c>
      <c r="C10108" s="10" t="s">
        <v>23</v>
      </c>
      <c r="D10108" s="10" t="s">
        <v>31</v>
      </c>
      <c r="E10108" s="14">
        <v>0.2</v>
      </c>
      <c r="F10108" s="15">
        <f t="shared" si="1517"/>
        <v>19</v>
      </c>
      <c r="G10108" s="12">
        <f t="shared" si="1516"/>
        <v>3.8</v>
      </c>
    </row>
    <row r="10109" ht="15.0" customHeight="1">
      <c r="A10109" s="11"/>
      <c r="B10109" s="11"/>
      <c r="C10109" s="11"/>
      <c r="D10109" s="10" t="s">
        <v>22</v>
      </c>
      <c r="E10109" s="14">
        <v>0.44444</v>
      </c>
      <c r="F10109" s="15">
        <f>ROUND((G10106+G10107+G10108),3)</f>
        <v>43.8</v>
      </c>
      <c r="G10109" s="12">
        <f t="shared" si="1516"/>
        <v>19.47</v>
      </c>
    </row>
    <row r="10110" ht="15.0" customHeight="1">
      <c r="A10110" s="10" t="s">
        <v>32</v>
      </c>
      <c r="B10110" s="10"/>
      <c r="C10110" s="10" t="s">
        <v>33</v>
      </c>
      <c r="D10110" s="10" t="s">
        <v>34</v>
      </c>
      <c r="E10110" s="14">
        <v>7.0</v>
      </c>
      <c r="F10110" s="15">
        <f>ROUND(19.47,3)</f>
        <v>19.47</v>
      </c>
      <c r="G10110" s="12">
        <f>ROUND((E10110*F10110)/100,2)</f>
        <v>1.36</v>
      </c>
    </row>
    <row r="10111" ht="15.0" customHeight="1">
      <c r="A10111" s="16"/>
      <c r="B10111" s="16"/>
      <c r="C10111" s="16"/>
      <c r="D10111" s="17" t="s">
        <v>4571</v>
      </c>
      <c r="E10111" s="16"/>
      <c r="F10111" s="18">
        <f>ROUND((G10103+G10104+G10105+G10110)*(1+G2/100),2)</f>
        <v>28.58</v>
      </c>
      <c r="G10111" s="16"/>
    </row>
    <row r="10112" ht="48.75" customHeight="1">
      <c r="A10112" s="19" t="s">
        <v>3677</v>
      </c>
      <c r="B10112" s="20" t="s">
        <v>18</v>
      </c>
      <c r="C10112" s="20" t="s">
        <v>19</v>
      </c>
      <c r="D10112" s="20" t="s">
        <v>3678</v>
      </c>
      <c r="E10112" s="21"/>
      <c r="F10112" s="22">
        <f>F10122</f>
        <v>28.83</v>
      </c>
      <c r="G10112" s="21"/>
    </row>
    <row r="10113" ht="21.0" customHeight="1">
      <c r="A10113" s="11"/>
      <c r="B10113" s="11"/>
      <c r="C10113" s="11"/>
      <c r="D10113" s="10" t="s">
        <v>4576</v>
      </c>
    </row>
    <row r="10114" ht="48.75" customHeight="1">
      <c r="A10114" s="10" t="s">
        <v>3679</v>
      </c>
      <c r="B10114" s="10" t="s">
        <v>42</v>
      </c>
      <c r="C10114" s="10" t="s">
        <v>43</v>
      </c>
      <c r="D10114" s="10" t="s">
        <v>3680</v>
      </c>
      <c r="E10114" s="14">
        <v>0.17733</v>
      </c>
      <c r="F10114" s="15">
        <f>ROUND(37.92,3)</f>
        <v>37.92</v>
      </c>
      <c r="G10114" s="12">
        <f t="shared" ref="G10114:G10120" si="1518">ROUND(E10114*F10114,2)</f>
        <v>6.72</v>
      </c>
    </row>
    <row r="10115" ht="39.75" customHeight="1">
      <c r="A10115" s="10" t="s">
        <v>3681</v>
      </c>
      <c r="B10115" s="10" t="s">
        <v>42</v>
      </c>
      <c r="C10115" s="10" t="s">
        <v>19</v>
      </c>
      <c r="D10115" s="10" t="s">
        <v>3682</v>
      </c>
      <c r="E10115" s="14">
        <v>0.04433</v>
      </c>
      <c r="F10115" s="15">
        <f>ROUND(28.95,3)</f>
        <v>28.95</v>
      </c>
      <c r="G10115" s="12">
        <f t="shared" si="1518"/>
        <v>1.28</v>
      </c>
    </row>
    <row r="10116" ht="21.0" customHeight="1">
      <c r="A10116" s="10" t="s">
        <v>22</v>
      </c>
      <c r="B10116" s="10" t="s">
        <v>18</v>
      </c>
      <c r="C10116" s="10" t="s">
        <v>23</v>
      </c>
      <c r="D10116" s="10" t="s">
        <v>24</v>
      </c>
      <c r="E10116" s="14">
        <v>0.44444</v>
      </c>
      <c r="F10116" s="15">
        <f>F10120</f>
        <v>43.8</v>
      </c>
      <c r="G10116" s="12">
        <f t="shared" si="1518"/>
        <v>19.47</v>
      </c>
    </row>
    <row r="10117" ht="24.0" customHeight="1">
      <c r="A10117" s="10" t="s">
        <v>25</v>
      </c>
      <c r="B10117" s="10" t="s">
        <v>26</v>
      </c>
      <c r="C10117" s="10" t="s">
        <v>23</v>
      </c>
      <c r="D10117" s="10" t="s">
        <v>27</v>
      </c>
      <c r="E10117" s="14">
        <v>1.0</v>
      </c>
      <c r="F10117" s="15">
        <f>ROUND(21,3)</f>
        <v>21</v>
      </c>
      <c r="G10117" s="12">
        <f t="shared" si="1518"/>
        <v>21</v>
      </c>
    </row>
    <row r="10118" ht="24.0" customHeight="1">
      <c r="A10118" s="10" t="s">
        <v>28</v>
      </c>
      <c r="B10118" s="10" t="s">
        <v>26</v>
      </c>
      <c r="C10118" s="10" t="s">
        <v>23</v>
      </c>
      <c r="D10118" s="10" t="s">
        <v>29</v>
      </c>
      <c r="E10118" s="14">
        <v>1.0</v>
      </c>
      <c r="F10118" s="15">
        <f t="shared" ref="F10118:F10119" si="1519">ROUND(19,3)</f>
        <v>19</v>
      </c>
      <c r="G10118" s="12">
        <f t="shared" si="1518"/>
        <v>19</v>
      </c>
    </row>
    <row r="10119" ht="24.0" customHeight="1">
      <c r="A10119" s="10" t="s">
        <v>30</v>
      </c>
      <c r="B10119" s="10" t="s">
        <v>26</v>
      </c>
      <c r="C10119" s="10" t="s">
        <v>23</v>
      </c>
      <c r="D10119" s="10" t="s">
        <v>31</v>
      </c>
      <c r="E10119" s="14">
        <v>0.2</v>
      </c>
      <c r="F10119" s="15">
        <f t="shared" si="1519"/>
        <v>19</v>
      </c>
      <c r="G10119" s="12">
        <f t="shared" si="1518"/>
        <v>3.8</v>
      </c>
    </row>
    <row r="10120" ht="15.0" customHeight="1">
      <c r="A10120" s="11"/>
      <c r="B10120" s="11"/>
      <c r="C10120" s="11"/>
      <c r="D10120" s="10" t="s">
        <v>22</v>
      </c>
      <c r="E10120" s="14">
        <v>0.44444</v>
      </c>
      <c r="F10120" s="15">
        <f>ROUND((G10117+G10118+G10119),3)</f>
        <v>43.8</v>
      </c>
      <c r="G10120" s="12">
        <f t="shared" si="1518"/>
        <v>19.47</v>
      </c>
    </row>
    <row r="10121" ht="15.0" customHeight="1">
      <c r="A10121" s="10" t="s">
        <v>32</v>
      </c>
      <c r="B10121" s="10"/>
      <c r="C10121" s="10" t="s">
        <v>33</v>
      </c>
      <c r="D10121" s="10" t="s">
        <v>34</v>
      </c>
      <c r="E10121" s="14">
        <v>7.0</v>
      </c>
      <c r="F10121" s="15">
        <f>ROUND(19.47,3)</f>
        <v>19.47</v>
      </c>
      <c r="G10121" s="12">
        <f>ROUND((E10121*F10121)/100,2)</f>
        <v>1.36</v>
      </c>
    </row>
    <row r="10122" ht="15.0" customHeight="1">
      <c r="A10122" s="16"/>
      <c r="B10122" s="16"/>
      <c r="C10122" s="16"/>
      <c r="D10122" s="17" t="s">
        <v>3677</v>
      </c>
      <c r="E10122" s="16"/>
      <c r="F10122" s="18">
        <f>ROUND((G10114+G10115+G10116+G10121)*(1+G2/100),2)</f>
        <v>28.83</v>
      </c>
      <c r="G10122" s="16"/>
    </row>
    <row r="10123" ht="48.75" customHeight="1">
      <c r="A10123" s="19" t="s">
        <v>4577</v>
      </c>
      <c r="B10123" s="20" t="s">
        <v>18</v>
      </c>
      <c r="C10123" s="20" t="s">
        <v>19</v>
      </c>
      <c r="D10123" s="20" t="s">
        <v>4578</v>
      </c>
      <c r="E10123" s="21"/>
      <c r="F10123" s="22">
        <f>F10134</f>
        <v>28.54</v>
      </c>
      <c r="G10123" s="21"/>
    </row>
    <row r="10124" ht="21.0" customHeight="1">
      <c r="A10124" s="11"/>
      <c r="B10124" s="11"/>
      <c r="C10124" s="11"/>
      <c r="D10124" s="10" t="s">
        <v>4579</v>
      </c>
    </row>
    <row r="10125" ht="30.0" customHeight="1">
      <c r="A10125" s="10" t="s">
        <v>4476</v>
      </c>
      <c r="B10125" s="10" t="s">
        <v>42</v>
      </c>
      <c r="C10125" s="10" t="s">
        <v>344</v>
      </c>
      <c r="D10125" s="10" t="s">
        <v>4477</v>
      </c>
      <c r="E10125" s="14">
        <v>3.0</v>
      </c>
      <c r="F10125" s="15">
        <f>ROUND(0.33,3)</f>
        <v>0.33</v>
      </c>
      <c r="G10125" s="12">
        <f t="shared" ref="G10125:G10132" si="1520">ROUND(E10125*F10125,2)</f>
        <v>0.99</v>
      </c>
    </row>
    <row r="10126" ht="39.75" customHeight="1">
      <c r="A10126" s="10" t="s">
        <v>4116</v>
      </c>
      <c r="B10126" s="10" t="s">
        <v>42</v>
      </c>
      <c r="C10126" s="10" t="s">
        <v>1939</v>
      </c>
      <c r="D10126" s="10" t="s">
        <v>4117</v>
      </c>
      <c r="E10126" s="14">
        <v>0.021</v>
      </c>
      <c r="F10126" s="15">
        <f>ROUND(44.84,3)</f>
        <v>44.84</v>
      </c>
      <c r="G10126" s="12">
        <f t="shared" si="1520"/>
        <v>0.94</v>
      </c>
    </row>
    <row r="10127" ht="39.75" customHeight="1">
      <c r="A10127" s="10" t="s">
        <v>2640</v>
      </c>
      <c r="B10127" s="10" t="s">
        <v>42</v>
      </c>
      <c r="C10127" s="10" t="s">
        <v>184</v>
      </c>
      <c r="D10127" s="10" t="s">
        <v>2641</v>
      </c>
      <c r="E10127" s="14">
        <v>3.024</v>
      </c>
      <c r="F10127" s="15">
        <f>ROUND(2.6,3)</f>
        <v>2.6</v>
      </c>
      <c r="G10127" s="12">
        <f t="shared" si="1520"/>
        <v>7.86</v>
      </c>
    </row>
    <row r="10128" ht="21.0" customHeight="1">
      <c r="A10128" s="10" t="s">
        <v>22</v>
      </c>
      <c r="B10128" s="10" t="s">
        <v>18</v>
      </c>
      <c r="C10128" s="10" t="s">
        <v>23</v>
      </c>
      <c r="D10128" s="10" t="s">
        <v>24</v>
      </c>
      <c r="E10128" s="14">
        <v>0.4</v>
      </c>
      <c r="F10128" s="15">
        <f>F10132</f>
        <v>43.8</v>
      </c>
      <c r="G10128" s="12">
        <f t="shared" si="1520"/>
        <v>17.52</v>
      </c>
    </row>
    <row r="10129" ht="24.0" customHeight="1">
      <c r="A10129" s="10" t="s">
        <v>25</v>
      </c>
      <c r="B10129" s="10" t="s">
        <v>26</v>
      </c>
      <c r="C10129" s="10" t="s">
        <v>23</v>
      </c>
      <c r="D10129" s="10" t="s">
        <v>27</v>
      </c>
      <c r="E10129" s="14">
        <v>1.0</v>
      </c>
      <c r="F10129" s="15">
        <f>ROUND(21,3)</f>
        <v>21</v>
      </c>
      <c r="G10129" s="12">
        <f t="shared" si="1520"/>
        <v>21</v>
      </c>
    </row>
    <row r="10130" ht="24.0" customHeight="1">
      <c r="A10130" s="10" t="s">
        <v>28</v>
      </c>
      <c r="B10130" s="10" t="s">
        <v>26</v>
      </c>
      <c r="C10130" s="10" t="s">
        <v>23</v>
      </c>
      <c r="D10130" s="10" t="s">
        <v>29</v>
      </c>
      <c r="E10130" s="14">
        <v>1.0</v>
      </c>
      <c r="F10130" s="15">
        <f t="shared" ref="F10130:F10131" si="1521">ROUND(19,3)</f>
        <v>19</v>
      </c>
      <c r="G10130" s="12">
        <f t="shared" si="1520"/>
        <v>19</v>
      </c>
    </row>
    <row r="10131" ht="24.0" customHeight="1">
      <c r="A10131" s="10" t="s">
        <v>30</v>
      </c>
      <c r="B10131" s="10" t="s">
        <v>26</v>
      </c>
      <c r="C10131" s="10" t="s">
        <v>23</v>
      </c>
      <c r="D10131" s="10" t="s">
        <v>31</v>
      </c>
      <c r="E10131" s="14">
        <v>0.2</v>
      </c>
      <c r="F10131" s="15">
        <f t="shared" si="1521"/>
        <v>19</v>
      </c>
      <c r="G10131" s="12">
        <f t="shared" si="1520"/>
        <v>3.8</v>
      </c>
    </row>
    <row r="10132" ht="15.0" customHeight="1">
      <c r="A10132" s="11"/>
      <c r="B10132" s="11"/>
      <c r="C10132" s="11"/>
      <c r="D10132" s="10" t="s">
        <v>22</v>
      </c>
      <c r="E10132" s="14">
        <v>0.4</v>
      </c>
      <c r="F10132" s="15">
        <f>ROUND((G10129+G10130+G10131),3)</f>
        <v>43.8</v>
      </c>
      <c r="G10132" s="12">
        <f t="shared" si="1520"/>
        <v>17.52</v>
      </c>
    </row>
    <row r="10133" ht="15.0" customHeight="1">
      <c r="A10133" s="10" t="s">
        <v>32</v>
      </c>
      <c r="B10133" s="10"/>
      <c r="C10133" s="10" t="s">
        <v>33</v>
      </c>
      <c r="D10133" s="10" t="s">
        <v>34</v>
      </c>
      <c r="E10133" s="14">
        <v>7.0</v>
      </c>
      <c r="F10133" s="15">
        <f>ROUND(17.52,3)</f>
        <v>17.52</v>
      </c>
      <c r="G10133" s="12">
        <f>ROUND((E10133*F10133)/100,2)</f>
        <v>1.23</v>
      </c>
    </row>
    <row r="10134" ht="15.0" customHeight="1">
      <c r="A10134" s="16"/>
      <c r="B10134" s="16"/>
      <c r="C10134" s="16"/>
      <c r="D10134" s="17" t="s">
        <v>4577</v>
      </c>
      <c r="E10134" s="16"/>
      <c r="F10134" s="18">
        <f>ROUND((G10125+G10126+G10127+G10128+G10133)*(1+G2/100),2)</f>
        <v>28.54</v>
      </c>
      <c r="G10134" s="16"/>
    </row>
    <row r="10135" ht="24.75" customHeight="1">
      <c r="A10135" s="34" t="s">
        <v>4580</v>
      </c>
      <c r="B10135" s="34" t="s">
        <v>10</v>
      </c>
      <c r="C10135" s="35"/>
      <c r="D10135" s="34" t="s">
        <v>4581</v>
      </c>
      <c r="E10135" s="35"/>
      <c r="F10135" s="35"/>
      <c r="G10135" s="35"/>
    </row>
    <row r="10136" ht="67.5" customHeight="1">
      <c r="A10136" s="13" t="s">
        <v>4582</v>
      </c>
      <c r="B10136" s="10" t="s">
        <v>18</v>
      </c>
      <c r="C10136" s="10" t="s">
        <v>231</v>
      </c>
      <c r="D10136" s="10" t="s">
        <v>4583</v>
      </c>
      <c r="E10136" s="11"/>
      <c r="F10136" s="12">
        <f>F10147</f>
        <v>36.1</v>
      </c>
      <c r="G10136" s="11"/>
    </row>
    <row r="10137" ht="21.0" customHeight="1">
      <c r="A10137" s="11"/>
      <c r="B10137" s="11"/>
      <c r="C10137" s="11"/>
      <c r="D10137" s="10" t="s">
        <v>4584</v>
      </c>
    </row>
    <row r="10138" ht="39.75" customHeight="1">
      <c r="A10138" s="10" t="s">
        <v>4585</v>
      </c>
      <c r="B10138" s="10" t="s">
        <v>42</v>
      </c>
      <c r="C10138" s="10" t="s">
        <v>344</v>
      </c>
      <c r="D10138" s="10" t="s">
        <v>4586</v>
      </c>
      <c r="E10138" s="14">
        <v>1.0</v>
      </c>
      <c r="F10138" s="15">
        <f>ROUND(3.63,3)</f>
        <v>3.63</v>
      </c>
      <c r="G10138" s="12">
        <f t="shared" ref="G10138:G10145" si="1522">ROUND(E10138*F10138,2)</f>
        <v>3.63</v>
      </c>
    </row>
    <row r="10139" ht="39.75" customHeight="1">
      <c r="A10139" s="10" t="s">
        <v>4138</v>
      </c>
      <c r="B10139" s="10" t="s">
        <v>42</v>
      </c>
      <c r="C10139" s="10" t="s">
        <v>344</v>
      </c>
      <c r="D10139" s="10" t="s">
        <v>4139</v>
      </c>
      <c r="E10139" s="14">
        <v>1.0</v>
      </c>
      <c r="F10139" s="15">
        <f>ROUND(8.84,3)</f>
        <v>8.84</v>
      </c>
      <c r="G10139" s="12">
        <f t="shared" si="1522"/>
        <v>8.84</v>
      </c>
    </row>
    <row r="10140" ht="30.0" customHeight="1">
      <c r="A10140" s="10" t="s">
        <v>1862</v>
      </c>
      <c r="B10140" s="10" t="s">
        <v>42</v>
      </c>
      <c r="C10140" s="10" t="s">
        <v>1245</v>
      </c>
      <c r="D10140" s="10" t="s">
        <v>1863</v>
      </c>
      <c r="E10140" s="14">
        <v>0.1</v>
      </c>
      <c r="F10140" s="15">
        <f>ROUND(6.32,3)</f>
        <v>6.32</v>
      </c>
      <c r="G10140" s="12">
        <f t="shared" si="1522"/>
        <v>0.63</v>
      </c>
    </row>
    <row r="10141" ht="21.0" customHeight="1">
      <c r="A10141" s="10" t="s">
        <v>22</v>
      </c>
      <c r="B10141" s="10" t="s">
        <v>18</v>
      </c>
      <c r="C10141" s="10" t="s">
        <v>23</v>
      </c>
      <c r="D10141" s="10" t="s">
        <v>24</v>
      </c>
      <c r="E10141" s="14">
        <v>0.5</v>
      </c>
      <c r="F10141" s="15">
        <f>F10145</f>
        <v>43.8</v>
      </c>
      <c r="G10141" s="12">
        <f t="shared" si="1522"/>
        <v>21.9</v>
      </c>
    </row>
    <row r="10142" ht="24.0" customHeight="1">
      <c r="A10142" s="10" t="s">
        <v>25</v>
      </c>
      <c r="B10142" s="10" t="s">
        <v>26</v>
      </c>
      <c r="C10142" s="10" t="s">
        <v>23</v>
      </c>
      <c r="D10142" s="10" t="s">
        <v>27</v>
      </c>
      <c r="E10142" s="14">
        <v>1.0</v>
      </c>
      <c r="F10142" s="15">
        <f>ROUND(21,3)</f>
        <v>21</v>
      </c>
      <c r="G10142" s="12">
        <f t="shared" si="1522"/>
        <v>21</v>
      </c>
    </row>
    <row r="10143" ht="24.0" customHeight="1">
      <c r="A10143" s="10" t="s">
        <v>28</v>
      </c>
      <c r="B10143" s="10" t="s">
        <v>26</v>
      </c>
      <c r="C10143" s="10" t="s">
        <v>23</v>
      </c>
      <c r="D10143" s="10" t="s">
        <v>29</v>
      </c>
      <c r="E10143" s="14">
        <v>1.0</v>
      </c>
      <c r="F10143" s="15">
        <f t="shared" ref="F10143:F10144" si="1523">ROUND(19,3)</f>
        <v>19</v>
      </c>
      <c r="G10143" s="12">
        <f t="shared" si="1522"/>
        <v>19</v>
      </c>
    </row>
    <row r="10144" ht="24.0" customHeight="1">
      <c r="A10144" s="10" t="s">
        <v>30</v>
      </c>
      <c r="B10144" s="10" t="s">
        <v>26</v>
      </c>
      <c r="C10144" s="10" t="s">
        <v>23</v>
      </c>
      <c r="D10144" s="10" t="s">
        <v>31</v>
      </c>
      <c r="E10144" s="14">
        <v>0.2</v>
      </c>
      <c r="F10144" s="15">
        <f t="shared" si="1523"/>
        <v>19</v>
      </c>
      <c r="G10144" s="12">
        <f t="shared" si="1522"/>
        <v>3.8</v>
      </c>
    </row>
    <row r="10145" ht="15.0" customHeight="1">
      <c r="A10145" s="11"/>
      <c r="B10145" s="11"/>
      <c r="C10145" s="11"/>
      <c r="D10145" s="10" t="s">
        <v>22</v>
      </c>
      <c r="E10145" s="14">
        <v>0.5</v>
      </c>
      <c r="F10145" s="15">
        <f>ROUND((G10142+G10143+G10144),3)</f>
        <v>43.8</v>
      </c>
      <c r="G10145" s="12">
        <f t="shared" si="1522"/>
        <v>21.9</v>
      </c>
    </row>
    <row r="10146" ht="15.0" customHeight="1">
      <c r="A10146" s="10" t="s">
        <v>32</v>
      </c>
      <c r="B10146" s="10"/>
      <c r="C10146" s="10" t="s">
        <v>33</v>
      </c>
      <c r="D10146" s="10" t="s">
        <v>34</v>
      </c>
      <c r="E10146" s="14">
        <v>5.0</v>
      </c>
      <c r="F10146" s="15">
        <f>ROUND(21.9,3)</f>
        <v>21.9</v>
      </c>
      <c r="G10146" s="12">
        <f>ROUND((E10146*F10146)/100,2)</f>
        <v>1.1</v>
      </c>
    </row>
    <row r="10147" ht="15.0" customHeight="1">
      <c r="A10147" s="16"/>
      <c r="B10147" s="16"/>
      <c r="C10147" s="16"/>
      <c r="D10147" s="17" t="s">
        <v>4582</v>
      </c>
      <c r="E10147" s="16"/>
      <c r="F10147" s="18">
        <f>ROUND((G10138+G10139+G10140+G10141+G10146)*(1+G2/100),2)</f>
        <v>36.1</v>
      </c>
      <c r="G10147" s="16"/>
    </row>
    <row r="10148" ht="67.5" customHeight="1">
      <c r="A10148" s="19" t="s">
        <v>4587</v>
      </c>
      <c r="B10148" s="20" t="s">
        <v>18</v>
      </c>
      <c r="C10148" s="20" t="s">
        <v>231</v>
      </c>
      <c r="D10148" s="20" t="s">
        <v>4588</v>
      </c>
      <c r="E10148" s="21"/>
      <c r="F10148" s="22">
        <f>F10159</f>
        <v>41.53</v>
      </c>
      <c r="G10148" s="21"/>
    </row>
    <row r="10149" ht="21.0" customHeight="1">
      <c r="A10149" s="11"/>
      <c r="B10149" s="11"/>
      <c r="C10149" s="11"/>
      <c r="D10149" s="10" t="s">
        <v>4589</v>
      </c>
    </row>
    <row r="10150" ht="39.75" customHeight="1">
      <c r="A10150" s="10" t="s">
        <v>4590</v>
      </c>
      <c r="B10150" s="10" t="s">
        <v>42</v>
      </c>
      <c r="C10150" s="10" t="s">
        <v>344</v>
      </c>
      <c r="D10150" s="10" t="s">
        <v>4591</v>
      </c>
      <c r="E10150" s="14">
        <v>1.0</v>
      </c>
      <c r="F10150" s="15">
        <f>ROUND(5.78,3)</f>
        <v>5.78</v>
      </c>
      <c r="G10150" s="12">
        <f t="shared" ref="G10150:G10157" si="1524">ROUND(E10150*F10150,2)</f>
        <v>5.78</v>
      </c>
    </row>
    <row r="10151" ht="39.75" customHeight="1">
      <c r="A10151" s="10" t="s">
        <v>4138</v>
      </c>
      <c r="B10151" s="10" t="s">
        <v>42</v>
      </c>
      <c r="C10151" s="10" t="s">
        <v>344</v>
      </c>
      <c r="D10151" s="10" t="s">
        <v>4139</v>
      </c>
      <c r="E10151" s="14">
        <v>1.0</v>
      </c>
      <c r="F10151" s="15">
        <f>ROUND(8.84,3)</f>
        <v>8.84</v>
      </c>
      <c r="G10151" s="12">
        <f t="shared" si="1524"/>
        <v>8.84</v>
      </c>
    </row>
    <row r="10152" ht="30.0" customHeight="1">
      <c r="A10152" s="10" t="s">
        <v>1862</v>
      </c>
      <c r="B10152" s="10" t="s">
        <v>42</v>
      </c>
      <c r="C10152" s="10" t="s">
        <v>1245</v>
      </c>
      <c r="D10152" s="10" t="s">
        <v>1863</v>
      </c>
      <c r="E10152" s="14">
        <v>0.1</v>
      </c>
      <c r="F10152" s="15">
        <f>ROUND(6.32,3)</f>
        <v>6.32</v>
      </c>
      <c r="G10152" s="12">
        <f t="shared" si="1524"/>
        <v>0.63</v>
      </c>
    </row>
    <row r="10153" ht="21.0" customHeight="1">
      <c r="A10153" s="10" t="s">
        <v>22</v>
      </c>
      <c r="B10153" s="10" t="s">
        <v>18</v>
      </c>
      <c r="C10153" s="10" t="s">
        <v>23</v>
      </c>
      <c r="D10153" s="10" t="s">
        <v>24</v>
      </c>
      <c r="E10153" s="14">
        <v>0.5714</v>
      </c>
      <c r="F10153" s="15">
        <f>F10157</f>
        <v>43.8</v>
      </c>
      <c r="G10153" s="12">
        <f t="shared" si="1524"/>
        <v>25.03</v>
      </c>
    </row>
    <row r="10154" ht="24.0" customHeight="1">
      <c r="A10154" s="10" t="s">
        <v>25</v>
      </c>
      <c r="B10154" s="10" t="s">
        <v>26</v>
      </c>
      <c r="C10154" s="10" t="s">
        <v>23</v>
      </c>
      <c r="D10154" s="10" t="s">
        <v>27</v>
      </c>
      <c r="E10154" s="14">
        <v>1.0</v>
      </c>
      <c r="F10154" s="15">
        <f>ROUND(21,3)</f>
        <v>21</v>
      </c>
      <c r="G10154" s="12">
        <f t="shared" si="1524"/>
        <v>21</v>
      </c>
    </row>
    <row r="10155" ht="24.0" customHeight="1">
      <c r="A10155" s="10" t="s">
        <v>28</v>
      </c>
      <c r="B10155" s="10" t="s">
        <v>26</v>
      </c>
      <c r="C10155" s="10" t="s">
        <v>23</v>
      </c>
      <c r="D10155" s="10" t="s">
        <v>29</v>
      </c>
      <c r="E10155" s="14">
        <v>1.0</v>
      </c>
      <c r="F10155" s="15">
        <f t="shared" ref="F10155:F10156" si="1525">ROUND(19,3)</f>
        <v>19</v>
      </c>
      <c r="G10155" s="12">
        <f t="shared" si="1524"/>
        <v>19</v>
      </c>
    </row>
    <row r="10156" ht="24.0" customHeight="1">
      <c r="A10156" s="10" t="s">
        <v>30</v>
      </c>
      <c r="B10156" s="10" t="s">
        <v>26</v>
      </c>
      <c r="C10156" s="10" t="s">
        <v>23</v>
      </c>
      <c r="D10156" s="10" t="s">
        <v>31</v>
      </c>
      <c r="E10156" s="14">
        <v>0.2</v>
      </c>
      <c r="F10156" s="15">
        <f t="shared" si="1525"/>
        <v>19</v>
      </c>
      <c r="G10156" s="12">
        <f t="shared" si="1524"/>
        <v>3.8</v>
      </c>
    </row>
    <row r="10157" ht="15.0" customHeight="1">
      <c r="A10157" s="11"/>
      <c r="B10157" s="11"/>
      <c r="C10157" s="11"/>
      <c r="D10157" s="10" t="s">
        <v>22</v>
      </c>
      <c r="E10157" s="14">
        <v>0.5714</v>
      </c>
      <c r="F10157" s="15">
        <f>ROUND((G10154+G10155+G10156),3)</f>
        <v>43.8</v>
      </c>
      <c r="G10157" s="12">
        <f t="shared" si="1524"/>
        <v>25.03</v>
      </c>
    </row>
    <row r="10158" ht="15.0" customHeight="1">
      <c r="A10158" s="10" t="s">
        <v>32</v>
      </c>
      <c r="B10158" s="10"/>
      <c r="C10158" s="10" t="s">
        <v>33</v>
      </c>
      <c r="D10158" s="10" t="s">
        <v>34</v>
      </c>
      <c r="E10158" s="14">
        <v>5.0</v>
      </c>
      <c r="F10158" s="15">
        <f>ROUND(25.03,3)</f>
        <v>25.03</v>
      </c>
      <c r="G10158" s="12">
        <f>ROUND((E10158*F10158)/100,2)</f>
        <v>1.25</v>
      </c>
    </row>
    <row r="10159" ht="15.0" customHeight="1">
      <c r="A10159" s="16"/>
      <c r="B10159" s="16"/>
      <c r="C10159" s="16"/>
      <c r="D10159" s="17" t="s">
        <v>4587</v>
      </c>
      <c r="E10159" s="16"/>
      <c r="F10159" s="18">
        <f>ROUND((G10150+G10151+G10152+G10153+G10158)*(1+G2/100),2)</f>
        <v>41.53</v>
      </c>
      <c r="G10159" s="16"/>
    </row>
    <row r="10160" ht="67.5" customHeight="1">
      <c r="A10160" s="19" t="s">
        <v>4592</v>
      </c>
      <c r="B10160" s="20" t="s">
        <v>18</v>
      </c>
      <c r="C10160" s="20" t="s">
        <v>231</v>
      </c>
      <c r="D10160" s="20" t="s">
        <v>4593</v>
      </c>
      <c r="E10160" s="21"/>
      <c r="F10160" s="22">
        <f>F10171</f>
        <v>46.46</v>
      </c>
      <c r="G10160" s="21"/>
    </row>
    <row r="10161" ht="21.0" customHeight="1">
      <c r="A10161" s="11"/>
      <c r="B10161" s="11"/>
      <c r="C10161" s="11"/>
      <c r="D10161" s="10" t="s">
        <v>4594</v>
      </c>
    </row>
    <row r="10162" ht="39.75" customHeight="1">
      <c r="A10162" s="10" t="s">
        <v>4595</v>
      </c>
      <c r="B10162" s="10" t="s">
        <v>42</v>
      </c>
      <c r="C10162" s="10" t="s">
        <v>344</v>
      </c>
      <c r="D10162" s="10" t="s">
        <v>4596</v>
      </c>
      <c r="E10162" s="14">
        <v>1.0</v>
      </c>
      <c r="F10162" s="15">
        <f>ROUND(6.33,3)</f>
        <v>6.33</v>
      </c>
      <c r="G10162" s="12">
        <f t="shared" ref="G10162:G10169" si="1526">ROUND(E10162*F10162,2)</f>
        <v>6.33</v>
      </c>
    </row>
    <row r="10163" ht="39.75" customHeight="1">
      <c r="A10163" s="10" t="s">
        <v>4138</v>
      </c>
      <c r="B10163" s="10" t="s">
        <v>42</v>
      </c>
      <c r="C10163" s="10" t="s">
        <v>344</v>
      </c>
      <c r="D10163" s="10" t="s">
        <v>4139</v>
      </c>
      <c r="E10163" s="14">
        <v>1.0</v>
      </c>
      <c r="F10163" s="15">
        <f>ROUND(8.84,3)</f>
        <v>8.84</v>
      </c>
      <c r="G10163" s="12">
        <f t="shared" si="1526"/>
        <v>8.84</v>
      </c>
    </row>
    <row r="10164" ht="30.0" customHeight="1">
      <c r="A10164" s="10" t="s">
        <v>1862</v>
      </c>
      <c r="B10164" s="10" t="s">
        <v>42</v>
      </c>
      <c r="C10164" s="10" t="s">
        <v>1245</v>
      </c>
      <c r="D10164" s="10" t="s">
        <v>1863</v>
      </c>
      <c r="E10164" s="14">
        <v>0.1</v>
      </c>
      <c r="F10164" s="15">
        <f>ROUND(6.32,3)</f>
        <v>6.32</v>
      </c>
      <c r="G10164" s="12">
        <f t="shared" si="1526"/>
        <v>0.63</v>
      </c>
    </row>
    <row r="10165" ht="21.0" customHeight="1">
      <c r="A10165" s="10" t="s">
        <v>22</v>
      </c>
      <c r="B10165" s="10" t="s">
        <v>18</v>
      </c>
      <c r="C10165" s="10" t="s">
        <v>23</v>
      </c>
      <c r="D10165" s="10" t="s">
        <v>24</v>
      </c>
      <c r="E10165" s="14">
        <v>0.66667</v>
      </c>
      <c r="F10165" s="15">
        <f>F10169</f>
        <v>43.8</v>
      </c>
      <c r="G10165" s="12">
        <f t="shared" si="1526"/>
        <v>29.2</v>
      </c>
    </row>
    <row r="10166" ht="24.0" customHeight="1">
      <c r="A10166" s="10" t="s">
        <v>25</v>
      </c>
      <c r="B10166" s="10" t="s">
        <v>26</v>
      </c>
      <c r="C10166" s="10" t="s">
        <v>23</v>
      </c>
      <c r="D10166" s="10" t="s">
        <v>27</v>
      </c>
      <c r="E10166" s="14">
        <v>1.0</v>
      </c>
      <c r="F10166" s="15">
        <f>ROUND(21,3)</f>
        <v>21</v>
      </c>
      <c r="G10166" s="12">
        <f t="shared" si="1526"/>
        <v>21</v>
      </c>
    </row>
    <row r="10167" ht="24.0" customHeight="1">
      <c r="A10167" s="10" t="s">
        <v>28</v>
      </c>
      <c r="B10167" s="10" t="s">
        <v>26</v>
      </c>
      <c r="C10167" s="10" t="s">
        <v>23</v>
      </c>
      <c r="D10167" s="10" t="s">
        <v>29</v>
      </c>
      <c r="E10167" s="14">
        <v>1.0</v>
      </c>
      <c r="F10167" s="15">
        <f t="shared" ref="F10167:F10168" si="1527">ROUND(19,3)</f>
        <v>19</v>
      </c>
      <c r="G10167" s="12">
        <f t="shared" si="1526"/>
        <v>19</v>
      </c>
    </row>
    <row r="10168" ht="24.0" customHeight="1">
      <c r="A10168" s="10" t="s">
        <v>30</v>
      </c>
      <c r="B10168" s="10" t="s">
        <v>26</v>
      </c>
      <c r="C10168" s="10" t="s">
        <v>23</v>
      </c>
      <c r="D10168" s="10" t="s">
        <v>31</v>
      </c>
      <c r="E10168" s="14">
        <v>0.2</v>
      </c>
      <c r="F10168" s="15">
        <f t="shared" si="1527"/>
        <v>19</v>
      </c>
      <c r="G10168" s="12">
        <f t="shared" si="1526"/>
        <v>3.8</v>
      </c>
    </row>
    <row r="10169" ht="15.0" customHeight="1">
      <c r="A10169" s="11"/>
      <c r="B10169" s="11"/>
      <c r="C10169" s="11"/>
      <c r="D10169" s="10" t="s">
        <v>22</v>
      </c>
      <c r="E10169" s="14">
        <v>0.66667</v>
      </c>
      <c r="F10169" s="15">
        <f>ROUND((G10166+G10167+G10168),3)</f>
        <v>43.8</v>
      </c>
      <c r="G10169" s="12">
        <f t="shared" si="1526"/>
        <v>29.2</v>
      </c>
    </row>
    <row r="10170" ht="15.0" customHeight="1">
      <c r="A10170" s="10" t="s">
        <v>32</v>
      </c>
      <c r="B10170" s="10"/>
      <c r="C10170" s="10" t="s">
        <v>33</v>
      </c>
      <c r="D10170" s="10" t="s">
        <v>34</v>
      </c>
      <c r="E10170" s="14">
        <v>5.0</v>
      </c>
      <c r="F10170" s="15">
        <f>ROUND(29.2,3)</f>
        <v>29.2</v>
      </c>
      <c r="G10170" s="12">
        <f>ROUND((E10170*F10170)/100,2)</f>
        <v>1.46</v>
      </c>
    </row>
    <row r="10171" ht="15.0" customHeight="1">
      <c r="A10171" s="16"/>
      <c r="B10171" s="16"/>
      <c r="C10171" s="16"/>
      <c r="D10171" s="17" t="s">
        <v>4592</v>
      </c>
      <c r="E10171" s="16"/>
      <c r="F10171" s="18">
        <f>ROUND((G10162+G10163+G10164+G10165+G10170)*(1+G2/100),2)</f>
        <v>46.46</v>
      </c>
      <c r="G10171" s="16"/>
    </row>
    <row r="10172" ht="67.5" customHeight="1">
      <c r="A10172" s="19" t="s">
        <v>4597</v>
      </c>
      <c r="B10172" s="20" t="s">
        <v>18</v>
      </c>
      <c r="C10172" s="20" t="s">
        <v>231</v>
      </c>
      <c r="D10172" s="20" t="s">
        <v>4598</v>
      </c>
      <c r="E10172" s="21"/>
      <c r="F10172" s="22">
        <f>F10183</f>
        <v>40.16</v>
      </c>
      <c r="G10172" s="21"/>
    </row>
    <row r="10173" ht="21.0" customHeight="1">
      <c r="A10173" s="11"/>
      <c r="B10173" s="11"/>
      <c r="C10173" s="11"/>
      <c r="D10173" s="10" t="s">
        <v>4599</v>
      </c>
    </row>
    <row r="10174" ht="30.0" customHeight="1">
      <c r="A10174" s="10" t="s">
        <v>4600</v>
      </c>
      <c r="B10174" s="10" t="s">
        <v>42</v>
      </c>
      <c r="C10174" s="10" t="s">
        <v>344</v>
      </c>
      <c r="D10174" s="10" t="s">
        <v>4601</v>
      </c>
      <c r="E10174" s="14">
        <v>1.0</v>
      </c>
      <c r="F10174" s="15">
        <f>ROUND(7.69,3)</f>
        <v>7.69</v>
      </c>
      <c r="G10174" s="12">
        <f t="shared" ref="G10174:G10181" si="1528">ROUND(E10174*F10174,2)</f>
        <v>7.69</v>
      </c>
    </row>
    <row r="10175" ht="39.75" customHeight="1">
      <c r="A10175" s="10" t="s">
        <v>4138</v>
      </c>
      <c r="B10175" s="10" t="s">
        <v>42</v>
      </c>
      <c r="C10175" s="10" t="s">
        <v>344</v>
      </c>
      <c r="D10175" s="10" t="s">
        <v>4139</v>
      </c>
      <c r="E10175" s="14">
        <v>1.0</v>
      </c>
      <c r="F10175" s="15">
        <f>ROUND(8.84,3)</f>
        <v>8.84</v>
      </c>
      <c r="G10175" s="12">
        <f t="shared" si="1528"/>
        <v>8.84</v>
      </c>
    </row>
    <row r="10176" ht="30.0" customHeight="1">
      <c r="A10176" s="10" t="s">
        <v>1862</v>
      </c>
      <c r="B10176" s="10" t="s">
        <v>42</v>
      </c>
      <c r="C10176" s="10" t="s">
        <v>1245</v>
      </c>
      <c r="D10176" s="10" t="s">
        <v>1863</v>
      </c>
      <c r="E10176" s="14">
        <v>0.1</v>
      </c>
      <c r="F10176" s="15">
        <f>ROUND(6.32,3)</f>
        <v>6.32</v>
      </c>
      <c r="G10176" s="12">
        <f t="shared" si="1528"/>
        <v>0.63</v>
      </c>
    </row>
    <row r="10177" ht="21.0" customHeight="1">
      <c r="A10177" s="10" t="s">
        <v>22</v>
      </c>
      <c r="B10177" s="10" t="s">
        <v>18</v>
      </c>
      <c r="C10177" s="10" t="s">
        <v>23</v>
      </c>
      <c r="D10177" s="10" t="s">
        <v>24</v>
      </c>
      <c r="E10177" s="14">
        <v>0.5</v>
      </c>
      <c r="F10177" s="15">
        <f>F10181</f>
        <v>43.8</v>
      </c>
      <c r="G10177" s="12">
        <f t="shared" si="1528"/>
        <v>21.9</v>
      </c>
    </row>
    <row r="10178" ht="24.0" customHeight="1">
      <c r="A10178" s="10" t="s">
        <v>25</v>
      </c>
      <c r="B10178" s="10" t="s">
        <v>26</v>
      </c>
      <c r="C10178" s="10" t="s">
        <v>23</v>
      </c>
      <c r="D10178" s="10" t="s">
        <v>27</v>
      </c>
      <c r="E10178" s="14">
        <v>1.0</v>
      </c>
      <c r="F10178" s="15">
        <f>ROUND(21,3)</f>
        <v>21</v>
      </c>
      <c r="G10178" s="12">
        <f t="shared" si="1528"/>
        <v>21</v>
      </c>
    </row>
    <row r="10179" ht="24.0" customHeight="1">
      <c r="A10179" s="10" t="s">
        <v>28</v>
      </c>
      <c r="B10179" s="10" t="s">
        <v>26</v>
      </c>
      <c r="C10179" s="10" t="s">
        <v>23</v>
      </c>
      <c r="D10179" s="10" t="s">
        <v>29</v>
      </c>
      <c r="E10179" s="14">
        <v>1.0</v>
      </c>
      <c r="F10179" s="15">
        <f t="shared" ref="F10179:F10180" si="1529">ROUND(19,3)</f>
        <v>19</v>
      </c>
      <c r="G10179" s="12">
        <f t="shared" si="1528"/>
        <v>19</v>
      </c>
    </row>
    <row r="10180" ht="24.0" customHeight="1">
      <c r="A10180" s="10" t="s">
        <v>30</v>
      </c>
      <c r="B10180" s="10" t="s">
        <v>26</v>
      </c>
      <c r="C10180" s="10" t="s">
        <v>23</v>
      </c>
      <c r="D10180" s="10" t="s">
        <v>31</v>
      </c>
      <c r="E10180" s="14">
        <v>0.2</v>
      </c>
      <c r="F10180" s="15">
        <f t="shared" si="1529"/>
        <v>19</v>
      </c>
      <c r="G10180" s="12">
        <f t="shared" si="1528"/>
        <v>3.8</v>
      </c>
    </row>
    <row r="10181" ht="15.0" customHeight="1">
      <c r="A10181" s="11"/>
      <c r="B10181" s="11"/>
      <c r="C10181" s="11"/>
      <c r="D10181" s="10" t="s">
        <v>22</v>
      </c>
      <c r="E10181" s="14">
        <v>0.5</v>
      </c>
      <c r="F10181" s="15">
        <f>ROUND((G10178+G10179+G10180),3)</f>
        <v>43.8</v>
      </c>
      <c r="G10181" s="12">
        <f t="shared" si="1528"/>
        <v>21.9</v>
      </c>
    </row>
    <row r="10182" ht="15.0" customHeight="1">
      <c r="A10182" s="10" t="s">
        <v>32</v>
      </c>
      <c r="B10182" s="10"/>
      <c r="C10182" s="10" t="s">
        <v>33</v>
      </c>
      <c r="D10182" s="10" t="s">
        <v>34</v>
      </c>
      <c r="E10182" s="14">
        <v>5.0</v>
      </c>
      <c r="F10182" s="15">
        <f>ROUND(21.9,3)</f>
        <v>21.9</v>
      </c>
      <c r="G10182" s="12">
        <f>ROUND((E10182*F10182)/100,2)</f>
        <v>1.1</v>
      </c>
    </row>
    <row r="10183" ht="15.0" customHeight="1">
      <c r="A10183" s="16"/>
      <c r="B10183" s="16"/>
      <c r="C10183" s="16"/>
      <c r="D10183" s="17" t="s">
        <v>4597</v>
      </c>
      <c r="E10183" s="16"/>
      <c r="F10183" s="18">
        <f>ROUND((G10174+G10175+G10176+G10177+G10182)*(1+G2/100),2)</f>
        <v>40.16</v>
      </c>
      <c r="G10183" s="16"/>
    </row>
    <row r="10184" ht="67.5" customHeight="1">
      <c r="A10184" s="19" t="s">
        <v>4602</v>
      </c>
      <c r="B10184" s="20" t="s">
        <v>18</v>
      </c>
      <c r="C10184" s="20" t="s">
        <v>231</v>
      </c>
      <c r="D10184" s="20" t="s">
        <v>4603</v>
      </c>
      <c r="E10184" s="21"/>
      <c r="F10184" s="22">
        <f>F10195</f>
        <v>46.48</v>
      </c>
      <c r="G10184" s="21"/>
    </row>
    <row r="10185" ht="21.0" customHeight="1">
      <c r="A10185" s="11"/>
      <c r="B10185" s="11"/>
      <c r="C10185" s="11"/>
      <c r="D10185" s="10" t="s">
        <v>4604</v>
      </c>
    </row>
    <row r="10186" ht="30.0" customHeight="1">
      <c r="A10186" s="10" t="s">
        <v>4515</v>
      </c>
      <c r="B10186" s="10" t="s">
        <v>42</v>
      </c>
      <c r="C10186" s="10" t="s">
        <v>344</v>
      </c>
      <c r="D10186" s="10" t="s">
        <v>4516</v>
      </c>
      <c r="E10186" s="14">
        <v>1.0</v>
      </c>
      <c r="F10186" s="15">
        <f>ROUND(10.73,3)</f>
        <v>10.73</v>
      </c>
      <c r="G10186" s="12">
        <f t="shared" ref="G10186:G10193" si="1530">ROUND(E10186*F10186,2)</f>
        <v>10.73</v>
      </c>
    </row>
    <row r="10187" ht="39.75" customHeight="1">
      <c r="A10187" s="10" t="s">
        <v>4138</v>
      </c>
      <c r="B10187" s="10" t="s">
        <v>42</v>
      </c>
      <c r="C10187" s="10" t="s">
        <v>344</v>
      </c>
      <c r="D10187" s="10" t="s">
        <v>4139</v>
      </c>
      <c r="E10187" s="14">
        <v>1.0</v>
      </c>
      <c r="F10187" s="15">
        <f>ROUND(8.84,3)</f>
        <v>8.84</v>
      </c>
      <c r="G10187" s="12">
        <f t="shared" si="1530"/>
        <v>8.84</v>
      </c>
    </row>
    <row r="10188" ht="30.0" customHeight="1">
      <c r="A10188" s="10" t="s">
        <v>1862</v>
      </c>
      <c r="B10188" s="10" t="s">
        <v>42</v>
      </c>
      <c r="C10188" s="10" t="s">
        <v>1245</v>
      </c>
      <c r="D10188" s="10" t="s">
        <v>1863</v>
      </c>
      <c r="E10188" s="14">
        <v>0.1</v>
      </c>
      <c r="F10188" s="15">
        <f>ROUND(6.32,3)</f>
        <v>6.32</v>
      </c>
      <c r="G10188" s="12">
        <f t="shared" si="1530"/>
        <v>0.63</v>
      </c>
    </row>
    <row r="10189" ht="21.0" customHeight="1">
      <c r="A10189" s="10" t="s">
        <v>22</v>
      </c>
      <c r="B10189" s="10" t="s">
        <v>18</v>
      </c>
      <c r="C10189" s="10" t="s">
        <v>23</v>
      </c>
      <c r="D10189" s="10" t="s">
        <v>24</v>
      </c>
      <c r="E10189" s="14">
        <v>0.5714</v>
      </c>
      <c r="F10189" s="15">
        <f>F10193</f>
        <v>43.8</v>
      </c>
      <c r="G10189" s="12">
        <f t="shared" si="1530"/>
        <v>25.03</v>
      </c>
    </row>
    <row r="10190" ht="24.0" customHeight="1">
      <c r="A10190" s="10" t="s">
        <v>25</v>
      </c>
      <c r="B10190" s="10" t="s">
        <v>26</v>
      </c>
      <c r="C10190" s="10" t="s">
        <v>23</v>
      </c>
      <c r="D10190" s="10" t="s">
        <v>27</v>
      </c>
      <c r="E10190" s="14">
        <v>1.0</v>
      </c>
      <c r="F10190" s="15">
        <f>ROUND(21,3)</f>
        <v>21</v>
      </c>
      <c r="G10190" s="12">
        <f t="shared" si="1530"/>
        <v>21</v>
      </c>
    </row>
    <row r="10191" ht="24.0" customHeight="1">
      <c r="A10191" s="10" t="s">
        <v>28</v>
      </c>
      <c r="B10191" s="10" t="s">
        <v>26</v>
      </c>
      <c r="C10191" s="10" t="s">
        <v>23</v>
      </c>
      <c r="D10191" s="10" t="s">
        <v>29</v>
      </c>
      <c r="E10191" s="14">
        <v>1.0</v>
      </c>
      <c r="F10191" s="15">
        <f t="shared" ref="F10191:F10192" si="1531">ROUND(19,3)</f>
        <v>19</v>
      </c>
      <c r="G10191" s="12">
        <f t="shared" si="1530"/>
        <v>19</v>
      </c>
    </row>
    <row r="10192" ht="24.0" customHeight="1">
      <c r="A10192" s="10" t="s">
        <v>30</v>
      </c>
      <c r="B10192" s="10" t="s">
        <v>26</v>
      </c>
      <c r="C10192" s="10" t="s">
        <v>23</v>
      </c>
      <c r="D10192" s="10" t="s">
        <v>31</v>
      </c>
      <c r="E10192" s="14">
        <v>0.2</v>
      </c>
      <c r="F10192" s="15">
        <f t="shared" si="1531"/>
        <v>19</v>
      </c>
      <c r="G10192" s="12">
        <f t="shared" si="1530"/>
        <v>3.8</v>
      </c>
    </row>
    <row r="10193" ht="15.0" customHeight="1">
      <c r="A10193" s="11"/>
      <c r="B10193" s="11"/>
      <c r="C10193" s="11"/>
      <c r="D10193" s="10" t="s">
        <v>22</v>
      </c>
      <c r="E10193" s="14">
        <v>0.5714</v>
      </c>
      <c r="F10193" s="15">
        <f>ROUND((G10190+G10191+G10192),3)</f>
        <v>43.8</v>
      </c>
      <c r="G10193" s="12">
        <f t="shared" si="1530"/>
        <v>25.03</v>
      </c>
    </row>
    <row r="10194" ht="15.0" customHeight="1">
      <c r="A10194" s="10" t="s">
        <v>32</v>
      </c>
      <c r="B10194" s="10"/>
      <c r="C10194" s="10" t="s">
        <v>33</v>
      </c>
      <c r="D10194" s="10" t="s">
        <v>34</v>
      </c>
      <c r="E10194" s="14">
        <v>5.0</v>
      </c>
      <c r="F10194" s="15">
        <f>ROUND(25.03,3)</f>
        <v>25.03</v>
      </c>
      <c r="G10194" s="12">
        <f>ROUND((E10194*F10194)/100,2)</f>
        <v>1.25</v>
      </c>
    </row>
    <row r="10195" ht="15.0" customHeight="1">
      <c r="A10195" s="16"/>
      <c r="B10195" s="16"/>
      <c r="C10195" s="16"/>
      <c r="D10195" s="17" t="s">
        <v>4602</v>
      </c>
      <c r="E10195" s="16"/>
      <c r="F10195" s="18">
        <f>ROUND((G10186+G10187+G10188+G10189+G10194)*(1+G2/100),2)</f>
        <v>46.48</v>
      </c>
      <c r="G10195" s="16"/>
    </row>
    <row r="10196" ht="67.5" customHeight="1">
      <c r="A10196" s="19" t="s">
        <v>4605</v>
      </c>
      <c r="B10196" s="20" t="s">
        <v>18</v>
      </c>
      <c r="C10196" s="20" t="s">
        <v>231</v>
      </c>
      <c r="D10196" s="20" t="s">
        <v>4606</v>
      </c>
      <c r="E10196" s="21"/>
      <c r="F10196" s="22">
        <f>F10207</f>
        <v>60.13</v>
      </c>
      <c r="G10196" s="21"/>
    </row>
    <row r="10197" ht="21.0" customHeight="1">
      <c r="A10197" s="11"/>
      <c r="B10197" s="11"/>
      <c r="C10197" s="11"/>
      <c r="D10197" s="10" t="s">
        <v>4607</v>
      </c>
    </row>
    <row r="10198" ht="30.0" customHeight="1">
      <c r="A10198" s="10" t="s">
        <v>4136</v>
      </c>
      <c r="B10198" s="10" t="s">
        <v>42</v>
      </c>
      <c r="C10198" s="10" t="s">
        <v>344</v>
      </c>
      <c r="D10198" s="10" t="s">
        <v>4137</v>
      </c>
      <c r="E10198" s="14">
        <v>1.0</v>
      </c>
      <c r="F10198" s="15">
        <f>ROUND(20,3)</f>
        <v>20</v>
      </c>
      <c r="G10198" s="12">
        <f t="shared" ref="G10198:G10205" si="1532">ROUND(E10198*F10198,2)</f>
        <v>20</v>
      </c>
    </row>
    <row r="10199" ht="39.75" customHeight="1">
      <c r="A10199" s="10" t="s">
        <v>4138</v>
      </c>
      <c r="B10199" s="10" t="s">
        <v>42</v>
      </c>
      <c r="C10199" s="10" t="s">
        <v>344</v>
      </c>
      <c r="D10199" s="10" t="s">
        <v>4139</v>
      </c>
      <c r="E10199" s="14">
        <v>1.0</v>
      </c>
      <c r="F10199" s="15">
        <f>ROUND(8.84,3)</f>
        <v>8.84</v>
      </c>
      <c r="G10199" s="12">
        <f t="shared" si="1532"/>
        <v>8.84</v>
      </c>
    </row>
    <row r="10200" ht="30.0" customHeight="1">
      <c r="A10200" s="10" t="s">
        <v>1862</v>
      </c>
      <c r="B10200" s="10" t="s">
        <v>42</v>
      </c>
      <c r="C10200" s="10" t="s">
        <v>1245</v>
      </c>
      <c r="D10200" s="10" t="s">
        <v>1863</v>
      </c>
      <c r="E10200" s="14">
        <v>0.1</v>
      </c>
      <c r="F10200" s="15">
        <f>ROUND(6.32,3)</f>
        <v>6.32</v>
      </c>
      <c r="G10200" s="12">
        <f t="shared" si="1532"/>
        <v>0.63</v>
      </c>
    </row>
    <row r="10201" ht="21.0" customHeight="1">
      <c r="A10201" s="10" t="s">
        <v>22</v>
      </c>
      <c r="B10201" s="10" t="s">
        <v>18</v>
      </c>
      <c r="C10201" s="10" t="s">
        <v>23</v>
      </c>
      <c r="D10201" s="10" t="s">
        <v>24</v>
      </c>
      <c r="E10201" s="14">
        <v>0.66667</v>
      </c>
      <c r="F10201" s="15">
        <f>F10205</f>
        <v>43.8</v>
      </c>
      <c r="G10201" s="12">
        <f t="shared" si="1532"/>
        <v>29.2</v>
      </c>
    </row>
    <row r="10202" ht="24.0" customHeight="1">
      <c r="A10202" s="10" t="s">
        <v>25</v>
      </c>
      <c r="B10202" s="10" t="s">
        <v>26</v>
      </c>
      <c r="C10202" s="10" t="s">
        <v>23</v>
      </c>
      <c r="D10202" s="10" t="s">
        <v>27</v>
      </c>
      <c r="E10202" s="14">
        <v>1.0</v>
      </c>
      <c r="F10202" s="15">
        <f>ROUND(21,3)</f>
        <v>21</v>
      </c>
      <c r="G10202" s="12">
        <f t="shared" si="1532"/>
        <v>21</v>
      </c>
    </row>
    <row r="10203" ht="24.0" customHeight="1">
      <c r="A10203" s="10" t="s">
        <v>28</v>
      </c>
      <c r="B10203" s="10" t="s">
        <v>26</v>
      </c>
      <c r="C10203" s="10" t="s">
        <v>23</v>
      </c>
      <c r="D10203" s="10" t="s">
        <v>29</v>
      </c>
      <c r="E10203" s="14">
        <v>1.0</v>
      </c>
      <c r="F10203" s="15">
        <f t="shared" ref="F10203:F10204" si="1533">ROUND(19,3)</f>
        <v>19</v>
      </c>
      <c r="G10203" s="12">
        <f t="shared" si="1532"/>
        <v>19</v>
      </c>
    </row>
    <row r="10204" ht="24.0" customHeight="1">
      <c r="A10204" s="10" t="s">
        <v>30</v>
      </c>
      <c r="B10204" s="10" t="s">
        <v>26</v>
      </c>
      <c r="C10204" s="10" t="s">
        <v>23</v>
      </c>
      <c r="D10204" s="10" t="s">
        <v>31</v>
      </c>
      <c r="E10204" s="14">
        <v>0.2</v>
      </c>
      <c r="F10204" s="15">
        <f t="shared" si="1533"/>
        <v>19</v>
      </c>
      <c r="G10204" s="12">
        <f t="shared" si="1532"/>
        <v>3.8</v>
      </c>
    </row>
    <row r="10205" ht="15.0" customHeight="1">
      <c r="A10205" s="11"/>
      <c r="B10205" s="11"/>
      <c r="C10205" s="11"/>
      <c r="D10205" s="10" t="s">
        <v>22</v>
      </c>
      <c r="E10205" s="14">
        <v>0.66667</v>
      </c>
      <c r="F10205" s="15">
        <f>ROUND((G10202+G10203+G10204),3)</f>
        <v>43.8</v>
      </c>
      <c r="G10205" s="12">
        <f t="shared" si="1532"/>
        <v>29.2</v>
      </c>
    </row>
    <row r="10206" ht="15.0" customHeight="1">
      <c r="A10206" s="10" t="s">
        <v>32</v>
      </c>
      <c r="B10206" s="10"/>
      <c r="C10206" s="10" t="s">
        <v>33</v>
      </c>
      <c r="D10206" s="10" t="s">
        <v>34</v>
      </c>
      <c r="E10206" s="14">
        <v>5.0</v>
      </c>
      <c r="F10206" s="15">
        <f>ROUND(29.2,3)</f>
        <v>29.2</v>
      </c>
      <c r="G10206" s="12">
        <f>ROUND((E10206*F10206)/100,2)</f>
        <v>1.46</v>
      </c>
    </row>
    <row r="10207" ht="15.0" customHeight="1">
      <c r="A10207" s="16"/>
      <c r="B10207" s="16"/>
      <c r="C10207" s="16"/>
      <c r="D10207" s="17" t="s">
        <v>4605</v>
      </c>
      <c r="E10207" s="16"/>
      <c r="F10207" s="18">
        <f>ROUND((G10198+G10199+G10200+G10201+G10206)*(1+G2/100),2)</f>
        <v>60.13</v>
      </c>
      <c r="G10207" s="16"/>
    </row>
    <row r="10208" ht="30.0" customHeight="1">
      <c r="A10208" s="19" t="s">
        <v>4608</v>
      </c>
      <c r="B10208" s="20" t="s">
        <v>18</v>
      </c>
      <c r="C10208" s="20" t="s">
        <v>344</v>
      </c>
      <c r="D10208" s="20" t="s">
        <v>4609</v>
      </c>
      <c r="E10208" s="21"/>
      <c r="F10208" s="22">
        <f>F10217</f>
        <v>18.95</v>
      </c>
      <c r="G10208" s="21"/>
    </row>
    <row r="10209" ht="12.0" customHeight="1">
      <c r="A10209" s="11"/>
      <c r="B10209" s="11"/>
      <c r="C10209" s="11"/>
      <c r="D10209" s="10" t="s">
        <v>4610</v>
      </c>
    </row>
    <row r="10210" ht="24.0" customHeight="1">
      <c r="A10210" s="10" t="s">
        <v>4611</v>
      </c>
      <c r="B10210" s="10" t="s">
        <v>42</v>
      </c>
      <c r="C10210" s="10" t="s">
        <v>344</v>
      </c>
      <c r="D10210" s="10" t="s">
        <v>4612</v>
      </c>
      <c r="E10210" s="14">
        <v>1.0</v>
      </c>
      <c r="F10210" s="15">
        <f>ROUND(11.73,3)</f>
        <v>11.73</v>
      </c>
      <c r="G10210" s="12">
        <f t="shared" ref="G10210:G10215" si="1534">ROUND(E10210*F10210,2)</f>
        <v>11.73</v>
      </c>
    </row>
    <row r="10211" ht="21.0" customHeight="1">
      <c r="A10211" s="10" t="s">
        <v>22</v>
      </c>
      <c r="B10211" s="10" t="s">
        <v>18</v>
      </c>
      <c r="C10211" s="10" t="s">
        <v>23</v>
      </c>
      <c r="D10211" s="10" t="s">
        <v>24</v>
      </c>
      <c r="E10211" s="14">
        <v>0.16</v>
      </c>
      <c r="F10211" s="15">
        <f>F10215</f>
        <v>43.8</v>
      </c>
      <c r="G10211" s="12">
        <f t="shared" si="1534"/>
        <v>7.01</v>
      </c>
    </row>
    <row r="10212" ht="24.0" customHeight="1">
      <c r="A10212" s="10" t="s">
        <v>25</v>
      </c>
      <c r="B10212" s="10" t="s">
        <v>26</v>
      </c>
      <c r="C10212" s="10" t="s">
        <v>23</v>
      </c>
      <c r="D10212" s="10" t="s">
        <v>27</v>
      </c>
      <c r="E10212" s="14">
        <v>1.0</v>
      </c>
      <c r="F10212" s="15">
        <f>ROUND(21,3)</f>
        <v>21</v>
      </c>
      <c r="G10212" s="12">
        <f t="shared" si="1534"/>
        <v>21</v>
      </c>
    </row>
    <row r="10213" ht="24.0" customHeight="1">
      <c r="A10213" s="10" t="s">
        <v>28</v>
      </c>
      <c r="B10213" s="10" t="s">
        <v>26</v>
      </c>
      <c r="C10213" s="10" t="s">
        <v>23</v>
      </c>
      <c r="D10213" s="10" t="s">
        <v>29</v>
      </c>
      <c r="E10213" s="14">
        <v>1.0</v>
      </c>
      <c r="F10213" s="15">
        <f t="shared" ref="F10213:F10214" si="1535">ROUND(19,3)</f>
        <v>19</v>
      </c>
      <c r="G10213" s="12">
        <f t="shared" si="1534"/>
        <v>19</v>
      </c>
    </row>
    <row r="10214" ht="24.0" customHeight="1">
      <c r="A10214" s="10" t="s">
        <v>30</v>
      </c>
      <c r="B10214" s="10" t="s">
        <v>26</v>
      </c>
      <c r="C10214" s="10" t="s">
        <v>23</v>
      </c>
      <c r="D10214" s="10" t="s">
        <v>31</v>
      </c>
      <c r="E10214" s="14">
        <v>0.2</v>
      </c>
      <c r="F10214" s="15">
        <f t="shared" si="1535"/>
        <v>19</v>
      </c>
      <c r="G10214" s="12">
        <f t="shared" si="1534"/>
        <v>3.8</v>
      </c>
    </row>
    <row r="10215" ht="15.0" customHeight="1">
      <c r="A10215" s="11"/>
      <c r="B10215" s="11"/>
      <c r="C10215" s="11"/>
      <c r="D10215" s="10" t="s">
        <v>22</v>
      </c>
      <c r="E10215" s="14">
        <v>0.16</v>
      </c>
      <c r="F10215" s="15">
        <f>ROUND((G10212+G10213+G10214),3)</f>
        <v>43.8</v>
      </c>
      <c r="G10215" s="12">
        <f t="shared" si="1534"/>
        <v>7.01</v>
      </c>
    </row>
    <row r="10216" ht="15.0" customHeight="1">
      <c r="A10216" s="10" t="s">
        <v>32</v>
      </c>
      <c r="B10216" s="10"/>
      <c r="C10216" s="10" t="s">
        <v>33</v>
      </c>
      <c r="D10216" s="10" t="s">
        <v>34</v>
      </c>
      <c r="E10216" s="14">
        <v>3.0</v>
      </c>
      <c r="F10216" s="15">
        <f>ROUND(7.01,3)</f>
        <v>7.01</v>
      </c>
      <c r="G10216" s="12">
        <f>ROUND((E10216*F10216)/100,2)</f>
        <v>0.21</v>
      </c>
    </row>
    <row r="10217" ht="15.0" customHeight="1">
      <c r="A10217" s="16"/>
      <c r="B10217" s="16"/>
      <c r="C10217" s="16"/>
      <c r="D10217" s="17" t="s">
        <v>4608</v>
      </c>
      <c r="E10217" s="16"/>
      <c r="F10217" s="18">
        <f>ROUND((G10210+G10211+G10216)*(1+G2/100),2)</f>
        <v>18.95</v>
      </c>
      <c r="G10217" s="16"/>
    </row>
    <row r="10218" ht="30.0" customHeight="1">
      <c r="A10218" s="19" t="s">
        <v>4613</v>
      </c>
      <c r="B10218" s="20" t="s">
        <v>18</v>
      </c>
      <c r="C10218" s="20" t="s">
        <v>344</v>
      </c>
      <c r="D10218" s="20" t="s">
        <v>4614</v>
      </c>
      <c r="E10218" s="21"/>
      <c r="F10218" s="22">
        <f>F10227</f>
        <v>21.47</v>
      </c>
      <c r="G10218" s="21"/>
    </row>
    <row r="10219" ht="12.0" customHeight="1">
      <c r="A10219" s="11"/>
      <c r="B10219" s="11"/>
      <c r="C10219" s="11"/>
      <c r="D10219" s="10" t="s">
        <v>4615</v>
      </c>
    </row>
    <row r="10220" ht="30.0" customHeight="1">
      <c r="A10220" s="10" t="s">
        <v>4616</v>
      </c>
      <c r="B10220" s="10" t="s">
        <v>42</v>
      </c>
      <c r="C10220" s="10" t="s">
        <v>344</v>
      </c>
      <c r="D10220" s="10" t="s">
        <v>4617</v>
      </c>
      <c r="E10220" s="14">
        <v>1.0</v>
      </c>
      <c r="F10220" s="15">
        <f>ROUND(14.25,3)</f>
        <v>14.25</v>
      </c>
      <c r="G10220" s="12">
        <f t="shared" ref="G10220:G10225" si="1536">ROUND(E10220*F10220,2)</f>
        <v>14.25</v>
      </c>
    </row>
    <row r="10221" ht="21.0" customHeight="1">
      <c r="A10221" s="10" t="s">
        <v>22</v>
      </c>
      <c r="B10221" s="10" t="s">
        <v>18</v>
      </c>
      <c r="C10221" s="10" t="s">
        <v>23</v>
      </c>
      <c r="D10221" s="10" t="s">
        <v>24</v>
      </c>
      <c r="E10221" s="14">
        <v>0.16</v>
      </c>
      <c r="F10221" s="15">
        <f>F10225</f>
        <v>43.8</v>
      </c>
      <c r="G10221" s="12">
        <f t="shared" si="1536"/>
        <v>7.01</v>
      </c>
    </row>
    <row r="10222" ht="24.0" customHeight="1">
      <c r="A10222" s="10" t="s">
        <v>25</v>
      </c>
      <c r="B10222" s="10" t="s">
        <v>26</v>
      </c>
      <c r="C10222" s="10" t="s">
        <v>23</v>
      </c>
      <c r="D10222" s="10" t="s">
        <v>27</v>
      </c>
      <c r="E10222" s="14">
        <v>1.0</v>
      </c>
      <c r="F10222" s="15">
        <f>ROUND(21,3)</f>
        <v>21</v>
      </c>
      <c r="G10222" s="12">
        <f t="shared" si="1536"/>
        <v>21</v>
      </c>
    </row>
    <row r="10223" ht="24.0" customHeight="1">
      <c r="A10223" s="10" t="s">
        <v>28</v>
      </c>
      <c r="B10223" s="10" t="s">
        <v>26</v>
      </c>
      <c r="C10223" s="10" t="s">
        <v>23</v>
      </c>
      <c r="D10223" s="10" t="s">
        <v>29</v>
      </c>
      <c r="E10223" s="14">
        <v>1.0</v>
      </c>
      <c r="F10223" s="15">
        <f t="shared" ref="F10223:F10224" si="1537">ROUND(19,3)</f>
        <v>19</v>
      </c>
      <c r="G10223" s="12">
        <f t="shared" si="1536"/>
        <v>19</v>
      </c>
    </row>
    <row r="10224" ht="24.0" customHeight="1">
      <c r="A10224" s="10" t="s">
        <v>30</v>
      </c>
      <c r="B10224" s="10" t="s">
        <v>26</v>
      </c>
      <c r="C10224" s="10" t="s">
        <v>23</v>
      </c>
      <c r="D10224" s="10" t="s">
        <v>31</v>
      </c>
      <c r="E10224" s="14">
        <v>0.2</v>
      </c>
      <c r="F10224" s="15">
        <f t="shared" si="1537"/>
        <v>19</v>
      </c>
      <c r="G10224" s="12">
        <f t="shared" si="1536"/>
        <v>3.8</v>
      </c>
    </row>
    <row r="10225" ht="15.0" customHeight="1">
      <c r="A10225" s="11"/>
      <c r="B10225" s="11"/>
      <c r="C10225" s="11"/>
      <c r="D10225" s="10" t="s">
        <v>22</v>
      </c>
      <c r="E10225" s="14">
        <v>0.16</v>
      </c>
      <c r="F10225" s="15">
        <f>ROUND((G10222+G10223+G10224),3)</f>
        <v>43.8</v>
      </c>
      <c r="G10225" s="12">
        <f t="shared" si="1536"/>
        <v>7.01</v>
      </c>
    </row>
    <row r="10226" ht="15.0" customHeight="1">
      <c r="A10226" s="10" t="s">
        <v>32</v>
      </c>
      <c r="B10226" s="10"/>
      <c r="C10226" s="10" t="s">
        <v>33</v>
      </c>
      <c r="D10226" s="10" t="s">
        <v>34</v>
      </c>
      <c r="E10226" s="14">
        <v>3.0</v>
      </c>
      <c r="F10226" s="15">
        <f>ROUND(7.01,3)</f>
        <v>7.01</v>
      </c>
      <c r="G10226" s="12">
        <f>ROUND((E10226*F10226)/100,2)</f>
        <v>0.21</v>
      </c>
    </row>
    <row r="10227" ht="15.0" customHeight="1">
      <c r="A10227" s="16"/>
      <c r="B10227" s="16"/>
      <c r="C10227" s="16"/>
      <c r="D10227" s="17" t="s">
        <v>4613</v>
      </c>
      <c r="E10227" s="16"/>
      <c r="F10227" s="18">
        <f>ROUND((G10220+G10221+G10226)*(1+G2/100),2)</f>
        <v>21.47</v>
      </c>
      <c r="G10227" s="16"/>
    </row>
    <row r="10228" ht="15.0" customHeight="1">
      <c r="A10228" s="23"/>
      <c r="B10228" s="23"/>
      <c r="C10228" s="23"/>
      <c r="D10228" s="32" t="s">
        <v>4580</v>
      </c>
      <c r="E10228" s="33"/>
      <c r="F10228" s="33"/>
      <c r="G10228" s="33"/>
    </row>
    <row r="10229" ht="48.75" customHeight="1">
      <c r="A10229" s="19" t="s">
        <v>4618</v>
      </c>
      <c r="B10229" s="20" t="s">
        <v>18</v>
      </c>
      <c r="C10229" s="20" t="s">
        <v>19</v>
      </c>
      <c r="D10229" s="20" t="s">
        <v>4619</v>
      </c>
      <c r="E10229" s="21"/>
      <c r="F10229" s="22">
        <f>F10238</f>
        <v>4.48</v>
      </c>
      <c r="G10229" s="21"/>
    </row>
    <row r="10230" ht="21.0" customHeight="1">
      <c r="A10230" s="11"/>
      <c r="B10230" s="11"/>
      <c r="C10230" s="11"/>
      <c r="D10230" s="10" t="s">
        <v>4620</v>
      </c>
    </row>
    <row r="10231" ht="39.75" customHeight="1">
      <c r="A10231" s="10" t="s">
        <v>4123</v>
      </c>
      <c r="B10231" s="10" t="s">
        <v>42</v>
      </c>
      <c r="C10231" s="10" t="s">
        <v>226</v>
      </c>
      <c r="D10231" s="10" t="s">
        <v>4124</v>
      </c>
      <c r="E10231" s="14">
        <v>0.021</v>
      </c>
      <c r="F10231" s="15">
        <f>ROUND(41.25,3)</f>
        <v>41.25</v>
      </c>
      <c r="G10231" s="12">
        <f t="shared" ref="G10231:G10236" si="1538">ROUND(E10231*F10231,2)</f>
        <v>0.87</v>
      </c>
    </row>
    <row r="10232" ht="21.0" customHeight="1">
      <c r="A10232" s="10" t="s">
        <v>22</v>
      </c>
      <c r="B10232" s="10" t="s">
        <v>18</v>
      </c>
      <c r="C10232" s="10" t="s">
        <v>23</v>
      </c>
      <c r="D10232" s="10" t="s">
        <v>24</v>
      </c>
      <c r="E10232" s="14">
        <v>0.08</v>
      </c>
      <c r="F10232" s="15">
        <f>F10236</f>
        <v>43.8</v>
      </c>
      <c r="G10232" s="12">
        <f t="shared" si="1538"/>
        <v>3.5</v>
      </c>
    </row>
    <row r="10233" ht="24.0" customHeight="1">
      <c r="A10233" s="10" t="s">
        <v>25</v>
      </c>
      <c r="B10233" s="10" t="s">
        <v>26</v>
      </c>
      <c r="C10233" s="10" t="s">
        <v>23</v>
      </c>
      <c r="D10233" s="10" t="s">
        <v>27</v>
      </c>
      <c r="E10233" s="14">
        <v>1.0</v>
      </c>
      <c r="F10233" s="15">
        <f>ROUND(21,3)</f>
        <v>21</v>
      </c>
      <c r="G10233" s="12">
        <f t="shared" si="1538"/>
        <v>21</v>
      </c>
    </row>
    <row r="10234" ht="24.0" customHeight="1">
      <c r="A10234" s="10" t="s">
        <v>28</v>
      </c>
      <c r="B10234" s="10" t="s">
        <v>26</v>
      </c>
      <c r="C10234" s="10" t="s">
        <v>23</v>
      </c>
      <c r="D10234" s="10" t="s">
        <v>29</v>
      </c>
      <c r="E10234" s="14">
        <v>1.0</v>
      </c>
      <c r="F10234" s="15">
        <f t="shared" ref="F10234:F10235" si="1539">ROUND(19,3)</f>
        <v>19</v>
      </c>
      <c r="G10234" s="12">
        <f t="shared" si="1538"/>
        <v>19</v>
      </c>
    </row>
    <row r="10235" ht="24.0" customHeight="1">
      <c r="A10235" s="10" t="s">
        <v>30</v>
      </c>
      <c r="B10235" s="10" t="s">
        <v>26</v>
      </c>
      <c r="C10235" s="10" t="s">
        <v>23</v>
      </c>
      <c r="D10235" s="10" t="s">
        <v>31</v>
      </c>
      <c r="E10235" s="14">
        <v>0.2</v>
      </c>
      <c r="F10235" s="15">
        <f t="shared" si="1539"/>
        <v>19</v>
      </c>
      <c r="G10235" s="12">
        <f t="shared" si="1538"/>
        <v>3.8</v>
      </c>
    </row>
    <row r="10236" ht="15.0" customHeight="1">
      <c r="A10236" s="11"/>
      <c r="B10236" s="11"/>
      <c r="C10236" s="11"/>
      <c r="D10236" s="10" t="s">
        <v>22</v>
      </c>
      <c r="E10236" s="14">
        <v>0.08</v>
      </c>
      <c r="F10236" s="15">
        <f>ROUND((G10233+G10234+G10235),3)</f>
        <v>43.8</v>
      </c>
      <c r="G10236" s="12">
        <f t="shared" si="1538"/>
        <v>3.5</v>
      </c>
    </row>
    <row r="10237" ht="15.0" customHeight="1">
      <c r="A10237" s="10" t="s">
        <v>32</v>
      </c>
      <c r="B10237" s="10"/>
      <c r="C10237" s="10" t="s">
        <v>33</v>
      </c>
      <c r="D10237" s="10" t="s">
        <v>34</v>
      </c>
      <c r="E10237" s="14">
        <v>3.0</v>
      </c>
      <c r="F10237" s="15">
        <f>ROUND(3.5,3)</f>
        <v>3.5</v>
      </c>
      <c r="G10237" s="12">
        <f>ROUND((E10237*F10237)/100,2)</f>
        <v>0.11</v>
      </c>
    </row>
    <row r="10238" ht="15.0" customHeight="1">
      <c r="A10238" s="16"/>
      <c r="B10238" s="16"/>
      <c r="C10238" s="16"/>
      <c r="D10238" s="17" t="s">
        <v>4618</v>
      </c>
      <c r="E10238" s="16"/>
      <c r="F10238" s="18">
        <f>ROUND((G10231+G10232+G10237)*(1+G2/100),2)</f>
        <v>4.48</v>
      </c>
      <c r="G10238" s="16"/>
    </row>
    <row r="10239" ht="57.75" customHeight="1">
      <c r="A10239" s="19" t="s">
        <v>4621</v>
      </c>
      <c r="B10239" s="20" t="s">
        <v>18</v>
      </c>
      <c r="C10239" s="20" t="s">
        <v>351</v>
      </c>
      <c r="D10239" s="20" t="s">
        <v>4622</v>
      </c>
      <c r="E10239" s="21"/>
      <c r="F10239" s="22">
        <f>F10251</f>
        <v>12.55</v>
      </c>
      <c r="G10239" s="21"/>
    </row>
    <row r="10240" ht="21.0" customHeight="1">
      <c r="A10240" s="11"/>
      <c r="B10240" s="11"/>
      <c r="C10240" s="11"/>
      <c r="D10240" s="10" t="s">
        <v>4623</v>
      </c>
    </row>
    <row r="10241" ht="21.0" customHeight="1">
      <c r="A10241" s="10" t="s">
        <v>242</v>
      </c>
      <c r="B10241" s="10" t="s">
        <v>42</v>
      </c>
      <c r="C10241" s="10" t="s">
        <v>226</v>
      </c>
      <c r="D10241" s="10" t="s">
        <v>243</v>
      </c>
      <c r="E10241" s="14">
        <v>0.04889</v>
      </c>
      <c r="F10241" s="15">
        <f>ROUND(1.32,3)</f>
        <v>1.32</v>
      </c>
      <c r="G10241" s="12">
        <f t="shared" ref="G10241:G10249" si="1540">ROUND(E10241*F10241,2)</f>
        <v>0.06</v>
      </c>
    </row>
    <row r="10242" ht="30.0" customHeight="1">
      <c r="A10242" s="10" t="s">
        <v>4624</v>
      </c>
      <c r="B10242" s="10" t="s">
        <v>42</v>
      </c>
      <c r="C10242" s="10" t="s">
        <v>4625</v>
      </c>
      <c r="D10242" s="10" t="s">
        <v>4626</v>
      </c>
      <c r="E10242" s="14">
        <v>1.0</v>
      </c>
      <c r="F10242" s="15">
        <f>ROUND(0.16,3)</f>
        <v>0.16</v>
      </c>
      <c r="G10242" s="12">
        <f t="shared" si="1540"/>
        <v>0.16</v>
      </c>
    </row>
    <row r="10243" ht="30.0" customHeight="1">
      <c r="A10243" s="10" t="s">
        <v>4627</v>
      </c>
      <c r="B10243" s="10" t="s">
        <v>42</v>
      </c>
      <c r="C10243" s="10" t="s">
        <v>43</v>
      </c>
      <c r="D10243" s="10" t="s">
        <v>4628</v>
      </c>
      <c r="E10243" s="14">
        <v>0.0022</v>
      </c>
      <c r="F10243" s="15">
        <f>ROUND(11.95,3)</f>
        <v>11.95</v>
      </c>
      <c r="G10243" s="12">
        <f t="shared" si="1540"/>
        <v>0.03</v>
      </c>
    </row>
    <row r="10244" ht="30.0" customHeight="1">
      <c r="A10244" s="10" t="s">
        <v>4629</v>
      </c>
      <c r="B10244" s="10" t="s">
        <v>42</v>
      </c>
      <c r="C10244" s="10" t="s">
        <v>43</v>
      </c>
      <c r="D10244" s="10" t="s">
        <v>4630</v>
      </c>
      <c r="E10244" s="14">
        <v>0.5</v>
      </c>
      <c r="F10244" s="15">
        <f>ROUND(6.19,3)</f>
        <v>6.19</v>
      </c>
      <c r="G10244" s="12">
        <f t="shared" si="1540"/>
        <v>3.1</v>
      </c>
    </row>
    <row r="10245" ht="21.0" customHeight="1">
      <c r="A10245" s="10" t="s">
        <v>22</v>
      </c>
      <c r="B10245" s="10" t="s">
        <v>18</v>
      </c>
      <c r="C10245" s="10" t="s">
        <v>23</v>
      </c>
      <c r="D10245" s="10" t="s">
        <v>24</v>
      </c>
      <c r="E10245" s="14">
        <v>0.2</v>
      </c>
      <c r="F10245" s="15">
        <f>F10249</f>
        <v>43.8</v>
      </c>
      <c r="G10245" s="12">
        <f t="shared" si="1540"/>
        <v>8.76</v>
      </c>
    </row>
    <row r="10246" ht="24.0" customHeight="1">
      <c r="A10246" s="10" t="s">
        <v>25</v>
      </c>
      <c r="B10246" s="10" t="s">
        <v>26</v>
      </c>
      <c r="C10246" s="10" t="s">
        <v>23</v>
      </c>
      <c r="D10246" s="10" t="s">
        <v>27</v>
      </c>
      <c r="E10246" s="14">
        <v>1.0</v>
      </c>
      <c r="F10246" s="15">
        <f>ROUND(21,3)</f>
        <v>21</v>
      </c>
      <c r="G10246" s="12">
        <f t="shared" si="1540"/>
        <v>21</v>
      </c>
    </row>
    <row r="10247" ht="24.0" customHeight="1">
      <c r="A10247" s="10" t="s">
        <v>28</v>
      </c>
      <c r="B10247" s="10" t="s">
        <v>26</v>
      </c>
      <c r="C10247" s="10" t="s">
        <v>23</v>
      </c>
      <c r="D10247" s="10" t="s">
        <v>29</v>
      </c>
      <c r="E10247" s="14">
        <v>1.0</v>
      </c>
      <c r="F10247" s="15">
        <f t="shared" ref="F10247:F10248" si="1541">ROUND(19,3)</f>
        <v>19</v>
      </c>
      <c r="G10247" s="12">
        <f t="shared" si="1540"/>
        <v>19</v>
      </c>
    </row>
    <row r="10248" ht="24.0" customHeight="1">
      <c r="A10248" s="10" t="s">
        <v>30</v>
      </c>
      <c r="B10248" s="10" t="s">
        <v>26</v>
      </c>
      <c r="C10248" s="10" t="s">
        <v>23</v>
      </c>
      <c r="D10248" s="10" t="s">
        <v>31</v>
      </c>
      <c r="E10248" s="14">
        <v>0.2</v>
      </c>
      <c r="F10248" s="15">
        <f t="shared" si="1541"/>
        <v>19</v>
      </c>
      <c r="G10248" s="12">
        <f t="shared" si="1540"/>
        <v>3.8</v>
      </c>
    </row>
    <row r="10249" ht="15.0" customHeight="1">
      <c r="A10249" s="11"/>
      <c r="B10249" s="11"/>
      <c r="C10249" s="11"/>
      <c r="D10249" s="10" t="s">
        <v>22</v>
      </c>
      <c r="E10249" s="14">
        <v>0.2</v>
      </c>
      <c r="F10249" s="15">
        <f>ROUND((G10246+G10247+G10248),3)</f>
        <v>43.8</v>
      </c>
      <c r="G10249" s="12">
        <f t="shared" si="1540"/>
        <v>8.76</v>
      </c>
    </row>
    <row r="10250" ht="15.0" customHeight="1">
      <c r="A10250" s="10" t="s">
        <v>32</v>
      </c>
      <c r="B10250" s="10"/>
      <c r="C10250" s="10" t="s">
        <v>33</v>
      </c>
      <c r="D10250" s="10" t="s">
        <v>34</v>
      </c>
      <c r="E10250" s="14">
        <v>5.0</v>
      </c>
      <c r="F10250" s="15">
        <f>ROUND(8.76,3)</f>
        <v>8.76</v>
      </c>
      <c r="G10250" s="12">
        <f>ROUND((E10250*F10250)/100,2)</f>
        <v>0.44</v>
      </c>
    </row>
    <row r="10251" ht="15.0" customHeight="1">
      <c r="A10251" s="16"/>
      <c r="B10251" s="16"/>
      <c r="C10251" s="16"/>
      <c r="D10251" s="17" t="s">
        <v>4621</v>
      </c>
      <c r="E10251" s="16"/>
      <c r="F10251" s="18">
        <f>ROUND((G10241+G10242+G10243+G10244+G10245+G10250)*(1+G2/100),2)</f>
        <v>12.55</v>
      </c>
      <c r="G10251" s="16"/>
    </row>
    <row r="10252" ht="57.75" customHeight="1">
      <c r="A10252" s="19" t="s">
        <v>4631</v>
      </c>
      <c r="B10252" s="20" t="s">
        <v>18</v>
      </c>
      <c r="C10252" s="20" t="s">
        <v>351</v>
      </c>
      <c r="D10252" s="20" t="s">
        <v>4632</v>
      </c>
      <c r="E10252" s="21"/>
      <c r="F10252" s="22">
        <f>F10264</f>
        <v>19.36</v>
      </c>
      <c r="G10252" s="21"/>
    </row>
    <row r="10253" ht="21.0" customHeight="1">
      <c r="A10253" s="11"/>
      <c r="B10253" s="11"/>
      <c r="C10253" s="11"/>
      <c r="D10253" s="10" t="s">
        <v>4633</v>
      </c>
    </row>
    <row r="10254" ht="21.0" customHeight="1">
      <c r="A10254" s="10" t="s">
        <v>242</v>
      </c>
      <c r="B10254" s="10" t="s">
        <v>42</v>
      </c>
      <c r="C10254" s="10" t="s">
        <v>226</v>
      </c>
      <c r="D10254" s="10" t="s">
        <v>243</v>
      </c>
      <c r="E10254" s="14">
        <v>0.04889</v>
      </c>
      <c r="F10254" s="15">
        <f>ROUND(1.32,3)</f>
        <v>1.32</v>
      </c>
      <c r="G10254" s="12">
        <f t="shared" ref="G10254:G10262" si="1542">ROUND(E10254*F10254,2)</f>
        <v>0.06</v>
      </c>
    </row>
    <row r="10255" ht="30.0" customHeight="1">
      <c r="A10255" s="10" t="s">
        <v>4624</v>
      </c>
      <c r="B10255" s="10" t="s">
        <v>42</v>
      </c>
      <c r="C10255" s="10" t="s">
        <v>4625</v>
      </c>
      <c r="D10255" s="10" t="s">
        <v>4626</v>
      </c>
      <c r="E10255" s="14">
        <v>2.0</v>
      </c>
      <c r="F10255" s="15">
        <f>ROUND(0.16,3)</f>
        <v>0.16</v>
      </c>
      <c r="G10255" s="12">
        <f t="shared" si="1542"/>
        <v>0.32</v>
      </c>
    </row>
    <row r="10256" ht="30.0" customHeight="1">
      <c r="A10256" s="10" t="s">
        <v>4627</v>
      </c>
      <c r="B10256" s="10" t="s">
        <v>42</v>
      </c>
      <c r="C10256" s="10" t="s">
        <v>43</v>
      </c>
      <c r="D10256" s="10" t="s">
        <v>4628</v>
      </c>
      <c r="E10256" s="14">
        <v>0.044</v>
      </c>
      <c r="F10256" s="15">
        <f>ROUND(11.95,3)</f>
        <v>11.95</v>
      </c>
      <c r="G10256" s="12">
        <f t="shared" si="1542"/>
        <v>0.53</v>
      </c>
    </row>
    <row r="10257" ht="30.0" customHeight="1">
      <c r="A10257" s="10" t="s">
        <v>4629</v>
      </c>
      <c r="B10257" s="10" t="s">
        <v>42</v>
      </c>
      <c r="C10257" s="10" t="s">
        <v>43</v>
      </c>
      <c r="D10257" s="10" t="s">
        <v>4630</v>
      </c>
      <c r="E10257" s="14">
        <v>1.0</v>
      </c>
      <c r="F10257" s="15">
        <f>ROUND(6.19,3)</f>
        <v>6.19</v>
      </c>
      <c r="G10257" s="12">
        <f t="shared" si="1542"/>
        <v>6.19</v>
      </c>
    </row>
    <row r="10258" ht="21.0" customHeight="1">
      <c r="A10258" s="10" t="s">
        <v>22</v>
      </c>
      <c r="B10258" s="10" t="s">
        <v>18</v>
      </c>
      <c r="C10258" s="10" t="s">
        <v>23</v>
      </c>
      <c r="D10258" s="10" t="s">
        <v>24</v>
      </c>
      <c r="E10258" s="14">
        <v>0.26666</v>
      </c>
      <c r="F10258" s="15">
        <f>F10262</f>
        <v>43.8</v>
      </c>
      <c r="G10258" s="12">
        <f t="shared" si="1542"/>
        <v>11.68</v>
      </c>
    </row>
    <row r="10259" ht="24.0" customHeight="1">
      <c r="A10259" s="10" t="s">
        <v>25</v>
      </c>
      <c r="B10259" s="10" t="s">
        <v>26</v>
      </c>
      <c r="C10259" s="10" t="s">
        <v>23</v>
      </c>
      <c r="D10259" s="10" t="s">
        <v>27</v>
      </c>
      <c r="E10259" s="14">
        <v>1.0</v>
      </c>
      <c r="F10259" s="15">
        <f>ROUND(21,3)</f>
        <v>21</v>
      </c>
      <c r="G10259" s="12">
        <f t="shared" si="1542"/>
        <v>21</v>
      </c>
    </row>
    <row r="10260" ht="24.0" customHeight="1">
      <c r="A10260" s="10" t="s">
        <v>28</v>
      </c>
      <c r="B10260" s="10" t="s">
        <v>26</v>
      </c>
      <c r="C10260" s="10" t="s">
        <v>23</v>
      </c>
      <c r="D10260" s="10" t="s">
        <v>29</v>
      </c>
      <c r="E10260" s="14">
        <v>1.0</v>
      </c>
      <c r="F10260" s="15">
        <f t="shared" ref="F10260:F10261" si="1543">ROUND(19,3)</f>
        <v>19</v>
      </c>
      <c r="G10260" s="12">
        <f t="shared" si="1542"/>
        <v>19</v>
      </c>
    </row>
    <row r="10261" ht="24.0" customHeight="1">
      <c r="A10261" s="10" t="s">
        <v>30</v>
      </c>
      <c r="B10261" s="10" t="s">
        <v>26</v>
      </c>
      <c r="C10261" s="10" t="s">
        <v>23</v>
      </c>
      <c r="D10261" s="10" t="s">
        <v>31</v>
      </c>
      <c r="E10261" s="14">
        <v>0.2</v>
      </c>
      <c r="F10261" s="15">
        <f t="shared" si="1543"/>
        <v>19</v>
      </c>
      <c r="G10261" s="12">
        <f t="shared" si="1542"/>
        <v>3.8</v>
      </c>
    </row>
    <row r="10262" ht="15.0" customHeight="1">
      <c r="A10262" s="11"/>
      <c r="B10262" s="11"/>
      <c r="C10262" s="11"/>
      <c r="D10262" s="10" t="s">
        <v>22</v>
      </c>
      <c r="E10262" s="14">
        <v>0.26666</v>
      </c>
      <c r="F10262" s="15">
        <f>ROUND((G10259+G10260+G10261),3)</f>
        <v>43.8</v>
      </c>
      <c r="G10262" s="12">
        <f t="shared" si="1542"/>
        <v>11.68</v>
      </c>
    </row>
    <row r="10263" ht="15.0" customHeight="1">
      <c r="A10263" s="10" t="s">
        <v>32</v>
      </c>
      <c r="B10263" s="10"/>
      <c r="C10263" s="10" t="s">
        <v>33</v>
      </c>
      <c r="D10263" s="10" t="s">
        <v>34</v>
      </c>
      <c r="E10263" s="14">
        <v>5.0</v>
      </c>
      <c r="F10263" s="15">
        <f>ROUND(11.68,3)</f>
        <v>11.68</v>
      </c>
      <c r="G10263" s="12">
        <f>ROUND((E10263*F10263)/100,2)</f>
        <v>0.58</v>
      </c>
    </row>
    <row r="10264" ht="15.0" customHeight="1">
      <c r="A10264" s="16"/>
      <c r="B10264" s="16"/>
      <c r="C10264" s="16"/>
      <c r="D10264" s="17" t="s">
        <v>4631</v>
      </c>
      <c r="E10264" s="16"/>
      <c r="F10264" s="18">
        <f>ROUND((G10254+G10255+G10256+G10257+G10258+G10263)*(1+G2/100),2)</f>
        <v>19.36</v>
      </c>
      <c r="G10264" s="16"/>
    </row>
    <row r="10265" ht="57.75" customHeight="1">
      <c r="A10265" s="19" t="s">
        <v>4634</v>
      </c>
      <c r="B10265" s="20" t="s">
        <v>18</v>
      </c>
      <c r="C10265" s="20" t="s">
        <v>351</v>
      </c>
      <c r="D10265" s="20" t="s">
        <v>4635</v>
      </c>
      <c r="E10265" s="21"/>
      <c r="F10265" s="22">
        <f>F10277</f>
        <v>17.8</v>
      </c>
      <c r="G10265" s="21"/>
    </row>
    <row r="10266" ht="21.0" customHeight="1">
      <c r="A10266" s="11"/>
      <c r="B10266" s="11"/>
      <c r="C10266" s="11"/>
      <c r="D10266" s="10" t="s">
        <v>4636</v>
      </c>
    </row>
    <row r="10267" ht="21.0" customHeight="1">
      <c r="A10267" s="10" t="s">
        <v>242</v>
      </c>
      <c r="B10267" s="10" t="s">
        <v>42</v>
      </c>
      <c r="C10267" s="10" t="s">
        <v>226</v>
      </c>
      <c r="D10267" s="10" t="s">
        <v>243</v>
      </c>
      <c r="E10267" s="14">
        <v>0.04889</v>
      </c>
      <c r="F10267" s="15">
        <f>ROUND(1.32,3)</f>
        <v>1.32</v>
      </c>
      <c r="G10267" s="12">
        <f t="shared" ref="G10267:G10275" si="1544">ROUND(E10267*F10267,2)</f>
        <v>0.06</v>
      </c>
    </row>
    <row r="10268" ht="30.0" customHeight="1">
      <c r="A10268" s="10" t="s">
        <v>2943</v>
      </c>
      <c r="B10268" s="10" t="s">
        <v>42</v>
      </c>
      <c r="C10268" s="10" t="s">
        <v>344</v>
      </c>
      <c r="D10268" s="10" t="s">
        <v>2944</v>
      </c>
      <c r="E10268" s="14">
        <v>1.0</v>
      </c>
      <c r="F10268" s="15">
        <f>ROUND(0.44,3)</f>
        <v>0.44</v>
      </c>
      <c r="G10268" s="12">
        <f t="shared" si="1544"/>
        <v>0.44</v>
      </c>
    </row>
    <row r="10269" ht="30.0" customHeight="1">
      <c r="A10269" s="10" t="s">
        <v>4627</v>
      </c>
      <c r="B10269" s="10" t="s">
        <v>42</v>
      </c>
      <c r="C10269" s="10" t="s">
        <v>43</v>
      </c>
      <c r="D10269" s="10" t="s">
        <v>4628</v>
      </c>
      <c r="E10269" s="14">
        <v>0.03333</v>
      </c>
      <c r="F10269" s="15">
        <f>ROUND(11.95,3)</f>
        <v>11.95</v>
      </c>
      <c r="G10269" s="12">
        <f t="shared" si="1544"/>
        <v>0.4</v>
      </c>
    </row>
    <row r="10270" ht="30.0" customHeight="1">
      <c r="A10270" s="10" t="s">
        <v>4629</v>
      </c>
      <c r="B10270" s="10" t="s">
        <v>42</v>
      </c>
      <c r="C10270" s="10" t="s">
        <v>43</v>
      </c>
      <c r="D10270" s="10" t="s">
        <v>4630</v>
      </c>
      <c r="E10270" s="14">
        <v>0.75</v>
      </c>
      <c r="F10270" s="15">
        <f>ROUND(6.19,3)</f>
        <v>6.19</v>
      </c>
      <c r="G10270" s="12">
        <f t="shared" si="1544"/>
        <v>4.64</v>
      </c>
    </row>
    <row r="10271" ht="21.0" customHeight="1">
      <c r="A10271" s="10" t="s">
        <v>22</v>
      </c>
      <c r="B10271" s="10" t="s">
        <v>18</v>
      </c>
      <c r="C10271" s="10" t="s">
        <v>23</v>
      </c>
      <c r="D10271" s="10" t="s">
        <v>24</v>
      </c>
      <c r="E10271" s="14">
        <v>0.26667</v>
      </c>
      <c r="F10271" s="15">
        <f>F10275</f>
        <v>43.8</v>
      </c>
      <c r="G10271" s="12">
        <f t="shared" si="1544"/>
        <v>11.68</v>
      </c>
    </row>
    <row r="10272" ht="24.0" customHeight="1">
      <c r="A10272" s="10" t="s">
        <v>25</v>
      </c>
      <c r="B10272" s="10" t="s">
        <v>26</v>
      </c>
      <c r="C10272" s="10" t="s">
        <v>23</v>
      </c>
      <c r="D10272" s="10" t="s">
        <v>27</v>
      </c>
      <c r="E10272" s="14">
        <v>1.0</v>
      </c>
      <c r="F10272" s="15">
        <f>ROUND(21,3)</f>
        <v>21</v>
      </c>
      <c r="G10272" s="12">
        <f t="shared" si="1544"/>
        <v>21</v>
      </c>
    </row>
    <row r="10273" ht="24.0" customHeight="1">
      <c r="A10273" s="10" t="s">
        <v>28</v>
      </c>
      <c r="B10273" s="10" t="s">
        <v>26</v>
      </c>
      <c r="C10273" s="10" t="s">
        <v>23</v>
      </c>
      <c r="D10273" s="10" t="s">
        <v>29</v>
      </c>
      <c r="E10273" s="14">
        <v>1.0</v>
      </c>
      <c r="F10273" s="15">
        <f t="shared" ref="F10273:F10274" si="1545">ROUND(19,3)</f>
        <v>19</v>
      </c>
      <c r="G10273" s="12">
        <f t="shared" si="1544"/>
        <v>19</v>
      </c>
    </row>
    <row r="10274" ht="24.0" customHeight="1">
      <c r="A10274" s="10" t="s">
        <v>30</v>
      </c>
      <c r="B10274" s="10" t="s">
        <v>26</v>
      </c>
      <c r="C10274" s="10" t="s">
        <v>23</v>
      </c>
      <c r="D10274" s="10" t="s">
        <v>31</v>
      </c>
      <c r="E10274" s="14">
        <v>0.2</v>
      </c>
      <c r="F10274" s="15">
        <f t="shared" si="1545"/>
        <v>19</v>
      </c>
      <c r="G10274" s="12">
        <f t="shared" si="1544"/>
        <v>3.8</v>
      </c>
    </row>
    <row r="10275" ht="15.0" customHeight="1">
      <c r="A10275" s="11"/>
      <c r="B10275" s="11"/>
      <c r="C10275" s="11"/>
      <c r="D10275" s="10" t="s">
        <v>22</v>
      </c>
      <c r="E10275" s="14">
        <v>0.26667</v>
      </c>
      <c r="F10275" s="15">
        <f>ROUND((G10272+G10273+G10274),3)</f>
        <v>43.8</v>
      </c>
      <c r="G10275" s="12">
        <f t="shared" si="1544"/>
        <v>11.68</v>
      </c>
    </row>
    <row r="10276" ht="15.0" customHeight="1">
      <c r="A10276" s="10" t="s">
        <v>32</v>
      </c>
      <c r="B10276" s="10"/>
      <c r="C10276" s="10" t="s">
        <v>33</v>
      </c>
      <c r="D10276" s="10" t="s">
        <v>34</v>
      </c>
      <c r="E10276" s="14">
        <v>5.0</v>
      </c>
      <c r="F10276" s="15">
        <f>ROUND(11.68,3)</f>
        <v>11.68</v>
      </c>
      <c r="G10276" s="12">
        <f>ROUND((E10276*F10276)/100,2)</f>
        <v>0.58</v>
      </c>
    </row>
    <row r="10277" ht="15.0" customHeight="1">
      <c r="A10277" s="16"/>
      <c r="B10277" s="16"/>
      <c r="C10277" s="16"/>
      <c r="D10277" s="17" t="s">
        <v>4634</v>
      </c>
      <c r="E10277" s="16"/>
      <c r="F10277" s="18">
        <f>ROUND((G10267+G10268+G10269+G10270+G10271+G10276)*(1+G2/100),2)</f>
        <v>17.8</v>
      </c>
      <c r="G10277" s="16"/>
    </row>
    <row r="10278" ht="57.75" customHeight="1">
      <c r="A10278" s="19" t="s">
        <v>4637</v>
      </c>
      <c r="B10278" s="20" t="s">
        <v>18</v>
      </c>
      <c r="C10278" s="20" t="s">
        <v>351</v>
      </c>
      <c r="D10278" s="20" t="s">
        <v>4638</v>
      </c>
      <c r="E10278" s="21"/>
      <c r="F10278" s="22">
        <f>F10290</f>
        <v>22.01</v>
      </c>
      <c r="G10278" s="21"/>
    </row>
    <row r="10279" ht="21.0" customHeight="1">
      <c r="A10279" s="11"/>
      <c r="B10279" s="11"/>
      <c r="C10279" s="11"/>
      <c r="D10279" s="10" t="s">
        <v>4639</v>
      </c>
    </row>
    <row r="10280" ht="21.0" customHeight="1">
      <c r="A10280" s="10" t="s">
        <v>242</v>
      </c>
      <c r="B10280" s="10" t="s">
        <v>42</v>
      </c>
      <c r="C10280" s="10" t="s">
        <v>226</v>
      </c>
      <c r="D10280" s="10" t="s">
        <v>243</v>
      </c>
      <c r="E10280" s="14">
        <v>0.04889</v>
      </c>
      <c r="F10280" s="15">
        <f>ROUND(1.32,3)</f>
        <v>1.32</v>
      </c>
      <c r="G10280" s="12">
        <f t="shared" ref="G10280:G10288" si="1546">ROUND(E10280*F10280,2)</f>
        <v>0.06</v>
      </c>
    </row>
    <row r="10281" ht="30.0" customHeight="1">
      <c r="A10281" s="10" t="s">
        <v>2943</v>
      </c>
      <c r="B10281" s="10" t="s">
        <v>42</v>
      </c>
      <c r="C10281" s="10" t="s">
        <v>344</v>
      </c>
      <c r="D10281" s="10" t="s">
        <v>2944</v>
      </c>
      <c r="E10281" s="14">
        <v>1.0</v>
      </c>
      <c r="F10281" s="15">
        <f>ROUND(0.44,3)</f>
        <v>0.44</v>
      </c>
      <c r="G10281" s="12">
        <f t="shared" si="1546"/>
        <v>0.44</v>
      </c>
    </row>
    <row r="10282" ht="30.0" customHeight="1">
      <c r="A10282" s="10" t="s">
        <v>4627</v>
      </c>
      <c r="B10282" s="10" t="s">
        <v>42</v>
      </c>
      <c r="C10282" s="10" t="s">
        <v>43</v>
      </c>
      <c r="D10282" s="10" t="s">
        <v>4628</v>
      </c>
      <c r="E10282" s="14">
        <v>0.05</v>
      </c>
      <c r="F10282" s="15">
        <f>ROUND(11.95,3)</f>
        <v>11.95</v>
      </c>
      <c r="G10282" s="12">
        <f t="shared" si="1546"/>
        <v>0.6</v>
      </c>
    </row>
    <row r="10283" ht="30.0" customHeight="1">
      <c r="A10283" s="10" t="s">
        <v>4629</v>
      </c>
      <c r="B10283" s="10" t="s">
        <v>42</v>
      </c>
      <c r="C10283" s="10" t="s">
        <v>43</v>
      </c>
      <c r="D10283" s="10" t="s">
        <v>4630</v>
      </c>
      <c r="E10283" s="14">
        <v>1.0</v>
      </c>
      <c r="F10283" s="15">
        <f>ROUND(6.19,3)</f>
        <v>6.19</v>
      </c>
      <c r="G10283" s="12">
        <f t="shared" si="1546"/>
        <v>6.19</v>
      </c>
    </row>
    <row r="10284" ht="21.0" customHeight="1">
      <c r="A10284" s="10" t="s">
        <v>22</v>
      </c>
      <c r="B10284" s="10" t="s">
        <v>18</v>
      </c>
      <c r="C10284" s="10" t="s">
        <v>23</v>
      </c>
      <c r="D10284" s="10" t="s">
        <v>24</v>
      </c>
      <c r="E10284" s="14">
        <v>0.32</v>
      </c>
      <c r="F10284" s="15">
        <f>F10288</f>
        <v>43.8</v>
      </c>
      <c r="G10284" s="12">
        <f t="shared" si="1546"/>
        <v>14.02</v>
      </c>
    </row>
    <row r="10285" ht="24.0" customHeight="1">
      <c r="A10285" s="10" t="s">
        <v>25</v>
      </c>
      <c r="B10285" s="10" t="s">
        <v>26</v>
      </c>
      <c r="C10285" s="10" t="s">
        <v>23</v>
      </c>
      <c r="D10285" s="10" t="s">
        <v>27</v>
      </c>
      <c r="E10285" s="14">
        <v>1.0</v>
      </c>
      <c r="F10285" s="15">
        <f>ROUND(21,3)</f>
        <v>21</v>
      </c>
      <c r="G10285" s="12">
        <f t="shared" si="1546"/>
        <v>21</v>
      </c>
    </row>
    <row r="10286" ht="24.0" customHeight="1">
      <c r="A10286" s="10" t="s">
        <v>28</v>
      </c>
      <c r="B10286" s="10" t="s">
        <v>26</v>
      </c>
      <c r="C10286" s="10" t="s">
        <v>23</v>
      </c>
      <c r="D10286" s="10" t="s">
        <v>29</v>
      </c>
      <c r="E10286" s="14">
        <v>1.0</v>
      </c>
      <c r="F10286" s="15">
        <f t="shared" ref="F10286:F10287" si="1547">ROUND(19,3)</f>
        <v>19</v>
      </c>
      <c r="G10286" s="12">
        <f t="shared" si="1546"/>
        <v>19</v>
      </c>
    </row>
    <row r="10287" ht="24.0" customHeight="1">
      <c r="A10287" s="10" t="s">
        <v>30</v>
      </c>
      <c r="B10287" s="10" t="s">
        <v>26</v>
      </c>
      <c r="C10287" s="10" t="s">
        <v>23</v>
      </c>
      <c r="D10287" s="10" t="s">
        <v>31</v>
      </c>
      <c r="E10287" s="14">
        <v>0.2</v>
      </c>
      <c r="F10287" s="15">
        <f t="shared" si="1547"/>
        <v>19</v>
      </c>
      <c r="G10287" s="12">
        <f t="shared" si="1546"/>
        <v>3.8</v>
      </c>
    </row>
    <row r="10288" ht="15.0" customHeight="1">
      <c r="A10288" s="11"/>
      <c r="B10288" s="11"/>
      <c r="C10288" s="11"/>
      <c r="D10288" s="10" t="s">
        <v>22</v>
      </c>
      <c r="E10288" s="14">
        <v>0.32</v>
      </c>
      <c r="F10288" s="15">
        <f>ROUND((G10285+G10286+G10287),3)</f>
        <v>43.8</v>
      </c>
      <c r="G10288" s="12">
        <f t="shared" si="1546"/>
        <v>14.02</v>
      </c>
    </row>
    <row r="10289" ht="15.0" customHeight="1">
      <c r="A10289" s="10" t="s">
        <v>32</v>
      </c>
      <c r="B10289" s="10"/>
      <c r="C10289" s="10" t="s">
        <v>33</v>
      </c>
      <c r="D10289" s="10" t="s">
        <v>34</v>
      </c>
      <c r="E10289" s="14">
        <v>5.0</v>
      </c>
      <c r="F10289" s="15">
        <f>ROUND(14.02,3)</f>
        <v>14.02</v>
      </c>
      <c r="G10289" s="12">
        <f>ROUND((E10289*F10289)/100,2)</f>
        <v>0.7</v>
      </c>
    </row>
    <row r="10290" ht="15.0" customHeight="1">
      <c r="A10290" s="16"/>
      <c r="B10290" s="16"/>
      <c r="C10290" s="16"/>
      <c r="D10290" s="17" t="s">
        <v>4637</v>
      </c>
      <c r="E10290" s="16"/>
      <c r="F10290" s="18">
        <f>ROUND((G10280+G10281+G10282+G10283+G10284+G10289)*(1+G2/100),2)</f>
        <v>22.01</v>
      </c>
      <c r="G10290" s="16"/>
    </row>
    <row r="10291" ht="39.75" customHeight="1">
      <c r="A10291" s="19" t="s">
        <v>4640</v>
      </c>
      <c r="B10291" s="20" t="s">
        <v>18</v>
      </c>
      <c r="C10291" s="20" t="s">
        <v>19</v>
      </c>
      <c r="D10291" s="20" t="s">
        <v>4641</v>
      </c>
      <c r="E10291" s="21"/>
      <c r="F10291" s="22">
        <f>F10301</f>
        <v>10.48</v>
      </c>
      <c r="G10291" s="21"/>
    </row>
    <row r="10292" ht="21.0" customHeight="1">
      <c r="A10292" s="11"/>
      <c r="B10292" s="11"/>
      <c r="C10292" s="11"/>
      <c r="D10292" s="10" t="s">
        <v>4642</v>
      </c>
    </row>
    <row r="10293" ht="39.75" customHeight="1">
      <c r="A10293" s="10" t="s">
        <v>4123</v>
      </c>
      <c r="B10293" s="10" t="s">
        <v>42</v>
      </c>
      <c r="C10293" s="10" t="s">
        <v>226</v>
      </c>
      <c r="D10293" s="10" t="s">
        <v>4124</v>
      </c>
      <c r="E10293" s="14">
        <v>0.022</v>
      </c>
      <c r="F10293" s="15">
        <f>ROUND(41.25,3)</f>
        <v>41.25</v>
      </c>
      <c r="G10293" s="12">
        <f t="shared" ref="G10293:G10299" si="1548">ROUND(E10293*F10293,2)</f>
        <v>0.91</v>
      </c>
    </row>
    <row r="10294" ht="30.0" customHeight="1">
      <c r="A10294" s="10" t="s">
        <v>1382</v>
      </c>
      <c r="B10294" s="10" t="s">
        <v>42</v>
      </c>
      <c r="C10294" s="10" t="s">
        <v>184</v>
      </c>
      <c r="D10294" s="10" t="s">
        <v>1383</v>
      </c>
      <c r="E10294" s="14">
        <v>1.6</v>
      </c>
      <c r="F10294" s="15">
        <f>ROUND(1.47,3)</f>
        <v>1.47</v>
      </c>
      <c r="G10294" s="12">
        <f t="shared" si="1548"/>
        <v>2.35</v>
      </c>
    </row>
    <row r="10295" ht="21.0" customHeight="1">
      <c r="A10295" s="10" t="s">
        <v>22</v>
      </c>
      <c r="B10295" s="10" t="s">
        <v>18</v>
      </c>
      <c r="C10295" s="10" t="s">
        <v>23</v>
      </c>
      <c r="D10295" s="10" t="s">
        <v>24</v>
      </c>
      <c r="E10295" s="14">
        <v>0.16</v>
      </c>
      <c r="F10295" s="15">
        <f>F10299</f>
        <v>43.8</v>
      </c>
      <c r="G10295" s="12">
        <f t="shared" si="1548"/>
        <v>7.01</v>
      </c>
    </row>
    <row r="10296" ht="24.0" customHeight="1">
      <c r="A10296" s="10" t="s">
        <v>25</v>
      </c>
      <c r="B10296" s="10" t="s">
        <v>26</v>
      </c>
      <c r="C10296" s="10" t="s">
        <v>23</v>
      </c>
      <c r="D10296" s="10" t="s">
        <v>27</v>
      </c>
      <c r="E10296" s="14">
        <v>1.0</v>
      </c>
      <c r="F10296" s="15">
        <f>ROUND(21,3)</f>
        <v>21</v>
      </c>
      <c r="G10296" s="12">
        <f t="shared" si="1548"/>
        <v>21</v>
      </c>
    </row>
    <row r="10297" ht="24.0" customHeight="1">
      <c r="A10297" s="10" t="s">
        <v>28</v>
      </c>
      <c r="B10297" s="10" t="s">
        <v>26</v>
      </c>
      <c r="C10297" s="10" t="s">
        <v>23</v>
      </c>
      <c r="D10297" s="10" t="s">
        <v>29</v>
      </c>
      <c r="E10297" s="14">
        <v>1.0</v>
      </c>
      <c r="F10297" s="15">
        <f t="shared" ref="F10297:F10298" si="1549">ROUND(19,3)</f>
        <v>19</v>
      </c>
      <c r="G10297" s="12">
        <f t="shared" si="1548"/>
        <v>19</v>
      </c>
    </row>
    <row r="10298" ht="24.0" customHeight="1">
      <c r="A10298" s="10" t="s">
        <v>30</v>
      </c>
      <c r="B10298" s="10" t="s">
        <v>26</v>
      </c>
      <c r="C10298" s="10" t="s">
        <v>23</v>
      </c>
      <c r="D10298" s="10" t="s">
        <v>31</v>
      </c>
      <c r="E10298" s="14">
        <v>0.2</v>
      </c>
      <c r="F10298" s="15">
        <f t="shared" si="1549"/>
        <v>19</v>
      </c>
      <c r="G10298" s="12">
        <f t="shared" si="1548"/>
        <v>3.8</v>
      </c>
    </row>
    <row r="10299" ht="15.0" customHeight="1">
      <c r="A10299" s="11"/>
      <c r="B10299" s="11"/>
      <c r="C10299" s="11"/>
      <c r="D10299" s="10" t="s">
        <v>22</v>
      </c>
      <c r="E10299" s="14">
        <v>0.16</v>
      </c>
      <c r="F10299" s="15">
        <f>ROUND((G10296+G10297+G10298),3)</f>
        <v>43.8</v>
      </c>
      <c r="G10299" s="12">
        <f t="shared" si="1548"/>
        <v>7.01</v>
      </c>
    </row>
    <row r="10300" ht="15.0" customHeight="1">
      <c r="A10300" s="10" t="s">
        <v>32</v>
      </c>
      <c r="B10300" s="10"/>
      <c r="C10300" s="10" t="s">
        <v>33</v>
      </c>
      <c r="D10300" s="10" t="s">
        <v>34</v>
      </c>
      <c r="E10300" s="14">
        <v>3.0</v>
      </c>
      <c r="F10300" s="15">
        <f>ROUND(7.01,3)</f>
        <v>7.01</v>
      </c>
      <c r="G10300" s="12">
        <f>ROUND((E10300*F10300)/100,2)</f>
        <v>0.21</v>
      </c>
    </row>
    <row r="10301" ht="24.75" customHeight="1">
      <c r="A10301" s="16"/>
      <c r="B10301" s="16"/>
      <c r="C10301" s="16"/>
      <c r="D10301" s="17" t="s">
        <v>4640</v>
      </c>
      <c r="E10301" s="16"/>
      <c r="F10301" s="18">
        <f>ROUND((G10293+G10294+G10295+G10300)*(1+G2/100),2)</f>
        <v>10.48</v>
      </c>
      <c r="G10301" s="16"/>
    </row>
    <row r="10302" ht="39.75" customHeight="1">
      <c r="A10302" s="19" t="s">
        <v>4643</v>
      </c>
      <c r="B10302" s="20" t="s">
        <v>18</v>
      </c>
      <c r="C10302" s="20" t="s">
        <v>19</v>
      </c>
      <c r="D10302" s="20" t="s">
        <v>4644</v>
      </c>
      <c r="E10302" s="21"/>
      <c r="F10302" s="22">
        <f>F10312</f>
        <v>9.27</v>
      </c>
      <c r="G10302" s="21"/>
    </row>
    <row r="10303" ht="21.0" customHeight="1">
      <c r="A10303" s="11"/>
      <c r="B10303" s="11"/>
      <c r="C10303" s="11"/>
      <c r="D10303" s="10" t="s">
        <v>4645</v>
      </c>
    </row>
    <row r="10304" ht="39.75" customHeight="1">
      <c r="A10304" s="10" t="s">
        <v>4123</v>
      </c>
      <c r="B10304" s="10" t="s">
        <v>42</v>
      </c>
      <c r="C10304" s="10" t="s">
        <v>226</v>
      </c>
      <c r="D10304" s="10" t="s">
        <v>4124</v>
      </c>
      <c r="E10304" s="14">
        <v>0.022</v>
      </c>
      <c r="F10304" s="15">
        <f>ROUND(41.25,3)</f>
        <v>41.25</v>
      </c>
      <c r="G10304" s="12">
        <f t="shared" ref="G10304:G10310" si="1550">ROUND(E10304*F10304,2)</f>
        <v>0.91</v>
      </c>
    </row>
    <row r="10305" ht="30.0" customHeight="1">
      <c r="A10305" s="10" t="s">
        <v>1382</v>
      </c>
      <c r="B10305" s="10" t="s">
        <v>42</v>
      </c>
      <c r="C10305" s="10" t="s">
        <v>184</v>
      </c>
      <c r="D10305" s="10" t="s">
        <v>1383</v>
      </c>
      <c r="E10305" s="14">
        <v>2.0</v>
      </c>
      <c r="F10305" s="15">
        <f>ROUND(1.47,3)</f>
        <v>1.47</v>
      </c>
      <c r="G10305" s="12">
        <f t="shared" si="1550"/>
        <v>2.94</v>
      </c>
    </row>
    <row r="10306" ht="21.0" customHeight="1">
      <c r="A10306" s="10" t="s">
        <v>22</v>
      </c>
      <c r="B10306" s="10" t="s">
        <v>18</v>
      </c>
      <c r="C10306" s="10" t="s">
        <v>23</v>
      </c>
      <c r="D10306" s="10" t="s">
        <v>24</v>
      </c>
      <c r="E10306" s="14">
        <v>0.12</v>
      </c>
      <c r="F10306" s="15">
        <f>F10310</f>
        <v>43.8</v>
      </c>
      <c r="G10306" s="12">
        <f t="shared" si="1550"/>
        <v>5.26</v>
      </c>
    </row>
    <row r="10307" ht="24.0" customHeight="1">
      <c r="A10307" s="10" t="s">
        <v>25</v>
      </c>
      <c r="B10307" s="10" t="s">
        <v>26</v>
      </c>
      <c r="C10307" s="10" t="s">
        <v>23</v>
      </c>
      <c r="D10307" s="10" t="s">
        <v>27</v>
      </c>
      <c r="E10307" s="14">
        <v>1.0</v>
      </c>
      <c r="F10307" s="15">
        <f>ROUND(21,3)</f>
        <v>21</v>
      </c>
      <c r="G10307" s="12">
        <f t="shared" si="1550"/>
        <v>21</v>
      </c>
    </row>
    <row r="10308" ht="24.0" customHeight="1">
      <c r="A10308" s="10" t="s">
        <v>28</v>
      </c>
      <c r="B10308" s="10" t="s">
        <v>26</v>
      </c>
      <c r="C10308" s="10" t="s">
        <v>23</v>
      </c>
      <c r="D10308" s="10" t="s">
        <v>29</v>
      </c>
      <c r="E10308" s="14">
        <v>1.0</v>
      </c>
      <c r="F10308" s="15">
        <f t="shared" ref="F10308:F10309" si="1551">ROUND(19,3)</f>
        <v>19</v>
      </c>
      <c r="G10308" s="12">
        <f t="shared" si="1550"/>
        <v>19</v>
      </c>
    </row>
    <row r="10309" ht="24.0" customHeight="1">
      <c r="A10309" s="10" t="s">
        <v>30</v>
      </c>
      <c r="B10309" s="10" t="s">
        <v>26</v>
      </c>
      <c r="C10309" s="10" t="s">
        <v>23</v>
      </c>
      <c r="D10309" s="10" t="s">
        <v>31</v>
      </c>
      <c r="E10309" s="14">
        <v>0.2</v>
      </c>
      <c r="F10309" s="15">
        <f t="shared" si="1551"/>
        <v>19</v>
      </c>
      <c r="G10309" s="12">
        <f t="shared" si="1550"/>
        <v>3.8</v>
      </c>
    </row>
    <row r="10310" ht="15.0" customHeight="1">
      <c r="A10310" s="11"/>
      <c r="B10310" s="11"/>
      <c r="C10310" s="11"/>
      <c r="D10310" s="10" t="s">
        <v>22</v>
      </c>
      <c r="E10310" s="14">
        <v>0.12</v>
      </c>
      <c r="F10310" s="15">
        <f>ROUND((G10307+G10308+G10309),3)</f>
        <v>43.8</v>
      </c>
      <c r="G10310" s="12">
        <f t="shared" si="1550"/>
        <v>5.26</v>
      </c>
    </row>
    <row r="10311" ht="15.0" customHeight="1">
      <c r="A10311" s="10" t="s">
        <v>32</v>
      </c>
      <c r="B10311" s="10"/>
      <c r="C10311" s="10" t="s">
        <v>33</v>
      </c>
      <c r="D10311" s="10" t="s">
        <v>34</v>
      </c>
      <c r="E10311" s="14">
        <v>3.0</v>
      </c>
      <c r="F10311" s="15">
        <f>ROUND(5.26,3)</f>
        <v>5.26</v>
      </c>
      <c r="G10311" s="12">
        <f>ROUND((E10311*F10311)/100,2)</f>
        <v>0.16</v>
      </c>
    </row>
    <row r="10312" ht="24.75" customHeight="1">
      <c r="A10312" s="16"/>
      <c r="B10312" s="16"/>
      <c r="C10312" s="16"/>
      <c r="D10312" s="17" t="s">
        <v>4643</v>
      </c>
      <c r="E10312" s="16"/>
      <c r="F10312" s="18">
        <f>ROUND((G10304+G10305+G10306+G10311)*(1+G2/100),2)</f>
        <v>9.27</v>
      </c>
      <c r="G10312" s="16"/>
    </row>
    <row r="10313" ht="39.75" customHeight="1">
      <c r="A10313" s="19" t="s">
        <v>4646</v>
      </c>
      <c r="B10313" s="20" t="s">
        <v>18</v>
      </c>
      <c r="C10313" s="20" t="s">
        <v>19</v>
      </c>
      <c r="D10313" s="20" t="s">
        <v>4647</v>
      </c>
      <c r="E10313" s="21"/>
      <c r="F10313" s="22">
        <f>F10323</f>
        <v>17.87</v>
      </c>
      <c r="G10313" s="21"/>
    </row>
    <row r="10314" ht="21.0" customHeight="1">
      <c r="A10314" s="11"/>
      <c r="B10314" s="11"/>
      <c r="C10314" s="11"/>
      <c r="D10314" s="10" t="s">
        <v>4648</v>
      </c>
    </row>
    <row r="10315" ht="39.75" customHeight="1">
      <c r="A10315" s="10" t="s">
        <v>4123</v>
      </c>
      <c r="B10315" s="10" t="s">
        <v>42</v>
      </c>
      <c r="C10315" s="10" t="s">
        <v>226</v>
      </c>
      <c r="D10315" s="10" t="s">
        <v>4124</v>
      </c>
      <c r="E10315" s="14">
        <v>0.022</v>
      </c>
      <c r="F10315" s="15">
        <f>ROUND(41.25,3)</f>
        <v>41.25</v>
      </c>
      <c r="G10315" s="12">
        <f t="shared" ref="G10315:G10321" si="1552">ROUND(E10315*F10315,2)</f>
        <v>0.91</v>
      </c>
    </row>
    <row r="10316" ht="30.0" customHeight="1">
      <c r="A10316" s="10" t="s">
        <v>1382</v>
      </c>
      <c r="B10316" s="10" t="s">
        <v>42</v>
      </c>
      <c r="C10316" s="10" t="s">
        <v>184</v>
      </c>
      <c r="D10316" s="10" t="s">
        <v>1383</v>
      </c>
      <c r="E10316" s="14">
        <v>3.2</v>
      </c>
      <c r="F10316" s="15">
        <f>ROUND(1.47,3)</f>
        <v>1.47</v>
      </c>
      <c r="G10316" s="12">
        <f t="shared" si="1552"/>
        <v>4.7</v>
      </c>
    </row>
    <row r="10317" ht="21.0" customHeight="1">
      <c r="A10317" s="10" t="s">
        <v>22</v>
      </c>
      <c r="B10317" s="10" t="s">
        <v>18</v>
      </c>
      <c r="C10317" s="10" t="s">
        <v>23</v>
      </c>
      <c r="D10317" s="10" t="s">
        <v>24</v>
      </c>
      <c r="E10317" s="14">
        <v>0.26667</v>
      </c>
      <c r="F10317" s="15">
        <f>F10321</f>
        <v>43.8</v>
      </c>
      <c r="G10317" s="12">
        <f t="shared" si="1552"/>
        <v>11.68</v>
      </c>
    </row>
    <row r="10318" ht="24.0" customHeight="1">
      <c r="A10318" s="10" t="s">
        <v>25</v>
      </c>
      <c r="B10318" s="10" t="s">
        <v>26</v>
      </c>
      <c r="C10318" s="10" t="s">
        <v>23</v>
      </c>
      <c r="D10318" s="10" t="s">
        <v>27</v>
      </c>
      <c r="E10318" s="14">
        <v>1.0</v>
      </c>
      <c r="F10318" s="15">
        <f>ROUND(21,3)</f>
        <v>21</v>
      </c>
      <c r="G10318" s="12">
        <f t="shared" si="1552"/>
        <v>21</v>
      </c>
    </row>
    <row r="10319" ht="24.0" customHeight="1">
      <c r="A10319" s="10" t="s">
        <v>28</v>
      </c>
      <c r="B10319" s="10" t="s">
        <v>26</v>
      </c>
      <c r="C10319" s="10" t="s">
        <v>23</v>
      </c>
      <c r="D10319" s="10" t="s">
        <v>29</v>
      </c>
      <c r="E10319" s="14">
        <v>1.0</v>
      </c>
      <c r="F10319" s="15">
        <f t="shared" ref="F10319:F10320" si="1553">ROUND(19,3)</f>
        <v>19</v>
      </c>
      <c r="G10319" s="12">
        <f t="shared" si="1552"/>
        <v>19</v>
      </c>
    </row>
    <row r="10320" ht="24.0" customHeight="1">
      <c r="A10320" s="10" t="s">
        <v>30</v>
      </c>
      <c r="B10320" s="10" t="s">
        <v>26</v>
      </c>
      <c r="C10320" s="10" t="s">
        <v>23</v>
      </c>
      <c r="D10320" s="10" t="s">
        <v>31</v>
      </c>
      <c r="E10320" s="14">
        <v>0.2</v>
      </c>
      <c r="F10320" s="15">
        <f t="shared" si="1553"/>
        <v>19</v>
      </c>
      <c r="G10320" s="12">
        <f t="shared" si="1552"/>
        <v>3.8</v>
      </c>
    </row>
    <row r="10321" ht="15.0" customHeight="1">
      <c r="A10321" s="11"/>
      <c r="B10321" s="11"/>
      <c r="C10321" s="11"/>
      <c r="D10321" s="10" t="s">
        <v>22</v>
      </c>
      <c r="E10321" s="14">
        <v>0.26667</v>
      </c>
      <c r="F10321" s="15">
        <f>ROUND((G10318+G10319+G10320),3)</f>
        <v>43.8</v>
      </c>
      <c r="G10321" s="12">
        <f t="shared" si="1552"/>
        <v>11.68</v>
      </c>
    </row>
    <row r="10322" ht="15.0" customHeight="1">
      <c r="A10322" s="10" t="s">
        <v>32</v>
      </c>
      <c r="B10322" s="10"/>
      <c r="C10322" s="10" t="s">
        <v>33</v>
      </c>
      <c r="D10322" s="10" t="s">
        <v>34</v>
      </c>
      <c r="E10322" s="14">
        <v>5.0</v>
      </c>
      <c r="F10322" s="15">
        <f>ROUND(11.68,3)</f>
        <v>11.68</v>
      </c>
      <c r="G10322" s="12">
        <f>ROUND((E10322*F10322)/100,2)</f>
        <v>0.58</v>
      </c>
    </row>
    <row r="10323" ht="24.75" customHeight="1">
      <c r="A10323" s="16"/>
      <c r="B10323" s="16"/>
      <c r="C10323" s="16"/>
      <c r="D10323" s="17" t="s">
        <v>4646</v>
      </c>
      <c r="E10323" s="16"/>
      <c r="F10323" s="18">
        <f>ROUND((G10315+G10316+G10317+G10322)*(1+G2/100),2)</f>
        <v>17.87</v>
      </c>
      <c r="G10323" s="16"/>
    </row>
    <row r="10324" ht="39.75" customHeight="1">
      <c r="A10324" s="19" t="s">
        <v>4649</v>
      </c>
      <c r="B10324" s="20" t="s">
        <v>18</v>
      </c>
      <c r="C10324" s="20" t="s">
        <v>19</v>
      </c>
      <c r="D10324" s="20" t="s">
        <v>4650</v>
      </c>
      <c r="E10324" s="21"/>
      <c r="F10324" s="22">
        <f>F10334</f>
        <v>10.32</v>
      </c>
      <c r="G10324" s="21"/>
    </row>
    <row r="10325" ht="21.0" customHeight="1">
      <c r="A10325" s="11"/>
      <c r="B10325" s="11"/>
      <c r="C10325" s="11"/>
      <c r="D10325" s="10" t="s">
        <v>4651</v>
      </c>
    </row>
    <row r="10326" ht="30.0" customHeight="1">
      <c r="A10326" s="10" t="s">
        <v>1227</v>
      </c>
      <c r="B10326" s="10" t="s">
        <v>42</v>
      </c>
      <c r="C10326" s="10" t="s">
        <v>226</v>
      </c>
      <c r="D10326" s="10" t="s">
        <v>1228</v>
      </c>
      <c r="E10326" s="14">
        <v>0.022</v>
      </c>
      <c r="F10326" s="15">
        <f>ROUND(27.5,3)</f>
        <v>27.5</v>
      </c>
      <c r="G10326" s="12">
        <f t="shared" ref="G10326:G10332" si="1554">ROUND(E10326*F10326,2)</f>
        <v>0.61</v>
      </c>
    </row>
    <row r="10327" ht="30.0" customHeight="1">
      <c r="A10327" s="10" t="s">
        <v>1382</v>
      </c>
      <c r="B10327" s="10" t="s">
        <v>42</v>
      </c>
      <c r="C10327" s="10" t="s">
        <v>184</v>
      </c>
      <c r="D10327" s="10" t="s">
        <v>1383</v>
      </c>
      <c r="E10327" s="14">
        <v>1.6</v>
      </c>
      <c r="F10327" s="15">
        <f>ROUND(1.47,3)</f>
        <v>1.47</v>
      </c>
      <c r="G10327" s="12">
        <f t="shared" si="1554"/>
        <v>2.35</v>
      </c>
    </row>
    <row r="10328" ht="21.0" customHeight="1">
      <c r="A10328" s="10" t="s">
        <v>22</v>
      </c>
      <c r="B10328" s="10" t="s">
        <v>18</v>
      </c>
      <c r="C10328" s="10" t="s">
        <v>23</v>
      </c>
      <c r="D10328" s="10" t="s">
        <v>24</v>
      </c>
      <c r="E10328" s="14">
        <v>0.16</v>
      </c>
      <c r="F10328" s="15">
        <f>F10332</f>
        <v>43.8</v>
      </c>
      <c r="G10328" s="12">
        <f t="shared" si="1554"/>
        <v>7.01</v>
      </c>
    </row>
    <row r="10329" ht="24.0" customHeight="1">
      <c r="A10329" s="10" t="s">
        <v>25</v>
      </c>
      <c r="B10329" s="10" t="s">
        <v>26</v>
      </c>
      <c r="C10329" s="10" t="s">
        <v>23</v>
      </c>
      <c r="D10329" s="10" t="s">
        <v>27</v>
      </c>
      <c r="E10329" s="14">
        <v>1.0</v>
      </c>
      <c r="F10329" s="15">
        <f>ROUND(21,3)</f>
        <v>21</v>
      </c>
      <c r="G10329" s="12">
        <f t="shared" si="1554"/>
        <v>21</v>
      </c>
    </row>
    <row r="10330" ht="24.0" customHeight="1">
      <c r="A10330" s="10" t="s">
        <v>28</v>
      </c>
      <c r="B10330" s="10" t="s">
        <v>26</v>
      </c>
      <c r="C10330" s="10" t="s">
        <v>23</v>
      </c>
      <c r="D10330" s="10" t="s">
        <v>29</v>
      </c>
      <c r="E10330" s="14">
        <v>1.0</v>
      </c>
      <c r="F10330" s="15">
        <f t="shared" ref="F10330:F10331" si="1555">ROUND(19,3)</f>
        <v>19</v>
      </c>
      <c r="G10330" s="12">
        <f t="shared" si="1554"/>
        <v>19</v>
      </c>
    </row>
    <row r="10331" ht="24.0" customHeight="1">
      <c r="A10331" s="10" t="s">
        <v>30</v>
      </c>
      <c r="B10331" s="10" t="s">
        <v>26</v>
      </c>
      <c r="C10331" s="10" t="s">
        <v>23</v>
      </c>
      <c r="D10331" s="10" t="s">
        <v>31</v>
      </c>
      <c r="E10331" s="14">
        <v>0.2</v>
      </c>
      <c r="F10331" s="15">
        <f t="shared" si="1555"/>
        <v>19</v>
      </c>
      <c r="G10331" s="12">
        <f t="shared" si="1554"/>
        <v>3.8</v>
      </c>
    </row>
    <row r="10332" ht="15.0" customHeight="1">
      <c r="A10332" s="11"/>
      <c r="B10332" s="11"/>
      <c r="C10332" s="11"/>
      <c r="D10332" s="10" t="s">
        <v>22</v>
      </c>
      <c r="E10332" s="14">
        <v>0.16</v>
      </c>
      <c r="F10332" s="15">
        <f>ROUND((G10329+G10330+G10331),3)</f>
        <v>43.8</v>
      </c>
      <c r="G10332" s="12">
        <f t="shared" si="1554"/>
        <v>7.01</v>
      </c>
    </row>
    <row r="10333" ht="15.0" customHeight="1">
      <c r="A10333" s="10" t="s">
        <v>32</v>
      </c>
      <c r="B10333" s="10"/>
      <c r="C10333" s="10" t="s">
        <v>33</v>
      </c>
      <c r="D10333" s="10" t="s">
        <v>34</v>
      </c>
      <c r="E10333" s="14">
        <v>5.0</v>
      </c>
      <c r="F10333" s="15">
        <f>ROUND(7.01,3)</f>
        <v>7.01</v>
      </c>
      <c r="G10333" s="12">
        <f>ROUND((E10333*F10333)/100,2)</f>
        <v>0.35</v>
      </c>
    </row>
    <row r="10334" ht="24.75" customHeight="1">
      <c r="A10334" s="16"/>
      <c r="B10334" s="16"/>
      <c r="C10334" s="16"/>
      <c r="D10334" s="17" t="s">
        <v>4649</v>
      </c>
      <c r="E10334" s="16"/>
      <c r="F10334" s="18">
        <f>ROUND((G10326+G10327+G10328+G10333)*(1+G2/100),2)</f>
        <v>10.32</v>
      </c>
      <c r="G10334" s="16"/>
    </row>
    <row r="10335" ht="39.75" customHeight="1">
      <c r="A10335" s="19" t="s">
        <v>4652</v>
      </c>
      <c r="B10335" s="20" t="s">
        <v>18</v>
      </c>
      <c r="C10335" s="20" t="s">
        <v>19</v>
      </c>
      <c r="D10335" s="20" t="s">
        <v>4653</v>
      </c>
      <c r="E10335" s="21"/>
      <c r="F10335" s="22">
        <f>F10345</f>
        <v>14.26</v>
      </c>
      <c r="G10335" s="21"/>
    </row>
    <row r="10336" ht="21.0" customHeight="1">
      <c r="A10336" s="11"/>
      <c r="B10336" s="11"/>
      <c r="C10336" s="11"/>
      <c r="D10336" s="10" t="s">
        <v>4651</v>
      </c>
    </row>
    <row r="10337" ht="30.0" customHeight="1">
      <c r="A10337" s="10" t="s">
        <v>1227</v>
      </c>
      <c r="B10337" s="10" t="s">
        <v>42</v>
      </c>
      <c r="C10337" s="10" t="s">
        <v>226</v>
      </c>
      <c r="D10337" s="10" t="s">
        <v>1228</v>
      </c>
      <c r="E10337" s="14">
        <v>0.022</v>
      </c>
      <c r="F10337" s="15">
        <f>ROUND(27.5,3)</f>
        <v>27.5</v>
      </c>
      <c r="G10337" s="12">
        <f t="shared" ref="G10337:G10343" si="1556">ROUND(E10337*F10337,2)</f>
        <v>0.61</v>
      </c>
    </row>
    <row r="10338" ht="30.0" customHeight="1">
      <c r="A10338" s="10" t="s">
        <v>1382</v>
      </c>
      <c r="B10338" s="10" t="s">
        <v>42</v>
      </c>
      <c r="C10338" s="10" t="s">
        <v>184</v>
      </c>
      <c r="D10338" s="10" t="s">
        <v>1383</v>
      </c>
      <c r="E10338" s="14">
        <v>2.4</v>
      </c>
      <c r="F10338" s="15">
        <f>ROUND(1.47,3)</f>
        <v>1.47</v>
      </c>
      <c r="G10338" s="12">
        <f t="shared" si="1556"/>
        <v>3.53</v>
      </c>
    </row>
    <row r="10339" ht="21.0" customHeight="1">
      <c r="A10339" s="10" t="s">
        <v>22</v>
      </c>
      <c r="B10339" s="10" t="s">
        <v>18</v>
      </c>
      <c r="C10339" s="10" t="s">
        <v>23</v>
      </c>
      <c r="D10339" s="10" t="s">
        <v>24</v>
      </c>
      <c r="E10339" s="14">
        <v>0.22</v>
      </c>
      <c r="F10339" s="15">
        <f>F10343</f>
        <v>43.8</v>
      </c>
      <c r="G10339" s="12">
        <f t="shared" si="1556"/>
        <v>9.64</v>
      </c>
    </row>
    <row r="10340" ht="24.0" customHeight="1">
      <c r="A10340" s="10" t="s">
        <v>25</v>
      </c>
      <c r="B10340" s="10" t="s">
        <v>26</v>
      </c>
      <c r="C10340" s="10" t="s">
        <v>23</v>
      </c>
      <c r="D10340" s="10" t="s">
        <v>27</v>
      </c>
      <c r="E10340" s="14">
        <v>1.0</v>
      </c>
      <c r="F10340" s="15">
        <f>ROUND(21,3)</f>
        <v>21</v>
      </c>
      <c r="G10340" s="12">
        <f t="shared" si="1556"/>
        <v>21</v>
      </c>
    </row>
    <row r="10341" ht="24.0" customHeight="1">
      <c r="A10341" s="10" t="s">
        <v>28</v>
      </c>
      <c r="B10341" s="10" t="s">
        <v>26</v>
      </c>
      <c r="C10341" s="10" t="s">
        <v>23</v>
      </c>
      <c r="D10341" s="10" t="s">
        <v>29</v>
      </c>
      <c r="E10341" s="14">
        <v>1.0</v>
      </c>
      <c r="F10341" s="15">
        <f t="shared" ref="F10341:F10342" si="1557">ROUND(19,3)</f>
        <v>19</v>
      </c>
      <c r="G10341" s="12">
        <f t="shared" si="1556"/>
        <v>19</v>
      </c>
    </row>
    <row r="10342" ht="24.0" customHeight="1">
      <c r="A10342" s="10" t="s">
        <v>30</v>
      </c>
      <c r="B10342" s="10" t="s">
        <v>26</v>
      </c>
      <c r="C10342" s="10" t="s">
        <v>23</v>
      </c>
      <c r="D10342" s="10" t="s">
        <v>31</v>
      </c>
      <c r="E10342" s="14">
        <v>0.2</v>
      </c>
      <c r="F10342" s="15">
        <f t="shared" si="1557"/>
        <v>19</v>
      </c>
      <c r="G10342" s="12">
        <f t="shared" si="1556"/>
        <v>3.8</v>
      </c>
    </row>
    <row r="10343" ht="15.0" customHeight="1">
      <c r="A10343" s="11"/>
      <c r="B10343" s="11"/>
      <c r="C10343" s="11"/>
      <c r="D10343" s="10" t="s">
        <v>22</v>
      </c>
      <c r="E10343" s="14">
        <v>0.22</v>
      </c>
      <c r="F10343" s="15">
        <f>ROUND((G10340+G10341+G10342),3)</f>
        <v>43.8</v>
      </c>
      <c r="G10343" s="12">
        <f t="shared" si="1556"/>
        <v>9.64</v>
      </c>
    </row>
    <row r="10344" ht="15.0" customHeight="1">
      <c r="A10344" s="10" t="s">
        <v>32</v>
      </c>
      <c r="B10344" s="10"/>
      <c r="C10344" s="10" t="s">
        <v>33</v>
      </c>
      <c r="D10344" s="10" t="s">
        <v>34</v>
      </c>
      <c r="E10344" s="14">
        <v>5.0</v>
      </c>
      <c r="F10344" s="15">
        <f>ROUND(9.64,3)</f>
        <v>9.64</v>
      </c>
      <c r="G10344" s="12">
        <f>ROUND((E10344*F10344)/100,2)</f>
        <v>0.48</v>
      </c>
    </row>
    <row r="10345" ht="24.75" customHeight="1">
      <c r="A10345" s="16"/>
      <c r="B10345" s="16"/>
      <c r="C10345" s="16"/>
      <c r="D10345" s="17" t="s">
        <v>4652</v>
      </c>
      <c r="E10345" s="16"/>
      <c r="F10345" s="18">
        <f>ROUND((G10337+G10338+G10339+G10344)*(1+G2/100),2)</f>
        <v>14.26</v>
      </c>
      <c r="G10345" s="16"/>
    </row>
    <row r="10346" ht="39.75" customHeight="1">
      <c r="A10346" s="19" t="s">
        <v>4654</v>
      </c>
      <c r="B10346" s="20" t="s">
        <v>18</v>
      </c>
      <c r="C10346" s="20" t="s">
        <v>19</v>
      </c>
      <c r="D10346" s="20" t="s">
        <v>4655</v>
      </c>
      <c r="E10346" s="21"/>
      <c r="F10346" s="22">
        <f>F10356</f>
        <v>17.57</v>
      </c>
      <c r="G10346" s="21"/>
    </row>
    <row r="10347" ht="21.0" customHeight="1">
      <c r="A10347" s="11"/>
      <c r="B10347" s="11"/>
      <c r="C10347" s="11"/>
      <c r="D10347" s="10" t="s">
        <v>4656</v>
      </c>
    </row>
    <row r="10348" ht="30.0" customHeight="1">
      <c r="A10348" s="10" t="s">
        <v>1227</v>
      </c>
      <c r="B10348" s="10" t="s">
        <v>42</v>
      </c>
      <c r="C10348" s="10" t="s">
        <v>226</v>
      </c>
      <c r="D10348" s="10" t="s">
        <v>1228</v>
      </c>
      <c r="E10348" s="14">
        <v>0.022</v>
      </c>
      <c r="F10348" s="15">
        <f>ROUND(27.5,3)</f>
        <v>27.5</v>
      </c>
      <c r="G10348" s="12">
        <f t="shared" ref="G10348:G10354" si="1558">ROUND(E10348*F10348,2)</f>
        <v>0.61</v>
      </c>
    </row>
    <row r="10349" ht="30.0" customHeight="1">
      <c r="A10349" s="10" t="s">
        <v>1382</v>
      </c>
      <c r="B10349" s="10" t="s">
        <v>42</v>
      </c>
      <c r="C10349" s="10" t="s">
        <v>184</v>
      </c>
      <c r="D10349" s="10" t="s">
        <v>1383</v>
      </c>
      <c r="E10349" s="14">
        <v>3.2</v>
      </c>
      <c r="F10349" s="15">
        <f>ROUND(1.47,3)</f>
        <v>1.47</v>
      </c>
      <c r="G10349" s="12">
        <f t="shared" si="1558"/>
        <v>4.7</v>
      </c>
    </row>
    <row r="10350" ht="21.0" customHeight="1">
      <c r="A10350" s="10" t="s">
        <v>22</v>
      </c>
      <c r="B10350" s="10" t="s">
        <v>18</v>
      </c>
      <c r="C10350" s="10" t="s">
        <v>23</v>
      </c>
      <c r="D10350" s="10" t="s">
        <v>24</v>
      </c>
      <c r="E10350" s="14">
        <v>0.26667</v>
      </c>
      <c r="F10350" s="15">
        <f>F10354</f>
        <v>43.8</v>
      </c>
      <c r="G10350" s="12">
        <f t="shared" si="1558"/>
        <v>11.68</v>
      </c>
    </row>
    <row r="10351" ht="24.0" customHeight="1">
      <c r="A10351" s="10" t="s">
        <v>25</v>
      </c>
      <c r="B10351" s="10" t="s">
        <v>26</v>
      </c>
      <c r="C10351" s="10" t="s">
        <v>23</v>
      </c>
      <c r="D10351" s="10" t="s">
        <v>27</v>
      </c>
      <c r="E10351" s="14">
        <v>1.0</v>
      </c>
      <c r="F10351" s="15">
        <f>ROUND(21,3)</f>
        <v>21</v>
      </c>
      <c r="G10351" s="12">
        <f t="shared" si="1558"/>
        <v>21</v>
      </c>
    </row>
    <row r="10352" ht="24.0" customHeight="1">
      <c r="A10352" s="10" t="s">
        <v>28</v>
      </c>
      <c r="B10352" s="10" t="s">
        <v>26</v>
      </c>
      <c r="C10352" s="10" t="s">
        <v>23</v>
      </c>
      <c r="D10352" s="10" t="s">
        <v>29</v>
      </c>
      <c r="E10352" s="14">
        <v>1.0</v>
      </c>
      <c r="F10352" s="15">
        <f t="shared" ref="F10352:F10353" si="1559">ROUND(19,3)</f>
        <v>19</v>
      </c>
      <c r="G10352" s="12">
        <f t="shared" si="1558"/>
        <v>19</v>
      </c>
    </row>
    <row r="10353" ht="24.0" customHeight="1">
      <c r="A10353" s="10" t="s">
        <v>30</v>
      </c>
      <c r="B10353" s="10" t="s">
        <v>26</v>
      </c>
      <c r="C10353" s="10" t="s">
        <v>23</v>
      </c>
      <c r="D10353" s="10" t="s">
        <v>31</v>
      </c>
      <c r="E10353" s="14">
        <v>0.2</v>
      </c>
      <c r="F10353" s="15">
        <f t="shared" si="1559"/>
        <v>19</v>
      </c>
      <c r="G10353" s="12">
        <f t="shared" si="1558"/>
        <v>3.8</v>
      </c>
    </row>
    <row r="10354" ht="15.0" customHeight="1">
      <c r="A10354" s="11"/>
      <c r="B10354" s="11"/>
      <c r="C10354" s="11"/>
      <c r="D10354" s="10" t="s">
        <v>22</v>
      </c>
      <c r="E10354" s="14">
        <v>0.26667</v>
      </c>
      <c r="F10354" s="15">
        <f>ROUND((G10351+G10352+G10353),3)</f>
        <v>43.8</v>
      </c>
      <c r="G10354" s="12">
        <f t="shared" si="1558"/>
        <v>11.68</v>
      </c>
    </row>
    <row r="10355" ht="15.0" customHeight="1">
      <c r="A10355" s="10" t="s">
        <v>32</v>
      </c>
      <c r="B10355" s="10"/>
      <c r="C10355" s="10" t="s">
        <v>33</v>
      </c>
      <c r="D10355" s="10" t="s">
        <v>34</v>
      </c>
      <c r="E10355" s="14">
        <v>5.0</v>
      </c>
      <c r="F10355" s="15">
        <f>ROUND(11.68,3)</f>
        <v>11.68</v>
      </c>
      <c r="G10355" s="12">
        <f>ROUND((E10355*F10355)/100,2)</f>
        <v>0.58</v>
      </c>
    </row>
    <row r="10356" ht="24.75" customHeight="1">
      <c r="A10356" s="16"/>
      <c r="B10356" s="16"/>
      <c r="C10356" s="16"/>
      <c r="D10356" s="17" t="s">
        <v>4654</v>
      </c>
      <c r="E10356" s="16"/>
      <c r="F10356" s="18">
        <f>ROUND((G10348+G10349+G10350+G10355)*(1+G2/100),2)</f>
        <v>17.57</v>
      </c>
      <c r="G10356" s="16"/>
    </row>
    <row r="10357" ht="57.75" customHeight="1">
      <c r="A10357" s="19" t="s">
        <v>4657</v>
      </c>
      <c r="B10357" s="20" t="s">
        <v>18</v>
      </c>
      <c r="C10357" s="20" t="s">
        <v>351</v>
      </c>
      <c r="D10357" s="20" t="s">
        <v>4658</v>
      </c>
      <c r="E10357" s="21"/>
      <c r="F10357" s="22">
        <f>F10367</f>
        <v>17.82</v>
      </c>
      <c r="G10357" s="21"/>
    </row>
    <row r="10358" ht="30.0" customHeight="1">
      <c r="A10358" s="11"/>
      <c r="B10358" s="11"/>
      <c r="C10358" s="11"/>
      <c r="D10358" s="10" t="s">
        <v>4659</v>
      </c>
    </row>
    <row r="10359" ht="30.0" customHeight="1">
      <c r="A10359" s="10" t="s">
        <v>4660</v>
      </c>
      <c r="B10359" s="10" t="s">
        <v>42</v>
      </c>
      <c r="C10359" s="10" t="s">
        <v>1298</v>
      </c>
      <c r="D10359" s="10" t="s">
        <v>4661</v>
      </c>
      <c r="E10359" s="14">
        <v>0.015</v>
      </c>
      <c r="F10359" s="15">
        <f>ROUND(72.49,3)</f>
        <v>72.49</v>
      </c>
      <c r="G10359" s="12">
        <f t="shared" ref="G10359:G10365" si="1560">ROUND(E10359*F10359,2)</f>
        <v>1.09</v>
      </c>
    </row>
    <row r="10360" ht="48.75" customHeight="1">
      <c r="A10360" s="10" t="s">
        <v>4662</v>
      </c>
      <c r="B10360" s="10" t="s">
        <v>42</v>
      </c>
      <c r="C10360" s="10" t="s">
        <v>1245</v>
      </c>
      <c r="D10360" s="10" t="s">
        <v>4663</v>
      </c>
      <c r="E10360" s="14">
        <v>0.5</v>
      </c>
      <c r="F10360" s="15">
        <f>ROUND(8.93,3)</f>
        <v>8.93</v>
      </c>
      <c r="G10360" s="12">
        <f t="shared" si="1560"/>
        <v>4.47</v>
      </c>
    </row>
    <row r="10361" ht="21.0" customHeight="1">
      <c r="A10361" s="10" t="s">
        <v>22</v>
      </c>
      <c r="B10361" s="10" t="s">
        <v>18</v>
      </c>
      <c r="C10361" s="10" t="s">
        <v>23</v>
      </c>
      <c r="D10361" s="10" t="s">
        <v>24</v>
      </c>
      <c r="E10361" s="14">
        <v>0.26667</v>
      </c>
      <c r="F10361" s="15">
        <f>F10365</f>
        <v>43.8</v>
      </c>
      <c r="G10361" s="12">
        <f t="shared" si="1560"/>
        <v>11.68</v>
      </c>
    </row>
    <row r="10362" ht="24.0" customHeight="1">
      <c r="A10362" s="10" t="s">
        <v>25</v>
      </c>
      <c r="B10362" s="10" t="s">
        <v>26</v>
      </c>
      <c r="C10362" s="10" t="s">
        <v>23</v>
      </c>
      <c r="D10362" s="10" t="s">
        <v>27</v>
      </c>
      <c r="E10362" s="14">
        <v>1.0</v>
      </c>
      <c r="F10362" s="15">
        <f>ROUND(21,3)</f>
        <v>21</v>
      </c>
      <c r="G10362" s="12">
        <f t="shared" si="1560"/>
        <v>21</v>
      </c>
    </row>
    <row r="10363" ht="24.0" customHeight="1">
      <c r="A10363" s="10" t="s">
        <v>28</v>
      </c>
      <c r="B10363" s="10" t="s">
        <v>26</v>
      </c>
      <c r="C10363" s="10" t="s">
        <v>23</v>
      </c>
      <c r="D10363" s="10" t="s">
        <v>29</v>
      </c>
      <c r="E10363" s="14">
        <v>1.0</v>
      </c>
      <c r="F10363" s="15">
        <f t="shared" ref="F10363:F10364" si="1561">ROUND(19,3)</f>
        <v>19</v>
      </c>
      <c r="G10363" s="12">
        <f t="shared" si="1560"/>
        <v>19</v>
      </c>
    </row>
    <row r="10364" ht="24.0" customHeight="1">
      <c r="A10364" s="10" t="s">
        <v>30</v>
      </c>
      <c r="B10364" s="10" t="s">
        <v>26</v>
      </c>
      <c r="C10364" s="10" t="s">
        <v>23</v>
      </c>
      <c r="D10364" s="10" t="s">
        <v>31</v>
      </c>
      <c r="E10364" s="14">
        <v>0.2</v>
      </c>
      <c r="F10364" s="15">
        <f t="shared" si="1561"/>
        <v>19</v>
      </c>
      <c r="G10364" s="12">
        <f t="shared" si="1560"/>
        <v>3.8</v>
      </c>
    </row>
    <row r="10365" ht="15.0" customHeight="1">
      <c r="A10365" s="11"/>
      <c r="B10365" s="11"/>
      <c r="C10365" s="11"/>
      <c r="D10365" s="10" t="s">
        <v>22</v>
      </c>
      <c r="E10365" s="14">
        <v>0.26667</v>
      </c>
      <c r="F10365" s="15">
        <f>ROUND((G10362+G10363+G10364),3)</f>
        <v>43.8</v>
      </c>
      <c r="G10365" s="12">
        <f t="shared" si="1560"/>
        <v>11.68</v>
      </c>
    </row>
    <row r="10366" ht="15.0" customHeight="1">
      <c r="A10366" s="10" t="s">
        <v>32</v>
      </c>
      <c r="B10366" s="10"/>
      <c r="C10366" s="10" t="s">
        <v>33</v>
      </c>
      <c r="D10366" s="10" t="s">
        <v>34</v>
      </c>
      <c r="E10366" s="14">
        <v>5.0</v>
      </c>
      <c r="F10366" s="15">
        <f>ROUND(11.68,3)</f>
        <v>11.68</v>
      </c>
      <c r="G10366" s="12">
        <f>ROUND((E10366*F10366)/100,2)</f>
        <v>0.58</v>
      </c>
    </row>
    <row r="10367" ht="15.0" customHeight="1">
      <c r="A10367" s="16"/>
      <c r="B10367" s="16"/>
      <c r="C10367" s="16"/>
      <c r="D10367" s="17" t="s">
        <v>4657</v>
      </c>
      <c r="E10367" s="16"/>
      <c r="F10367" s="18">
        <f>ROUND((G10359+G10360+G10361+G10366)*(1+G2/100),2)</f>
        <v>17.82</v>
      </c>
      <c r="G10367" s="16"/>
    </row>
    <row r="10368" ht="67.5" customHeight="1">
      <c r="A10368" s="19" t="s">
        <v>4664</v>
      </c>
      <c r="B10368" s="20" t="s">
        <v>18</v>
      </c>
      <c r="C10368" s="20" t="s">
        <v>351</v>
      </c>
      <c r="D10368" s="20" t="s">
        <v>4665</v>
      </c>
      <c r="E10368" s="21"/>
      <c r="F10368" s="22">
        <f>F10378</f>
        <v>22.58</v>
      </c>
      <c r="G10368" s="21"/>
    </row>
    <row r="10369" ht="30.0" customHeight="1">
      <c r="A10369" s="11"/>
      <c r="B10369" s="11"/>
      <c r="C10369" s="11"/>
      <c r="D10369" s="10" t="s">
        <v>4666</v>
      </c>
    </row>
    <row r="10370" ht="30.0" customHeight="1">
      <c r="A10370" s="10" t="s">
        <v>4660</v>
      </c>
      <c r="B10370" s="10" t="s">
        <v>42</v>
      </c>
      <c r="C10370" s="10" t="s">
        <v>1298</v>
      </c>
      <c r="D10370" s="10" t="s">
        <v>4661</v>
      </c>
      <c r="E10370" s="14">
        <v>0.015</v>
      </c>
      <c r="F10370" s="15">
        <f>ROUND(72.49,3)</f>
        <v>72.49</v>
      </c>
      <c r="G10370" s="12">
        <f t="shared" ref="G10370:G10376" si="1562">ROUND(E10370*F10370,2)</f>
        <v>1.09</v>
      </c>
    </row>
    <row r="10371" ht="48.75" customHeight="1">
      <c r="A10371" s="10" t="s">
        <v>4662</v>
      </c>
      <c r="B10371" s="10" t="s">
        <v>42</v>
      </c>
      <c r="C10371" s="10" t="s">
        <v>1245</v>
      </c>
      <c r="D10371" s="10" t="s">
        <v>4663</v>
      </c>
      <c r="E10371" s="14">
        <v>0.5</v>
      </c>
      <c r="F10371" s="15">
        <f>ROUND(8.93,3)</f>
        <v>8.93</v>
      </c>
      <c r="G10371" s="12">
        <f t="shared" si="1562"/>
        <v>4.47</v>
      </c>
    </row>
    <row r="10372" ht="21.0" customHeight="1">
      <c r="A10372" s="10" t="s">
        <v>22</v>
      </c>
      <c r="B10372" s="10" t="s">
        <v>18</v>
      </c>
      <c r="C10372" s="10" t="s">
        <v>23</v>
      </c>
      <c r="D10372" s="10" t="s">
        <v>24</v>
      </c>
      <c r="E10372" s="14">
        <v>0.37</v>
      </c>
      <c r="F10372" s="15">
        <f>F10376</f>
        <v>43.8</v>
      </c>
      <c r="G10372" s="12">
        <f t="shared" si="1562"/>
        <v>16.21</v>
      </c>
    </row>
    <row r="10373" ht="24.0" customHeight="1">
      <c r="A10373" s="10" t="s">
        <v>25</v>
      </c>
      <c r="B10373" s="10" t="s">
        <v>26</v>
      </c>
      <c r="C10373" s="10" t="s">
        <v>23</v>
      </c>
      <c r="D10373" s="10" t="s">
        <v>27</v>
      </c>
      <c r="E10373" s="14">
        <v>1.0</v>
      </c>
      <c r="F10373" s="15">
        <f>ROUND(21,3)</f>
        <v>21</v>
      </c>
      <c r="G10373" s="12">
        <f t="shared" si="1562"/>
        <v>21</v>
      </c>
    </row>
    <row r="10374" ht="24.0" customHeight="1">
      <c r="A10374" s="10" t="s">
        <v>28</v>
      </c>
      <c r="B10374" s="10" t="s">
        <v>26</v>
      </c>
      <c r="C10374" s="10" t="s">
        <v>23</v>
      </c>
      <c r="D10374" s="10" t="s">
        <v>29</v>
      </c>
      <c r="E10374" s="14">
        <v>1.0</v>
      </c>
      <c r="F10374" s="15">
        <f t="shared" ref="F10374:F10375" si="1563">ROUND(19,3)</f>
        <v>19</v>
      </c>
      <c r="G10374" s="12">
        <f t="shared" si="1562"/>
        <v>19</v>
      </c>
    </row>
    <row r="10375" ht="24.0" customHeight="1">
      <c r="A10375" s="10" t="s">
        <v>30</v>
      </c>
      <c r="B10375" s="10" t="s">
        <v>26</v>
      </c>
      <c r="C10375" s="10" t="s">
        <v>23</v>
      </c>
      <c r="D10375" s="10" t="s">
        <v>31</v>
      </c>
      <c r="E10375" s="14">
        <v>0.2</v>
      </c>
      <c r="F10375" s="15">
        <f t="shared" si="1563"/>
        <v>19</v>
      </c>
      <c r="G10375" s="12">
        <f t="shared" si="1562"/>
        <v>3.8</v>
      </c>
    </row>
    <row r="10376" ht="15.0" customHeight="1">
      <c r="A10376" s="11"/>
      <c r="B10376" s="11"/>
      <c r="C10376" s="11"/>
      <c r="D10376" s="10" t="s">
        <v>22</v>
      </c>
      <c r="E10376" s="14">
        <v>0.37</v>
      </c>
      <c r="F10376" s="15">
        <f>ROUND((G10373+G10374+G10375),3)</f>
        <v>43.8</v>
      </c>
      <c r="G10376" s="12">
        <f t="shared" si="1562"/>
        <v>16.21</v>
      </c>
    </row>
    <row r="10377" ht="15.0" customHeight="1">
      <c r="A10377" s="10" t="s">
        <v>32</v>
      </c>
      <c r="B10377" s="10"/>
      <c r="C10377" s="10" t="s">
        <v>33</v>
      </c>
      <c r="D10377" s="10" t="s">
        <v>34</v>
      </c>
      <c r="E10377" s="14">
        <v>5.0</v>
      </c>
      <c r="F10377" s="15">
        <f>ROUND(16.21,3)</f>
        <v>16.21</v>
      </c>
      <c r="G10377" s="12">
        <f>ROUND((E10377*F10377)/100,2)</f>
        <v>0.81</v>
      </c>
    </row>
    <row r="10378" ht="15.0" customHeight="1">
      <c r="A10378" s="16"/>
      <c r="B10378" s="16"/>
      <c r="C10378" s="16"/>
      <c r="D10378" s="17" t="s">
        <v>4664</v>
      </c>
      <c r="E10378" s="16"/>
      <c r="F10378" s="18">
        <f>ROUND((G10370+G10371+G10372+G10377)*(1+G2/100),2)</f>
        <v>22.58</v>
      </c>
      <c r="G10378" s="16"/>
    </row>
    <row r="10379" ht="57.75" customHeight="1">
      <c r="A10379" s="19" t="s">
        <v>4667</v>
      </c>
      <c r="B10379" s="20" t="s">
        <v>18</v>
      </c>
      <c r="C10379" s="20" t="s">
        <v>351</v>
      </c>
      <c r="D10379" s="20" t="s">
        <v>4668</v>
      </c>
      <c r="E10379" s="21"/>
      <c r="F10379" s="22">
        <f>F10389</f>
        <v>21.14</v>
      </c>
      <c r="G10379" s="21"/>
    </row>
    <row r="10380" ht="30.0" customHeight="1">
      <c r="A10380" s="11"/>
      <c r="B10380" s="11"/>
      <c r="C10380" s="11"/>
      <c r="D10380" s="10" t="s">
        <v>4669</v>
      </c>
    </row>
    <row r="10381" ht="30.0" customHeight="1">
      <c r="A10381" s="10" t="s">
        <v>4660</v>
      </c>
      <c r="B10381" s="10" t="s">
        <v>42</v>
      </c>
      <c r="C10381" s="10" t="s">
        <v>1298</v>
      </c>
      <c r="D10381" s="10" t="s">
        <v>4661</v>
      </c>
      <c r="E10381" s="14">
        <v>0.015</v>
      </c>
      <c r="F10381" s="15">
        <f>ROUND(72.49,3)</f>
        <v>72.49</v>
      </c>
      <c r="G10381" s="12">
        <f t="shared" ref="G10381:G10387" si="1564">ROUND(E10381*F10381,2)</f>
        <v>1.09</v>
      </c>
    </row>
    <row r="10382" ht="48.75" customHeight="1">
      <c r="A10382" s="10" t="s">
        <v>4662</v>
      </c>
      <c r="B10382" s="10" t="s">
        <v>42</v>
      </c>
      <c r="C10382" s="10" t="s">
        <v>1245</v>
      </c>
      <c r="D10382" s="10" t="s">
        <v>4663</v>
      </c>
      <c r="E10382" s="14">
        <v>0.7</v>
      </c>
      <c r="F10382" s="15">
        <f>ROUND(8.93,3)</f>
        <v>8.93</v>
      </c>
      <c r="G10382" s="12">
        <f t="shared" si="1564"/>
        <v>6.25</v>
      </c>
    </row>
    <row r="10383" ht="21.0" customHeight="1">
      <c r="A10383" s="10" t="s">
        <v>22</v>
      </c>
      <c r="B10383" s="10" t="s">
        <v>18</v>
      </c>
      <c r="C10383" s="10" t="s">
        <v>23</v>
      </c>
      <c r="D10383" s="10" t="s">
        <v>24</v>
      </c>
      <c r="E10383" s="14">
        <v>0.3</v>
      </c>
      <c r="F10383" s="15">
        <f>F10387</f>
        <v>43.8</v>
      </c>
      <c r="G10383" s="12">
        <f t="shared" si="1564"/>
        <v>13.14</v>
      </c>
    </row>
    <row r="10384" ht="24.0" customHeight="1">
      <c r="A10384" s="10" t="s">
        <v>25</v>
      </c>
      <c r="B10384" s="10" t="s">
        <v>26</v>
      </c>
      <c r="C10384" s="10" t="s">
        <v>23</v>
      </c>
      <c r="D10384" s="10" t="s">
        <v>27</v>
      </c>
      <c r="E10384" s="14">
        <v>1.0</v>
      </c>
      <c r="F10384" s="15">
        <f>ROUND(21,3)</f>
        <v>21</v>
      </c>
      <c r="G10384" s="12">
        <f t="shared" si="1564"/>
        <v>21</v>
      </c>
    </row>
    <row r="10385" ht="24.0" customHeight="1">
      <c r="A10385" s="10" t="s">
        <v>28</v>
      </c>
      <c r="B10385" s="10" t="s">
        <v>26</v>
      </c>
      <c r="C10385" s="10" t="s">
        <v>23</v>
      </c>
      <c r="D10385" s="10" t="s">
        <v>29</v>
      </c>
      <c r="E10385" s="14">
        <v>1.0</v>
      </c>
      <c r="F10385" s="15">
        <f t="shared" ref="F10385:F10386" si="1565">ROUND(19,3)</f>
        <v>19</v>
      </c>
      <c r="G10385" s="12">
        <f t="shared" si="1564"/>
        <v>19</v>
      </c>
    </row>
    <row r="10386" ht="24.0" customHeight="1">
      <c r="A10386" s="10" t="s">
        <v>30</v>
      </c>
      <c r="B10386" s="10" t="s">
        <v>26</v>
      </c>
      <c r="C10386" s="10" t="s">
        <v>23</v>
      </c>
      <c r="D10386" s="10" t="s">
        <v>31</v>
      </c>
      <c r="E10386" s="14">
        <v>0.2</v>
      </c>
      <c r="F10386" s="15">
        <f t="shared" si="1565"/>
        <v>19</v>
      </c>
      <c r="G10386" s="12">
        <f t="shared" si="1564"/>
        <v>3.8</v>
      </c>
    </row>
    <row r="10387" ht="15.0" customHeight="1">
      <c r="A10387" s="11"/>
      <c r="B10387" s="11"/>
      <c r="C10387" s="11"/>
      <c r="D10387" s="10" t="s">
        <v>22</v>
      </c>
      <c r="E10387" s="14">
        <v>0.3</v>
      </c>
      <c r="F10387" s="15">
        <f>ROUND((G10384+G10385+G10386),3)</f>
        <v>43.8</v>
      </c>
      <c r="G10387" s="12">
        <f t="shared" si="1564"/>
        <v>13.14</v>
      </c>
    </row>
    <row r="10388" ht="15.0" customHeight="1">
      <c r="A10388" s="10" t="s">
        <v>32</v>
      </c>
      <c r="B10388" s="10"/>
      <c r="C10388" s="10" t="s">
        <v>33</v>
      </c>
      <c r="D10388" s="10" t="s">
        <v>34</v>
      </c>
      <c r="E10388" s="14">
        <v>5.0</v>
      </c>
      <c r="F10388" s="15">
        <f>ROUND(13.14,3)</f>
        <v>13.14</v>
      </c>
      <c r="G10388" s="12">
        <f>ROUND((E10388*F10388)/100,2)</f>
        <v>0.66</v>
      </c>
    </row>
    <row r="10389" ht="15.0" customHeight="1">
      <c r="A10389" s="16"/>
      <c r="B10389" s="16"/>
      <c r="C10389" s="16"/>
      <c r="D10389" s="17" t="s">
        <v>4667</v>
      </c>
      <c r="E10389" s="16"/>
      <c r="F10389" s="18">
        <f>ROUND((G10381+G10382+G10383+G10388)*(1+G2/100),2)</f>
        <v>21.14</v>
      </c>
      <c r="G10389" s="16"/>
    </row>
    <row r="10390" ht="67.5" customHeight="1">
      <c r="A10390" s="19" t="s">
        <v>4670</v>
      </c>
      <c r="B10390" s="20" t="s">
        <v>18</v>
      </c>
      <c r="C10390" s="20" t="s">
        <v>351</v>
      </c>
      <c r="D10390" s="20" t="s">
        <v>4671</v>
      </c>
      <c r="E10390" s="21"/>
      <c r="F10390" s="22">
        <f>F10400</f>
        <v>26.66</v>
      </c>
      <c r="G10390" s="21"/>
    </row>
    <row r="10391" ht="30.0" customHeight="1">
      <c r="A10391" s="11"/>
      <c r="B10391" s="11"/>
      <c r="C10391" s="11"/>
      <c r="D10391" s="10" t="s">
        <v>4672</v>
      </c>
    </row>
    <row r="10392" ht="30.0" customHeight="1">
      <c r="A10392" s="10" t="s">
        <v>4660</v>
      </c>
      <c r="B10392" s="10" t="s">
        <v>42</v>
      </c>
      <c r="C10392" s="10" t="s">
        <v>1298</v>
      </c>
      <c r="D10392" s="10" t="s">
        <v>4661</v>
      </c>
      <c r="E10392" s="14">
        <v>0.015</v>
      </c>
      <c r="F10392" s="15">
        <f>ROUND(72.49,3)</f>
        <v>72.49</v>
      </c>
      <c r="G10392" s="12">
        <f t="shared" ref="G10392:G10398" si="1566">ROUND(E10392*F10392,2)</f>
        <v>1.09</v>
      </c>
    </row>
    <row r="10393" ht="48.75" customHeight="1">
      <c r="A10393" s="10" t="s">
        <v>4662</v>
      </c>
      <c r="B10393" s="10" t="s">
        <v>42</v>
      </c>
      <c r="C10393" s="10" t="s">
        <v>1245</v>
      </c>
      <c r="D10393" s="10" t="s">
        <v>4663</v>
      </c>
      <c r="E10393" s="14">
        <v>0.7</v>
      </c>
      <c r="F10393" s="15">
        <f>ROUND(8.93,3)</f>
        <v>8.93</v>
      </c>
      <c r="G10393" s="12">
        <f t="shared" si="1566"/>
        <v>6.25</v>
      </c>
    </row>
    <row r="10394" ht="21.0" customHeight="1">
      <c r="A10394" s="10" t="s">
        <v>22</v>
      </c>
      <c r="B10394" s="10" t="s">
        <v>18</v>
      </c>
      <c r="C10394" s="10" t="s">
        <v>23</v>
      </c>
      <c r="D10394" s="10" t="s">
        <v>24</v>
      </c>
      <c r="E10394" s="14">
        <v>0.42</v>
      </c>
      <c r="F10394" s="15">
        <f>F10398</f>
        <v>43.8</v>
      </c>
      <c r="G10394" s="12">
        <f t="shared" si="1566"/>
        <v>18.4</v>
      </c>
    </row>
    <row r="10395" ht="24.0" customHeight="1">
      <c r="A10395" s="10" t="s">
        <v>25</v>
      </c>
      <c r="B10395" s="10" t="s">
        <v>26</v>
      </c>
      <c r="C10395" s="10" t="s">
        <v>23</v>
      </c>
      <c r="D10395" s="10" t="s">
        <v>27</v>
      </c>
      <c r="E10395" s="14">
        <v>1.0</v>
      </c>
      <c r="F10395" s="15">
        <f>ROUND(21,3)</f>
        <v>21</v>
      </c>
      <c r="G10395" s="12">
        <f t="shared" si="1566"/>
        <v>21</v>
      </c>
    </row>
    <row r="10396" ht="24.0" customHeight="1">
      <c r="A10396" s="10" t="s">
        <v>28</v>
      </c>
      <c r="B10396" s="10" t="s">
        <v>26</v>
      </c>
      <c r="C10396" s="10" t="s">
        <v>23</v>
      </c>
      <c r="D10396" s="10" t="s">
        <v>29</v>
      </c>
      <c r="E10396" s="14">
        <v>1.0</v>
      </c>
      <c r="F10396" s="15">
        <f t="shared" ref="F10396:F10397" si="1567">ROUND(19,3)</f>
        <v>19</v>
      </c>
      <c r="G10396" s="12">
        <f t="shared" si="1566"/>
        <v>19</v>
      </c>
    </row>
    <row r="10397" ht="24.0" customHeight="1">
      <c r="A10397" s="10" t="s">
        <v>30</v>
      </c>
      <c r="B10397" s="10" t="s">
        <v>26</v>
      </c>
      <c r="C10397" s="10" t="s">
        <v>23</v>
      </c>
      <c r="D10397" s="10" t="s">
        <v>31</v>
      </c>
      <c r="E10397" s="14">
        <v>0.2</v>
      </c>
      <c r="F10397" s="15">
        <f t="shared" si="1567"/>
        <v>19</v>
      </c>
      <c r="G10397" s="12">
        <f t="shared" si="1566"/>
        <v>3.8</v>
      </c>
    </row>
    <row r="10398" ht="15.0" customHeight="1">
      <c r="A10398" s="11"/>
      <c r="B10398" s="11"/>
      <c r="C10398" s="11"/>
      <c r="D10398" s="10" t="s">
        <v>22</v>
      </c>
      <c r="E10398" s="14">
        <v>0.42</v>
      </c>
      <c r="F10398" s="15">
        <f>ROUND((G10395+G10396+G10397),3)</f>
        <v>43.8</v>
      </c>
      <c r="G10398" s="12">
        <f t="shared" si="1566"/>
        <v>18.4</v>
      </c>
    </row>
    <row r="10399" ht="15.0" customHeight="1">
      <c r="A10399" s="10" t="s">
        <v>32</v>
      </c>
      <c r="B10399" s="10"/>
      <c r="C10399" s="10" t="s">
        <v>33</v>
      </c>
      <c r="D10399" s="10" t="s">
        <v>34</v>
      </c>
      <c r="E10399" s="14">
        <v>5.0</v>
      </c>
      <c r="F10399" s="15">
        <f>ROUND(18.4,3)</f>
        <v>18.4</v>
      </c>
      <c r="G10399" s="12">
        <f>ROUND((E10399*F10399)/100,2)</f>
        <v>0.92</v>
      </c>
    </row>
    <row r="10400" ht="15.0" customHeight="1">
      <c r="A10400" s="16"/>
      <c r="B10400" s="16"/>
      <c r="C10400" s="16"/>
      <c r="D10400" s="17" t="s">
        <v>4670</v>
      </c>
      <c r="E10400" s="16"/>
      <c r="F10400" s="18">
        <f>ROUND((G10392+G10393+G10394+G10399)*(1+G2/100),2)</f>
        <v>26.66</v>
      </c>
      <c r="G10400" s="16"/>
    </row>
    <row r="10401" ht="67.5" customHeight="1">
      <c r="A10401" s="19" t="s">
        <v>4673</v>
      </c>
      <c r="B10401" s="20" t="s">
        <v>18</v>
      </c>
      <c r="C10401" s="20" t="s">
        <v>351</v>
      </c>
      <c r="D10401" s="20" t="s">
        <v>4674</v>
      </c>
      <c r="E10401" s="21"/>
      <c r="F10401" s="22">
        <f>F10411</f>
        <v>24.37</v>
      </c>
      <c r="G10401" s="21"/>
    </row>
    <row r="10402" ht="30.0" customHeight="1">
      <c r="A10402" s="11"/>
      <c r="B10402" s="11"/>
      <c r="C10402" s="11"/>
      <c r="D10402" s="10" t="s">
        <v>4675</v>
      </c>
    </row>
    <row r="10403" ht="30.0" customHeight="1">
      <c r="A10403" s="10" t="s">
        <v>4660</v>
      </c>
      <c r="B10403" s="10" t="s">
        <v>42</v>
      </c>
      <c r="C10403" s="10" t="s">
        <v>1298</v>
      </c>
      <c r="D10403" s="10" t="s">
        <v>4661</v>
      </c>
      <c r="E10403" s="14">
        <v>0.02</v>
      </c>
      <c r="F10403" s="15">
        <f>ROUND(72.49,3)</f>
        <v>72.49</v>
      </c>
      <c r="G10403" s="12">
        <f t="shared" ref="G10403:G10409" si="1568">ROUND(E10403*F10403,2)</f>
        <v>1.45</v>
      </c>
    </row>
    <row r="10404" ht="48.75" customHeight="1">
      <c r="A10404" s="10" t="s">
        <v>4662</v>
      </c>
      <c r="B10404" s="10" t="s">
        <v>42</v>
      </c>
      <c r="C10404" s="10" t="s">
        <v>1245</v>
      </c>
      <c r="D10404" s="10" t="s">
        <v>4663</v>
      </c>
      <c r="E10404" s="14">
        <v>0.85</v>
      </c>
      <c r="F10404" s="15">
        <f>ROUND(8.93,3)</f>
        <v>8.93</v>
      </c>
      <c r="G10404" s="12">
        <f t="shared" si="1568"/>
        <v>7.59</v>
      </c>
    </row>
    <row r="10405" ht="21.0" customHeight="1">
      <c r="A10405" s="10" t="s">
        <v>22</v>
      </c>
      <c r="B10405" s="10" t="s">
        <v>18</v>
      </c>
      <c r="C10405" s="10" t="s">
        <v>23</v>
      </c>
      <c r="D10405" s="10" t="s">
        <v>24</v>
      </c>
      <c r="E10405" s="14">
        <v>0.3333</v>
      </c>
      <c r="F10405" s="15">
        <f>F10409</f>
        <v>43.8</v>
      </c>
      <c r="G10405" s="12">
        <f t="shared" si="1568"/>
        <v>14.6</v>
      </c>
    </row>
    <row r="10406" ht="24.0" customHeight="1">
      <c r="A10406" s="10" t="s">
        <v>25</v>
      </c>
      <c r="B10406" s="10" t="s">
        <v>26</v>
      </c>
      <c r="C10406" s="10" t="s">
        <v>23</v>
      </c>
      <c r="D10406" s="10" t="s">
        <v>27</v>
      </c>
      <c r="E10406" s="14">
        <v>1.0</v>
      </c>
      <c r="F10406" s="15">
        <f>ROUND(21,3)</f>
        <v>21</v>
      </c>
      <c r="G10406" s="12">
        <f t="shared" si="1568"/>
        <v>21</v>
      </c>
    </row>
    <row r="10407" ht="24.0" customHeight="1">
      <c r="A10407" s="10" t="s">
        <v>28</v>
      </c>
      <c r="B10407" s="10" t="s">
        <v>26</v>
      </c>
      <c r="C10407" s="10" t="s">
        <v>23</v>
      </c>
      <c r="D10407" s="10" t="s">
        <v>29</v>
      </c>
      <c r="E10407" s="14">
        <v>1.0</v>
      </c>
      <c r="F10407" s="15">
        <f t="shared" ref="F10407:F10408" si="1569">ROUND(19,3)</f>
        <v>19</v>
      </c>
      <c r="G10407" s="12">
        <f t="shared" si="1568"/>
        <v>19</v>
      </c>
    </row>
    <row r="10408" ht="24.0" customHeight="1">
      <c r="A10408" s="10" t="s">
        <v>30</v>
      </c>
      <c r="B10408" s="10" t="s">
        <v>26</v>
      </c>
      <c r="C10408" s="10" t="s">
        <v>23</v>
      </c>
      <c r="D10408" s="10" t="s">
        <v>31</v>
      </c>
      <c r="E10408" s="14">
        <v>0.2</v>
      </c>
      <c r="F10408" s="15">
        <f t="shared" si="1569"/>
        <v>19</v>
      </c>
      <c r="G10408" s="12">
        <f t="shared" si="1568"/>
        <v>3.8</v>
      </c>
    </row>
    <row r="10409" ht="15.0" customHeight="1">
      <c r="A10409" s="11"/>
      <c r="B10409" s="11"/>
      <c r="C10409" s="11"/>
      <c r="D10409" s="10" t="s">
        <v>22</v>
      </c>
      <c r="E10409" s="14">
        <v>0.3333</v>
      </c>
      <c r="F10409" s="15">
        <f>ROUND((G10406+G10407+G10408),3)</f>
        <v>43.8</v>
      </c>
      <c r="G10409" s="12">
        <f t="shared" si="1568"/>
        <v>14.6</v>
      </c>
    </row>
    <row r="10410" ht="15.0" customHeight="1">
      <c r="A10410" s="10" t="s">
        <v>32</v>
      </c>
      <c r="B10410" s="10"/>
      <c r="C10410" s="10" t="s">
        <v>33</v>
      </c>
      <c r="D10410" s="10" t="s">
        <v>34</v>
      </c>
      <c r="E10410" s="14">
        <v>5.0</v>
      </c>
      <c r="F10410" s="15">
        <f>ROUND(14.6,3)</f>
        <v>14.6</v>
      </c>
      <c r="G10410" s="12">
        <f>ROUND((E10410*F10410)/100,2)</f>
        <v>0.73</v>
      </c>
    </row>
    <row r="10411" ht="15.0" customHeight="1">
      <c r="A10411" s="16"/>
      <c r="B10411" s="16"/>
      <c r="C10411" s="16"/>
      <c r="D10411" s="17" t="s">
        <v>4673</v>
      </c>
      <c r="E10411" s="16"/>
      <c r="F10411" s="18">
        <f>ROUND((G10403+G10404+G10405+G10410)*(1+G2/100),2)</f>
        <v>24.37</v>
      </c>
      <c r="G10411" s="16"/>
    </row>
    <row r="10412" ht="67.5" customHeight="1">
      <c r="A10412" s="19" t="s">
        <v>4676</v>
      </c>
      <c r="B10412" s="20" t="s">
        <v>18</v>
      </c>
      <c r="C10412" s="20" t="s">
        <v>351</v>
      </c>
      <c r="D10412" s="20" t="s">
        <v>4674</v>
      </c>
      <c r="E10412" s="21"/>
      <c r="F10412" s="22">
        <f>F10422</f>
        <v>29.74</v>
      </c>
      <c r="G10412" s="21"/>
    </row>
    <row r="10413" ht="30.0" customHeight="1">
      <c r="A10413" s="11"/>
      <c r="B10413" s="11"/>
      <c r="C10413" s="11"/>
      <c r="D10413" s="10" t="s">
        <v>4675</v>
      </c>
    </row>
    <row r="10414" ht="30.0" customHeight="1">
      <c r="A10414" s="10" t="s">
        <v>4660</v>
      </c>
      <c r="B10414" s="10" t="s">
        <v>42</v>
      </c>
      <c r="C10414" s="10" t="s">
        <v>1298</v>
      </c>
      <c r="D10414" s="10" t="s">
        <v>4661</v>
      </c>
      <c r="E10414" s="14">
        <v>0.02</v>
      </c>
      <c r="F10414" s="15">
        <f>ROUND(72.49,3)</f>
        <v>72.49</v>
      </c>
      <c r="G10414" s="12">
        <f t="shared" ref="G10414:G10420" si="1570">ROUND(E10414*F10414,2)</f>
        <v>1.45</v>
      </c>
    </row>
    <row r="10415" ht="48.75" customHeight="1">
      <c r="A10415" s="10" t="s">
        <v>4662</v>
      </c>
      <c r="B10415" s="10" t="s">
        <v>42</v>
      </c>
      <c r="C10415" s="10" t="s">
        <v>1245</v>
      </c>
      <c r="D10415" s="10" t="s">
        <v>4663</v>
      </c>
      <c r="E10415" s="14">
        <v>0.85</v>
      </c>
      <c r="F10415" s="15">
        <f>ROUND(8.93,3)</f>
        <v>8.93</v>
      </c>
      <c r="G10415" s="12">
        <f t="shared" si="1570"/>
        <v>7.59</v>
      </c>
    </row>
    <row r="10416" ht="21.0" customHeight="1">
      <c r="A10416" s="10" t="s">
        <v>22</v>
      </c>
      <c r="B10416" s="10" t="s">
        <v>18</v>
      </c>
      <c r="C10416" s="10" t="s">
        <v>23</v>
      </c>
      <c r="D10416" s="10" t="s">
        <v>24</v>
      </c>
      <c r="E10416" s="14">
        <v>0.45</v>
      </c>
      <c r="F10416" s="15">
        <f>F10420</f>
        <v>43.8</v>
      </c>
      <c r="G10416" s="12">
        <f t="shared" si="1570"/>
        <v>19.71</v>
      </c>
    </row>
    <row r="10417" ht="24.0" customHeight="1">
      <c r="A10417" s="10" t="s">
        <v>25</v>
      </c>
      <c r="B10417" s="10" t="s">
        <v>26</v>
      </c>
      <c r="C10417" s="10" t="s">
        <v>23</v>
      </c>
      <c r="D10417" s="10" t="s">
        <v>27</v>
      </c>
      <c r="E10417" s="14">
        <v>1.0</v>
      </c>
      <c r="F10417" s="15">
        <f>ROUND(21,3)</f>
        <v>21</v>
      </c>
      <c r="G10417" s="12">
        <f t="shared" si="1570"/>
        <v>21</v>
      </c>
    </row>
    <row r="10418" ht="24.0" customHeight="1">
      <c r="A10418" s="10" t="s">
        <v>28</v>
      </c>
      <c r="B10418" s="10" t="s">
        <v>26</v>
      </c>
      <c r="C10418" s="10" t="s">
        <v>23</v>
      </c>
      <c r="D10418" s="10" t="s">
        <v>29</v>
      </c>
      <c r="E10418" s="14">
        <v>1.0</v>
      </c>
      <c r="F10418" s="15">
        <f t="shared" ref="F10418:F10419" si="1571">ROUND(19,3)</f>
        <v>19</v>
      </c>
      <c r="G10418" s="12">
        <f t="shared" si="1570"/>
        <v>19</v>
      </c>
    </row>
    <row r="10419" ht="24.0" customHeight="1">
      <c r="A10419" s="10" t="s">
        <v>30</v>
      </c>
      <c r="B10419" s="10" t="s">
        <v>26</v>
      </c>
      <c r="C10419" s="10" t="s">
        <v>23</v>
      </c>
      <c r="D10419" s="10" t="s">
        <v>31</v>
      </c>
      <c r="E10419" s="14">
        <v>0.2</v>
      </c>
      <c r="F10419" s="15">
        <f t="shared" si="1571"/>
        <v>19</v>
      </c>
      <c r="G10419" s="12">
        <f t="shared" si="1570"/>
        <v>3.8</v>
      </c>
    </row>
    <row r="10420" ht="15.0" customHeight="1">
      <c r="A10420" s="11"/>
      <c r="B10420" s="11"/>
      <c r="C10420" s="11"/>
      <c r="D10420" s="10" t="s">
        <v>22</v>
      </c>
      <c r="E10420" s="14">
        <v>0.45</v>
      </c>
      <c r="F10420" s="15">
        <f>ROUND((G10417+G10418+G10419),3)</f>
        <v>43.8</v>
      </c>
      <c r="G10420" s="12">
        <f t="shared" si="1570"/>
        <v>19.71</v>
      </c>
    </row>
    <row r="10421" ht="15.0" customHeight="1">
      <c r="A10421" s="10" t="s">
        <v>32</v>
      </c>
      <c r="B10421" s="10"/>
      <c r="C10421" s="10" t="s">
        <v>33</v>
      </c>
      <c r="D10421" s="10" t="s">
        <v>34</v>
      </c>
      <c r="E10421" s="14">
        <v>5.0</v>
      </c>
      <c r="F10421" s="15">
        <f>ROUND(19.71,3)</f>
        <v>19.71</v>
      </c>
      <c r="G10421" s="12">
        <f>ROUND((E10421*F10421)/100,2)</f>
        <v>0.99</v>
      </c>
    </row>
    <row r="10422" ht="15.0" customHeight="1">
      <c r="A10422" s="16"/>
      <c r="B10422" s="16"/>
      <c r="C10422" s="16"/>
      <c r="D10422" s="17" t="s">
        <v>4676</v>
      </c>
      <c r="E10422" s="16"/>
      <c r="F10422" s="18">
        <f>ROUND((G10414+G10415+G10416+G10421)*(1+G2/100),2)</f>
        <v>29.74</v>
      </c>
      <c r="G10422" s="16"/>
    </row>
    <row r="10423" ht="30.0" customHeight="1">
      <c r="A10423" s="19" t="s">
        <v>4677</v>
      </c>
      <c r="B10423" s="20" t="s">
        <v>18</v>
      </c>
      <c r="C10423" s="20" t="s">
        <v>19</v>
      </c>
      <c r="D10423" s="20" t="s">
        <v>4678</v>
      </c>
      <c r="E10423" s="21"/>
      <c r="F10423" s="22">
        <f>F10440</f>
        <v>52.09</v>
      </c>
      <c r="G10423" s="21"/>
    </row>
    <row r="10424" ht="30.0" customHeight="1">
      <c r="A10424" s="11"/>
      <c r="B10424" s="11"/>
      <c r="C10424" s="11"/>
      <c r="D10424" s="10" t="s">
        <v>4679</v>
      </c>
    </row>
    <row r="10425" ht="39.75" customHeight="1">
      <c r="A10425" s="10" t="s">
        <v>4680</v>
      </c>
      <c r="B10425" s="10" t="s">
        <v>42</v>
      </c>
      <c r="C10425" s="10" t="s">
        <v>1881</v>
      </c>
      <c r="D10425" s="10" t="s">
        <v>4681</v>
      </c>
      <c r="E10425" s="14">
        <v>0.37</v>
      </c>
      <c r="F10425" s="15">
        <f>ROUND(61.39,3)</f>
        <v>61.39</v>
      </c>
      <c r="G10425" s="12">
        <f t="shared" ref="G10425:G10438" si="1572">ROUND(E10425*F10425,2)</f>
        <v>22.71</v>
      </c>
    </row>
    <row r="10426" ht="39.75" customHeight="1">
      <c r="A10426" s="10" t="s">
        <v>4332</v>
      </c>
      <c r="B10426" s="10" t="s">
        <v>42</v>
      </c>
      <c r="C10426" s="10" t="s">
        <v>344</v>
      </c>
      <c r="D10426" s="10" t="s">
        <v>4333</v>
      </c>
      <c r="E10426" s="14">
        <v>0.23625</v>
      </c>
      <c r="F10426" s="15">
        <f>ROUND(16.68,3)</f>
        <v>16.68</v>
      </c>
      <c r="G10426" s="12">
        <f t="shared" si="1572"/>
        <v>3.94</v>
      </c>
    </row>
    <row r="10427" ht="39.75" customHeight="1">
      <c r="A10427" s="10" t="s">
        <v>4334</v>
      </c>
      <c r="B10427" s="10" t="s">
        <v>42</v>
      </c>
      <c r="C10427" s="10" t="s">
        <v>344</v>
      </c>
      <c r="D10427" s="10" t="s">
        <v>4335</v>
      </c>
      <c r="E10427" s="14">
        <v>0.7</v>
      </c>
      <c r="F10427" s="15">
        <f>ROUND(5.84,3)</f>
        <v>5.84</v>
      </c>
      <c r="G10427" s="12">
        <f t="shared" si="1572"/>
        <v>4.09</v>
      </c>
    </row>
    <row r="10428" ht="30.0" customHeight="1">
      <c r="A10428" s="10" t="s">
        <v>4310</v>
      </c>
      <c r="B10428" s="10" t="s">
        <v>42</v>
      </c>
      <c r="C10428" s="10" t="s">
        <v>226</v>
      </c>
      <c r="D10428" s="10" t="s">
        <v>4311</v>
      </c>
      <c r="E10428" s="14">
        <v>0.02222</v>
      </c>
      <c r="F10428" s="15">
        <f>ROUND(57.88,3)</f>
        <v>57.88</v>
      </c>
      <c r="G10428" s="12">
        <f t="shared" si="1572"/>
        <v>1.29</v>
      </c>
    </row>
    <row r="10429" ht="30.0" customHeight="1">
      <c r="A10429" s="10" t="s">
        <v>4312</v>
      </c>
      <c r="B10429" s="10" t="s">
        <v>42</v>
      </c>
      <c r="C10429" s="10" t="s">
        <v>226</v>
      </c>
      <c r="D10429" s="10" t="s">
        <v>4313</v>
      </c>
      <c r="E10429" s="14">
        <v>0.01467</v>
      </c>
      <c r="F10429" s="15">
        <f>ROUND(20.55,3)</f>
        <v>20.55</v>
      </c>
      <c r="G10429" s="12">
        <f t="shared" si="1572"/>
        <v>0.3</v>
      </c>
    </row>
    <row r="10430" ht="30.0" customHeight="1">
      <c r="A10430" s="10" t="s">
        <v>4314</v>
      </c>
      <c r="B10430" s="10" t="s">
        <v>42</v>
      </c>
      <c r="C10430" s="10" t="s">
        <v>1245</v>
      </c>
      <c r="D10430" s="10" t="s">
        <v>4315</v>
      </c>
      <c r="E10430" s="14">
        <v>0.16667</v>
      </c>
      <c r="F10430" s="15">
        <f>ROUND(4.4,3)</f>
        <v>4.4</v>
      </c>
      <c r="G10430" s="12">
        <f t="shared" si="1572"/>
        <v>0.73</v>
      </c>
    </row>
    <row r="10431" ht="39.75" customHeight="1">
      <c r="A10431" s="10" t="s">
        <v>4316</v>
      </c>
      <c r="B10431" s="10" t="s">
        <v>42</v>
      </c>
      <c r="C10431" s="10" t="s">
        <v>330</v>
      </c>
      <c r="D10431" s="10" t="s">
        <v>4317</v>
      </c>
      <c r="E10431" s="14">
        <v>0.01</v>
      </c>
      <c r="F10431" s="15">
        <f>ROUND(15.09,3)</f>
        <v>15.09</v>
      </c>
      <c r="G10431" s="12">
        <f t="shared" si="1572"/>
        <v>0.15</v>
      </c>
    </row>
    <row r="10432" ht="30.0" customHeight="1">
      <c r="A10432" s="10" t="s">
        <v>2545</v>
      </c>
      <c r="B10432" s="10" t="s">
        <v>42</v>
      </c>
      <c r="C10432" s="10" t="s">
        <v>325</v>
      </c>
      <c r="D10432" s="10" t="s">
        <v>2546</v>
      </c>
      <c r="E10432" s="14">
        <v>0.01578</v>
      </c>
      <c r="F10432" s="15">
        <f>ROUND(64.19,3)</f>
        <v>64.19</v>
      </c>
      <c r="G10432" s="12">
        <f t="shared" si="1572"/>
        <v>1.01</v>
      </c>
    </row>
    <row r="10433" ht="21.0" customHeight="1">
      <c r="A10433" s="10" t="s">
        <v>969</v>
      </c>
      <c r="B10433" s="10" t="s">
        <v>112</v>
      </c>
      <c r="C10433" s="10" t="s">
        <v>23</v>
      </c>
      <c r="D10433" s="10" t="s">
        <v>970</v>
      </c>
      <c r="E10433" s="14">
        <v>0.2</v>
      </c>
      <c r="F10433" s="15">
        <f>ROUND(2,3)</f>
        <v>2</v>
      </c>
      <c r="G10433" s="12">
        <f t="shared" si="1572"/>
        <v>0.4</v>
      </c>
    </row>
    <row r="10434" ht="21.0" customHeight="1">
      <c r="A10434" s="10" t="s">
        <v>22</v>
      </c>
      <c r="B10434" s="10" t="s">
        <v>18</v>
      </c>
      <c r="C10434" s="10" t="s">
        <v>23</v>
      </c>
      <c r="D10434" s="10" t="s">
        <v>24</v>
      </c>
      <c r="E10434" s="14">
        <v>0.38</v>
      </c>
      <c r="F10434" s="15">
        <f>F10438</f>
        <v>43.8</v>
      </c>
      <c r="G10434" s="12">
        <f t="shared" si="1572"/>
        <v>16.64</v>
      </c>
    </row>
    <row r="10435" ht="24.0" customHeight="1">
      <c r="A10435" s="10" t="s">
        <v>25</v>
      </c>
      <c r="B10435" s="10" t="s">
        <v>26</v>
      </c>
      <c r="C10435" s="10" t="s">
        <v>23</v>
      </c>
      <c r="D10435" s="10" t="s">
        <v>27</v>
      </c>
      <c r="E10435" s="14">
        <v>1.0</v>
      </c>
      <c r="F10435" s="15">
        <f>ROUND(21,3)</f>
        <v>21</v>
      </c>
      <c r="G10435" s="12">
        <f t="shared" si="1572"/>
        <v>21</v>
      </c>
    </row>
    <row r="10436" ht="24.0" customHeight="1">
      <c r="A10436" s="10" t="s">
        <v>28</v>
      </c>
      <c r="B10436" s="10" t="s">
        <v>26</v>
      </c>
      <c r="C10436" s="10" t="s">
        <v>23</v>
      </c>
      <c r="D10436" s="10" t="s">
        <v>29</v>
      </c>
      <c r="E10436" s="14">
        <v>1.0</v>
      </c>
      <c r="F10436" s="15">
        <f t="shared" ref="F10436:F10437" si="1573">ROUND(19,3)</f>
        <v>19</v>
      </c>
      <c r="G10436" s="12">
        <f t="shared" si="1572"/>
        <v>19</v>
      </c>
    </row>
    <row r="10437" ht="24.0" customHeight="1">
      <c r="A10437" s="10" t="s">
        <v>30</v>
      </c>
      <c r="B10437" s="10" t="s">
        <v>26</v>
      </c>
      <c r="C10437" s="10" t="s">
        <v>23</v>
      </c>
      <c r="D10437" s="10" t="s">
        <v>31</v>
      </c>
      <c r="E10437" s="14">
        <v>0.2</v>
      </c>
      <c r="F10437" s="15">
        <f t="shared" si="1573"/>
        <v>19</v>
      </c>
      <c r="G10437" s="12">
        <f t="shared" si="1572"/>
        <v>3.8</v>
      </c>
    </row>
    <row r="10438" ht="15.0" customHeight="1">
      <c r="A10438" s="11"/>
      <c r="B10438" s="11"/>
      <c r="C10438" s="11"/>
      <c r="D10438" s="10" t="s">
        <v>22</v>
      </c>
      <c r="E10438" s="14">
        <v>0.38</v>
      </c>
      <c r="F10438" s="15">
        <f>ROUND((G10435+G10436+G10437),3)</f>
        <v>43.8</v>
      </c>
      <c r="G10438" s="12">
        <f t="shared" si="1572"/>
        <v>16.64</v>
      </c>
    </row>
    <row r="10439" ht="15.0" customHeight="1">
      <c r="A10439" s="10" t="s">
        <v>32</v>
      </c>
      <c r="B10439" s="10"/>
      <c r="C10439" s="10" t="s">
        <v>33</v>
      </c>
      <c r="D10439" s="10" t="s">
        <v>34</v>
      </c>
      <c r="E10439" s="14">
        <v>5.0</v>
      </c>
      <c r="F10439" s="15">
        <f>ROUND(16.64,3)</f>
        <v>16.64</v>
      </c>
      <c r="G10439" s="12">
        <f>ROUND((E10439*F10439)/100,2)</f>
        <v>0.83</v>
      </c>
    </row>
    <row r="10440" ht="24.75" customHeight="1">
      <c r="A10440" s="16"/>
      <c r="B10440" s="16"/>
      <c r="C10440" s="16"/>
      <c r="D10440" s="17" t="s">
        <v>4677</v>
      </c>
      <c r="E10440" s="16"/>
      <c r="F10440" s="18">
        <f>ROUND((G10425+G10426+G10427+G10428+G10429+G10430+G10431+G10432+G10433+G10434+G10439)*(1+G2/100),2)</f>
        <v>52.09</v>
      </c>
      <c r="G10440" s="16"/>
    </row>
    <row r="10441" ht="30.0" customHeight="1">
      <c r="A10441" s="19" t="s">
        <v>4682</v>
      </c>
      <c r="B10441" s="20" t="s">
        <v>18</v>
      </c>
      <c r="C10441" s="20" t="s">
        <v>251</v>
      </c>
      <c r="D10441" s="20" t="s">
        <v>4683</v>
      </c>
      <c r="E10441" s="21"/>
      <c r="F10441" s="22">
        <f>F10453</f>
        <v>49.93</v>
      </c>
      <c r="G10441" s="21"/>
    </row>
    <row r="10442" ht="30.0" customHeight="1">
      <c r="A10442" s="11"/>
      <c r="B10442" s="11"/>
      <c r="C10442" s="11"/>
      <c r="D10442" s="10" t="s">
        <v>4684</v>
      </c>
    </row>
    <row r="10443" ht="30.0" customHeight="1">
      <c r="A10443" s="10" t="s">
        <v>4685</v>
      </c>
      <c r="B10443" s="10" t="s">
        <v>42</v>
      </c>
      <c r="C10443" s="10" t="s">
        <v>304</v>
      </c>
      <c r="D10443" s="10" t="s">
        <v>4686</v>
      </c>
      <c r="E10443" s="14">
        <v>0.37</v>
      </c>
      <c r="F10443" s="15">
        <f>ROUND(61.39,3)</f>
        <v>61.39</v>
      </c>
      <c r="G10443" s="12">
        <f t="shared" ref="G10443:G10452" si="1574">ROUND(E10443*F10443,2)</f>
        <v>22.71</v>
      </c>
    </row>
    <row r="10444" ht="21.0" customHeight="1">
      <c r="A10444" s="10" t="s">
        <v>4687</v>
      </c>
      <c r="B10444" s="10" t="s">
        <v>42</v>
      </c>
      <c r="C10444" s="10" t="s">
        <v>304</v>
      </c>
      <c r="D10444" s="10" t="s">
        <v>4688</v>
      </c>
      <c r="E10444" s="14">
        <v>0.32</v>
      </c>
      <c r="F10444" s="15">
        <f>ROUND(4.96,3)</f>
        <v>4.96</v>
      </c>
      <c r="G10444" s="12">
        <f t="shared" si="1574"/>
        <v>1.59</v>
      </c>
    </row>
    <row r="10445" ht="21.0" customHeight="1">
      <c r="A10445" s="10" t="s">
        <v>4689</v>
      </c>
      <c r="B10445" s="10" t="s">
        <v>42</v>
      </c>
      <c r="C10445" s="10" t="s">
        <v>304</v>
      </c>
      <c r="D10445" s="10" t="s">
        <v>4690</v>
      </c>
      <c r="E10445" s="14">
        <v>0.2</v>
      </c>
      <c r="F10445" s="15">
        <f>ROUND(17.85,3)</f>
        <v>17.85</v>
      </c>
      <c r="G10445" s="12">
        <f t="shared" si="1574"/>
        <v>3.57</v>
      </c>
    </row>
    <row r="10446" ht="21.0" customHeight="1">
      <c r="A10446" s="10" t="s">
        <v>2585</v>
      </c>
      <c r="B10446" s="10" t="s">
        <v>42</v>
      </c>
      <c r="C10446" s="10" t="s">
        <v>304</v>
      </c>
      <c r="D10446" s="10" t="s">
        <v>2586</v>
      </c>
      <c r="E10446" s="14">
        <v>0.08</v>
      </c>
      <c r="F10446" s="15">
        <f>ROUND(8.5,3)</f>
        <v>8.5</v>
      </c>
      <c r="G10446" s="12">
        <f t="shared" si="1574"/>
        <v>0.68</v>
      </c>
    </row>
    <row r="10447" ht="48.75" customHeight="1">
      <c r="A10447" s="10" t="s">
        <v>4691</v>
      </c>
      <c r="B10447" s="10" t="s">
        <v>42</v>
      </c>
      <c r="C10447" s="10" t="s">
        <v>304</v>
      </c>
      <c r="D10447" s="10" t="s">
        <v>4692</v>
      </c>
      <c r="E10447" s="14">
        <v>0.05</v>
      </c>
      <c r="F10447" s="15">
        <f>ROUND(38.55,3)</f>
        <v>38.55</v>
      </c>
      <c r="G10447" s="12">
        <f t="shared" si="1574"/>
        <v>1.93</v>
      </c>
    </row>
    <row r="10448" ht="21.0" customHeight="1">
      <c r="A10448" s="10" t="s">
        <v>22</v>
      </c>
      <c r="B10448" s="10" t="s">
        <v>18</v>
      </c>
      <c r="C10448" s="10" t="s">
        <v>23</v>
      </c>
      <c r="D10448" s="10" t="s">
        <v>24</v>
      </c>
      <c r="E10448" s="14">
        <v>0.444</v>
      </c>
      <c r="F10448" s="15">
        <f>F10452</f>
        <v>43.8</v>
      </c>
      <c r="G10448" s="12">
        <f t="shared" si="1574"/>
        <v>19.45</v>
      </c>
    </row>
    <row r="10449" ht="24.0" customHeight="1">
      <c r="A10449" s="10" t="s">
        <v>25</v>
      </c>
      <c r="B10449" s="10" t="s">
        <v>26</v>
      </c>
      <c r="C10449" s="10" t="s">
        <v>23</v>
      </c>
      <c r="D10449" s="10" t="s">
        <v>27</v>
      </c>
      <c r="E10449" s="14">
        <v>1.0</v>
      </c>
      <c r="F10449" s="15">
        <f>ROUND(21,3)</f>
        <v>21</v>
      </c>
      <c r="G10449" s="12">
        <f t="shared" si="1574"/>
        <v>21</v>
      </c>
    </row>
    <row r="10450" ht="24.0" customHeight="1">
      <c r="A10450" s="10" t="s">
        <v>28</v>
      </c>
      <c r="B10450" s="10" t="s">
        <v>26</v>
      </c>
      <c r="C10450" s="10" t="s">
        <v>23</v>
      </c>
      <c r="D10450" s="10" t="s">
        <v>29</v>
      </c>
      <c r="E10450" s="14">
        <v>1.0</v>
      </c>
      <c r="F10450" s="15">
        <f t="shared" ref="F10450:F10451" si="1575">ROUND(19,3)</f>
        <v>19</v>
      </c>
      <c r="G10450" s="12">
        <f t="shared" si="1574"/>
        <v>19</v>
      </c>
    </row>
    <row r="10451" ht="24.0" customHeight="1">
      <c r="A10451" s="10" t="s">
        <v>30</v>
      </c>
      <c r="B10451" s="10" t="s">
        <v>26</v>
      </c>
      <c r="C10451" s="10" t="s">
        <v>23</v>
      </c>
      <c r="D10451" s="10" t="s">
        <v>31</v>
      </c>
      <c r="E10451" s="14">
        <v>0.2</v>
      </c>
      <c r="F10451" s="15">
        <f t="shared" si="1575"/>
        <v>19</v>
      </c>
      <c r="G10451" s="12">
        <f t="shared" si="1574"/>
        <v>3.8</v>
      </c>
    </row>
    <row r="10452" ht="15.0" customHeight="1">
      <c r="A10452" s="11"/>
      <c r="B10452" s="11"/>
      <c r="C10452" s="11"/>
      <c r="D10452" s="10" t="s">
        <v>22</v>
      </c>
      <c r="E10452" s="14">
        <v>0.444</v>
      </c>
      <c r="F10452" s="15">
        <f>ROUND((G10449+G10450+G10451),3)</f>
        <v>43.8</v>
      </c>
      <c r="G10452" s="12">
        <f t="shared" si="1574"/>
        <v>19.45</v>
      </c>
    </row>
    <row r="10453" ht="15.0" customHeight="1">
      <c r="A10453" s="16"/>
      <c r="B10453" s="16"/>
      <c r="C10453" s="16"/>
      <c r="D10453" s="17" t="s">
        <v>4682</v>
      </c>
      <c r="E10453" s="16"/>
      <c r="F10453" s="18">
        <f>ROUND((G10443+G10444+G10445+G10446+G10447+G10448)*(1+G2/100),2)</f>
        <v>49.93</v>
      </c>
      <c r="G10453" s="16"/>
    </row>
    <row r="10454" ht="30.0" customHeight="1">
      <c r="A10454" s="19" t="s">
        <v>4693</v>
      </c>
      <c r="B10454" s="20" t="s">
        <v>18</v>
      </c>
      <c r="C10454" s="20" t="s">
        <v>19</v>
      </c>
      <c r="D10454" s="20" t="s">
        <v>4694</v>
      </c>
      <c r="E10454" s="21"/>
      <c r="F10454" s="22">
        <f>F10465</f>
        <v>68.6</v>
      </c>
      <c r="G10454" s="21"/>
    </row>
    <row r="10455" ht="30.0" customHeight="1">
      <c r="A10455" s="11"/>
      <c r="B10455" s="11"/>
      <c r="C10455" s="11"/>
      <c r="D10455" s="10" t="s">
        <v>4695</v>
      </c>
    </row>
    <row r="10456" ht="57.75" customHeight="1">
      <c r="A10456" s="10" t="s">
        <v>4696</v>
      </c>
      <c r="B10456" s="10" t="s">
        <v>42</v>
      </c>
      <c r="C10456" s="10" t="s">
        <v>584</v>
      </c>
      <c r="D10456" s="10" t="s">
        <v>4697</v>
      </c>
      <c r="E10456" s="14">
        <v>0.055</v>
      </c>
      <c r="F10456" s="15">
        <f>ROUND(165.21,3)</f>
        <v>165.21</v>
      </c>
      <c r="G10456" s="12">
        <f t="shared" ref="G10456:G10463" si="1576">ROUND(E10456*F10456,2)</f>
        <v>9.09</v>
      </c>
    </row>
    <row r="10457" ht="57.75" customHeight="1">
      <c r="A10457" s="10" t="s">
        <v>4698</v>
      </c>
      <c r="B10457" s="10" t="s">
        <v>42</v>
      </c>
      <c r="C10457" s="10" t="s">
        <v>184</v>
      </c>
      <c r="D10457" s="10" t="s">
        <v>4699</v>
      </c>
      <c r="E10457" s="14">
        <v>0.7308</v>
      </c>
      <c r="F10457" s="15">
        <f>ROUND(16.25,3)</f>
        <v>16.25</v>
      </c>
      <c r="G10457" s="12">
        <f t="shared" si="1576"/>
        <v>11.88</v>
      </c>
    </row>
    <row r="10458" ht="48.75" customHeight="1">
      <c r="A10458" s="10" t="s">
        <v>4700</v>
      </c>
      <c r="B10458" s="10" t="s">
        <v>42</v>
      </c>
      <c r="C10458" s="10" t="s">
        <v>43</v>
      </c>
      <c r="D10458" s="10" t="s">
        <v>4701</v>
      </c>
      <c r="E10458" s="14">
        <v>0.068</v>
      </c>
      <c r="F10458" s="15">
        <f>ROUND(456.98,3)</f>
        <v>456.98</v>
      </c>
      <c r="G10458" s="12">
        <f t="shared" si="1576"/>
        <v>31.07</v>
      </c>
    </row>
    <row r="10459" ht="21.0" customHeight="1">
      <c r="A10459" s="10" t="s">
        <v>22</v>
      </c>
      <c r="B10459" s="10" t="s">
        <v>18</v>
      </c>
      <c r="C10459" s="10" t="s">
        <v>23</v>
      </c>
      <c r="D10459" s="10" t="s">
        <v>24</v>
      </c>
      <c r="E10459" s="14">
        <v>0.36</v>
      </c>
      <c r="F10459" s="15">
        <f>F10463</f>
        <v>43.8</v>
      </c>
      <c r="G10459" s="12">
        <f t="shared" si="1576"/>
        <v>15.77</v>
      </c>
    </row>
    <row r="10460" ht="24.0" customHeight="1">
      <c r="A10460" s="10" t="s">
        <v>25</v>
      </c>
      <c r="B10460" s="10" t="s">
        <v>26</v>
      </c>
      <c r="C10460" s="10" t="s">
        <v>23</v>
      </c>
      <c r="D10460" s="10" t="s">
        <v>27</v>
      </c>
      <c r="E10460" s="14">
        <v>1.0</v>
      </c>
      <c r="F10460" s="15">
        <f>ROUND(21,3)</f>
        <v>21</v>
      </c>
      <c r="G10460" s="12">
        <f t="shared" si="1576"/>
        <v>21</v>
      </c>
    </row>
    <row r="10461" ht="24.0" customHeight="1">
      <c r="A10461" s="10" t="s">
        <v>28</v>
      </c>
      <c r="B10461" s="10" t="s">
        <v>26</v>
      </c>
      <c r="C10461" s="10" t="s">
        <v>23</v>
      </c>
      <c r="D10461" s="10" t="s">
        <v>29</v>
      </c>
      <c r="E10461" s="14">
        <v>1.0</v>
      </c>
      <c r="F10461" s="15">
        <f t="shared" ref="F10461:F10462" si="1577">ROUND(19,3)</f>
        <v>19</v>
      </c>
      <c r="G10461" s="12">
        <f t="shared" si="1576"/>
        <v>19</v>
      </c>
    </row>
    <row r="10462" ht="24.0" customHeight="1">
      <c r="A10462" s="10" t="s">
        <v>30</v>
      </c>
      <c r="B10462" s="10" t="s">
        <v>26</v>
      </c>
      <c r="C10462" s="10" t="s">
        <v>23</v>
      </c>
      <c r="D10462" s="10" t="s">
        <v>31</v>
      </c>
      <c r="E10462" s="14">
        <v>0.2</v>
      </c>
      <c r="F10462" s="15">
        <f t="shared" si="1577"/>
        <v>19</v>
      </c>
      <c r="G10462" s="12">
        <f t="shared" si="1576"/>
        <v>3.8</v>
      </c>
    </row>
    <row r="10463" ht="15.0" customHeight="1">
      <c r="A10463" s="11"/>
      <c r="B10463" s="11"/>
      <c r="C10463" s="11"/>
      <c r="D10463" s="10" t="s">
        <v>22</v>
      </c>
      <c r="E10463" s="14">
        <v>0.36</v>
      </c>
      <c r="F10463" s="15">
        <f>ROUND((G10460+G10461+G10462),3)</f>
        <v>43.8</v>
      </c>
      <c r="G10463" s="12">
        <f t="shared" si="1576"/>
        <v>15.77</v>
      </c>
    </row>
    <row r="10464" ht="15.0" customHeight="1">
      <c r="A10464" s="10" t="s">
        <v>32</v>
      </c>
      <c r="B10464" s="10"/>
      <c r="C10464" s="10" t="s">
        <v>33</v>
      </c>
      <c r="D10464" s="10" t="s">
        <v>34</v>
      </c>
      <c r="E10464" s="14">
        <v>5.0</v>
      </c>
      <c r="F10464" s="15">
        <f>ROUND(15.77,3)</f>
        <v>15.77</v>
      </c>
      <c r="G10464" s="12">
        <f>ROUND((E10464*F10464)/100,2)</f>
        <v>0.79</v>
      </c>
    </row>
    <row r="10465" ht="15.0" customHeight="1">
      <c r="A10465" s="16"/>
      <c r="B10465" s="16"/>
      <c r="C10465" s="16"/>
      <c r="D10465" s="17" t="s">
        <v>4693</v>
      </c>
      <c r="E10465" s="16"/>
      <c r="F10465" s="18">
        <f>ROUND((G10456+G10457+G10458+G10459+G10464)*(1+G2/100),2)</f>
        <v>68.6</v>
      </c>
      <c r="G10465" s="16"/>
    </row>
    <row r="10466" ht="15.0" customHeight="1">
      <c r="A10466" s="23"/>
      <c r="B10466" s="23"/>
      <c r="C10466" s="23"/>
      <c r="D10466" s="36" t="s">
        <v>4099</v>
      </c>
      <c r="E10466" s="37"/>
      <c r="F10466" s="37"/>
      <c r="G10466" s="37"/>
    </row>
    <row r="10467" ht="15.0" customHeight="1">
      <c r="A10467" s="38" t="s">
        <v>4702</v>
      </c>
      <c r="B10467" s="38" t="s">
        <v>10</v>
      </c>
      <c r="C10467" s="39"/>
      <c r="D10467" s="38" t="s">
        <v>4703</v>
      </c>
      <c r="E10467" s="39"/>
      <c r="F10467" s="39"/>
      <c r="G10467" s="39"/>
    </row>
    <row r="10468" ht="15.0" customHeight="1">
      <c r="A10468" s="40" t="s">
        <v>4704</v>
      </c>
      <c r="B10468" s="40" t="s">
        <v>10</v>
      </c>
      <c r="C10468" s="41"/>
      <c r="D10468" s="40" t="s">
        <v>4705</v>
      </c>
      <c r="E10468" s="41"/>
      <c r="F10468" s="41"/>
      <c r="G10468" s="41"/>
    </row>
    <row r="10469" ht="30.0" customHeight="1">
      <c r="A10469" s="13" t="s">
        <v>4706</v>
      </c>
      <c r="B10469" s="10" t="s">
        <v>18</v>
      </c>
      <c r="C10469" s="10" t="s">
        <v>251</v>
      </c>
      <c r="D10469" s="10" t="s">
        <v>4707</v>
      </c>
      <c r="E10469" s="11"/>
      <c r="F10469" s="12">
        <f>F10482</f>
        <v>51.71</v>
      </c>
      <c r="G10469" s="11"/>
    </row>
    <row r="10470" ht="48.75" customHeight="1">
      <c r="A10470" s="11"/>
      <c r="B10470" s="11"/>
      <c r="C10470" s="11"/>
      <c r="D10470" s="10" t="s">
        <v>4708</v>
      </c>
    </row>
    <row r="10471" ht="21.0" customHeight="1">
      <c r="A10471" s="10" t="s">
        <v>3631</v>
      </c>
      <c r="B10471" s="10" t="s">
        <v>42</v>
      </c>
      <c r="C10471" s="10" t="s">
        <v>19</v>
      </c>
      <c r="D10471" s="10" t="s">
        <v>3632</v>
      </c>
      <c r="E10471" s="14">
        <v>1.05</v>
      </c>
      <c r="F10471" s="15">
        <f>ROUND(22.86,3)</f>
        <v>22.86</v>
      </c>
      <c r="G10471" s="12">
        <f t="shared" ref="G10471:G10480" si="1578">ROUND(E10471*F10471,2)</f>
        <v>24</v>
      </c>
    </row>
    <row r="10472" ht="48.75" customHeight="1">
      <c r="A10472" s="10" t="s">
        <v>2069</v>
      </c>
      <c r="B10472" s="10" t="s">
        <v>42</v>
      </c>
      <c r="C10472" s="10" t="s">
        <v>184</v>
      </c>
      <c r="D10472" s="10" t="s">
        <v>2070</v>
      </c>
      <c r="E10472" s="14">
        <v>0.45</v>
      </c>
      <c r="F10472" s="15">
        <f>ROUND(10.25,3)</f>
        <v>10.25</v>
      </c>
      <c r="G10472" s="12">
        <f t="shared" si="1578"/>
        <v>4.61</v>
      </c>
    </row>
    <row r="10473" ht="30.0" customHeight="1">
      <c r="A10473" s="10" t="s">
        <v>2053</v>
      </c>
      <c r="B10473" s="10" t="s">
        <v>42</v>
      </c>
      <c r="C10473" s="10" t="s">
        <v>184</v>
      </c>
      <c r="D10473" s="10" t="s">
        <v>2054</v>
      </c>
      <c r="E10473" s="14">
        <v>0.04</v>
      </c>
      <c r="F10473" s="15">
        <f>ROUND(11.74,3)</f>
        <v>11.74</v>
      </c>
      <c r="G10473" s="12">
        <f t="shared" si="1578"/>
        <v>0.47</v>
      </c>
    </row>
    <row r="10474" ht="39.75" customHeight="1">
      <c r="A10474" s="10" t="s">
        <v>3635</v>
      </c>
      <c r="B10474" s="10" t="s">
        <v>42</v>
      </c>
      <c r="C10474" s="10" t="s">
        <v>330</v>
      </c>
      <c r="D10474" s="10" t="s">
        <v>3636</v>
      </c>
      <c r="E10474" s="14">
        <v>0.05</v>
      </c>
      <c r="F10474" s="15">
        <f>ROUND(27.85,3)</f>
        <v>27.85</v>
      </c>
      <c r="G10474" s="12">
        <f t="shared" si="1578"/>
        <v>1.39</v>
      </c>
    </row>
    <row r="10475" ht="39.75" customHeight="1">
      <c r="A10475" s="10" t="s">
        <v>3637</v>
      </c>
      <c r="B10475" s="10" t="s">
        <v>42</v>
      </c>
      <c r="C10475" s="10" t="s">
        <v>330</v>
      </c>
      <c r="D10475" s="10" t="s">
        <v>3638</v>
      </c>
      <c r="E10475" s="14">
        <v>0.05</v>
      </c>
      <c r="F10475" s="15">
        <f>ROUND(18.8,3)</f>
        <v>18.8</v>
      </c>
      <c r="G10475" s="12">
        <f t="shared" si="1578"/>
        <v>0.94</v>
      </c>
    </row>
    <row r="10476" ht="21.0" customHeight="1">
      <c r="A10476" s="10" t="s">
        <v>22</v>
      </c>
      <c r="B10476" s="10" t="s">
        <v>18</v>
      </c>
      <c r="C10476" s="10" t="s">
        <v>23</v>
      </c>
      <c r="D10476" s="10" t="s">
        <v>24</v>
      </c>
      <c r="E10476" s="14">
        <v>0.45</v>
      </c>
      <c r="F10476" s="15">
        <f>F10480</f>
        <v>43.8</v>
      </c>
      <c r="G10476" s="12">
        <f t="shared" si="1578"/>
        <v>19.71</v>
      </c>
    </row>
    <row r="10477" ht="24.0" customHeight="1">
      <c r="A10477" s="10" t="s">
        <v>25</v>
      </c>
      <c r="B10477" s="10" t="s">
        <v>26</v>
      </c>
      <c r="C10477" s="10" t="s">
        <v>23</v>
      </c>
      <c r="D10477" s="10" t="s">
        <v>27</v>
      </c>
      <c r="E10477" s="14">
        <v>1.0</v>
      </c>
      <c r="F10477" s="15">
        <f>ROUND(21,3)</f>
        <v>21</v>
      </c>
      <c r="G10477" s="12">
        <f t="shared" si="1578"/>
        <v>21</v>
      </c>
    </row>
    <row r="10478" ht="24.0" customHeight="1">
      <c r="A10478" s="10" t="s">
        <v>28</v>
      </c>
      <c r="B10478" s="10" t="s">
        <v>26</v>
      </c>
      <c r="C10478" s="10" t="s">
        <v>23</v>
      </c>
      <c r="D10478" s="10" t="s">
        <v>29</v>
      </c>
      <c r="E10478" s="14">
        <v>1.0</v>
      </c>
      <c r="F10478" s="15">
        <f t="shared" ref="F10478:F10479" si="1579">ROUND(19,3)</f>
        <v>19</v>
      </c>
      <c r="G10478" s="12">
        <f t="shared" si="1578"/>
        <v>19</v>
      </c>
    </row>
    <row r="10479" ht="24.0" customHeight="1">
      <c r="A10479" s="10" t="s">
        <v>30</v>
      </c>
      <c r="B10479" s="10" t="s">
        <v>26</v>
      </c>
      <c r="C10479" s="10" t="s">
        <v>23</v>
      </c>
      <c r="D10479" s="10" t="s">
        <v>31</v>
      </c>
      <c r="E10479" s="14">
        <v>0.2</v>
      </c>
      <c r="F10479" s="15">
        <f t="shared" si="1579"/>
        <v>19</v>
      </c>
      <c r="G10479" s="12">
        <f t="shared" si="1578"/>
        <v>3.8</v>
      </c>
    </row>
    <row r="10480" ht="15.0" customHeight="1">
      <c r="A10480" s="11"/>
      <c r="B10480" s="11"/>
      <c r="C10480" s="11"/>
      <c r="D10480" s="10" t="s">
        <v>22</v>
      </c>
      <c r="E10480" s="14">
        <v>0.45</v>
      </c>
      <c r="F10480" s="15">
        <f>ROUND((G10477+G10478+G10479),3)</f>
        <v>43.8</v>
      </c>
      <c r="G10480" s="12">
        <f t="shared" si="1578"/>
        <v>19.71</v>
      </c>
    </row>
    <row r="10481" ht="15.0" customHeight="1">
      <c r="A10481" s="10" t="s">
        <v>32</v>
      </c>
      <c r="B10481" s="10"/>
      <c r="C10481" s="10" t="s">
        <v>33</v>
      </c>
      <c r="D10481" s="10" t="s">
        <v>34</v>
      </c>
      <c r="E10481" s="14">
        <v>3.0</v>
      </c>
      <c r="F10481" s="15">
        <f>ROUND(19.71,3)</f>
        <v>19.71</v>
      </c>
      <c r="G10481" s="12">
        <f>ROUND((E10481*F10481)/100,2)</f>
        <v>0.59</v>
      </c>
    </row>
    <row r="10482" ht="15.0" customHeight="1">
      <c r="A10482" s="16"/>
      <c r="B10482" s="16"/>
      <c r="C10482" s="16"/>
      <c r="D10482" s="17" t="s">
        <v>4706</v>
      </c>
      <c r="E10482" s="16"/>
      <c r="F10482" s="18">
        <f>ROUND((G10471+G10472+G10473+G10474+G10475+G10476+G10481)*(1+G2/100),2)</f>
        <v>51.71</v>
      </c>
      <c r="G10482" s="16"/>
    </row>
    <row r="10483" ht="30.0" customHeight="1">
      <c r="A10483" s="19" t="s">
        <v>4709</v>
      </c>
      <c r="B10483" s="20" t="s">
        <v>18</v>
      </c>
      <c r="C10483" s="20" t="s">
        <v>251</v>
      </c>
      <c r="D10483" s="20" t="s">
        <v>4710</v>
      </c>
      <c r="E10483" s="21"/>
      <c r="F10483" s="22">
        <f>F10496</f>
        <v>55.71</v>
      </c>
      <c r="G10483" s="21"/>
    </row>
    <row r="10484" ht="48.75" customHeight="1">
      <c r="A10484" s="11"/>
      <c r="B10484" s="11"/>
      <c r="C10484" s="11"/>
      <c r="D10484" s="10" t="s">
        <v>4711</v>
      </c>
    </row>
    <row r="10485" ht="21.0" customHeight="1">
      <c r="A10485" s="10" t="s">
        <v>4712</v>
      </c>
      <c r="B10485" s="10" t="s">
        <v>42</v>
      </c>
      <c r="C10485" s="10" t="s">
        <v>251</v>
      </c>
      <c r="D10485" s="10" t="s">
        <v>4713</v>
      </c>
      <c r="E10485" s="14">
        <v>1.05</v>
      </c>
      <c r="F10485" s="15">
        <f>ROUND(26.67,3)</f>
        <v>26.67</v>
      </c>
      <c r="G10485" s="12">
        <f t="shared" ref="G10485:G10494" si="1580">ROUND(E10485*F10485,2)</f>
        <v>28</v>
      </c>
    </row>
    <row r="10486" ht="48.75" customHeight="1">
      <c r="A10486" s="10" t="s">
        <v>2069</v>
      </c>
      <c r="B10486" s="10" t="s">
        <v>42</v>
      </c>
      <c r="C10486" s="10" t="s">
        <v>184</v>
      </c>
      <c r="D10486" s="10" t="s">
        <v>2070</v>
      </c>
      <c r="E10486" s="14">
        <v>0.45</v>
      </c>
      <c r="F10486" s="15">
        <f>ROUND(10.25,3)</f>
        <v>10.25</v>
      </c>
      <c r="G10486" s="12">
        <f t="shared" si="1580"/>
        <v>4.61</v>
      </c>
    </row>
    <row r="10487" ht="30.0" customHeight="1">
      <c r="A10487" s="10" t="s">
        <v>2053</v>
      </c>
      <c r="B10487" s="10" t="s">
        <v>42</v>
      </c>
      <c r="C10487" s="10" t="s">
        <v>184</v>
      </c>
      <c r="D10487" s="10" t="s">
        <v>2054</v>
      </c>
      <c r="E10487" s="14">
        <v>0.04</v>
      </c>
      <c r="F10487" s="15">
        <f>ROUND(11.74,3)</f>
        <v>11.74</v>
      </c>
      <c r="G10487" s="12">
        <f t="shared" si="1580"/>
        <v>0.47</v>
      </c>
    </row>
    <row r="10488" ht="39.75" customHeight="1">
      <c r="A10488" s="10" t="s">
        <v>3635</v>
      </c>
      <c r="B10488" s="10" t="s">
        <v>42</v>
      </c>
      <c r="C10488" s="10" t="s">
        <v>330</v>
      </c>
      <c r="D10488" s="10" t="s">
        <v>3636</v>
      </c>
      <c r="E10488" s="14">
        <v>0.05</v>
      </c>
      <c r="F10488" s="15">
        <f>ROUND(27.85,3)</f>
        <v>27.85</v>
      </c>
      <c r="G10488" s="12">
        <f t="shared" si="1580"/>
        <v>1.39</v>
      </c>
    </row>
    <row r="10489" ht="39.75" customHeight="1">
      <c r="A10489" s="10" t="s">
        <v>3637</v>
      </c>
      <c r="B10489" s="10" t="s">
        <v>42</v>
      </c>
      <c r="C10489" s="10" t="s">
        <v>330</v>
      </c>
      <c r="D10489" s="10" t="s">
        <v>3638</v>
      </c>
      <c r="E10489" s="14">
        <v>0.05</v>
      </c>
      <c r="F10489" s="15">
        <f>ROUND(18.8,3)</f>
        <v>18.8</v>
      </c>
      <c r="G10489" s="12">
        <f t="shared" si="1580"/>
        <v>0.94</v>
      </c>
    </row>
    <row r="10490" ht="21.0" customHeight="1">
      <c r="A10490" s="10" t="s">
        <v>22</v>
      </c>
      <c r="B10490" s="10" t="s">
        <v>18</v>
      </c>
      <c r="C10490" s="10" t="s">
        <v>23</v>
      </c>
      <c r="D10490" s="10" t="s">
        <v>24</v>
      </c>
      <c r="E10490" s="14">
        <v>0.45</v>
      </c>
      <c r="F10490" s="15">
        <f>F10494</f>
        <v>43.8</v>
      </c>
      <c r="G10490" s="12">
        <f t="shared" si="1580"/>
        <v>19.71</v>
      </c>
    </row>
    <row r="10491" ht="24.0" customHeight="1">
      <c r="A10491" s="10" t="s">
        <v>25</v>
      </c>
      <c r="B10491" s="10" t="s">
        <v>26</v>
      </c>
      <c r="C10491" s="10" t="s">
        <v>23</v>
      </c>
      <c r="D10491" s="10" t="s">
        <v>27</v>
      </c>
      <c r="E10491" s="14">
        <v>1.0</v>
      </c>
      <c r="F10491" s="15">
        <f>ROUND(21,3)</f>
        <v>21</v>
      </c>
      <c r="G10491" s="12">
        <f t="shared" si="1580"/>
        <v>21</v>
      </c>
    </row>
    <row r="10492" ht="24.0" customHeight="1">
      <c r="A10492" s="10" t="s">
        <v>28</v>
      </c>
      <c r="B10492" s="10" t="s">
        <v>26</v>
      </c>
      <c r="C10492" s="10" t="s">
        <v>23</v>
      </c>
      <c r="D10492" s="10" t="s">
        <v>29</v>
      </c>
      <c r="E10492" s="14">
        <v>1.0</v>
      </c>
      <c r="F10492" s="15">
        <f t="shared" ref="F10492:F10493" si="1581">ROUND(19,3)</f>
        <v>19</v>
      </c>
      <c r="G10492" s="12">
        <f t="shared" si="1580"/>
        <v>19</v>
      </c>
    </row>
    <row r="10493" ht="24.0" customHeight="1">
      <c r="A10493" s="10" t="s">
        <v>30</v>
      </c>
      <c r="B10493" s="10" t="s">
        <v>26</v>
      </c>
      <c r="C10493" s="10" t="s">
        <v>23</v>
      </c>
      <c r="D10493" s="10" t="s">
        <v>31</v>
      </c>
      <c r="E10493" s="14">
        <v>0.2</v>
      </c>
      <c r="F10493" s="15">
        <f t="shared" si="1581"/>
        <v>19</v>
      </c>
      <c r="G10493" s="12">
        <f t="shared" si="1580"/>
        <v>3.8</v>
      </c>
    </row>
    <row r="10494" ht="15.0" customHeight="1">
      <c r="A10494" s="11"/>
      <c r="B10494" s="11"/>
      <c r="C10494" s="11"/>
      <c r="D10494" s="10" t="s">
        <v>22</v>
      </c>
      <c r="E10494" s="14">
        <v>0.45</v>
      </c>
      <c r="F10494" s="15">
        <f>ROUND((G10491+G10492+G10493),3)</f>
        <v>43.8</v>
      </c>
      <c r="G10494" s="12">
        <f t="shared" si="1580"/>
        <v>19.71</v>
      </c>
    </row>
    <row r="10495" ht="15.0" customHeight="1">
      <c r="A10495" s="10" t="s">
        <v>32</v>
      </c>
      <c r="B10495" s="10"/>
      <c r="C10495" s="10" t="s">
        <v>33</v>
      </c>
      <c r="D10495" s="10" t="s">
        <v>34</v>
      </c>
      <c r="E10495" s="14">
        <v>3.0</v>
      </c>
      <c r="F10495" s="15">
        <f>ROUND(19.71,3)</f>
        <v>19.71</v>
      </c>
      <c r="G10495" s="12">
        <f>ROUND((E10495*F10495)/100,2)</f>
        <v>0.59</v>
      </c>
    </row>
    <row r="10496" ht="15.0" customHeight="1">
      <c r="A10496" s="16"/>
      <c r="B10496" s="16"/>
      <c r="C10496" s="16"/>
      <c r="D10496" s="17" t="s">
        <v>4709</v>
      </c>
      <c r="E10496" s="16"/>
      <c r="F10496" s="18">
        <f>ROUND((G10485+G10486+G10487+G10488+G10489+G10490+G10495)*(1+G2/100),2)</f>
        <v>55.71</v>
      </c>
      <c r="G10496" s="16"/>
    </row>
    <row r="10497" ht="21.0" customHeight="1">
      <c r="A10497" s="19" t="s">
        <v>4714</v>
      </c>
      <c r="B10497" s="20" t="s">
        <v>18</v>
      </c>
      <c r="C10497" s="20" t="s">
        <v>321</v>
      </c>
      <c r="D10497" s="20" t="s">
        <v>4715</v>
      </c>
      <c r="E10497" s="21"/>
      <c r="F10497" s="22">
        <f>F10508</f>
        <v>13.97</v>
      </c>
      <c r="G10497" s="21"/>
    </row>
    <row r="10498" ht="39.75" customHeight="1">
      <c r="A10498" s="11"/>
      <c r="B10498" s="11"/>
      <c r="C10498" s="11"/>
      <c r="D10498" s="10" t="s">
        <v>4716</v>
      </c>
    </row>
    <row r="10499" ht="15.0" customHeight="1">
      <c r="A10499" s="10" t="s">
        <v>4717</v>
      </c>
      <c r="B10499" s="10" t="s">
        <v>42</v>
      </c>
      <c r="C10499" s="10" t="s">
        <v>295</v>
      </c>
      <c r="D10499" s="10" t="s">
        <v>4718</v>
      </c>
      <c r="E10499" s="14">
        <v>3.0</v>
      </c>
      <c r="F10499" s="15">
        <f>ROUND(2.29,3)</f>
        <v>2.29</v>
      </c>
      <c r="G10499" s="12">
        <f t="shared" ref="G10499:G10506" si="1582">ROUND(E10499*F10499,2)</f>
        <v>6.87</v>
      </c>
    </row>
    <row r="10500" ht="48.75" customHeight="1">
      <c r="A10500" s="10" t="s">
        <v>2069</v>
      </c>
      <c r="B10500" s="10" t="s">
        <v>42</v>
      </c>
      <c r="C10500" s="10" t="s">
        <v>184</v>
      </c>
      <c r="D10500" s="10" t="s">
        <v>2070</v>
      </c>
      <c r="E10500" s="14">
        <v>0.01</v>
      </c>
      <c r="F10500" s="15">
        <f>ROUND(10.25,3)</f>
        <v>10.25</v>
      </c>
      <c r="G10500" s="12">
        <f t="shared" si="1582"/>
        <v>0.1</v>
      </c>
    </row>
    <row r="10501" ht="30.0" customHeight="1">
      <c r="A10501" s="10" t="s">
        <v>2053</v>
      </c>
      <c r="B10501" s="10" t="s">
        <v>42</v>
      </c>
      <c r="C10501" s="10" t="s">
        <v>184</v>
      </c>
      <c r="D10501" s="10" t="s">
        <v>2054</v>
      </c>
      <c r="E10501" s="14">
        <v>0.02</v>
      </c>
      <c r="F10501" s="15">
        <f>ROUND(11.74,3)</f>
        <v>11.74</v>
      </c>
      <c r="G10501" s="12">
        <f t="shared" si="1582"/>
        <v>0.23</v>
      </c>
    </row>
    <row r="10502" ht="21.0" customHeight="1">
      <c r="A10502" s="10" t="s">
        <v>22</v>
      </c>
      <c r="B10502" s="10" t="s">
        <v>18</v>
      </c>
      <c r="C10502" s="10" t="s">
        <v>23</v>
      </c>
      <c r="D10502" s="10" t="s">
        <v>24</v>
      </c>
      <c r="E10502" s="14">
        <v>0.15</v>
      </c>
      <c r="F10502" s="15">
        <f>F10506</f>
        <v>43.8</v>
      </c>
      <c r="G10502" s="12">
        <f t="shared" si="1582"/>
        <v>6.57</v>
      </c>
    </row>
    <row r="10503" ht="24.0" customHeight="1">
      <c r="A10503" s="10" t="s">
        <v>25</v>
      </c>
      <c r="B10503" s="10" t="s">
        <v>26</v>
      </c>
      <c r="C10503" s="10" t="s">
        <v>23</v>
      </c>
      <c r="D10503" s="10" t="s">
        <v>27</v>
      </c>
      <c r="E10503" s="14">
        <v>1.0</v>
      </c>
      <c r="F10503" s="15">
        <f>ROUND(21,3)</f>
        <v>21</v>
      </c>
      <c r="G10503" s="12">
        <f t="shared" si="1582"/>
        <v>21</v>
      </c>
    </row>
    <row r="10504" ht="24.0" customHeight="1">
      <c r="A10504" s="10" t="s">
        <v>28</v>
      </c>
      <c r="B10504" s="10" t="s">
        <v>26</v>
      </c>
      <c r="C10504" s="10" t="s">
        <v>23</v>
      </c>
      <c r="D10504" s="10" t="s">
        <v>29</v>
      </c>
      <c r="E10504" s="14">
        <v>1.0</v>
      </c>
      <c r="F10504" s="15">
        <f t="shared" ref="F10504:F10505" si="1583">ROUND(19,3)</f>
        <v>19</v>
      </c>
      <c r="G10504" s="12">
        <f t="shared" si="1582"/>
        <v>19</v>
      </c>
    </row>
    <row r="10505" ht="24.0" customHeight="1">
      <c r="A10505" s="10" t="s">
        <v>30</v>
      </c>
      <c r="B10505" s="10" t="s">
        <v>26</v>
      </c>
      <c r="C10505" s="10" t="s">
        <v>23</v>
      </c>
      <c r="D10505" s="10" t="s">
        <v>31</v>
      </c>
      <c r="E10505" s="14">
        <v>0.2</v>
      </c>
      <c r="F10505" s="15">
        <f t="shared" si="1583"/>
        <v>19</v>
      </c>
      <c r="G10505" s="12">
        <f t="shared" si="1582"/>
        <v>3.8</v>
      </c>
    </row>
    <row r="10506" ht="15.0" customHeight="1">
      <c r="A10506" s="11"/>
      <c r="B10506" s="11"/>
      <c r="C10506" s="11"/>
      <c r="D10506" s="10" t="s">
        <v>22</v>
      </c>
      <c r="E10506" s="14">
        <v>0.15</v>
      </c>
      <c r="F10506" s="15">
        <f>ROUND((G10503+G10504+G10505),3)</f>
        <v>43.8</v>
      </c>
      <c r="G10506" s="12">
        <f t="shared" si="1582"/>
        <v>6.57</v>
      </c>
    </row>
    <row r="10507" ht="15.0" customHeight="1">
      <c r="A10507" s="10" t="s">
        <v>32</v>
      </c>
      <c r="B10507" s="10"/>
      <c r="C10507" s="10" t="s">
        <v>33</v>
      </c>
      <c r="D10507" s="10" t="s">
        <v>34</v>
      </c>
      <c r="E10507" s="14">
        <v>3.0</v>
      </c>
      <c r="F10507" s="15">
        <f>ROUND(6.57,3)</f>
        <v>6.57</v>
      </c>
      <c r="G10507" s="12">
        <f>ROUND((E10507*F10507)/100,2)</f>
        <v>0.2</v>
      </c>
    </row>
    <row r="10508" ht="15.0" customHeight="1">
      <c r="A10508" s="16"/>
      <c r="B10508" s="16"/>
      <c r="C10508" s="16"/>
      <c r="D10508" s="17" t="s">
        <v>4714</v>
      </c>
      <c r="E10508" s="16"/>
      <c r="F10508" s="18">
        <f>ROUND((G10499+G10500+G10501+G10502+G10507)*(1+G2/100),2)</f>
        <v>13.97</v>
      </c>
      <c r="G10508" s="16"/>
    </row>
    <row r="10509" ht="21.0" customHeight="1">
      <c r="A10509" s="19" t="s">
        <v>4719</v>
      </c>
      <c r="B10509" s="20" t="s">
        <v>18</v>
      </c>
      <c r="C10509" s="20" t="s">
        <v>321</v>
      </c>
      <c r="D10509" s="20" t="s">
        <v>4720</v>
      </c>
      <c r="E10509" s="21"/>
      <c r="F10509" s="22">
        <f>F10522</f>
        <v>33.09</v>
      </c>
      <c r="G10509" s="21"/>
    </row>
    <row r="10510" ht="12.0" customHeight="1">
      <c r="A10510" s="11"/>
      <c r="B10510" s="11"/>
      <c r="C10510" s="11"/>
      <c r="D10510" s="10" t="s">
        <v>2447</v>
      </c>
    </row>
    <row r="10511" ht="21.0" customHeight="1">
      <c r="A10511" s="10" t="s">
        <v>4721</v>
      </c>
      <c r="B10511" s="10" t="s">
        <v>42</v>
      </c>
      <c r="C10511" s="10" t="s">
        <v>304</v>
      </c>
      <c r="D10511" s="10" t="s">
        <v>4722</v>
      </c>
      <c r="E10511" s="14">
        <v>3.33</v>
      </c>
      <c r="F10511" s="15">
        <f>ROUND(7.15,3)</f>
        <v>7.15</v>
      </c>
      <c r="G10511" s="12">
        <f t="shared" ref="G10511:G10520" si="1584">ROUND(E10511*F10511,2)</f>
        <v>23.81</v>
      </c>
    </row>
    <row r="10512" ht="48.75" customHeight="1">
      <c r="A10512" s="10" t="s">
        <v>2069</v>
      </c>
      <c r="B10512" s="10" t="s">
        <v>42</v>
      </c>
      <c r="C10512" s="10" t="s">
        <v>184</v>
      </c>
      <c r="D10512" s="10" t="s">
        <v>2070</v>
      </c>
      <c r="E10512" s="14">
        <v>0.15</v>
      </c>
      <c r="F10512" s="15">
        <f>ROUND(10.25,3)</f>
        <v>10.25</v>
      </c>
      <c r="G10512" s="12">
        <f t="shared" si="1584"/>
        <v>1.54</v>
      </c>
    </row>
    <row r="10513" ht="30.0" customHeight="1">
      <c r="A10513" s="10" t="s">
        <v>2053</v>
      </c>
      <c r="B10513" s="10" t="s">
        <v>42</v>
      </c>
      <c r="C10513" s="10" t="s">
        <v>184</v>
      </c>
      <c r="D10513" s="10" t="s">
        <v>2054</v>
      </c>
      <c r="E10513" s="14">
        <v>0.015</v>
      </c>
      <c r="F10513" s="15">
        <f>ROUND(11.74,3)</f>
        <v>11.74</v>
      </c>
      <c r="G10513" s="12">
        <f t="shared" si="1584"/>
        <v>0.18</v>
      </c>
    </row>
    <row r="10514" ht="39.75" customHeight="1">
      <c r="A10514" s="10" t="s">
        <v>3635</v>
      </c>
      <c r="B10514" s="10" t="s">
        <v>42</v>
      </c>
      <c r="C10514" s="10" t="s">
        <v>330</v>
      </c>
      <c r="D10514" s="10" t="s">
        <v>3636</v>
      </c>
      <c r="E10514" s="14">
        <v>0.017</v>
      </c>
      <c r="F10514" s="15">
        <f>ROUND(27.85,3)</f>
        <v>27.85</v>
      </c>
      <c r="G10514" s="12">
        <f t="shared" si="1584"/>
        <v>0.47</v>
      </c>
    </row>
    <row r="10515" ht="39.75" customHeight="1">
      <c r="A10515" s="10" t="s">
        <v>3637</v>
      </c>
      <c r="B10515" s="10" t="s">
        <v>42</v>
      </c>
      <c r="C10515" s="10" t="s">
        <v>330</v>
      </c>
      <c r="D10515" s="10" t="s">
        <v>3638</v>
      </c>
      <c r="E10515" s="14">
        <v>0.017</v>
      </c>
      <c r="F10515" s="15">
        <f>ROUND(18.8,3)</f>
        <v>18.8</v>
      </c>
      <c r="G10515" s="12">
        <f t="shared" si="1584"/>
        <v>0.32</v>
      </c>
    </row>
    <row r="10516" ht="21.0" customHeight="1">
      <c r="A10516" s="10" t="s">
        <v>22</v>
      </c>
      <c r="B10516" s="10" t="s">
        <v>18</v>
      </c>
      <c r="C10516" s="10" t="s">
        <v>23</v>
      </c>
      <c r="D10516" s="10" t="s">
        <v>24</v>
      </c>
      <c r="E10516" s="14">
        <v>0.15</v>
      </c>
      <c r="F10516" s="15">
        <f>F10520</f>
        <v>43.8</v>
      </c>
      <c r="G10516" s="12">
        <f t="shared" si="1584"/>
        <v>6.57</v>
      </c>
    </row>
    <row r="10517" ht="24.0" customHeight="1">
      <c r="A10517" s="10" t="s">
        <v>25</v>
      </c>
      <c r="B10517" s="10" t="s">
        <v>26</v>
      </c>
      <c r="C10517" s="10" t="s">
        <v>23</v>
      </c>
      <c r="D10517" s="10" t="s">
        <v>27</v>
      </c>
      <c r="E10517" s="14">
        <v>1.0</v>
      </c>
      <c r="F10517" s="15">
        <f>ROUND(21,3)</f>
        <v>21</v>
      </c>
      <c r="G10517" s="12">
        <f t="shared" si="1584"/>
        <v>21</v>
      </c>
    </row>
    <row r="10518" ht="24.0" customHeight="1">
      <c r="A10518" s="10" t="s">
        <v>28</v>
      </c>
      <c r="B10518" s="10" t="s">
        <v>26</v>
      </c>
      <c r="C10518" s="10" t="s">
        <v>23</v>
      </c>
      <c r="D10518" s="10" t="s">
        <v>29</v>
      </c>
      <c r="E10518" s="14">
        <v>1.0</v>
      </c>
      <c r="F10518" s="15">
        <f t="shared" ref="F10518:F10519" si="1585">ROUND(19,3)</f>
        <v>19</v>
      </c>
      <c r="G10518" s="12">
        <f t="shared" si="1584"/>
        <v>19</v>
      </c>
    </row>
    <row r="10519" ht="24.0" customHeight="1">
      <c r="A10519" s="10" t="s">
        <v>30</v>
      </c>
      <c r="B10519" s="10" t="s">
        <v>26</v>
      </c>
      <c r="C10519" s="10" t="s">
        <v>23</v>
      </c>
      <c r="D10519" s="10" t="s">
        <v>31</v>
      </c>
      <c r="E10519" s="14">
        <v>0.2</v>
      </c>
      <c r="F10519" s="15">
        <f t="shared" si="1585"/>
        <v>19</v>
      </c>
      <c r="G10519" s="12">
        <f t="shared" si="1584"/>
        <v>3.8</v>
      </c>
    </row>
    <row r="10520" ht="15.0" customHeight="1">
      <c r="A10520" s="11"/>
      <c r="B10520" s="11"/>
      <c r="C10520" s="11"/>
      <c r="D10520" s="10" t="s">
        <v>22</v>
      </c>
      <c r="E10520" s="14">
        <v>0.15</v>
      </c>
      <c r="F10520" s="15">
        <f>ROUND((G10517+G10518+G10519),3)</f>
        <v>43.8</v>
      </c>
      <c r="G10520" s="12">
        <f t="shared" si="1584"/>
        <v>6.57</v>
      </c>
    </row>
    <row r="10521" ht="15.0" customHeight="1">
      <c r="A10521" s="10" t="s">
        <v>32</v>
      </c>
      <c r="B10521" s="10"/>
      <c r="C10521" s="10" t="s">
        <v>33</v>
      </c>
      <c r="D10521" s="10" t="s">
        <v>34</v>
      </c>
      <c r="E10521" s="14">
        <v>3.0</v>
      </c>
      <c r="F10521" s="15">
        <f>ROUND(6.57,3)</f>
        <v>6.57</v>
      </c>
      <c r="G10521" s="12">
        <f>ROUND((E10521*F10521)/100,2)</f>
        <v>0.2</v>
      </c>
    </row>
    <row r="10522" ht="15.0" customHeight="1">
      <c r="A10522" s="16"/>
      <c r="B10522" s="16"/>
      <c r="C10522" s="16"/>
      <c r="D10522" s="17" t="s">
        <v>4719</v>
      </c>
      <c r="E10522" s="16"/>
      <c r="F10522" s="18">
        <f>ROUND((G10511+G10512+G10513+G10514+G10515+G10516+G10521)*(1+G2/100),2)</f>
        <v>33.09</v>
      </c>
      <c r="G10522" s="16"/>
    </row>
    <row r="10523" ht="24.75" customHeight="1">
      <c r="A10523" s="19" t="s">
        <v>4723</v>
      </c>
      <c r="B10523" s="20" t="s">
        <v>18</v>
      </c>
      <c r="C10523" s="20" t="s">
        <v>19</v>
      </c>
      <c r="D10523" s="20" t="s">
        <v>4724</v>
      </c>
      <c r="E10523" s="21"/>
      <c r="F10523" s="22">
        <f>F10533</f>
        <v>18.4</v>
      </c>
      <c r="G10523" s="21"/>
    </row>
    <row r="10524" ht="12.0" customHeight="1">
      <c r="A10524" s="11"/>
      <c r="B10524" s="11"/>
      <c r="C10524" s="11"/>
      <c r="D10524" s="10" t="s">
        <v>4725</v>
      </c>
    </row>
    <row r="10525" ht="30.0" customHeight="1">
      <c r="A10525" s="10" t="s">
        <v>1964</v>
      </c>
      <c r="B10525" s="10" t="s">
        <v>42</v>
      </c>
      <c r="C10525" s="10" t="s">
        <v>184</v>
      </c>
      <c r="D10525" s="10" t="s">
        <v>1965</v>
      </c>
      <c r="E10525" s="14">
        <v>0.0</v>
      </c>
      <c r="F10525" s="15">
        <f>ROUND(10.67,3)</f>
        <v>10.67</v>
      </c>
      <c r="G10525" s="12">
        <f t="shared" ref="G10525:G10531" si="1586">ROUND(E10525*F10525,2)</f>
        <v>0</v>
      </c>
    </row>
    <row r="10526" ht="30.0" customHeight="1">
      <c r="A10526" s="10" t="s">
        <v>1921</v>
      </c>
      <c r="B10526" s="10" t="s">
        <v>42</v>
      </c>
      <c r="C10526" s="10" t="s">
        <v>184</v>
      </c>
      <c r="D10526" s="10" t="s">
        <v>1922</v>
      </c>
      <c r="E10526" s="14">
        <v>0.0</v>
      </c>
      <c r="F10526" s="15">
        <f>ROUND(6.72,3)</f>
        <v>6.72</v>
      </c>
      <c r="G10526" s="12">
        <f t="shared" si="1586"/>
        <v>0</v>
      </c>
    </row>
    <row r="10527" ht="21.0" customHeight="1">
      <c r="A10527" s="10" t="s">
        <v>22</v>
      </c>
      <c r="B10527" s="10" t="s">
        <v>18</v>
      </c>
      <c r="C10527" s="10" t="s">
        <v>23</v>
      </c>
      <c r="D10527" s="10" t="s">
        <v>24</v>
      </c>
      <c r="E10527" s="14">
        <v>0.4</v>
      </c>
      <c r="F10527" s="15">
        <f>F10531</f>
        <v>43.8</v>
      </c>
      <c r="G10527" s="12">
        <f t="shared" si="1586"/>
        <v>17.52</v>
      </c>
    </row>
    <row r="10528" ht="24.0" customHeight="1">
      <c r="A10528" s="10" t="s">
        <v>25</v>
      </c>
      <c r="B10528" s="10" t="s">
        <v>26</v>
      </c>
      <c r="C10528" s="10" t="s">
        <v>23</v>
      </c>
      <c r="D10528" s="10" t="s">
        <v>27</v>
      </c>
      <c r="E10528" s="14">
        <v>1.0</v>
      </c>
      <c r="F10528" s="15">
        <f>ROUND(21,3)</f>
        <v>21</v>
      </c>
      <c r="G10528" s="12">
        <f t="shared" si="1586"/>
        <v>21</v>
      </c>
    </row>
    <row r="10529" ht="24.0" customHeight="1">
      <c r="A10529" s="10" t="s">
        <v>28</v>
      </c>
      <c r="B10529" s="10" t="s">
        <v>26</v>
      </c>
      <c r="C10529" s="10" t="s">
        <v>23</v>
      </c>
      <c r="D10529" s="10" t="s">
        <v>29</v>
      </c>
      <c r="E10529" s="14">
        <v>1.0</v>
      </c>
      <c r="F10529" s="15">
        <f t="shared" ref="F10529:F10530" si="1587">ROUND(19,3)</f>
        <v>19</v>
      </c>
      <c r="G10529" s="12">
        <f t="shared" si="1586"/>
        <v>19</v>
      </c>
    </row>
    <row r="10530" ht="24.0" customHeight="1">
      <c r="A10530" s="10" t="s">
        <v>30</v>
      </c>
      <c r="B10530" s="10" t="s">
        <v>26</v>
      </c>
      <c r="C10530" s="10" t="s">
        <v>23</v>
      </c>
      <c r="D10530" s="10" t="s">
        <v>31</v>
      </c>
      <c r="E10530" s="14">
        <v>0.2</v>
      </c>
      <c r="F10530" s="15">
        <f t="shared" si="1587"/>
        <v>19</v>
      </c>
      <c r="G10530" s="12">
        <f t="shared" si="1586"/>
        <v>3.8</v>
      </c>
    </row>
    <row r="10531" ht="15.0" customHeight="1">
      <c r="A10531" s="11"/>
      <c r="B10531" s="11"/>
      <c r="C10531" s="11"/>
      <c r="D10531" s="10" t="s">
        <v>22</v>
      </c>
      <c r="E10531" s="14">
        <v>0.4</v>
      </c>
      <c r="F10531" s="15">
        <f>ROUND((G10528+G10529+G10530),3)</f>
        <v>43.8</v>
      </c>
      <c r="G10531" s="12">
        <f t="shared" si="1586"/>
        <v>17.52</v>
      </c>
    </row>
    <row r="10532" ht="15.0" customHeight="1">
      <c r="A10532" s="10" t="s">
        <v>32</v>
      </c>
      <c r="B10532" s="10"/>
      <c r="C10532" s="10" t="s">
        <v>33</v>
      </c>
      <c r="D10532" s="10" t="s">
        <v>34</v>
      </c>
      <c r="E10532" s="14">
        <v>5.0</v>
      </c>
      <c r="F10532" s="15">
        <f>ROUND(17.52,3)</f>
        <v>17.52</v>
      </c>
      <c r="G10532" s="12">
        <f>ROUND((E10532*F10532)/100,2)</f>
        <v>0.88</v>
      </c>
    </row>
    <row r="10533" ht="24.75" customHeight="1">
      <c r="A10533" s="16"/>
      <c r="B10533" s="16"/>
      <c r="C10533" s="16"/>
      <c r="D10533" s="17" t="s">
        <v>4723</v>
      </c>
      <c r="E10533" s="16"/>
      <c r="F10533" s="18">
        <f>ROUND((G10525+G10526+G10527+G10532)*(1+G2/100),2)</f>
        <v>18.4</v>
      </c>
      <c r="G10533" s="16"/>
    </row>
    <row r="10534" ht="48.75" customHeight="1">
      <c r="A10534" s="19" t="s">
        <v>4726</v>
      </c>
      <c r="B10534" s="20" t="s">
        <v>18</v>
      </c>
      <c r="C10534" s="20" t="s">
        <v>19</v>
      </c>
      <c r="D10534" s="20" t="s">
        <v>4727</v>
      </c>
      <c r="E10534" s="21"/>
      <c r="F10534" s="22">
        <f>F10544</f>
        <v>50.39</v>
      </c>
      <c r="G10534" s="21"/>
    </row>
    <row r="10535" ht="21.0" customHeight="1">
      <c r="A10535" s="11"/>
      <c r="B10535" s="11"/>
      <c r="C10535" s="11"/>
      <c r="D10535" s="10" t="s">
        <v>4727</v>
      </c>
    </row>
    <row r="10536" ht="39.75" customHeight="1">
      <c r="A10536" s="10" t="s">
        <v>4728</v>
      </c>
      <c r="B10536" s="10" t="s">
        <v>42</v>
      </c>
      <c r="C10536" s="10" t="s">
        <v>276</v>
      </c>
      <c r="D10536" s="10" t="s">
        <v>4729</v>
      </c>
      <c r="E10536" s="14">
        <v>0.00733</v>
      </c>
      <c r="F10536" s="15">
        <f>ROUND(82.55,3)</f>
        <v>82.55</v>
      </c>
      <c r="G10536" s="12">
        <f t="shared" ref="G10536:G10542" si="1588">ROUND(E10536*F10536,2)</f>
        <v>0.61</v>
      </c>
    </row>
    <row r="10537" ht="39.75" customHeight="1">
      <c r="A10537" s="10" t="s">
        <v>4730</v>
      </c>
      <c r="B10537" s="10" t="s">
        <v>42</v>
      </c>
      <c r="C10537" s="10" t="s">
        <v>276</v>
      </c>
      <c r="D10537" s="10" t="s">
        <v>4731</v>
      </c>
      <c r="E10537" s="14">
        <v>0.2625</v>
      </c>
      <c r="F10537" s="15">
        <f>ROUND(72.82,3)</f>
        <v>72.82</v>
      </c>
      <c r="G10537" s="12">
        <f t="shared" si="1588"/>
        <v>19.12</v>
      </c>
    </row>
    <row r="10538" ht="21.0" customHeight="1">
      <c r="A10538" s="10" t="s">
        <v>22</v>
      </c>
      <c r="B10538" s="10" t="s">
        <v>18</v>
      </c>
      <c r="C10538" s="10" t="s">
        <v>23</v>
      </c>
      <c r="D10538" s="10" t="s">
        <v>24</v>
      </c>
      <c r="E10538" s="14">
        <v>0.66667</v>
      </c>
      <c r="F10538" s="15">
        <f>F10542</f>
        <v>43.8</v>
      </c>
      <c r="G10538" s="12">
        <f t="shared" si="1588"/>
        <v>29.2</v>
      </c>
    </row>
    <row r="10539" ht="24.0" customHeight="1">
      <c r="A10539" s="10" t="s">
        <v>25</v>
      </c>
      <c r="B10539" s="10" t="s">
        <v>26</v>
      </c>
      <c r="C10539" s="10" t="s">
        <v>23</v>
      </c>
      <c r="D10539" s="10" t="s">
        <v>27</v>
      </c>
      <c r="E10539" s="14">
        <v>1.0</v>
      </c>
      <c r="F10539" s="15">
        <f>ROUND(21,3)</f>
        <v>21</v>
      </c>
      <c r="G10539" s="12">
        <f t="shared" si="1588"/>
        <v>21</v>
      </c>
    </row>
    <row r="10540" ht="24.0" customHeight="1">
      <c r="A10540" s="10" t="s">
        <v>28</v>
      </c>
      <c r="B10540" s="10" t="s">
        <v>26</v>
      </c>
      <c r="C10540" s="10" t="s">
        <v>23</v>
      </c>
      <c r="D10540" s="10" t="s">
        <v>29</v>
      </c>
      <c r="E10540" s="14">
        <v>1.0</v>
      </c>
      <c r="F10540" s="15">
        <f t="shared" ref="F10540:F10541" si="1589">ROUND(19,3)</f>
        <v>19</v>
      </c>
      <c r="G10540" s="12">
        <f t="shared" si="1588"/>
        <v>19</v>
      </c>
    </row>
    <row r="10541" ht="24.0" customHeight="1">
      <c r="A10541" s="10" t="s">
        <v>30</v>
      </c>
      <c r="B10541" s="10" t="s">
        <v>26</v>
      </c>
      <c r="C10541" s="10" t="s">
        <v>23</v>
      </c>
      <c r="D10541" s="10" t="s">
        <v>31</v>
      </c>
      <c r="E10541" s="14">
        <v>0.2</v>
      </c>
      <c r="F10541" s="15">
        <f t="shared" si="1589"/>
        <v>19</v>
      </c>
      <c r="G10541" s="12">
        <f t="shared" si="1588"/>
        <v>3.8</v>
      </c>
    </row>
    <row r="10542" ht="15.0" customHeight="1">
      <c r="A10542" s="11"/>
      <c r="B10542" s="11"/>
      <c r="C10542" s="11"/>
      <c r="D10542" s="10" t="s">
        <v>22</v>
      </c>
      <c r="E10542" s="14">
        <v>0.66667</v>
      </c>
      <c r="F10542" s="15">
        <f>ROUND((G10539+G10540+G10541),3)</f>
        <v>43.8</v>
      </c>
      <c r="G10542" s="12">
        <f t="shared" si="1588"/>
        <v>29.2</v>
      </c>
    </row>
    <row r="10543" ht="15.0" customHeight="1">
      <c r="A10543" s="10" t="s">
        <v>32</v>
      </c>
      <c r="B10543" s="10"/>
      <c r="C10543" s="10" t="s">
        <v>33</v>
      </c>
      <c r="D10543" s="10" t="s">
        <v>34</v>
      </c>
      <c r="E10543" s="14">
        <v>5.0</v>
      </c>
      <c r="F10543" s="15">
        <f>ROUND(29.2,3)</f>
        <v>29.2</v>
      </c>
      <c r="G10543" s="12">
        <f>ROUND((E10543*F10543)/100,2)</f>
        <v>1.46</v>
      </c>
    </row>
    <row r="10544" ht="24.75" customHeight="1">
      <c r="A10544" s="16"/>
      <c r="B10544" s="16"/>
      <c r="C10544" s="16"/>
      <c r="D10544" s="17" t="s">
        <v>4726</v>
      </c>
      <c r="E10544" s="16"/>
      <c r="F10544" s="18">
        <f>ROUND((G10536+G10537+G10538+G10543)*(1+G2/100),2)</f>
        <v>50.39</v>
      </c>
      <c r="G10544" s="16"/>
    </row>
    <row r="10545" ht="57.75" customHeight="1">
      <c r="A10545" s="19" t="s">
        <v>4732</v>
      </c>
      <c r="B10545" s="20" t="s">
        <v>18</v>
      </c>
      <c r="C10545" s="20" t="s">
        <v>19</v>
      </c>
      <c r="D10545" s="20" t="s">
        <v>4733</v>
      </c>
      <c r="E10545" s="21"/>
      <c r="F10545" s="22">
        <f>F10555</f>
        <v>62.5</v>
      </c>
      <c r="G10545" s="21"/>
    </row>
    <row r="10546" ht="21.0" customHeight="1">
      <c r="A10546" s="11"/>
      <c r="B10546" s="11"/>
      <c r="C10546" s="11"/>
      <c r="D10546" s="10" t="s">
        <v>4733</v>
      </c>
    </row>
    <row r="10547" ht="39.75" customHeight="1">
      <c r="A10547" s="10" t="s">
        <v>4728</v>
      </c>
      <c r="B10547" s="10" t="s">
        <v>42</v>
      </c>
      <c r="C10547" s="10" t="s">
        <v>276</v>
      </c>
      <c r="D10547" s="10" t="s">
        <v>4729</v>
      </c>
      <c r="E10547" s="14">
        <v>0.00733</v>
      </c>
      <c r="F10547" s="15">
        <f>ROUND(82.55,3)</f>
        <v>82.55</v>
      </c>
      <c r="G10547" s="12">
        <f t="shared" ref="G10547:G10553" si="1590">ROUND(E10547*F10547,2)</f>
        <v>0.61</v>
      </c>
    </row>
    <row r="10548" ht="39.75" customHeight="1">
      <c r="A10548" s="10" t="s">
        <v>4730</v>
      </c>
      <c r="B10548" s="10" t="s">
        <v>42</v>
      </c>
      <c r="C10548" s="10" t="s">
        <v>276</v>
      </c>
      <c r="D10548" s="10" t="s">
        <v>4731</v>
      </c>
      <c r="E10548" s="14">
        <v>0.2625</v>
      </c>
      <c r="F10548" s="15">
        <f>ROUND(72.82,3)</f>
        <v>72.82</v>
      </c>
      <c r="G10548" s="12">
        <f t="shared" si="1590"/>
        <v>19.12</v>
      </c>
    </row>
    <row r="10549" ht="21.0" customHeight="1">
      <c r="A10549" s="10" t="s">
        <v>22</v>
      </c>
      <c r="B10549" s="10" t="s">
        <v>18</v>
      </c>
      <c r="C10549" s="10" t="s">
        <v>23</v>
      </c>
      <c r="D10549" s="10" t="s">
        <v>24</v>
      </c>
      <c r="E10549" s="14">
        <v>0.93</v>
      </c>
      <c r="F10549" s="15">
        <f>F10553</f>
        <v>43.8</v>
      </c>
      <c r="G10549" s="12">
        <f t="shared" si="1590"/>
        <v>40.73</v>
      </c>
    </row>
    <row r="10550" ht="24.0" customHeight="1">
      <c r="A10550" s="10" t="s">
        <v>25</v>
      </c>
      <c r="B10550" s="10" t="s">
        <v>26</v>
      </c>
      <c r="C10550" s="10" t="s">
        <v>23</v>
      </c>
      <c r="D10550" s="10" t="s">
        <v>27</v>
      </c>
      <c r="E10550" s="14">
        <v>1.0</v>
      </c>
      <c r="F10550" s="15">
        <f>ROUND(21,3)</f>
        <v>21</v>
      </c>
      <c r="G10550" s="12">
        <f t="shared" si="1590"/>
        <v>21</v>
      </c>
    </row>
    <row r="10551" ht="24.0" customHeight="1">
      <c r="A10551" s="10" t="s">
        <v>28</v>
      </c>
      <c r="B10551" s="10" t="s">
        <v>26</v>
      </c>
      <c r="C10551" s="10" t="s">
        <v>23</v>
      </c>
      <c r="D10551" s="10" t="s">
        <v>29</v>
      </c>
      <c r="E10551" s="14">
        <v>1.0</v>
      </c>
      <c r="F10551" s="15">
        <f t="shared" ref="F10551:F10552" si="1591">ROUND(19,3)</f>
        <v>19</v>
      </c>
      <c r="G10551" s="12">
        <f t="shared" si="1590"/>
        <v>19</v>
      </c>
    </row>
    <row r="10552" ht="24.0" customHeight="1">
      <c r="A10552" s="10" t="s">
        <v>30</v>
      </c>
      <c r="B10552" s="10" t="s">
        <v>26</v>
      </c>
      <c r="C10552" s="10" t="s">
        <v>23</v>
      </c>
      <c r="D10552" s="10" t="s">
        <v>31</v>
      </c>
      <c r="E10552" s="14">
        <v>0.2</v>
      </c>
      <c r="F10552" s="15">
        <f t="shared" si="1591"/>
        <v>19</v>
      </c>
      <c r="G10552" s="12">
        <f t="shared" si="1590"/>
        <v>3.8</v>
      </c>
    </row>
    <row r="10553" ht="15.0" customHeight="1">
      <c r="A10553" s="11"/>
      <c r="B10553" s="11"/>
      <c r="C10553" s="11"/>
      <c r="D10553" s="10" t="s">
        <v>22</v>
      </c>
      <c r="E10553" s="14">
        <v>0.93</v>
      </c>
      <c r="F10553" s="15">
        <f>ROUND((G10550+G10551+G10552),3)</f>
        <v>43.8</v>
      </c>
      <c r="G10553" s="12">
        <f t="shared" si="1590"/>
        <v>40.73</v>
      </c>
    </row>
    <row r="10554" ht="15.0" customHeight="1">
      <c r="A10554" s="10" t="s">
        <v>32</v>
      </c>
      <c r="B10554" s="10"/>
      <c r="C10554" s="10" t="s">
        <v>33</v>
      </c>
      <c r="D10554" s="10" t="s">
        <v>34</v>
      </c>
      <c r="E10554" s="14">
        <v>5.0</v>
      </c>
      <c r="F10554" s="15">
        <f>ROUND(40.73,3)</f>
        <v>40.73</v>
      </c>
      <c r="G10554" s="12">
        <f>ROUND((E10554*F10554)/100,2)</f>
        <v>2.04</v>
      </c>
    </row>
    <row r="10555" ht="24.75" customHeight="1">
      <c r="A10555" s="16"/>
      <c r="B10555" s="16"/>
      <c r="C10555" s="16"/>
      <c r="D10555" s="17" t="s">
        <v>4732</v>
      </c>
      <c r="E10555" s="16"/>
      <c r="F10555" s="18">
        <f>ROUND((G10547+G10548+G10549+G10554)*(1+G2/100),2)</f>
        <v>62.5</v>
      </c>
      <c r="G10555" s="16"/>
    </row>
    <row r="10556" ht="48.75" customHeight="1">
      <c r="A10556" s="19" t="s">
        <v>4734</v>
      </c>
      <c r="B10556" s="20" t="s">
        <v>18</v>
      </c>
      <c r="C10556" s="20" t="s">
        <v>19</v>
      </c>
      <c r="D10556" s="20" t="s">
        <v>4735</v>
      </c>
      <c r="E10556" s="21"/>
      <c r="F10556" s="22">
        <f>F10566</f>
        <v>44.26</v>
      </c>
      <c r="G10556" s="21"/>
    </row>
    <row r="10557" ht="21.0" customHeight="1">
      <c r="A10557" s="11"/>
      <c r="B10557" s="11"/>
      <c r="C10557" s="11"/>
      <c r="D10557" s="10" t="s">
        <v>4735</v>
      </c>
    </row>
    <row r="10558" ht="39.75" customHeight="1">
      <c r="A10558" s="10" t="s">
        <v>4728</v>
      </c>
      <c r="B10558" s="10" t="s">
        <v>42</v>
      </c>
      <c r="C10558" s="10" t="s">
        <v>276</v>
      </c>
      <c r="D10558" s="10" t="s">
        <v>4729</v>
      </c>
      <c r="E10558" s="14">
        <v>0.00733</v>
      </c>
      <c r="F10558" s="15">
        <f>ROUND(82.55,3)</f>
        <v>82.55</v>
      </c>
      <c r="G10558" s="12">
        <f t="shared" ref="G10558:G10564" si="1592">ROUND(E10558*F10558,2)</f>
        <v>0.61</v>
      </c>
    </row>
    <row r="10559" ht="39.75" customHeight="1">
      <c r="A10559" s="10" t="s">
        <v>4730</v>
      </c>
      <c r="B10559" s="10" t="s">
        <v>42</v>
      </c>
      <c r="C10559" s="10" t="s">
        <v>276</v>
      </c>
      <c r="D10559" s="10" t="s">
        <v>4731</v>
      </c>
      <c r="E10559" s="14">
        <v>0.2625</v>
      </c>
      <c r="F10559" s="15">
        <f>ROUND(72.82,3)</f>
        <v>72.82</v>
      </c>
      <c r="G10559" s="12">
        <f t="shared" si="1592"/>
        <v>19.12</v>
      </c>
    </row>
    <row r="10560" ht="21.0" customHeight="1">
      <c r="A10560" s="10" t="s">
        <v>22</v>
      </c>
      <c r="B10560" s="10" t="s">
        <v>18</v>
      </c>
      <c r="C10560" s="10" t="s">
        <v>23</v>
      </c>
      <c r="D10560" s="10" t="s">
        <v>24</v>
      </c>
      <c r="E10560" s="14">
        <v>0.53333</v>
      </c>
      <c r="F10560" s="15">
        <f>F10564</f>
        <v>43.8</v>
      </c>
      <c r="G10560" s="12">
        <f t="shared" si="1592"/>
        <v>23.36</v>
      </c>
    </row>
    <row r="10561" ht="24.0" customHeight="1">
      <c r="A10561" s="10" t="s">
        <v>25</v>
      </c>
      <c r="B10561" s="10" t="s">
        <v>26</v>
      </c>
      <c r="C10561" s="10" t="s">
        <v>23</v>
      </c>
      <c r="D10561" s="10" t="s">
        <v>27</v>
      </c>
      <c r="E10561" s="14">
        <v>1.0</v>
      </c>
      <c r="F10561" s="15">
        <f>ROUND(21,3)</f>
        <v>21</v>
      </c>
      <c r="G10561" s="12">
        <f t="shared" si="1592"/>
        <v>21</v>
      </c>
    </row>
    <row r="10562" ht="24.0" customHeight="1">
      <c r="A10562" s="10" t="s">
        <v>28</v>
      </c>
      <c r="B10562" s="10" t="s">
        <v>26</v>
      </c>
      <c r="C10562" s="10" t="s">
        <v>23</v>
      </c>
      <c r="D10562" s="10" t="s">
        <v>29</v>
      </c>
      <c r="E10562" s="14">
        <v>1.0</v>
      </c>
      <c r="F10562" s="15">
        <f t="shared" ref="F10562:F10563" si="1593">ROUND(19,3)</f>
        <v>19</v>
      </c>
      <c r="G10562" s="12">
        <f t="shared" si="1592"/>
        <v>19</v>
      </c>
    </row>
    <row r="10563" ht="24.0" customHeight="1">
      <c r="A10563" s="10" t="s">
        <v>30</v>
      </c>
      <c r="B10563" s="10" t="s">
        <v>26</v>
      </c>
      <c r="C10563" s="10" t="s">
        <v>23</v>
      </c>
      <c r="D10563" s="10" t="s">
        <v>31</v>
      </c>
      <c r="E10563" s="14">
        <v>0.2</v>
      </c>
      <c r="F10563" s="15">
        <f t="shared" si="1593"/>
        <v>19</v>
      </c>
      <c r="G10563" s="12">
        <f t="shared" si="1592"/>
        <v>3.8</v>
      </c>
    </row>
    <row r="10564" ht="15.0" customHeight="1">
      <c r="A10564" s="11"/>
      <c r="B10564" s="11"/>
      <c r="C10564" s="11"/>
      <c r="D10564" s="10" t="s">
        <v>22</v>
      </c>
      <c r="E10564" s="14">
        <v>0.53333</v>
      </c>
      <c r="F10564" s="15">
        <f>ROUND((G10561+G10562+G10563),3)</f>
        <v>43.8</v>
      </c>
      <c r="G10564" s="12">
        <f t="shared" si="1592"/>
        <v>23.36</v>
      </c>
    </row>
    <row r="10565" ht="15.0" customHeight="1">
      <c r="A10565" s="10" t="s">
        <v>32</v>
      </c>
      <c r="B10565" s="10"/>
      <c r="C10565" s="10" t="s">
        <v>33</v>
      </c>
      <c r="D10565" s="10" t="s">
        <v>34</v>
      </c>
      <c r="E10565" s="14">
        <v>5.0</v>
      </c>
      <c r="F10565" s="15">
        <f>ROUND(23.36,3)</f>
        <v>23.36</v>
      </c>
      <c r="G10565" s="12">
        <f>ROUND((E10565*F10565)/100,2)</f>
        <v>1.17</v>
      </c>
    </row>
    <row r="10566" ht="24.75" customHeight="1">
      <c r="A10566" s="16"/>
      <c r="B10566" s="16"/>
      <c r="C10566" s="16"/>
      <c r="D10566" s="17" t="s">
        <v>4734</v>
      </c>
      <c r="E10566" s="16"/>
      <c r="F10566" s="18">
        <f>ROUND((G10558+G10559+G10560+G10565)*(1+G2/100),2)</f>
        <v>44.26</v>
      </c>
      <c r="G10566" s="16"/>
    </row>
    <row r="10567" ht="48.75" customHeight="1">
      <c r="A10567" s="19" t="s">
        <v>4736</v>
      </c>
      <c r="B10567" s="20" t="s">
        <v>18</v>
      </c>
      <c r="C10567" s="20" t="s">
        <v>19</v>
      </c>
      <c r="D10567" s="20" t="s">
        <v>4737</v>
      </c>
      <c r="E10567" s="21"/>
      <c r="F10567" s="22">
        <f>F10577</f>
        <v>54.22</v>
      </c>
      <c r="G10567" s="21"/>
    </row>
    <row r="10568" ht="21.0" customHeight="1">
      <c r="A10568" s="11"/>
      <c r="B10568" s="11"/>
      <c r="C10568" s="11"/>
      <c r="D10568" s="10" t="s">
        <v>4737</v>
      </c>
    </row>
    <row r="10569" ht="39.75" customHeight="1">
      <c r="A10569" s="10" t="s">
        <v>4728</v>
      </c>
      <c r="B10569" s="10" t="s">
        <v>42</v>
      </c>
      <c r="C10569" s="10" t="s">
        <v>276</v>
      </c>
      <c r="D10569" s="10" t="s">
        <v>4729</v>
      </c>
      <c r="E10569" s="14">
        <v>0.00733</v>
      </c>
      <c r="F10569" s="15">
        <f>ROUND(82.55,3)</f>
        <v>82.55</v>
      </c>
      <c r="G10569" s="12">
        <f t="shared" ref="G10569:G10575" si="1594">ROUND(E10569*F10569,2)</f>
        <v>0.61</v>
      </c>
    </row>
    <row r="10570" ht="39.75" customHeight="1">
      <c r="A10570" s="10" t="s">
        <v>4730</v>
      </c>
      <c r="B10570" s="10" t="s">
        <v>42</v>
      </c>
      <c r="C10570" s="10" t="s">
        <v>276</v>
      </c>
      <c r="D10570" s="10" t="s">
        <v>4731</v>
      </c>
      <c r="E10570" s="14">
        <v>0.2625</v>
      </c>
      <c r="F10570" s="15">
        <f>ROUND(72.82,3)</f>
        <v>72.82</v>
      </c>
      <c r="G10570" s="12">
        <f t="shared" si="1594"/>
        <v>19.12</v>
      </c>
    </row>
    <row r="10571" ht="21.0" customHeight="1">
      <c r="A10571" s="10" t="s">
        <v>22</v>
      </c>
      <c r="B10571" s="10" t="s">
        <v>18</v>
      </c>
      <c r="C10571" s="10" t="s">
        <v>23</v>
      </c>
      <c r="D10571" s="10" t="s">
        <v>24</v>
      </c>
      <c r="E10571" s="14">
        <v>0.75</v>
      </c>
      <c r="F10571" s="15">
        <f>F10575</f>
        <v>43.8</v>
      </c>
      <c r="G10571" s="12">
        <f t="shared" si="1594"/>
        <v>32.85</v>
      </c>
    </row>
    <row r="10572" ht="24.0" customHeight="1">
      <c r="A10572" s="10" t="s">
        <v>25</v>
      </c>
      <c r="B10572" s="10" t="s">
        <v>26</v>
      </c>
      <c r="C10572" s="10" t="s">
        <v>23</v>
      </c>
      <c r="D10572" s="10" t="s">
        <v>27</v>
      </c>
      <c r="E10572" s="14">
        <v>1.0</v>
      </c>
      <c r="F10572" s="15">
        <f>ROUND(21,3)</f>
        <v>21</v>
      </c>
      <c r="G10572" s="12">
        <f t="shared" si="1594"/>
        <v>21</v>
      </c>
    </row>
    <row r="10573" ht="24.0" customHeight="1">
      <c r="A10573" s="10" t="s">
        <v>28</v>
      </c>
      <c r="B10573" s="10" t="s">
        <v>26</v>
      </c>
      <c r="C10573" s="10" t="s">
        <v>23</v>
      </c>
      <c r="D10573" s="10" t="s">
        <v>29</v>
      </c>
      <c r="E10573" s="14">
        <v>1.0</v>
      </c>
      <c r="F10573" s="15">
        <f t="shared" ref="F10573:F10574" si="1595">ROUND(19,3)</f>
        <v>19</v>
      </c>
      <c r="G10573" s="12">
        <f t="shared" si="1594"/>
        <v>19</v>
      </c>
    </row>
    <row r="10574" ht="24.0" customHeight="1">
      <c r="A10574" s="10" t="s">
        <v>30</v>
      </c>
      <c r="B10574" s="10" t="s">
        <v>26</v>
      </c>
      <c r="C10574" s="10" t="s">
        <v>23</v>
      </c>
      <c r="D10574" s="10" t="s">
        <v>31</v>
      </c>
      <c r="E10574" s="14">
        <v>0.2</v>
      </c>
      <c r="F10574" s="15">
        <f t="shared" si="1595"/>
        <v>19</v>
      </c>
      <c r="G10574" s="12">
        <f t="shared" si="1594"/>
        <v>3.8</v>
      </c>
    </row>
    <row r="10575" ht="15.0" customHeight="1">
      <c r="A10575" s="11"/>
      <c r="B10575" s="11"/>
      <c r="C10575" s="11"/>
      <c r="D10575" s="10" t="s">
        <v>22</v>
      </c>
      <c r="E10575" s="14">
        <v>0.75</v>
      </c>
      <c r="F10575" s="15">
        <f>ROUND((G10572+G10573+G10574),3)</f>
        <v>43.8</v>
      </c>
      <c r="G10575" s="12">
        <f t="shared" si="1594"/>
        <v>32.85</v>
      </c>
    </row>
    <row r="10576" ht="15.0" customHeight="1">
      <c r="A10576" s="10" t="s">
        <v>32</v>
      </c>
      <c r="B10576" s="10"/>
      <c r="C10576" s="10" t="s">
        <v>33</v>
      </c>
      <c r="D10576" s="10" t="s">
        <v>34</v>
      </c>
      <c r="E10576" s="14">
        <v>5.0</v>
      </c>
      <c r="F10576" s="15">
        <f>ROUND(32.85,3)</f>
        <v>32.85</v>
      </c>
      <c r="G10576" s="12">
        <f>ROUND((E10576*F10576)/100,2)</f>
        <v>1.64</v>
      </c>
    </row>
    <row r="10577" ht="24.75" customHeight="1">
      <c r="A10577" s="16"/>
      <c r="B10577" s="16"/>
      <c r="C10577" s="16"/>
      <c r="D10577" s="17" t="s">
        <v>4736</v>
      </c>
      <c r="E10577" s="16"/>
      <c r="F10577" s="18">
        <f>ROUND((G10569+G10570+G10571+G10576)*(1+G2/100),2)</f>
        <v>54.22</v>
      </c>
      <c r="G10577" s="16"/>
    </row>
    <row r="10578" ht="39.75" customHeight="1">
      <c r="A10578" s="19" t="s">
        <v>4738</v>
      </c>
      <c r="B10578" s="20" t="s">
        <v>18</v>
      </c>
      <c r="C10578" s="20" t="s">
        <v>251</v>
      </c>
      <c r="D10578" s="20" t="s">
        <v>4739</v>
      </c>
      <c r="E10578" s="21"/>
      <c r="F10578" s="22">
        <f>F10588</f>
        <v>19.31</v>
      </c>
      <c r="G10578" s="21"/>
    </row>
    <row r="10579" ht="21.0" customHeight="1">
      <c r="A10579" s="11"/>
      <c r="B10579" s="11"/>
      <c r="C10579" s="11"/>
      <c r="D10579" s="10" t="s">
        <v>4739</v>
      </c>
    </row>
    <row r="10580" ht="30.0" customHeight="1">
      <c r="A10580" s="10" t="s">
        <v>208</v>
      </c>
      <c r="B10580" s="10" t="s">
        <v>42</v>
      </c>
      <c r="C10580" s="10" t="s">
        <v>43</v>
      </c>
      <c r="D10580" s="10" t="s">
        <v>209</v>
      </c>
      <c r="E10580" s="14">
        <v>0.025</v>
      </c>
      <c r="F10580" s="15">
        <f>ROUND(14.29,3)</f>
        <v>14.29</v>
      </c>
      <c r="G10580" s="12">
        <f t="shared" ref="G10580:G10586" si="1596">ROUND(E10580*F10580,2)</f>
        <v>0.36</v>
      </c>
    </row>
    <row r="10581" ht="24.0" customHeight="1">
      <c r="A10581" s="10" t="s">
        <v>111</v>
      </c>
      <c r="B10581" s="10" t="s">
        <v>112</v>
      </c>
      <c r="C10581" s="10" t="s">
        <v>23</v>
      </c>
      <c r="D10581" s="10" t="s">
        <v>113</v>
      </c>
      <c r="E10581" s="14">
        <v>0.36</v>
      </c>
      <c r="F10581" s="15">
        <f>ROUND(7.526,3)</f>
        <v>7.526</v>
      </c>
      <c r="G10581" s="12">
        <f t="shared" si="1596"/>
        <v>2.71</v>
      </c>
    </row>
    <row r="10582" ht="21.0" customHeight="1">
      <c r="A10582" s="10" t="s">
        <v>22</v>
      </c>
      <c r="B10582" s="10" t="s">
        <v>18</v>
      </c>
      <c r="C10582" s="10" t="s">
        <v>23</v>
      </c>
      <c r="D10582" s="10" t="s">
        <v>24</v>
      </c>
      <c r="E10582" s="14">
        <v>0.36</v>
      </c>
      <c r="F10582" s="15">
        <f>F10586</f>
        <v>43.8</v>
      </c>
      <c r="G10582" s="12">
        <f t="shared" si="1596"/>
        <v>15.77</v>
      </c>
    </row>
    <row r="10583" ht="24.0" customHeight="1">
      <c r="A10583" s="10" t="s">
        <v>25</v>
      </c>
      <c r="B10583" s="10" t="s">
        <v>26</v>
      </c>
      <c r="C10583" s="10" t="s">
        <v>23</v>
      </c>
      <c r="D10583" s="10" t="s">
        <v>27</v>
      </c>
      <c r="E10583" s="14">
        <v>1.0</v>
      </c>
      <c r="F10583" s="15">
        <f>ROUND(21,3)</f>
        <v>21</v>
      </c>
      <c r="G10583" s="12">
        <f t="shared" si="1596"/>
        <v>21</v>
      </c>
    </row>
    <row r="10584" ht="24.0" customHeight="1">
      <c r="A10584" s="10" t="s">
        <v>28</v>
      </c>
      <c r="B10584" s="10" t="s">
        <v>26</v>
      </c>
      <c r="C10584" s="10" t="s">
        <v>23</v>
      </c>
      <c r="D10584" s="10" t="s">
        <v>29</v>
      </c>
      <c r="E10584" s="14">
        <v>1.0</v>
      </c>
      <c r="F10584" s="15">
        <f t="shared" ref="F10584:F10585" si="1597">ROUND(19,3)</f>
        <v>19</v>
      </c>
      <c r="G10584" s="12">
        <f t="shared" si="1596"/>
        <v>19</v>
      </c>
    </row>
    <row r="10585" ht="24.0" customHeight="1">
      <c r="A10585" s="10" t="s">
        <v>30</v>
      </c>
      <c r="B10585" s="10" t="s">
        <v>26</v>
      </c>
      <c r="C10585" s="10" t="s">
        <v>23</v>
      </c>
      <c r="D10585" s="10" t="s">
        <v>31</v>
      </c>
      <c r="E10585" s="14">
        <v>0.2</v>
      </c>
      <c r="F10585" s="15">
        <f t="shared" si="1597"/>
        <v>19</v>
      </c>
      <c r="G10585" s="12">
        <f t="shared" si="1596"/>
        <v>3.8</v>
      </c>
    </row>
    <row r="10586" ht="15.0" customHeight="1">
      <c r="A10586" s="11"/>
      <c r="B10586" s="11"/>
      <c r="C10586" s="11"/>
      <c r="D10586" s="10" t="s">
        <v>22</v>
      </c>
      <c r="E10586" s="14">
        <v>0.36</v>
      </c>
      <c r="F10586" s="15">
        <f>ROUND((G10583+G10584+G10585),3)</f>
        <v>43.8</v>
      </c>
      <c r="G10586" s="12">
        <f t="shared" si="1596"/>
        <v>15.77</v>
      </c>
    </row>
    <row r="10587" ht="15.0" customHeight="1">
      <c r="A10587" s="10" t="s">
        <v>32</v>
      </c>
      <c r="B10587" s="10"/>
      <c r="C10587" s="10" t="s">
        <v>33</v>
      </c>
      <c r="D10587" s="10" t="s">
        <v>34</v>
      </c>
      <c r="E10587" s="14">
        <v>3.0</v>
      </c>
      <c r="F10587" s="15">
        <f>ROUND(15.77,3)</f>
        <v>15.77</v>
      </c>
      <c r="G10587" s="12">
        <f>ROUND((E10587*F10587)/100,2)</f>
        <v>0.47</v>
      </c>
    </row>
    <row r="10588" ht="15.0" customHeight="1">
      <c r="A10588" s="16"/>
      <c r="B10588" s="16"/>
      <c r="C10588" s="16"/>
      <c r="D10588" s="17" t="s">
        <v>4738</v>
      </c>
      <c r="E10588" s="16"/>
      <c r="F10588" s="18">
        <f>ROUND((G10580+G10581+G10582+G10587)*(1+G2/100),2)</f>
        <v>19.31</v>
      </c>
      <c r="G10588" s="16"/>
    </row>
    <row r="10589" ht="48.75" customHeight="1">
      <c r="A10589" s="19" t="s">
        <v>4740</v>
      </c>
      <c r="B10589" s="20" t="s">
        <v>18</v>
      </c>
      <c r="C10589" s="20" t="s">
        <v>251</v>
      </c>
      <c r="D10589" s="20" t="s">
        <v>4741</v>
      </c>
      <c r="E10589" s="21"/>
      <c r="F10589" s="22">
        <f>F10599</f>
        <v>31.19</v>
      </c>
      <c r="G10589" s="21"/>
    </row>
    <row r="10590" ht="21.0" customHeight="1">
      <c r="A10590" s="11"/>
      <c r="B10590" s="11"/>
      <c r="C10590" s="11"/>
      <c r="D10590" s="10" t="s">
        <v>4741</v>
      </c>
    </row>
    <row r="10591" ht="30.0" customHeight="1">
      <c r="A10591" s="10" t="s">
        <v>208</v>
      </c>
      <c r="B10591" s="10" t="s">
        <v>42</v>
      </c>
      <c r="C10591" s="10" t="s">
        <v>43</v>
      </c>
      <c r="D10591" s="10" t="s">
        <v>209</v>
      </c>
      <c r="E10591" s="14">
        <v>0.025</v>
      </c>
      <c r="F10591" s="15">
        <f>ROUND(14.29,3)</f>
        <v>14.29</v>
      </c>
      <c r="G10591" s="12">
        <f t="shared" ref="G10591:G10597" si="1598">ROUND(E10591*F10591,2)</f>
        <v>0.36</v>
      </c>
    </row>
    <row r="10592" ht="24.0" customHeight="1">
      <c r="A10592" s="10" t="s">
        <v>111</v>
      </c>
      <c r="B10592" s="10" t="s">
        <v>112</v>
      </c>
      <c r="C10592" s="10" t="s">
        <v>23</v>
      </c>
      <c r="D10592" s="10" t="s">
        <v>113</v>
      </c>
      <c r="E10592" s="14">
        <v>0.5</v>
      </c>
      <c r="F10592" s="15">
        <f>ROUND(7.526,3)</f>
        <v>7.526</v>
      </c>
      <c r="G10592" s="12">
        <f t="shared" si="1598"/>
        <v>3.76</v>
      </c>
    </row>
    <row r="10593" ht="21.0" customHeight="1">
      <c r="A10593" s="10" t="s">
        <v>22</v>
      </c>
      <c r="B10593" s="10" t="s">
        <v>18</v>
      </c>
      <c r="C10593" s="10" t="s">
        <v>23</v>
      </c>
      <c r="D10593" s="10" t="s">
        <v>24</v>
      </c>
      <c r="E10593" s="14">
        <v>0.6</v>
      </c>
      <c r="F10593" s="15">
        <f>F10597</f>
        <v>43.8</v>
      </c>
      <c r="G10593" s="12">
        <f t="shared" si="1598"/>
        <v>26.28</v>
      </c>
    </row>
    <row r="10594" ht="24.0" customHeight="1">
      <c r="A10594" s="10" t="s">
        <v>25</v>
      </c>
      <c r="B10594" s="10" t="s">
        <v>26</v>
      </c>
      <c r="C10594" s="10" t="s">
        <v>23</v>
      </c>
      <c r="D10594" s="10" t="s">
        <v>27</v>
      </c>
      <c r="E10594" s="14">
        <v>1.0</v>
      </c>
      <c r="F10594" s="15">
        <f>ROUND(21,3)</f>
        <v>21</v>
      </c>
      <c r="G10594" s="12">
        <f t="shared" si="1598"/>
        <v>21</v>
      </c>
    </row>
    <row r="10595" ht="24.0" customHeight="1">
      <c r="A10595" s="10" t="s">
        <v>28</v>
      </c>
      <c r="B10595" s="10" t="s">
        <v>26</v>
      </c>
      <c r="C10595" s="10" t="s">
        <v>23</v>
      </c>
      <c r="D10595" s="10" t="s">
        <v>29</v>
      </c>
      <c r="E10595" s="14">
        <v>1.0</v>
      </c>
      <c r="F10595" s="15">
        <f t="shared" ref="F10595:F10596" si="1599">ROUND(19,3)</f>
        <v>19</v>
      </c>
      <c r="G10595" s="12">
        <f t="shared" si="1598"/>
        <v>19</v>
      </c>
    </row>
    <row r="10596" ht="24.0" customHeight="1">
      <c r="A10596" s="10" t="s">
        <v>30</v>
      </c>
      <c r="B10596" s="10" t="s">
        <v>26</v>
      </c>
      <c r="C10596" s="10" t="s">
        <v>23</v>
      </c>
      <c r="D10596" s="10" t="s">
        <v>31</v>
      </c>
      <c r="E10596" s="14">
        <v>0.2</v>
      </c>
      <c r="F10596" s="15">
        <f t="shared" si="1599"/>
        <v>19</v>
      </c>
      <c r="G10596" s="12">
        <f t="shared" si="1598"/>
        <v>3.8</v>
      </c>
    </row>
    <row r="10597" ht="15.0" customHeight="1">
      <c r="A10597" s="11"/>
      <c r="B10597" s="11"/>
      <c r="C10597" s="11"/>
      <c r="D10597" s="10" t="s">
        <v>22</v>
      </c>
      <c r="E10597" s="14">
        <v>0.6</v>
      </c>
      <c r="F10597" s="15">
        <f>ROUND((G10594+G10595+G10596),3)</f>
        <v>43.8</v>
      </c>
      <c r="G10597" s="12">
        <f t="shared" si="1598"/>
        <v>26.28</v>
      </c>
    </row>
    <row r="10598" ht="15.0" customHeight="1">
      <c r="A10598" s="10" t="s">
        <v>32</v>
      </c>
      <c r="B10598" s="10"/>
      <c r="C10598" s="10" t="s">
        <v>33</v>
      </c>
      <c r="D10598" s="10" t="s">
        <v>34</v>
      </c>
      <c r="E10598" s="14">
        <v>3.0</v>
      </c>
      <c r="F10598" s="15">
        <f>ROUND(26.28,3)</f>
        <v>26.28</v>
      </c>
      <c r="G10598" s="12">
        <f>ROUND((E10598*F10598)/100,2)</f>
        <v>0.79</v>
      </c>
    </row>
    <row r="10599" ht="15.0" customHeight="1">
      <c r="A10599" s="16"/>
      <c r="B10599" s="16"/>
      <c r="C10599" s="16"/>
      <c r="D10599" s="17" t="s">
        <v>4740</v>
      </c>
      <c r="E10599" s="16"/>
      <c r="F10599" s="18">
        <f>ROUND((G10591+G10592+G10593+G10598)*(1+G2/100),2)</f>
        <v>31.19</v>
      </c>
      <c r="G10599" s="16"/>
    </row>
    <row r="10600" ht="21.0" customHeight="1">
      <c r="A10600" s="19" t="s">
        <v>4742</v>
      </c>
      <c r="B10600" s="20" t="s">
        <v>18</v>
      </c>
      <c r="C10600" s="20" t="s">
        <v>537</v>
      </c>
      <c r="D10600" s="20" t="s">
        <v>4743</v>
      </c>
      <c r="E10600" s="21"/>
      <c r="F10600" s="22">
        <f>F10611</f>
        <v>12.95</v>
      </c>
      <c r="G10600" s="21"/>
    </row>
    <row r="10601" ht="39.75" customHeight="1">
      <c r="A10601" s="11"/>
      <c r="B10601" s="11"/>
      <c r="C10601" s="11"/>
      <c r="D10601" s="10" t="s">
        <v>4744</v>
      </c>
    </row>
    <row r="10602" ht="30.0" customHeight="1">
      <c r="A10602" s="10" t="s">
        <v>2880</v>
      </c>
      <c r="B10602" s="10" t="s">
        <v>42</v>
      </c>
      <c r="C10602" s="10" t="s">
        <v>344</v>
      </c>
      <c r="D10602" s="10" t="s">
        <v>2881</v>
      </c>
      <c r="E10602" s="14">
        <v>3.0</v>
      </c>
      <c r="F10602" s="15">
        <f>ROUND(1.95,3)</f>
        <v>1.95</v>
      </c>
      <c r="G10602" s="12">
        <f t="shared" ref="G10602:G10609" si="1600">ROUND(E10602*F10602,2)</f>
        <v>5.85</v>
      </c>
    </row>
    <row r="10603" ht="48.75" customHeight="1">
      <c r="A10603" s="10" t="s">
        <v>2069</v>
      </c>
      <c r="B10603" s="10" t="s">
        <v>42</v>
      </c>
      <c r="C10603" s="10" t="s">
        <v>184</v>
      </c>
      <c r="D10603" s="10" t="s">
        <v>2070</v>
      </c>
      <c r="E10603" s="14">
        <v>0.01</v>
      </c>
      <c r="F10603" s="15">
        <f>ROUND(10.25,3)</f>
        <v>10.25</v>
      </c>
      <c r="G10603" s="12">
        <f t="shared" si="1600"/>
        <v>0.1</v>
      </c>
    </row>
    <row r="10604" ht="30.0" customHeight="1">
      <c r="A10604" s="10" t="s">
        <v>2053</v>
      </c>
      <c r="B10604" s="10" t="s">
        <v>42</v>
      </c>
      <c r="C10604" s="10" t="s">
        <v>184</v>
      </c>
      <c r="D10604" s="10" t="s">
        <v>2054</v>
      </c>
      <c r="E10604" s="14">
        <v>0.02</v>
      </c>
      <c r="F10604" s="15">
        <f>ROUND(11.74,3)</f>
        <v>11.74</v>
      </c>
      <c r="G10604" s="12">
        <f t="shared" si="1600"/>
        <v>0.23</v>
      </c>
    </row>
    <row r="10605" ht="21.0" customHeight="1">
      <c r="A10605" s="10" t="s">
        <v>22</v>
      </c>
      <c r="B10605" s="10" t="s">
        <v>18</v>
      </c>
      <c r="C10605" s="10" t="s">
        <v>23</v>
      </c>
      <c r="D10605" s="10" t="s">
        <v>24</v>
      </c>
      <c r="E10605" s="14">
        <v>0.15</v>
      </c>
      <c r="F10605" s="15">
        <f>F10609</f>
        <v>43.8</v>
      </c>
      <c r="G10605" s="12">
        <f t="shared" si="1600"/>
        <v>6.57</v>
      </c>
    </row>
    <row r="10606" ht="24.0" customHeight="1">
      <c r="A10606" s="10" t="s">
        <v>25</v>
      </c>
      <c r="B10606" s="10" t="s">
        <v>26</v>
      </c>
      <c r="C10606" s="10" t="s">
        <v>23</v>
      </c>
      <c r="D10606" s="10" t="s">
        <v>27</v>
      </c>
      <c r="E10606" s="14">
        <v>1.0</v>
      </c>
      <c r="F10606" s="15">
        <f>ROUND(21,3)</f>
        <v>21</v>
      </c>
      <c r="G10606" s="12">
        <f t="shared" si="1600"/>
        <v>21</v>
      </c>
    </row>
    <row r="10607" ht="24.0" customHeight="1">
      <c r="A10607" s="10" t="s">
        <v>28</v>
      </c>
      <c r="B10607" s="10" t="s">
        <v>26</v>
      </c>
      <c r="C10607" s="10" t="s">
        <v>23</v>
      </c>
      <c r="D10607" s="10" t="s">
        <v>29</v>
      </c>
      <c r="E10607" s="14">
        <v>1.0</v>
      </c>
      <c r="F10607" s="15">
        <f t="shared" ref="F10607:F10608" si="1601">ROUND(19,3)</f>
        <v>19</v>
      </c>
      <c r="G10607" s="12">
        <f t="shared" si="1600"/>
        <v>19</v>
      </c>
    </row>
    <row r="10608" ht="24.0" customHeight="1">
      <c r="A10608" s="10" t="s">
        <v>30</v>
      </c>
      <c r="B10608" s="10" t="s">
        <v>26</v>
      </c>
      <c r="C10608" s="10" t="s">
        <v>23</v>
      </c>
      <c r="D10608" s="10" t="s">
        <v>31</v>
      </c>
      <c r="E10608" s="14">
        <v>0.2</v>
      </c>
      <c r="F10608" s="15">
        <f t="shared" si="1601"/>
        <v>19</v>
      </c>
      <c r="G10608" s="12">
        <f t="shared" si="1600"/>
        <v>3.8</v>
      </c>
    </row>
    <row r="10609" ht="15.0" customHeight="1">
      <c r="A10609" s="11"/>
      <c r="B10609" s="11"/>
      <c r="C10609" s="11"/>
      <c r="D10609" s="10" t="s">
        <v>22</v>
      </c>
      <c r="E10609" s="14">
        <v>0.15</v>
      </c>
      <c r="F10609" s="15">
        <f>ROUND((G10606+G10607+G10608),3)</f>
        <v>43.8</v>
      </c>
      <c r="G10609" s="12">
        <f t="shared" si="1600"/>
        <v>6.57</v>
      </c>
    </row>
    <row r="10610" ht="15.0" customHeight="1">
      <c r="A10610" s="10" t="s">
        <v>32</v>
      </c>
      <c r="B10610" s="10"/>
      <c r="C10610" s="10" t="s">
        <v>33</v>
      </c>
      <c r="D10610" s="10" t="s">
        <v>34</v>
      </c>
      <c r="E10610" s="14">
        <v>3.0</v>
      </c>
      <c r="F10610" s="15">
        <f>ROUND(6.57,3)</f>
        <v>6.57</v>
      </c>
      <c r="G10610" s="12">
        <f>ROUND((E10610*F10610)/100,2)</f>
        <v>0.2</v>
      </c>
    </row>
    <row r="10611" ht="15.0" customHeight="1">
      <c r="A10611" s="16"/>
      <c r="B10611" s="16"/>
      <c r="C10611" s="16"/>
      <c r="D10611" s="17" t="s">
        <v>4742</v>
      </c>
      <c r="E10611" s="16"/>
      <c r="F10611" s="18">
        <f>ROUND((G10602+G10603+G10604+G10605+G10610)*(1+G2/100),2)</f>
        <v>12.95</v>
      </c>
      <c r="G10611" s="16"/>
    </row>
    <row r="10612" ht="21.0" customHeight="1">
      <c r="A10612" s="19" t="s">
        <v>4745</v>
      </c>
      <c r="B10612" s="20" t="s">
        <v>18</v>
      </c>
      <c r="C10612" s="20" t="s">
        <v>251</v>
      </c>
      <c r="D10612" s="20" t="s">
        <v>4746</v>
      </c>
      <c r="E10612" s="21"/>
      <c r="F10612" s="22">
        <f>F10625</f>
        <v>56.64</v>
      </c>
      <c r="G10612" s="21"/>
    </row>
    <row r="10613" ht="76.5" customHeight="1">
      <c r="A10613" s="11"/>
      <c r="B10613" s="11"/>
      <c r="C10613" s="11"/>
      <c r="D10613" s="10" t="s">
        <v>3799</v>
      </c>
    </row>
    <row r="10614" ht="30.0" customHeight="1">
      <c r="A10614" s="10" t="s">
        <v>3800</v>
      </c>
      <c r="B10614" s="10" t="s">
        <v>42</v>
      </c>
      <c r="C10614" s="10" t="s">
        <v>19</v>
      </c>
      <c r="D10614" s="10" t="s">
        <v>3801</v>
      </c>
      <c r="E10614" s="14">
        <v>1.075</v>
      </c>
      <c r="F10614" s="15">
        <f>ROUND(25,3)</f>
        <v>25</v>
      </c>
      <c r="G10614" s="12">
        <f t="shared" ref="G10614:G10623" si="1602">ROUND(E10614*F10614,2)</f>
        <v>26.88</v>
      </c>
    </row>
    <row r="10615" ht="39.75" customHeight="1">
      <c r="A10615" s="10" t="s">
        <v>3802</v>
      </c>
      <c r="B10615" s="10" t="s">
        <v>42</v>
      </c>
      <c r="C10615" s="10" t="s">
        <v>330</v>
      </c>
      <c r="D10615" s="10" t="s">
        <v>3803</v>
      </c>
      <c r="E10615" s="14">
        <v>0.1</v>
      </c>
      <c r="F10615" s="15">
        <f>ROUND(2.63,3)</f>
        <v>2.63</v>
      </c>
      <c r="G10615" s="12">
        <f t="shared" si="1602"/>
        <v>0.26</v>
      </c>
    </row>
    <row r="10616" ht="30.0" customHeight="1">
      <c r="A10616" s="10" t="s">
        <v>3804</v>
      </c>
      <c r="B10616" s="10" t="s">
        <v>42</v>
      </c>
      <c r="C10616" s="10" t="s">
        <v>184</v>
      </c>
      <c r="D10616" s="10" t="s">
        <v>3805</v>
      </c>
      <c r="E10616" s="14">
        <v>0.35</v>
      </c>
      <c r="F10616" s="15">
        <f>ROUND(8.35,3)</f>
        <v>8.35</v>
      </c>
      <c r="G10616" s="12">
        <f t="shared" si="1602"/>
        <v>2.92</v>
      </c>
    </row>
    <row r="10617" ht="30.0" customHeight="1">
      <c r="A10617" s="10" t="s">
        <v>2053</v>
      </c>
      <c r="B10617" s="10" t="s">
        <v>42</v>
      </c>
      <c r="C10617" s="10" t="s">
        <v>184</v>
      </c>
      <c r="D10617" s="10" t="s">
        <v>2054</v>
      </c>
      <c r="E10617" s="14">
        <v>0.08</v>
      </c>
      <c r="F10617" s="15">
        <f>ROUND(11.74,3)</f>
        <v>11.74</v>
      </c>
      <c r="G10617" s="12">
        <f t="shared" si="1602"/>
        <v>0.94</v>
      </c>
    </row>
    <row r="10618" ht="30.0" customHeight="1">
      <c r="A10618" s="10" t="s">
        <v>3639</v>
      </c>
      <c r="B10618" s="10" t="s">
        <v>42</v>
      </c>
      <c r="C10618" s="10" t="s">
        <v>304</v>
      </c>
      <c r="D10618" s="10" t="s">
        <v>3640</v>
      </c>
      <c r="E10618" s="14">
        <v>0.2</v>
      </c>
      <c r="F10618" s="15">
        <f>ROUND(15.4,3)</f>
        <v>15.4</v>
      </c>
      <c r="G10618" s="12">
        <f t="shared" si="1602"/>
        <v>3.08</v>
      </c>
    </row>
    <row r="10619" ht="21.0" customHeight="1">
      <c r="A10619" s="10" t="s">
        <v>22</v>
      </c>
      <c r="B10619" s="10" t="s">
        <v>18</v>
      </c>
      <c r="C10619" s="10" t="s">
        <v>23</v>
      </c>
      <c r="D10619" s="10" t="s">
        <v>24</v>
      </c>
      <c r="E10619" s="14">
        <v>0.5</v>
      </c>
      <c r="F10619" s="15">
        <f>F10623</f>
        <v>43.8</v>
      </c>
      <c r="G10619" s="12">
        <f t="shared" si="1602"/>
        <v>21.9</v>
      </c>
    </row>
    <row r="10620" ht="24.0" customHeight="1">
      <c r="A10620" s="10" t="s">
        <v>25</v>
      </c>
      <c r="B10620" s="10" t="s">
        <v>26</v>
      </c>
      <c r="C10620" s="10" t="s">
        <v>23</v>
      </c>
      <c r="D10620" s="10" t="s">
        <v>27</v>
      </c>
      <c r="E10620" s="14">
        <v>1.0</v>
      </c>
      <c r="F10620" s="15">
        <f>ROUND(21,3)</f>
        <v>21</v>
      </c>
      <c r="G10620" s="12">
        <f t="shared" si="1602"/>
        <v>21</v>
      </c>
    </row>
    <row r="10621" ht="24.0" customHeight="1">
      <c r="A10621" s="10" t="s">
        <v>28</v>
      </c>
      <c r="B10621" s="10" t="s">
        <v>26</v>
      </c>
      <c r="C10621" s="10" t="s">
        <v>23</v>
      </c>
      <c r="D10621" s="10" t="s">
        <v>29</v>
      </c>
      <c r="E10621" s="14">
        <v>1.0</v>
      </c>
      <c r="F10621" s="15">
        <f t="shared" ref="F10621:F10622" si="1603">ROUND(19,3)</f>
        <v>19</v>
      </c>
      <c r="G10621" s="12">
        <f t="shared" si="1602"/>
        <v>19</v>
      </c>
    </row>
    <row r="10622" ht="24.0" customHeight="1">
      <c r="A10622" s="10" t="s">
        <v>30</v>
      </c>
      <c r="B10622" s="10" t="s">
        <v>26</v>
      </c>
      <c r="C10622" s="10" t="s">
        <v>23</v>
      </c>
      <c r="D10622" s="10" t="s">
        <v>31</v>
      </c>
      <c r="E10622" s="14">
        <v>0.2</v>
      </c>
      <c r="F10622" s="15">
        <f t="shared" si="1603"/>
        <v>19</v>
      </c>
      <c r="G10622" s="12">
        <f t="shared" si="1602"/>
        <v>3.8</v>
      </c>
    </row>
    <row r="10623" ht="15.0" customHeight="1">
      <c r="A10623" s="11"/>
      <c r="B10623" s="11"/>
      <c r="C10623" s="11"/>
      <c r="D10623" s="10" t="s">
        <v>22</v>
      </c>
      <c r="E10623" s="14">
        <v>0.5</v>
      </c>
      <c r="F10623" s="15">
        <f>ROUND((G10620+G10621+G10622),3)</f>
        <v>43.8</v>
      </c>
      <c r="G10623" s="12">
        <f t="shared" si="1602"/>
        <v>21.9</v>
      </c>
    </row>
    <row r="10624" ht="15.0" customHeight="1">
      <c r="A10624" s="10" t="s">
        <v>32</v>
      </c>
      <c r="B10624" s="10"/>
      <c r="C10624" s="10" t="s">
        <v>33</v>
      </c>
      <c r="D10624" s="10" t="s">
        <v>34</v>
      </c>
      <c r="E10624" s="14">
        <v>3.0</v>
      </c>
      <c r="F10624" s="15">
        <f>ROUND(21.9,3)</f>
        <v>21.9</v>
      </c>
      <c r="G10624" s="12">
        <f>ROUND((E10624*F10624)/100,2)</f>
        <v>0.66</v>
      </c>
    </row>
    <row r="10625" ht="15.0" customHeight="1">
      <c r="A10625" s="16"/>
      <c r="B10625" s="16"/>
      <c r="C10625" s="16"/>
      <c r="D10625" s="17" t="s">
        <v>4745</v>
      </c>
      <c r="E10625" s="16"/>
      <c r="F10625" s="18">
        <f>ROUND((G10614+G10615+G10616+G10617+G10618+G10619+G10624)*(1+G2/100),2)</f>
        <v>56.64</v>
      </c>
      <c r="G10625" s="16"/>
    </row>
    <row r="10626" ht="30.0" customHeight="1">
      <c r="A10626" s="19" t="s">
        <v>4747</v>
      </c>
      <c r="B10626" s="20" t="s">
        <v>18</v>
      </c>
      <c r="C10626" s="20" t="s">
        <v>321</v>
      </c>
      <c r="D10626" s="20" t="s">
        <v>4748</v>
      </c>
      <c r="E10626" s="21"/>
      <c r="F10626" s="22">
        <f>F10638</f>
        <v>9.65</v>
      </c>
      <c r="G10626" s="21"/>
    </row>
    <row r="10627" ht="67.5" customHeight="1">
      <c r="A10627" s="11"/>
      <c r="B10627" s="11"/>
      <c r="C10627" s="11"/>
      <c r="D10627" s="10" t="s">
        <v>4749</v>
      </c>
    </row>
    <row r="10628" ht="30.0" customHeight="1">
      <c r="A10628" s="10" t="s">
        <v>3800</v>
      </c>
      <c r="B10628" s="10" t="s">
        <v>42</v>
      </c>
      <c r="C10628" s="10" t="s">
        <v>19</v>
      </c>
      <c r="D10628" s="10" t="s">
        <v>3801</v>
      </c>
      <c r="E10628" s="14">
        <v>0.1935</v>
      </c>
      <c r="F10628" s="15">
        <f>ROUND(25,3)</f>
        <v>25</v>
      </c>
      <c r="G10628" s="12">
        <f t="shared" ref="G10628:G10636" si="1604">ROUND(E10628*F10628,2)</f>
        <v>4.84</v>
      </c>
    </row>
    <row r="10629" ht="39.75" customHeight="1">
      <c r="A10629" s="10" t="s">
        <v>3802</v>
      </c>
      <c r="B10629" s="10" t="s">
        <v>42</v>
      </c>
      <c r="C10629" s="10" t="s">
        <v>330</v>
      </c>
      <c r="D10629" s="10" t="s">
        <v>3803</v>
      </c>
      <c r="E10629" s="14">
        <v>0.018</v>
      </c>
      <c r="F10629" s="15">
        <f>ROUND(2.63,3)</f>
        <v>2.63</v>
      </c>
      <c r="G10629" s="12">
        <f t="shared" si="1604"/>
        <v>0.05</v>
      </c>
    </row>
    <row r="10630" ht="30.0" customHeight="1">
      <c r="A10630" s="10" t="s">
        <v>3804</v>
      </c>
      <c r="B10630" s="10" t="s">
        <v>42</v>
      </c>
      <c r="C10630" s="10" t="s">
        <v>184</v>
      </c>
      <c r="D10630" s="10" t="s">
        <v>3805</v>
      </c>
      <c r="E10630" s="14">
        <v>0.063</v>
      </c>
      <c r="F10630" s="15">
        <f>ROUND(8.35,3)</f>
        <v>8.35</v>
      </c>
      <c r="G10630" s="12">
        <f t="shared" si="1604"/>
        <v>0.53</v>
      </c>
    </row>
    <row r="10631" ht="30.0" customHeight="1">
      <c r="A10631" s="10" t="s">
        <v>2053</v>
      </c>
      <c r="B10631" s="10" t="s">
        <v>42</v>
      </c>
      <c r="C10631" s="10" t="s">
        <v>184</v>
      </c>
      <c r="D10631" s="10" t="s">
        <v>2054</v>
      </c>
      <c r="E10631" s="14">
        <v>0.0144</v>
      </c>
      <c r="F10631" s="15">
        <f>ROUND(11.74,3)</f>
        <v>11.74</v>
      </c>
      <c r="G10631" s="12">
        <f t="shared" si="1604"/>
        <v>0.17</v>
      </c>
    </row>
    <row r="10632" ht="21.0" customHeight="1">
      <c r="A10632" s="10" t="s">
        <v>22</v>
      </c>
      <c r="B10632" s="10" t="s">
        <v>18</v>
      </c>
      <c r="C10632" s="10" t="s">
        <v>23</v>
      </c>
      <c r="D10632" s="10" t="s">
        <v>24</v>
      </c>
      <c r="E10632" s="14">
        <v>0.09</v>
      </c>
      <c r="F10632" s="15">
        <f>F10636</f>
        <v>43.8</v>
      </c>
      <c r="G10632" s="12">
        <f t="shared" si="1604"/>
        <v>3.94</v>
      </c>
    </row>
    <row r="10633" ht="24.0" customHeight="1">
      <c r="A10633" s="10" t="s">
        <v>25</v>
      </c>
      <c r="B10633" s="10" t="s">
        <v>26</v>
      </c>
      <c r="C10633" s="10" t="s">
        <v>23</v>
      </c>
      <c r="D10633" s="10" t="s">
        <v>27</v>
      </c>
      <c r="E10633" s="14">
        <v>1.0</v>
      </c>
      <c r="F10633" s="15">
        <f>ROUND(21,3)</f>
        <v>21</v>
      </c>
      <c r="G10633" s="12">
        <f t="shared" si="1604"/>
        <v>21</v>
      </c>
    </row>
    <row r="10634" ht="24.0" customHeight="1">
      <c r="A10634" s="10" t="s">
        <v>28</v>
      </c>
      <c r="B10634" s="10" t="s">
        <v>26</v>
      </c>
      <c r="C10634" s="10" t="s">
        <v>23</v>
      </c>
      <c r="D10634" s="10" t="s">
        <v>29</v>
      </c>
      <c r="E10634" s="14">
        <v>1.0</v>
      </c>
      <c r="F10634" s="15">
        <f t="shared" ref="F10634:F10635" si="1605">ROUND(19,3)</f>
        <v>19</v>
      </c>
      <c r="G10634" s="12">
        <f t="shared" si="1604"/>
        <v>19</v>
      </c>
    </row>
    <row r="10635" ht="24.0" customHeight="1">
      <c r="A10635" s="10" t="s">
        <v>30</v>
      </c>
      <c r="B10635" s="10" t="s">
        <v>26</v>
      </c>
      <c r="C10635" s="10" t="s">
        <v>23</v>
      </c>
      <c r="D10635" s="10" t="s">
        <v>31</v>
      </c>
      <c r="E10635" s="14">
        <v>0.2</v>
      </c>
      <c r="F10635" s="15">
        <f t="shared" si="1605"/>
        <v>19</v>
      </c>
      <c r="G10635" s="12">
        <f t="shared" si="1604"/>
        <v>3.8</v>
      </c>
    </row>
    <row r="10636" ht="15.0" customHeight="1">
      <c r="A10636" s="11"/>
      <c r="B10636" s="11"/>
      <c r="C10636" s="11"/>
      <c r="D10636" s="10" t="s">
        <v>22</v>
      </c>
      <c r="E10636" s="14">
        <v>0.09</v>
      </c>
      <c r="F10636" s="15">
        <f>ROUND((G10633+G10634+G10635),3)</f>
        <v>43.8</v>
      </c>
      <c r="G10636" s="12">
        <f t="shared" si="1604"/>
        <v>3.94</v>
      </c>
    </row>
    <row r="10637" ht="15.0" customHeight="1">
      <c r="A10637" s="10" t="s">
        <v>32</v>
      </c>
      <c r="B10637" s="10"/>
      <c r="C10637" s="10" t="s">
        <v>33</v>
      </c>
      <c r="D10637" s="10" t="s">
        <v>34</v>
      </c>
      <c r="E10637" s="14">
        <v>3.0</v>
      </c>
      <c r="F10637" s="15">
        <f>ROUND(3.94,3)</f>
        <v>3.94</v>
      </c>
      <c r="G10637" s="12">
        <f>ROUND((E10637*F10637)/100,2)</f>
        <v>0.12</v>
      </c>
    </row>
    <row r="10638" ht="15.0" customHeight="1">
      <c r="A10638" s="16"/>
      <c r="B10638" s="16"/>
      <c r="C10638" s="16"/>
      <c r="D10638" s="17" t="s">
        <v>4747</v>
      </c>
      <c r="E10638" s="16"/>
      <c r="F10638" s="18">
        <f>ROUND((G10628+G10629+G10630+G10631+G10632+G10637)*(1+G2/100),2)</f>
        <v>9.65</v>
      </c>
      <c r="G10638" s="16"/>
    </row>
    <row r="10639" ht="15.0" customHeight="1">
      <c r="A10639" s="19" t="s">
        <v>4750</v>
      </c>
      <c r="B10639" s="20" t="s">
        <v>18</v>
      </c>
      <c r="C10639" s="20" t="s">
        <v>251</v>
      </c>
      <c r="D10639" s="20" t="s">
        <v>4751</v>
      </c>
      <c r="E10639" s="21"/>
      <c r="F10639" s="22">
        <f>F10648</f>
        <v>20.87</v>
      </c>
      <c r="G10639" s="21"/>
    </row>
    <row r="10640" ht="30.0" customHeight="1">
      <c r="A10640" s="11"/>
      <c r="B10640" s="11"/>
      <c r="C10640" s="11"/>
      <c r="D10640" s="10" t="s">
        <v>4752</v>
      </c>
    </row>
    <row r="10641" ht="21.0" customHeight="1">
      <c r="A10641" s="10" t="s">
        <v>4753</v>
      </c>
      <c r="B10641" s="10" t="s">
        <v>42</v>
      </c>
      <c r="C10641" s="10" t="s">
        <v>255</v>
      </c>
      <c r="D10641" s="10" t="s">
        <v>4754</v>
      </c>
      <c r="E10641" s="14">
        <v>0.583</v>
      </c>
      <c r="F10641" s="15">
        <f>ROUND(28.06,3)</f>
        <v>28.06</v>
      </c>
      <c r="G10641" s="12">
        <f t="shared" ref="G10641:G10646" si="1606">ROUND(E10641*F10641,2)</f>
        <v>16.36</v>
      </c>
    </row>
    <row r="10642" ht="21.0" customHeight="1">
      <c r="A10642" s="10" t="s">
        <v>22</v>
      </c>
      <c r="B10642" s="10" t="s">
        <v>18</v>
      </c>
      <c r="C10642" s="10" t="s">
        <v>23</v>
      </c>
      <c r="D10642" s="10" t="s">
        <v>24</v>
      </c>
      <c r="E10642" s="14">
        <v>0.1</v>
      </c>
      <c r="F10642" s="15">
        <f>F10646</f>
        <v>43.8</v>
      </c>
      <c r="G10642" s="12">
        <f t="shared" si="1606"/>
        <v>4.38</v>
      </c>
    </row>
    <row r="10643" ht="24.0" customHeight="1">
      <c r="A10643" s="10" t="s">
        <v>25</v>
      </c>
      <c r="B10643" s="10" t="s">
        <v>26</v>
      </c>
      <c r="C10643" s="10" t="s">
        <v>23</v>
      </c>
      <c r="D10643" s="10" t="s">
        <v>27</v>
      </c>
      <c r="E10643" s="14">
        <v>1.0</v>
      </c>
      <c r="F10643" s="15">
        <f>ROUND(21,3)</f>
        <v>21</v>
      </c>
      <c r="G10643" s="12">
        <f t="shared" si="1606"/>
        <v>21</v>
      </c>
    </row>
    <row r="10644" ht="24.0" customHeight="1">
      <c r="A10644" s="10" t="s">
        <v>28</v>
      </c>
      <c r="B10644" s="10" t="s">
        <v>26</v>
      </c>
      <c r="C10644" s="10" t="s">
        <v>23</v>
      </c>
      <c r="D10644" s="10" t="s">
        <v>29</v>
      </c>
      <c r="E10644" s="14">
        <v>1.0</v>
      </c>
      <c r="F10644" s="15">
        <f t="shared" ref="F10644:F10645" si="1607">ROUND(19,3)</f>
        <v>19</v>
      </c>
      <c r="G10644" s="12">
        <f t="shared" si="1606"/>
        <v>19</v>
      </c>
    </row>
    <row r="10645" ht="24.0" customHeight="1">
      <c r="A10645" s="10" t="s">
        <v>30</v>
      </c>
      <c r="B10645" s="10" t="s">
        <v>26</v>
      </c>
      <c r="C10645" s="10" t="s">
        <v>23</v>
      </c>
      <c r="D10645" s="10" t="s">
        <v>31</v>
      </c>
      <c r="E10645" s="14">
        <v>0.2</v>
      </c>
      <c r="F10645" s="15">
        <f t="shared" si="1607"/>
        <v>19</v>
      </c>
      <c r="G10645" s="12">
        <f t="shared" si="1606"/>
        <v>3.8</v>
      </c>
    </row>
    <row r="10646" ht="15.0" customHeight="1">
      <c r="A10646" s="11"/>
      <c r="B10646" s="11"/>
      <c r="C10646" s="11"/>
      <c r="D10646" s="10" t="s">
        <v>22</v>
      </c>
      <c r="E10646" s="14">
        <v>0.1</v>
      </c>
      <c r="F10646" s="15">
        <f>ROUND((G10643+G10644+G10645),3)</f>
        <v>43.8</v>
      </c>
      <c r="G10646" s="12">
        <f t="shared" si="1606"/>
        <v>4.38</v>
      </c>
    </row>
    <row r="10647" ht="15.0" customHeight="1">
      <c r="A10647" s="10" t="s">
        <v>32</v>
      </c>
      <c r="B10647" s="10"/>
      <c r="C10647" s="10" t="s">
        <v>33</v>
      </c>
      <c r="D10647" s="10" t="s">
        <v>34</v>
      </c>
      <c r="E10647" s="14">
        <v>3.0</v>
      </c>
      <c r="F10647" s="15">
        <f>ROUND(4.38,3)</f>
        <v>4.38</v>
      </c>
      <c r="G10647" s="12">
        <f>ROUND((E10647*F10647)/100,2)</f>
        <v>0.13</v>
      </c>
    </row>
    <row r="10648" ht="15.0" customHeight="1">
      <c r="A10648" s="16"/>
      <c r="B10648" s="16"/>
      <c r="C10648" s="16"/>
      <c r="D10648" s="17" t="s">
        <v>4750</v>
      </c>
      <c r="E10648" s="16"/>
      <c r="F10648" s="18">
        <f>ROUND((G10641+G10642+G10647)*(1+G2/100),2)</f>
        <v>20.87</v>
      </c>
      <c r="G10648" s="16"/>
    </row>
    <row r="10649" ht="21.0" customHeight="1">
      <c r="A10649" s="19" t="s">
        <v>4755</v>
      </c>
      <c r="B10649" s="20" t="s">
        <v>18</v>
      </c>
      <c r="C10649" s="20" t="s">
        <v>251</v>
      </c>
      <c r="D10649" s="20" t="s">
        <v>4756</v>
      </c>
      <c r="E10649" s="21"/>
      <c r="F10649" s="22">
        <f>F10661</f>
        <v>46.91</v>
      </c>
      <c r="G10649" s="21"/>
    </row>
    <row r="10650" ht="57.75" customHeight="1">
      <c r="A10650" s="11"/>
      <c r="B10650" s="11"/>
      <c r="C10650" s="11"/>
      <c r="D10650" s="10" t="s">
        <v>4757</v>
      </c>
    </row>
    <row r="10651" ht="48.75" customHeight="1">
      <c r="A10651" s="10" t="s">
        <v>4758</v>
      </c>
      <c r="B10651" s="10" t="s">
        <v>42</v>
      </c>
      <c r="C10651" s="10" t="s">
        <v>1357</v>
      </c>
      <c r="D10651" s="10" t="s">
        <v>4759</v>
      </c>
      <c r="E10651" s="14">
        <v>1.05</v>
      </c>
      <c r="F10651" s="15">
        <f>ROUND(19.27,3)</f>
        <v>19.27</v>
      </c>
      <c r="G10651" s="12">
        <f t="shared" ref="G10651:G10659" si="1608">ROUND(E10651*F10651,2)</f>
        <v>20.23</v>
      </c>
    </row>
    <row r="10652" ht="39.75" customHeight="1">
      <c r="A10652" s="10" t="s">
        <v>3802</v>
      </c>
      <c r="B10652" s="10" t="s">
        <v>42</v>
      </c>
      <c r="C10652" s="10" t="s">
        <v>330</v>
      </c>
      <c r="D10652" s="10" t="s">
        <v>3803</v>
      </c>
      <c r="E10652" s="14">
        <v>0.1</v>
      </c>
      <c r="F10652" s="15">
        <f>ROUND(2.63,3)</f>
        <v>2.63</v>
      </c>
      <c r="G10652" s="12">
        <f t="shared" si="1608"/>
        <v>0.26</v>
      </c>
    </row>
    <row r="10653" ht="30.0" customHeight="1">
      <c r="A10653" s="10" t="s">
        <v>3804</v>
      </c>
      <c r="B10653" s="10" t="s">
        <v>42</v>
      </c>
      <c r="C10653" s="10" t="s">
        <v>184</v>
      </c>
      <c r="D10653" s="10" t="s">
        <v>3805</v>
      </c>
      <c r="E10653" s="14">
        <v>0.35</v>
      </c>
      <c r="F10653" s="15">
        <f>ROUND(8.35,3)</f>
        <v>8.35</v>
      </c>
      <c r="G10653" s="12">
        <f t="shared" si="1608"/>
        <v>2.92</v>
      </c>
    </row>
    <row r="10654" ht="30.0" customHeight="1">
      <c r="A10654" s="10" t="s">
        <v>2053</v>
      </c>
      <c r="B10654" s="10" t="s">
        <v>42</v>
      </c>
      <c r="C10654" s="10" t="s">
        <v>184</v>
      </c>
      <c r="D10654" s="10" t="s">
        <v>2054</v>
      </c>
      <c r="E10654" s="14">
        <v>0.08</v>
      </c>
      <c r="F10654" s="15">
        <f>ROUND(11.74,3)</f>
        <v>11.74</v>
      </c>
      <c r="G10654" s="12">
        <f t="shared" si="1608"/>
        <v>0.94</v>
      </c>
    </row>
    <row r="10655" ht="21.0" customHeight="1">
      <c r="A10655" s="10" t="s">
        <v>22</v>
      </c>
      <c r="B10655" s="10" t="s">
        <v>18</v>
      </c>
      <c r="C10655" s="10" t="s">
        <v>23</v>
      </c>
      <c r="D10655" s="10" t="s">
        <v>24</v>
      </c>
      <c r="E10655" s="14">
        <v>0.5</v>
      </c>
      <c r="F10655" s="15">
        <f>F10659</f>
        <v>43.8</v>
      </c>
      <c r="G10655" s="12">
        <f t="shared" si="1608"/>
        <v>21.9</v>
      </c>
    </row>
    <row r="10656" ht="24.0" customHeight="1">
      <c r="A10656" s="10" t="s">
        <v>25</v>
      </c>
      <c r="B10656" s="10" t="s">
        <v>26</v>
      </c>
      <c r="C10656" s="10" t="s">
        <v>23</v>
      </c>
      <c r="D10656" s="10" t="s">
        <v>27</v>
      </c>
      <c r="E10656" s="14">
        <v>1.0</v>
      </c>
      <c r="F10656" s="15">
        <f>ROUND(21,3)</f>
        <v>21</v>
      </c>
      <c r="G10656" s="12">
        <f t="shared" si="1608"/>
        <v>21</v>
      </c>
    </row>
    <row r="10657" ht="24.0" customHeight="1">
      <c r="A10657" s="10" t="s">
        <v>28</v>
      </c>
      <c r="B10657" s="10" t="s">
        <v>26</v>
      </c>
      <c r="C10657" s="10" t="s">
        <v>23</v>
      </c>
      <c r="D10657" s="10" t="s">
        <v>29</v>
      </c>
      <c r="E10657" s="14">
        <v>1.0</v>
      </c>
      <c r="F10657" s="15">
        <f t="shared" ref="F10657:F10658" si="1609">ROUND(19,3)</f>
        <v>19</v>
      </c>
      <c r="G10657" s="12">
        <f t="shared" si="1608"/>
        <v>19</v>
      </c>
    </row>
    <row r="10658" ht="24.0" customHeight="1">
      <c r="A10658" s="10" t="s">
        <v>30</v>
      </c>
      <c r="B10658" s="10" t="s">
        <v>26</v>
      </c>
      <c r="C10658" s="10" t="s">
        <v>23</v>
      </c>
      <c r="D10658" s="10" t="s">
        <v>31</v>
      </c>
      <c r="E10658" s="14">
        <v>0.2</v>
      </c>
      <c r="F10658" s="15">
        <f t="shared" si="1609"/>
        <v>19</v>
      </c>
      <c r="G10658" s="12">
        <f t="shared" si="1608"/>
        <v>3.8</v>
      </c>
    </row>
    <row r="10659" ht="15.0" customHeight="1">
      <c r="A10659" s="11"/>
      <c r="B10659" s="11"/>
      <c r="C10659" s="11"/>
      <c r="D10659" s="10" t="s">
        <v>22</v>
      </c>
      <c r="E10659" s="14">
        <v>0.5</v>
      </c>
      <c r="F10659" s="15">
        <f>ROUND((G10656+G10657+G10658),3)</f>
        <v>43.8</v>
      </c>
      <c r="G10659" s="12">
        <f t="shared" si="1608"/>
        <v>21.9</v>
      </c>
    </row>
    <row r="10660" ht="15.0" customHeight="1">
      <c r="A10660" s="10" t="s">
        <v>32</v>
      </c>
      <c r="B10660" s="10"/>
      <c r="C10660" s="10" t="s">
        <v>33</v>
      </c>
      <c r="D10660" s="10" t="s">
        <v>34</v>
      </c>
      <c r="E10660" s="14">
        <v>3.0</v>
      </c>
      <c r="F10660" s="15">
        <f>ROUND(21.9,3)</f>
        <v>21.9</v>
      </c>
      <c r="G10660" s="12">
        <f>ROUND((E10660*F10660)/100,2)</f>
        <v>0.66</v>
      </c>
    </row>
    <row r="10661" ht="15.0" customHeight="1">
      <c r="A10661" s="16"/>
      <c r="B10661" s="16"/>
      <c r="C10661" s="16"/>
      <c r="D10661" s="17" t="s">
        <v>4755</v>
      </c>
      <c r="E10661" s="16"/>
      <c r="F10661" s="18">
        <f>ROUND((G10651+G10652+G10653+G10654+G10655+G10660)*(1+G2/100),2)</f>
        <v>46.91</v>
      </c>
      <c r="G10661" s="16"/>
    </row>
    <row r="10662" ht="21.0" customHeight="1">
      <c r="A10662" s="19" t="s">
        <v>4760</v>
      </c>
      <c r="B10662" s="20" t="s">
        <v>18</v>
      </c>
      <c r="C10662" s="20" t="s">
        <v>251</v>
      </c>
      <c r="D10662" s="20" t="s">
        <v>4761</v>
      </c>
      <c r="E10662" s="21"/>
      <c r="F10662" s="22">
        <f>F10671</f>
        <v>6.47</v>
      </c>
      <c r="G10662" s="21"/>
    </row>
    <row r="10663" ht="21.0" customHeight="1">
      <c r="A10663" s="11"/>
      <c r="B10663" s="11"/>
      <c r="C10663" s="11"/>
      <c r="D10663" s="10" t="s">
        <v>4762</v>
      </c>
    </row>
    <row r="10664" ht="15.0" customHeight="1">
      <c r="A10664" s="10" t="s">
        <v>4763</v>
      </c>
      <c r="B10664" s="10" t="s">
        <v>42</v>
      </c>
      <c r="C10664" s="10" t="s">
        <v>255</v>
      </c>
      <c r="D10664" s="10" t="s">
        <v>4764</v>
      </c>
      <c r="E10664" s="14">
        <v>0.03</v>
      </c>
      <c r="F10664" s="15">
        <f>ROUND(65.45,3)</f>
        <v>65.45</v>
      </c>
      <c r="G10664" s="12">
        <f t="shared" ref="G10664:G10669" si="1610">ROUND(E10664*F10664,2)</f>
        <v>1.96</v>
      </c>
    </row>
    <row r="10665" ht="21.0" customHeight="1">
      <c r="A10665" s="10" t="s">
        <v>22</v>
      </c>
      <c r="B10665" s="10" t="s">
        <v>18</v>
      </c>
      <c r="C10665" s="10" t="s">
        <v>23</v>
      </c>
      <c r="D10665" s="10" t="s">
        <v>24</v>
      </c>
      <c r="E10665" s="14">
        <v>0.1</v>
      </c>
      <c r="F10665" s="15">
        <f>F10669</f>
        <v>43.8</v>
      </c>
      <c r="G10665" s="12">
        <f t="shared" si="1610"/>
        <v>4.38</v>
      </c>
    </row>
    <row r="10666" ht="24.0" customHeight="1">
      <c r="A10666" s="10" t="s">
        <v>25</v>
      </c>
      <c r="B10666" s="10" t="s">
        <v>26</v>
      </c>
      <c r="C10666" s="10" t="s">
        <v>23</v>
      </c>
      <c r="D10666" s="10" t="s">
        <v>27</v>
      </c>
      <c r="E10666" s="14">
        <v>1.0</v>
      </c>
      <c r="F10666" s="15">
        <f>ROUND(21,3)</f>
        <v>21</v>
      </c>
      <c r="G10666" s="12">
        <f t="shared" si="1610"/>
        <v>21</v>
      </c>
    </row>
    <row r="10667" ht="24.0" customHeight="1">
      <c r="A10667" s="10" t="s">
        <v>28</v>
      </c>
      <c r="B10667" s="10" t="s">
        <v>26</v>
      </c>
      <c r="C10667" s="10" t="s">
        <v>23</v>
      </c>
      <c r="D10667" s="10" t="s">
        <v>29</v>
      </c>
      <c r="E10667" s="14">
        <v>1.0</v>
      </c>
      <c r="F10667" s="15">
        <f t="shared" ref="F10667:F10668" si="1611">ROUND(19,3)</f>
        <v>19</v>
      </c>
      <c r="G10667" s="12">
        <f t="shared" si="1610"/>
        <v>19</v>
      </c>
    </row>
    <row r="10668" ht="24.0" customHeight="1">
      <c r="A10668" s="10" t="s">
        <v>30</v>
      </c>
      <c r="B10668" s="10" t="s">
        <v>26</v>
      </c>
      <c r="C10668" s="10" t="s">
        <v>23</v>
      </c>
      <c r="D10668" s="10" t="s">
        <v>31</v>
      </c>
      <c r="E10668" s="14">
        <v>0.2</v>
      </c>
      <c r="F10668" s="15">
        <f t="shared" si="1611"/>
        <v>19</v>
      </c>
      <c r="G10668" s="12">
        <f t="shared" si="1610"/>
        <v>3.8</v>
      </c>
    </row>
    <row r="10669" ht="15.0" customHeight="1">
      <c r="A10669" s="11"/>
      <c r="B10669" s="11"/>
      <c r="C10669" s="11"/>
      <c r="D10669" s="10" t="s">
        <v>22</v>
      </c>
      <c r="E10669" s="14">
        <v>0.1</v>
      </c>
      <c r="F10669" s="15">
        <f>ROUND((G10666+G10667+G10668),3)</f>
        <v>43.8</v>
      </c>
      <c r="G10669" s="12">
        <f t="shared" si="1610"/>
        <v>4.38</v>
      </c>
    </row>
    <row r="10670" ht="15.0" customHeight="1">
      <c r="A10670" s="10" t="s">
        <v>32</v>
      </c>
      <c r="B10670" s="10"/>
      <c r="C10670" s="10" t="s">
        <v>33</v>
      </c>
      <c r="D10670" s="10" t="s">
        <v>34</v>
      </c>
      <c r="E10670" s="14">
        <v>3.0</v>
      </c>
      <c r="F10670" s="15">
        <f>ROUND(4.38,3)</f>
        <v>4.38</v>
      </c>
      <c r="G10670" s="12">
        <f>ROUND((E10670*F10670)/100,2)</f>
        <v>0.13</v>
      </c>
    </row>
    <row r="10671" ht="15.0" customHeight="1">
      <c r="A10671" s="16"/>
      <c r="B10671" s="16"/>
      <c r="C10671" s="16"/>
      <c r="D10671" s="17" t="s">
        <v>4760</v>
      </c>
      <c r="E10671" s="16"/>
      <c r="F10671" s="18">
        <f>ROUND((G10664+G10665+G10670)*(1+G2/100),2)</f>
        <v>6.47</v>
      </c>
      <c r="G10671" s="16"/>
    </row>
    <row r="10672" ht="21.0" customHeight="1">
      <c r="A10672" s="19" t="s">
        <v>4765</v>
      </c>
      <c r="B10672" s="20" t="s">
        <v>18</v>
      </c>
      <c r="C10672" s="20" t="s">
        <v>222</v>
      </c>
      <c r="D10672" s="20" t="s">
        <v>4766</v>
      </c>
      <c r="E10672" s="21"/>
      <c r="F10672" s="22">
        <f>F10700</f>
        <v>854.86</v>
      </c>
      <c r="G10672" s="21"/>
    </row>
    <row r="10673" ht="113.25" customHeight="1">
      <c r="A10673" s="11"/>
      <c r="B10673" s="11"/>
      <c r="C10673" s="11"/>
      <c r="D10673" s="10" t="s">
        <v>4767</v>
      </c>
    </row>
    <row r="10674" ht="21.0" customHeight="1">
      <c r="A10674" s="10" t="s">
        <v>244</v>
      </c>
      <c r="B10674" s="10" t="s">
        <v>18</v>
      </c>
      <c r="C10674" s="10" t="s">
        <v>222</v>
      </c>
      <c r="D10674" s="10" t="s">
        <v>245</v>
      </c>
      <c r="E10674" s="14">
        <v>1.0</v>
      </c>
      <c r="F10674" s="15">
        <f>F10677</f>
        <v>180.46</v>
      </c>
      <c r="G10674" s="12">
        <f t="shared" ref="G10674:G10675" si="1612">ROUND(E10674*F10674,2)</f>
        <v>180.46</v>
      </c>
    </row>
    <row r="10675" ht="21.0" customHeight="1">
      <c r="A10675" s="10" t="s">
        <v>22</v>
      </c>
      <c r="B10675" s="10" t="s">
        <v>18</v>
      </c>
      <c r="C10675" s="10" t="s">
        <v>23</v>
      </c>
      <c r="D10675" s="10" t="s">
        <v>24</v>
      </c>
      <c r="E10675" s="14">
        <v>4.0</v>
      </c>
      <c r="F10675" s="15">
        <f>ROUND(43.8,3)</f>
        <v>43.8</v>
      </c>
      <c r="G10675" s="12">
        <f t="shared" si="1612"/>
        <v>175.2</v>
      </c>
    </row>
    <row r="10676" ht="15.0" customHeight="1">
      <c r="A10676" s="10" t="s">
        <v>32</v>
      </c>
      <c r="B10676" s="10"/>
      <c r="C10676" s="10" t="s">
        <v>33</v>
      </c>
      <c r="D10676" s="10" t="s">
        <v>34</v>
      </c>
      <c r="E10676" s="14">
        <v>3.0</v>
      </c>
      <c r="F10676" s="15">
        <f>ROUND(175.2,3)</f>
        <v>175.2</v>
      </c>
      <c r="G10676" s="12">
        <f>ROUND((E10676*F10676)/100,2)</f>
        <v>5.26</v>
      </c>
    </row>
    <row r="10677" ht="15.0" customHeight="1">
      <c r="A10677" s="11"/>
      <c r="B10677" s="11"/>
      <c r="C10677" s="11"/>
      <c r="D10677" s="10" t="s">
        <v>244</v>
      </c>
      <c r="E10677" s="14">
        <v>1.0</v>
      </c>
      <c r="F10677" s="15">
        <f>ROUND((G10675+G10676),3)</f>
        <v>180.46</v>
      </c>
      <c r="G10677" s="12">
        <f t="shared" ref="G10677:G10679" si="1613">ROUND(E10677*F10677,2)</f>
        <v>180.46</v>
      </c>
    </row>
    <row r="10678" ht="21.0" customHeight="1">
      <c r="A10678" s="10" t="s">
        <v>875</v>
      </c>
      <c r="B10678" s="10" t="s">
        <v>18</v>
      </c>
      <c r="C10678" s="10" t="s">
        <v>251</v>
      </c>
      <c r="D10678" s="10" t="s">
        <v>876</v>
      </c>
      <c r="E10678" s="14">
        <v>16.0</v>
      </c>
      <c r="F10678" s="15">
        <f>F10681</f>
        <v>15.79</v>
      </c>
      <c r="G10678" s="12">
        <f t="shared" si="1613"/>
        <v>252.64</v>
      </c>
    </row>
    <row r="10679" ht="21.0" customHeight="1">
      <c r="A10679" s="10" t="s">
        <v>22</v>
      </c>
      <c r="B10679" s="10" t="s">
        <v>18</v>
      </c>
      <c r="C10679" s="10" t="s">
        <v>23</v>
      </c>
      <c r="D10679" s="10" t="s">
        <v>24</v>
      </c>
      <c r="E10679" s="14">
        <v>0.35</v>
      </c>
      <c r="F10679" s="15">
        <f>ROUND(43.8,3)</f>
        <v>43.8</v>
      </c>
      <c r="G10679" s="12">
        <f t="shared" si="1613"/>
        <v>15.33</v>
      </c>
    </row>
    <row r="10680" ht="15.0" customHeight="1">
      <c r="A10680" s="10" t="s">
        <v>32</v>
      </c>
      <c r="B10680" s="10"/>
      <c r="C10680" s="10" t="s">
        <v>33</v>
      </c>
      <c r="D10680" s="10" t="s">
        <v>34</v>
      </c>
      <c r="E10680" s="14">
        <v>3.0</v>
      </c>
      <c r="F10680" s="15">
        <f>ROUND(15.33,3)</f>
        <v>15.33</v>
      </c>
      <c r="G10680" s="12">
        <f>ROUND((E10680*F10680)/100,2)</f>
        <v>0.46</v>
      </c>
    </row>
    <row r="10681" ht="15.0" customHeight="1">
      <c r="A10681" s="11"/>
      <c r="B10681" s="11"/>
      <c r="C10681" s="11"/>
      <c r="D10681" s="10" t="s">
        <v>875</v>
      </c>
      <c r="E10681" s="14">
        <v>16.0</v>
      </c>
      <c r="F10681" s="15">
        <f>ROUND((G10679+G10680),3)</f>
        <v>15.79</v>
      </c>
      <c r="G10681" s="12">
        <f t="shared" ref="G10681:G10687" si="1614">ROUND(E10681*F10681,2)</f>
        <v>252.64</v>
      </c>
    </row>
    <row r="10682" ht="15.0" customHeight="1">
      <c r="A10682" s="10" t="s">
        <v>1677</v>
      </c>
      <c r="B10682" s="10" t="s">
        <v>18</v>
      </c>
      <c r="C10682" s="10" t="s">
        <v>251</v>
      </c>
      <c r="D10682" s="10" t="s">
        <v>1678</v>
      </c>
      <c r="E10682" s="14">
        <v>16.0</v>
      </c>
      <c r="F10682" s="15">
        <f>F10689</f>
        <v>17.24</v>
      </c>
      <c r="G10682" s="12">
        <f t="shared" si="1614"/>
        <v>275.84</v>
      </c>
    </row>
    <row r="10683" ht="30.0" customHeight="1">
      <c r="A10683" s="10" t="s">
        <v>1679</v>
      </c>
      <c r="B10683" s="10" t="s">
        <v>42</v>
      </c>
      <c r="C10683" s="10" t="s">
        <v>226</v>
      </c>
      <c r="D10683" s="10" t="s">
        <v>1680</v>
      </c>
      <c r="E10683" s="14">
        <v>0.022</v>
      </c>
      <c r="F10683" s="15">
        <f>ROUND(39.5,3)</f>
        <v>39.5</v>
      </c>
      <c r="G10683" s="12">
        <f t="shared" si="1614"/>
        <v>0.87</v>
      </c>
    </row>
    <row r="10684" ht="30.0" customHeight="1">
      <c r="A10684" s="10" t="s">
        <v>1681</v>
      </c>
      <c r="B10684" s="10" t="s">
        <v>42</v>
      </c>
      <c r="C10684" s="10" t="s">
        <v>184</v>
      </c>
      <c r="D10684" s="10" t="s">
        <v>1682</v>
      </c>
      <c r="E10684" s="14">
        <v>1.0</v>
      </c>
      <c r="F10684" s="15">
        <f>ROUND(1.29,3)</f>
        <v>1.29</v>
      </c>
      <c r="G10684" s="12">
        <f t="shared" si="1614"/>
        <v>1.29</v>
      </c>
    </row>
    <row r="10685" ht="30.0" customHeight="1">
      <c r="A10685" s="10" t="s">
        <v>1683</v>
      </c>
      <c r="B10685" s="10" t="s">
        <v>42</v>
      </c>
      <c r="C10685" s="10" t="s">
        <v>344</v>
      </c>
      <c r="D10685" s="10" t="s">
        <v>1684</v>
      </c>
      <c r="E10685" s="14">
        <v>0.1</v>
      </c>
      <c r="F10685" s="15">
        <f>ROUND(1.19,3)</f>
        <v>1.19</v>
      </c>
      <c r="G10685" s="12">
        <f t="shared" si="1614"/>
        <v>0.12</v>
      </c>
    </row>
    <row r="10686" ht="21.0" customHeight="1">
      <c r="A10686" s="10" t="s">
        <v>1685</v>
      </c>
      <c r="B10686" s="10" t="s">
        <v>42</v>
      </c>
      <c r="C10686" s="10" t="s">
        <v>351</v>
      </c>
      <c r="D10686" s="10" t="s">
        <v>1686</v>
      </c>
      <c r="E10686" s="14">
        <v>0.25</v>
      </c>
      <c r="F10686" s="15">
        <f>ROUND(0.32,3)</f>
        <v>0.32</v>
      </c>
      <c r="G10686" s="12">
        <f t="shared" si="1614"/>
        <v>0.08</v>
      </c>
    </row>
    <row r="10687" ht="21.0" customHeight="1">
      <c r="A10687" s="10" t="s">
        <v>22</v>
      </c>
      <c r="B10687" s="10" t="s">
        <v>18</v>
      </c>
      <c r="C10687" s="10" t="s">
        <v>23</v>
      </c>
      <c r="D10687" s="10" t="s">
        <v>24</v>
      </c>
      <c r="E10687" s="14">
        <v>0.33</v>
      </c>
      <c r="F10687" s="15">
        <f>ROUND(43.8,3)</f>
        <v>43.8</v>
      </c>
      <c r="G10687" s="12">
        <f t="shared" si="1614"/>
        <v>14.45</v>
      </c>
    </row>
    <row r="10688" ht="15.0" customHeight="1">
      <c r="A10688" s="10" t="s">
        <v>32</v>
      </c>
      <c r="B10688" s="10"/>
      <c r="C10688" s="10" t="s">
        <v>33</v>
      </c>
      <c r="D10688" s="10" t="s">
        <v>34</v>
      </c>
      <c r="E10688" s="14">
        <v>3.0</v>
      </c>
      <c r="F10688" s="15">
        <f>ROUND(14.45,3)</f>
        <v>14.45</v>
      </c>
      <c r="G10688" s="12">
        <f>ROUND((E10688*F10688)/100,2)</f>
        <v>0.43</v>
      </c>
    </row>
    <row r="10689" ht="15.0" customHeight="1">
      <c r="A10689" s="11"/>
      <c r="B10689" s="11"/>
      <c r="C10689" s="11"/>
      <c r="D10689" s="10" t="s">
        <v>1677</v>
      </c>
      <c r="E10689" s="14">
        <v>16.0</v>
      </c>
      <c r="F10689" s="15">
        <f>ROUND((G10683+G10684+G10685+G10686+G10687+G10688),3)</f>
        <v>17.24</v>
      </c>
      <c r="G10689" s="12">
        <f t="shared" ref="G10689:G10697" si="1615">ROUND(E10689*F10689,2)</f>
        <v>275.84</v>
      </c>
    </row>
    <row r="10690" ht="21.0" customHeight="1">
      <c r="A10690" s="10" t="s">
        <v>4768</v>
      </c>
      <c r="B10690" s="10" t="s">
        <v>18</v>
      </c>
      <c r="C10690" s="10" t="s">
        <v>251</v>
      </c>
      <c r="D10690" s="10" t="s">
        <v>4769</v>
      </c>
      <c r="E10690" s="14">
        <v>16.0</v>
      </c>
      <c r="F10690" s="15">
        <f>F10699</f>
        <v>9.12</v>
      </c>
      <c r="G10690" s="12">
        <f t="shared" si="1615"/>
        <v>145.92</v>
      </c>
    </row>
    <row r="10691" ht="24.0" customHeight="1">
      <c r="A10691" s="10" t="s">
        <v>4770</v>
      </c>
      <c r="B10691" s="10" t="s">
        <v>42</v>
      </c>
      <c r="C10691" s="10" t="s">
        <v>295</v>
      </c>
      <c r="D10691" s="10" t="s">
        <v>4771</v>
      </c>
      <c r="E10691" s="14">
        <v>0.0214</v>
      </c>
      <c r="F10691" s="15">
        <f>ROUND(42.7,3)</f>
        <v>42.7</v>
      </c>
      <c r="G10691" s="12">
        <f t="shared" si="1615"/>
        <v>0.91</v>
      </c>
    </row>
    <row r="10692" ht="24.0" customHeight="1">
      <c r="A10692" s="10" t="s">
        <v>1667</v>
      </c>
      <c r="B10692" s="10" t="s">
        <v>42</v>
      </c>
      <c r="C10692" s="10" t="s">
        <v>295</v>
      </c>
      <c r="D10692" s="10" t="s">
        <v>1668</v>
      </c>
      <c r="E10692" s="14">
        <v>0.01</v>
      </c>
      <c r="F10692" s="15">
        <f>ROUND(85.93,3)</f>
        <v>85.93</v>
      </c>
      <c r="G10692" s="12">
        <f t="shared" si="1615"/>
        <v>0.86</v>
      </c>
    </row>
    <row r="10693" ht="30.0" customHeight="1">
      <c r="A10693" s="10" t="s">
        <v>1669</v>
      </c>
      <c r="B10693" s="10" t="s">
        <v>42</v>
      </c>
      <c r="C10693" s="10" t="s">
        <v>304</v>
      </c>
      <c r="D10693" s="10" t="s">
        <v>1670</v>
      </c>
      <c r="E10693" s="14">
        <v>0.011</v>
      </c>
      <c r="F10693" s="15">
        <f>ROUND(2.52,3)</f>
        <v>2.52</v>
      </c>
      <c r="G10693" s="12">
        <f t="shared" si="1615"/>
        <v>0.03</v>
      </c>
    </row>
    <row r="10694" ht="24.0" customHeight="1">
      <c r="A10694" s="10" t="s">
        <v>1671</v>
      </c>
      <c r="B10694" s="10" t="s">
        <v>42</v>
      </c>
      <c r="C10694" s="10" t="s">
        <v>304</v>
      </c>
      <c r="D10694" s="10" t="s">
        <v>1672</v>
      </c>
      <c r="E10694" s="14">
        <v>0.011</v>
      </c>
      <c r="F10694" s="15">
        <f>ROUND(4.73,3)</f>
        <v>4.73</v>
      </c>
      <c r="G10694" s="12">
        <f t="shared" si="1615"/>
        <v>0.05</v>
      </c>
    </row>
    <row r="10695" ht="24.0" customHeight="1">
      <c r="A10695" s="10" t="s">
        <v>1673</v>
      </c>
      <c r="B10695" s="10" t="s">
        <v>42</v>
      </c>
      <c r="C10695" s="10" t="s">
        <v>304</v>
      </c>
      <c r="D10695" s="10" t="s">
        <v>1674</v>
      </c>
      <c r="E10695" s="14">
        <v>0.015</v>
      </c>
      <c r="F10695" s="15">
        <f>ROUND(0.65,3)</f>
        <v>0.65</v>
      </c>
      <c r="G10695" s="12">
        <f t="shared" si="1615"/>
        <v>0.01</v>
      </c>
    </row>
    <row r="10696" ht="24.0" customHeight="1">
      <c r="A10696" s="10" t="s">
        <v>1675</v>
      </c>
      <c r="B10696" s="10" t="s">
        <v>42</v>
      </c>
      <c r="C10696" s="10" t="s">
        <v>304</v>
      </c>
      <c r="D10696" s="10" t="s">
        <v>1676</v>
      </c>
      <c r="E10696" s="14">
        <v>0.011</v>
      </c>
      <c r="F10696" s="15">
        <f>ROUND(4.06,3)</f>
        <v>4.06</v>
      </c>
      <c r="G10696" s="12">
        <f t="shared" si="1615"/>
        <v>0.04</v>
      </c>
    </row>
    <row r="10697" ht="21.0" customHeight="1">
      <c r="A10697" s="10" t="s">
        <v>22</v>
      </c>
      <c r="B10697" s="10" t="s">
        <v>18</v>
      </c>
      <c r="C10697" s="10" t="s">
        <v>23</v>
      </c>
      <c r="D10697" s="10" t="s">
        <v>24</v>
      </c>
      <c r="E10697" s="14">
        <v>0.16</v>
      </c>
      <c r="F10697" s="15">
        <f>ROUND(43.8,3)</f>
        <v>43.8</v>
      </c>
      <c r="G10697" s="12">
        <f t="shared" si="1615"/>
        <v>7.01</v>
      </c>
    </row>
    <row r="10698" ht="15.0" customHeight="1">
      <c r="A10698" s="10" t="s">
        <v>32</v>
      </c>
      <c r="B10698" s="10"/>
      <c r="C10698" s="10" t="s">
        <v>33</v>
      </c>
      <c r="D10698" s="10" t="s">
        <v>34</v>
      </c>
      <c r="E10698" s="14">
        <v>3.0</v>
      </c>
      <c r="F10698" s="15">
        <f>ROUND(7.01,3)</f>
        <v>7.01</v>
      </c>
      <c r="G10698" s="12">
        <f>ROUND((E10698*F10698)/100,2)</f>
        <v>0.21</v>
      </c>
    </row>
    <row r="10699" ht="15.0" customHeight="1">
      <c r="A10699" s="11"/>
      <c r="B10699" s="11"/>
      <c r="C10699" s="11"/>
      <c r="D10699" s="10" t="s">
        <v>4768</v>
      </c>
      <c r="E10699" s="14">
        <v>16.0</v>
      </c>
      <c r="F10699" s="15">
        <f>ROUND((G10691+G10692+G10693+G10694+G10695+G10696+G10697+G10698),3)</f>
        <v>9.12</v>
      </c>
      <c r="G10699" s="12">
        <f>ROUND(E10699*F10699,2)</f>
        <v>145.92</v>
      </c>
    </row>
    <row r="10700" ht="15.0" customHeight="1">
      <c r="A10700" s="16"/>
      <c r="B10700" s="16"/>
      <c r="C10700" s="16"/>
      <c r="D10700" s="17" t="s">
        <v>4765</v>
      </c>
      <c r="E10700" s="16"/>
      <c r="F10700" s="18">
        <f>ROUND((G10674+G10678+G10682+G10690)*(1+G2/100),2)</f>
        <v>854.86</v>
      </c>
      <c r="G10700" s="16"/>
    </row>
    <row r="10701" ht="15.0" customHeight="1">
      <c r="A10701" s="19" t="s">
        <v>1677</v>
      </c>
      <c r="B10701" s="20" t="s">
        <v>18</v>
      </c>
      <c r="C10701" s="20" t="s">
        <v>251</v>
      </c>
      <c r="D10701" s="20" t="s">
        <v>1678</v>
      </c>
      <c r="E10701" s="21"/>
      <c r="F10701" s="22">
        <f>F10713</f>
        <v>17.24</v>
      </c>
      <c r="G10701" s="21"/>
    </row>
    <row r="10702" ht="21.0" customHeight="1">
      <c r="A10702" s="11"/>
      <c r="B10702" s="11"/>
      <c r="C10702" s="11"/>
      <c r="D10702" s="10" t="s">
        <v>4772</v>
      </c>
    </row>
    <row r="10703" ht="30.0" customHeight="1">
      <c r="A10703" s="10" t="s">
        <v>1679</v>
      </c>
      <c r="B10703" s="10" t="s">
        <v>42</v>
      </c>
      <c r="C10703" s="10" t="s">
        <v>226</v>
      </c>
      <c r="D10703" s="10" t="s">
        <v>1680</v>
      </c>
      <c r="E10703" s="14">
        <v>0.022</v>
      </c>
      <c r="F10703" s="15">
        <f>ROUND(39.5,3)</f>
        <v>39.5</v>
      </c>
      <c r="G10703" s="12">
        <f t="shared" ref="G10703:G10711" si="1616">ROUND(E10703*F10703,2)</f>
        <v>0.87</v>
      </c>
    </row>
    <row r="10704" ht="30.0" customHeight="1">
      <c r="A10704" s="10" t="s">
        <v>1681</v>
      </c>
      <c r="B10704" s="10" t="s">
        <v>42</v>
      </c>
      <c r="C10704" s="10" t="s">
        <v>184</v>
      </c>
      <c r="D10704" s="10" t="s">
        <v>1682</v>
      </c>
      <c r="E10704" s="14">
        <v>1.0</v>
      </c>
      <c r="F10704" s="15">
        <f>ROUND(1.29,3)</f>
        <v>1.29</v>
      </c>
      <c r="G10704" s="12">
        <f t="shared" si="1616"/>
        <v>1.29</v>
      </c>
    </row>
    <row r="10705" ht="30.0" customHeight="1">
      <c r="A10705" s="10" t="s">
        <v>1683</v>
      </c>
      <c r="B10705" s="10" t="s">
        <v>42</v>
      </c>
      <c r="C10705" s="10" t="s">
        <v>344</v>
      </c>
      <c r="D10705" s="10" t="s">
        <v>1684</v>
      </c>
      <c r="E10705" s="14">
        <v>0.1</v>
      </c>
      <c r="F10705" s="15">
        <f>ROUND(1.19,3)</f>
        <v>1.19</v>
      </c>
      <c r="G10705" s="12">
        <f t="shared" si="1616"/>
        <v>0.12</v>
      </c>
    </row>
    <row r="10706" ht="21.0" customHeight="1">
      <c r="A10706" s="10" t="s">
        <v>1685</v>
      </c>
      <c r="B10706" s="10" t="s">
        <v>42</v>
      </c>
      <c r="C10706" s="10" t="s">
        <v>351</v>
      </c>
      <c r="D10706" s="10" t="s">
        <v>1686</v>
      </c>
      <c r="E10706" s="14">
        <v>0.25</v>
      </c>
      <c r="F10706" s="15">
        <f>ROUND(0.32,3)</f>
        <v>0.32</v>
      </c>
      <c r="G10706" s="12">
        <f t="shared" si="1616"/>
        <v>0.08</v>
      </c>
    </row>
    <row r="10707" ht="21.0" customHeight="1">
      <c r="A10707" s="10" t="s">
        <v>22</v>
      </c>
      <c r="B10707" s="10" t="s">
        <v>18</v>
      </c>
      <c r="C10707" s="10" t="s">
        <v>23</v>
      </c>
      <c r="D10707" s="10" t="s">
        <v>24</v>
      </c>
      <c r="E10707" s="14">
        <v>0.33</v>
      </c>
      <c r="F10707" s="15">
        <f>F10711</f>
        <v>43.8</v>
      </c>
      <c r="G10707" s="12">
        <f t="shared" si="1616"/>
        <v>14.45</v>
      </c>
    </row>
    <row r="10708" ht="24.0" customHeight="1">
      <c r="A10708" s="10" t="s">
        <v>25</v>
      </c>
      <c r="B10708" s="10" t="s">
        <v>26</v>
      </c>
      <c r="C10708" s="10" t="s">
        <v>23</v>
      </c>
      <c r="D10708" s="10" t="s">
        <v>27</v>
      </c>
      <c r="E10708" s="14">
        <v>1.0</v>
      </c>
      <c r="F10708" s="15">
        <f>ROUND(21,3)</f>
        <v>21</v>
      </c>
      <c r="G10708" s="12">
        <f t="shared" si="1616"/>
        <v>21</v>
      </c>
    </row>
    <row r="10709" ht="24.0" customHeight="1">
      <c r="A10709" s="10" t="s">
        <v>28</v>
      </c>
      <c r="B10709" s="10" t="s">
        <v>26</v>
      </c>
      <c r="C10709" s="10" t="s">
        <v>23</v>
      </c>
      <c r="D10709" s="10" t="s">
        <v>29</v>
      </c>
      <c r="E10709" s="14">
        <v>1.0</v>
      </c>
      <c r="F10709" s="15">
        <f t="shared" ref="F10709:F10710" si="1617">ROUND(19,3)</f>
        <v>19</v>
      </c>
      <c r="G10709" s="12">
        <f t="shared" si="1616"/>
        <v>19</v>
      </c>
    </row>
    <row r="10710" ht="24.0" customHeight="1">
      <c r="A10710" s="10" t="s">
        <v>30</v>
      </c>
      <c r="B10710" s="10" t="s">
        <v>26</v>
      </c>
      <c r="C10710" s="10" t="s">
        <v>23</v>
      </c>
      <c r="D10710" s="10" t="s">
        <v>31</v>
      </c>
      <c r="E10710" s="14">
        <v>0.2</v>
      </c>
      <c r="F10710" s="15">
        <f t="shared" si="1617"/>
        <v>19</v>
      </c>
      <c r="G10710" s="12">
        <f t="shared" si="1616"/>
        <v>3.8</v>
      </c>
    </row>
    <row r="10711" ht="15.0" customHeight="1">
      <c r="A10711" s="11"/>
      <c r="B10711" s="11"/>
      <c r="C10711" s="11"/>
      <c r="D10711" s="10" t="s">
        <v>22</v>
      </c>
      <c r="E10711" s="14">
        <v>0.33</v>
      </c>
      <c r="F10711" s="15">
        <f>ROUND((G10708+G10709+G10710),3)</f>
        <v>43.8</v>
      </c>
      <c r="G10711" s="12">
        <f t="shared" si="1616"/>
        <v>14.45</v>
      </c>
    </row>
    <row r="10712" ht="15.0" customHeight="1">
      <c r="A10712" s="10" t="s">
        <v>32</v>
      </c>
      <c r="B10712" s="10"/>
      <c r="C10712" s="10" t="s">
        <v>33</v>
      </c>
      <c r="D10712" s="10" t="s">
        <v>34</v>
      </c>
      <c r="E10712" s="14">
        <v>3.0</v>
      </c>
      <c r="F10712" s="15">
        <f>ROUND(14.45,3)</f>
        <v>14.45</v>
      </c>
      <c r="G10712" s="12">
        <f>ROUND((E10712*F10712)/100,2)</f>
        <v>0.43</v>
      </c>
    </row>
    <row r="10713" ht="15.0" customHeight="1">
      <c r="A10713" s="16"/>
      <c r="B10713" s="16"/>
      <c r="C10713" s="16"/>
      <c r="D10713" s="17" t="s">
        <v>1677</v>
      </c>
      <c r="E10713" s="16"/>
      <c r="F10713" s="18">
        <f>ROUND((G10703+G10704+G10705+G10706+G10707+G10712)*(1+G2/100),2)</f>
        <v>17.24</v>
      </c>
      <c r="G10713" s="16"/>
    </row>
    <row r="10714" ht="15.0" customHeight="1">
      <c r="A10714" s="19" t="s">
        <v>4773</v>
      </c>
      <c r="B10714" s="20" t="s">
        <v>18</v>
      </c>
      <c r="C10714" s="20" t="s">
        <v>251</v>
      </c>
      <c r="D10714" s="20" t="s">
        <v>4774</v>
      </c>
      <c r="E10714" s="21"/>
      <c r="F10714" s="22">
        <f>F10718</f>
        <v>10.95</v>
      </c>
      <c r="G10714" s="21"/>
    </row>
    <row r="10715" ht="21.0" customHeight="1">
      <c r="A10715" s="11"/>
      <c r="B10715" s="11"/>
      <c r="C10715" s="11"/>
      <c r="D10715" s="10" t="s">
        <v>4775</v>
      </c>
    </row>
    <row r="10716" ht="30.0" customHeight="1">
      <c r="A10716" s="10" t="s">
        <v>1723</v>
      </c>
      <c r="B10716" s="10" t="s">
        <v>42</v>
      </c>
      <c r="C10716" s="10" t="s">
        <v>1207</v>
      </c>
      <c r="D10716" s="10" t="s">
        <v>1724</v>
      </c>
      <c r="E10716" s="14">
        <v>15.0</v>
      </c>
      <c r="F10716" s="15">
        <f>ROUND(0.07,3)</f>
        <v>0.07</v>
      </c>
      <c r="G10716" s="12">
        <f t="shared" ref="G10716:G10717" si="1618">ROUND(E10716*F10716,2)</f>
        <v>1.05</v>
      </c>
    </row>
    <row r="10717" ht="24.0" customHeight="1">
      <c r="A10717" s="10" t="s">
        <v>1186</v>
      </c>
      <c r="B10717" s="10" t="s">
        <v>26</v>
      </c>
      <c r="C10717" s="10" t="s">
        <v>23</v>
      </c>
      <c r="D10717" s="10" t="s">
        <v>1187</v>
      </c>
      <c r="E10717" s="14">
        <v>0.2</v>
      </c>
      <c r="F10717" s="15">
        <f>ROUND(49.5,3)</f>
        <v>49.5</v>
      </c>
      <c r="G10717" s="12">
        <f t="shared" si="1618"/>
        <v>9.9</v>
      </c>
    </row>
    <row r="10718" ht="15.0" customHeight="1">
      <c r="A10718" s="16"/>
      <c r="B10718" s="16"/>
      <c r="C10718" s="16"/>
      <c r="D10718" s="17" t="s">
        <v>4773</v>
      </c>
      <c r="E10718" s="16"/>
      <c r="F10718" s="18">
        <f>ROUND((G10716+G10717)*(1+G2/100),2)</f>
        <v>10.95</v>
      </c>
      <c r="G10718" s="16"/>
    </row>
    <row r="10719" ht="21.0" customHeight="1">
      <c r="A10719" s="19" t="s">
        <v>4776</v>
      </c>
      <c r="B10719" s="20" t="s">
        <v>18</v>
      </c>
      <c r="C10719" s="20" t="s">
        <v>251</v>
      </c>
      <c r="D10719" s="20" t="s">
        <v>4777</v>
      </c>
      <c r="E10719" s="21"/>
      <c r="F10719" s="22">
        <f>F10724</f>
        <v>146.9</v>
      </c>
      <c r="G10719" s="21"/>
    </row>
    <row r="10720" ht="12.0" customHeight="1">
      <c r="A10720" s="11"/>
      <c r="B10720" s="11"/>
      <c r="C10720" s="11"/>
      <c r="D10720" s="10" t="s">
        <v>4777</v>
      </c>
    </row>
    <row r="10721" ht="21.0" customHeight="1">
      <c r="A10721" s="10" t="s">
        <v>4778</v>
      </c>
      <c r="B10721" s="10" t="s">
        <v>42</v>
      </c>
      <c r="C10721" s="10" t="s">
        <v>1181</v>
      </c>
      <c r="D10721" s="10" t="s">
        <v>4779</v>
      </c>
      <c r="E10721" s="14">
        <v>0.025</v>
      </c>
      <c r="F10721" s="15">
        <f>ROUND(121.43,3)</f>
        <v>121.43</v>
      </c>
      <c r="G10721" s="12">
        <f t="shared" ref="G10721:G10723" si="1619">ROUND(E10721*F10721,2)</f>
        <v>3.04</v>
      </c>
    </row>
    <row r="10722" ht="15.0" customHeight="1">
      <c r="A10722" s="10" t="s">
        <v>4780</v>
      </c>
      <c r="B10722" s="10" t="s">
        <v>42</v>
      </c>
      <c r="C10722" s="10" t="s">
        <v>1207</v>
      </c>
      <c r="D10722" s="10" t="s">
        <v>4781</v>
      </c>
      <c r="E10722" s="14">
        <v>0.15</v>
      </c>
      <c r="F10722" s="15">
        <f>ROUND(9.09,3)</f>
        <v>9.09</v>
      </c>
      <c r="G10722" s="12">
        <f t="shared" si="1619"/>
        <v>1.36</v>
      </c>
    </row>
    <row r="10723" ht="24.0" customHeight="1">
      <c r="A10723" s="10" t="s">
        <v>1547</v>
      </c>
      <c r="B10723" s="10" t="s">
        <v>26</v>
      </c>
      <c r="C10723" s="10" t="s">
        <v>23</v>
      </c>
      <c r="D10723" s="10" t="s">
        <v>1548</v>
      </c>
      <c r="E10723" s="14">
        <v>3.0</v>
      </c>
      <c r="F10723" s="15">
        <f>ROUND(47.5,3)</f>
        <v>47.5</v>
      </c>
      <c r="G10723" s="12">
        <f t="shared" si="1619"/>
        <v>142.5</v>
      </c>
    </row>
    <row r="10724" ht="15.0" customHeight="1">
      <c r="A10724" s="16"/>
      <c r="B10724" s="16"/>
      <c r="C10724" s="16"/>
      <c r="D10724" s="17" t="s">
        <v>4776</v>
      </c>
      <c r="E10724" s="16"/>
      <c r="F10724" s="18">
        <f>ROUND((G10721+G10722+G10723)*(1+G2/100),2)</f>
        <v>146.9</v>
      </c>
      <c r="G10724" s="16"/>
    </row>
    <row r="10725" ht="15.0" customHeight="1">
      <c r="A10725" s="19" t="s">
        <v>4782</v>
      </c>
      <c r="B10725" s="20" t="s">
        <v>18</v>
      </c>
      <c r="C10725" s="20" t="s">
        <v>222</v>
      </c>
      <c r="D10725" s="20" t="s">
        <v>4783</v>
      </c>
      <c r="E10725" s="21"/>
      <c r="F10725" s="22">
        <f>F10758</f>
        <v>905.06</v>
      </c>
      <c r="G10725" s="21"/>
    </row>
    <row r="10726" ht="39.75" customHeight="1">
      <c r="A10726" s="11"/>
      <c r="B10726" s="11"/>
      <c r="C10726" s="11"/>
      <c r="D10726" s="10" t="s">
        <v>4784</v>
      </c>
    </row>
    <row r="10727" ht="21.0" customHeight="1">
      <c r="A10727" s="10" t="s">
        <v>869</v>
      </c>
      <c r="B10727" s="10" t="s">
        <v>18</v>
      </c>
      <c r="C10727" s="10" t="s">
        <v>19</v>
      </c>
      <c r="D10727" s="10" t="s">
        <v>870</v>
      </c>
      <c r="E10727" s="14">
        <v>13.0</v>
      </c>
      <c r="F10727" s="15">
        <f>F10731</f>
        <v>13.9</v>
      </c>
      <c r="G10727" s="12">
        <f t="shared" ref="G10727:G10729" si="1620">ROUND(E10727*F10727,2)</f>
        <v>180.7</v>
      </c>
    </row>
    <row r="10728" ht="30.0" customHeight="1">
      <c r="A10728" s="10" t="s">
        <v>748</v>
      </c>
      <c r="B10728" s="10" t="s">
        <v>112</v>
      </c>
      <c r="C10728" s="10" t="s">
        <v>23</v>
      </c>
      <c r="D10728" s="10" t="s">
        <v>749</v>
      </c>
      <c r="E10728" s="14">
        <v>0.1</v>
      </c>
      <c r="F10728" s="15">
        <f>ROUND(3.74,3)</f>
        <v>3.74</v>
      </c>
      <c r="G10728" s="12">
        <f t="shared" si="1620"/>
        <v>0.37</v>
      </c>
    </row>
    <row r="10729" ht="21.0" customHeight="1">
      <c r="A10729" s="10" t="s">
        <v>22</v>
      </c>
      <c r="B10729" s="10" t="s">
        <v>18</v>
      </c>
      <c r="C10729" s="10" t="s">
        <v>23</v>
      </c>
      <c r="D10729" s="10" t="s">
        <v>24</v>
      </c>
      <c r="E10729" s="14">
        <v>0.3</v>
      </c>
      <c r="F10729" s="15">
        <f>ROUND(43.8,3)</f>
        <v>43.8</v>
      </c>
      <c r="G10729" s="12">
        <f t="shared" si="1620"/>
        <v>13.14</v>
      </c>
    </row>
    <row r="10730" ht="15.0" customHeight="1">
      <c r="A10730" s="10" t="s">
        <v>32</v>
      </c>
      <c r="B10730" s="10"/>
      <c r="C10730" s="10" t="s">
        <v>33</v>
      </c>
      <c r="D10730" s="10" t="s">
        <v>34</v>
      </c>
      <c r="E10730" s="14">
        <v>3.0</v>
      </c>
      <c r="F10730" s="15">
        <f>ROUND(13.14,3)</f>
        <v>13.14</v>
      </c>
      <c r="G10730" s="12">
        <f>ROUND((E10730*F10730)/100,2)</f>
        <v>0.39</v>
      </c>
    </row>
    <row r="10731" ht="15.0" customHeight="1">
      <c r="A10731" s="11"/>
      <c r="B10731" s="11"/>
      <c r="C10731" s="11"/>
      <c r="D10731" s="10" t="s">
        <v>869</v>
      </c>
      <c r="E10731" s="14">
        <v>13.0</v>
      </c>
      <c r="F10731" s="15">
        <f>ROUND((G10728+G10729+G10730),3)</f>
        <v>13.9</v>
      </c>
      <c r="G10731" s="12">
        <f t="shared" ref="G10731:G10737" si="1621">ROUND(E10731*F10731,2)</f>
        <v>180.7</v>
      </c>
    </row>
    <row r="10732" ht="21.0" customHeight="1">
      <c r="A10732" s="10" t="s">
        <v>4785</v>
      </c>
      <c r="B10732" s="10" t="s">
        <v>18</v>
      </c>
      <c r="C10732" s="10" t="s">
        <v>251</v>
      </c>
      <c r="D10732" s="10" t="s">
        <v>4786</v>
      </c>
      <c r="E10732" s="14">
        <v>13.0</v>
      </c>
      <c r="F10732" s="15">
        <f>F10739</f>
        <v>29.36</v>
      </c>
      <c r="G10732" s="12">
        <f t="shared" si="1621"/>
        <v>381.68</v>
      </c>
    </row>
    <row r="10733" ht="30.0" customHeight="1">
      <c r="A10733" s="10" t="s">
        <v>1855</v>
      </c>
      <c r="B10733" s="10" t="s">
        <v>42</v>
      </c>
      <c r="C10733" s="10" t="s">
        <v>184</v>
      </c>
      <c r="D10733" s="10" t="s">
        <v>1856</v>
      </c>
      <c r="E10733" s="14">
        <v>1.2</v>
      </c>
      <c r="F10733" s="15">
        <f>ROUND(3.85,3)</f>
        <v>3.85</v>
      </c>
      <c r="G10733" s="12">
        <f t="shared" si="1621"/>
        <v>4.62</v>
      </c>
    </row>
    <row r="10734" ht="30.0" customHeight="1">
      <c r="A10734" s="10" t="s">
        <v>1227</v>
      </c>
      <c r="B10734" s="10" t="s">
        <v>42</v>
      </c>
      <c r="C10734" s="10" t="s">
        <v>226</v>
      </c>
      <c r="D10734" s="10" t="s">
        <v>1228</v>
      </c>
      <c r="E10734" s="14">
        <v>0.0252</v>
      </c>
      <c r="F10734" s="15">
        <f>ROUND(27.5,3)</f>
        <v>27.5</v>
      </c>
      <c r="G10734" s="12">
        <f t="shared" si="1621"/>
        <v>0.69</v>
      </c>
    </row>
    <row r="10735" ht="21.0" customHeight="1">
      <c r="A10735" s="10" t="s">
        <v>1857</v>
      </c>
      <c r="B10735" s="10" t="s">
        <v>42</v>
      </c>
      <c r="C10735" s="10" t="s">
        <v>231</v>
      </c>
      <c r="D10735" s="10" t="s">
        <v>1858</v>
      </c>
      <c r="E10735" s="14">
        <v>0.375</v>
      </c>
      <c r="F10735" s="15">
        <f>ROUND(1.05,3)</f>
        <v>1.05</v>
      </c>
      <c r="G10735" s="12">
        <f t="shared" si="1621"/>
        <v>0.39</v>
      </c>
    </row>
    <row r="10736" ht="39.75" customHeight="1">
      <c r="A10736" s="10" t="s">
        <v>1349</v>
      </c>
      <c r="B10736" s="10" t="s">
        <v>42</v>
      </c>
      <c r="C10736" s="10" t="s">
        <v>231</v>
      </c>
      <c r="D10736" s="10" t="s">
        <v>1350</v>
      </c>
      <c r="E10736" s="14">
        <v>0.15</v>
      </c>
      <c r="F10736" s="15">
        <f>ROUND(4.05,3)</f>
        <v>4.05</v>
      </c>
      <c r="G10736" s="12">
        <f t="shared" si="1621"/>
        <v>0.61</v>
      </c>
    </row>
    <row r="10737" ht="21.0" customHeight="1">
      <c r="A10737" s="10" t="s">
        <v>22</v>
      </c>
      <c r="B10737" s="10" t="s">
        <v>18</v>
      </c>
      <c r="C10737" s="10" t="s">
        <v>23</v>
      </c>
      <c r="D10737" s="10" t="s">
        <v>24</v>
      </c>
      <c r="E10737" s="14">
        <v>0.511</v>
      </c>
      <c r="F10737" s="15">
        <f>ROUND(43.8,3)</f>
        <v>43.8</v>
      </c>
      <c r="G10737" s="12">
        <f t="shared" si="1621"/>
        <v>22.38</v>
      </c>
    </row>
    <row r="10738" ht="15.0" customHeight="1">
      <c r="A10738" s="10" t="s">
        <v>32</v>
      </c>
      <c r="B10738" s="10"/>
      <c r="C10738" s="10" t="s">
        <v>33</v>
      </c>
      <c r="D10738" s="10" t="s">
        <v>34</v>
      </c>
      <c r="E10738" s="14">
        <v>3.0</v>
      </c>
      <c r="F10738" s="15">
        <f>ROUND(22.38,3)</f>
        <v>22.38</v>
      </c>
      <c r="G10738" s="12">
        <f>ROUND((E10738*F10738)/100,2)</f>
        <v>0.67</v>
      </c>
    </row>
    <row r="10739" ht="15.0" customHeight="1">
      <c r="A10739" s="11"/>
      <c r="B10739" s="11"/>
      <c r="C10739" s="11"/>
      <c r="D10739" s="10" t="s">
        <v>4785</v>
      </c>
      <c r="E10739" s="14">
        <v>13.0</v>
      </c>
      <c r="F10739" s="15">
        <f>ROUND((G10733+G10734+G10735+G10736+G10737+G10738),3)</f>
        <v>29.36</v>
      </c>
      <c r="G10739" s="12">
        <f t="shared" ref="G10739:G10745" si="1622">ROUND(E10739*F10739,2)</f>
        <v>381.68</v>
      </c>
    </row>
    <row r="10740" ht="15.0" customHeight="1">
      <c r="A10740" s="10" t="s">
        <v>1677</v>
      </c>
      <c r="B10740" s="10" t="s">
        <v>18</v>
      </c>
      <c r="C10740" s="10" t="s">
        <v>251</v>
      </c>
      <c r="D10740" s="10" t="s">
        <v>1678</v>
      </c>
      <c r="E10740" s="14">
        <v>13.0</v>
      </c>
      <c r="F10740" s="15">
        <f>F10747</f>
        <v>17.24</v>
      </c>
      <c r="G10740" s="12">
        <f t="shared" si="1622"/>
        <v>224.12</v>
      </c>
    </row>
    <row r="10741" ht="30.0" customHeight="1">
      <c r="A10741" s="10" t="s">
        <v>1679</v>
      </c>
      <c r="B10741" s="10" t="s">
        <v>42</v>
      </c>
      <c r="C10741" s="10" t="s">
        <v>226</v>
      </c>
      <c r="D10741" s="10" t="s">
        <v>1680</v>
      </c>
      <c r="E10741" s="14">
        <v>0.022</v>
      </c>
      <c r="F10741" s="15">
        <f>ROUND(39.5,3)</f>
        <v>39.5</v>
      </c>
      <c r="G10741" s="12">
        <f t="shared" si="1622"/>
        <v>0.87</v>
      </c>
    </row>
    <row r="10742" ht="30.0" customHeight="1">
      <c r="A10742" s="10" t="s">
        <v>1681</v>
      </c>
      <c r="B10742" s="10" t="s">
        <v>42</v>
      </c>
      <c r="C10742" s="10" t="s">
        <v>184</v>
      </c>
      <c r="D10742" s="10" t="s">
        <v>1682</v>
      </c>
      <c r="E10742" s="14">
        <v>1.0</v>
      </c>
      <c r="F10742" s="15">
        <f>ROUND(1.29,3)</f>
        <v>1.29</v>
      </c>
      <c r="G10742" s="12">
        <f t="shared" si="1622"/>
        <v>1.29</v>
      </c>
    </row>
    <row r="10743" ht="30.0" customHeight="1">
      <c r="A10743" s="10" t="s">
        <v>1683</v>
      </c>
      <c r="B10743" s="10" t="s">
        <v>42</v>
      </c>
      <c r="C10743" s="10" t="s">
        <v>344</v>
      </c>
      <c r="D10743" s="10" t="s">
        <v>1684</v>
      </c>
      <c r="E10743" s="14">
        <v>0.1</v>
      </c>
      <c r="F10743" s="15">
        <f>ROUND(1.19,3)</f>
        <v>1.19</v>
      </c>
      <c r="G10743" s="12">
        <f t="shared" si="1622"/>
        <v>0.12</v>
      </c>
    </row>
    <row r="10744" ht="21.0" customHeight="1">
      <c r="A10744" s="10" t="s">
        <v>1685</v>
      </c>
      <c r="B10744" s="10" t="s">
        <v>42</v>
      </c>
      <c r="C10744" s="10" t="s">
        <v>351</v>
      </c>
      <c r="D10744" s="10" t="s">
        <v>1686</v>
      </c>
      <c r="E10744" s="14">
        <v>0.25</v>
      </c>
      <c r="F10744" s="15">
        <f>ROUND(0.32,3)</f>
        <v>0.32</v>
      </c>
      <c r="G10744" s="12">
        <f t="shared" si="1622"/>
        <v>0.08</v>
      </c>
    </row>
    <row r="10745" ht="21.0" customHeight="1">
      <c r="A10745" s="10" t="s">
        <v>22</v>
      </c>
      <c r="B10745" s="10" t="s">
        <v>18</v>
      </c>
      <c r="C10745" s="10" t="s">
        <v>23</v>
      </c>
      <c r="D10745" s="10" t="s">
        <v>24</v>
      </c>
      <c r="E10745" s="14">
        <v>0.33</v>
      </c>
      <c r="F10745" s="15">
        <f>ROUND(43.8,3)</f>
        <v>43.8</v>
      </c>
      <c r="G10745" s="12">
        <f t="shared" si="1622"/>
        <v>14.45</v>
      </c>
    </row>
    <row r="10746" ht="15.0" customHeight="1">
      <c r="A10746" s="10" t="s">
        <v>32</v>
      </c>
      <c r="B10746" s="10"/>
      <c r="C10746" s="10" t="s">
        <v>33</v>
      </c>
      <c r="D10746" s="10" t="s">
        <v>34</v>
      </c>
      <c r="E10746" s="14">
        <v>3.0</v>
      </c>
      <c r="F10746" s="15">
        <f>ROUND(14.45,3)</f>
        <v>14.45</v>
      </c>
      <c r="G10746" s="12">
        <f>ROUND((E10746*F10746)/100,2)</f>
        <v>0.43</v>
      </c>
    </row>
    <row r="10747" ht="15.0" customHeight="1">
      <c r="A10747" s="11"/>
      <c r="B10747" s="11"/>
      <c r="C10747" s="11"/>
      <c r="D10747" s="10" t="s">
        <v>1677</v>
      </c>
      <c r="E10747" s="14">
        <v>13.0</v>
      </c>
      <c r="F10747" s="15">
        <f>ROUND((G10741+G10742+G10743+G10744+G10745+G10746),3)</f>
        <v>17.24</v>
      </c>
      <c r="G10747" s="12">
        <f t="shared" ref="G10747:G10755" si="1623">ROUND(E10747*F10747,2)</f>
        <v>224.12</v>
      </c>
    </row>
    <row r="10748" ht="21.0" customHeight="1">
      <c r="A10748" s="10" t="s">
        <v>4768</v>
      </c>
      <c r="B10748" s="10" t="s">
        <v>18</v>
      </c>
      <c r="C10748" s="10" t="s">
        <v>251</v>
      </c>
      <c r="D10748" s="10" t="s">
        <v>4769</v>
      </c>
      <c r="E10748" s="14">
        <v>13.0</v>
      </c>
      <c r="F10748" s="15">
        <f>F10757</f>
        <v>9.12</v>
      </c>
      <c r="G10748" s="12">
        <f t="shared" si="1623"/>
        <v>118.56</v>
      </c>
    </row>
    <row r="10749" ht="24.0" customHeight="1">
      <c r="A10749" s="10" t="s">
        <v>4770</v>
      </c>
      <c r="B10749" s="10" t="s">
        <v>42</v>
      </c>
      <c r="C10749" s="10" t="s">
        <v>295</v>
      </c>
      <c r="D10749" s="10" t="s">
        <v>4771</v>
      </c>
      <c r="E10749" s="14">
        <v>0.0214</v>
      </c>
      <c r="F10749" s="15">
        <f>ROUND(42.7,3)</f>
        <v>42.7</v>
      </c>
      <c r="G10749" s="12">
        <f t="shared" si="1623"/>
        <v>0.91</v>
      </c>
    </row>
    <row r="10750" ht="24.0" customHeight="1">
      <c r="A10750" s="10" t="s">
        <v>1667</v>
      </c>
      <c r="B10750" s="10" t="s">
        <v>42</v>
      </c>
      <c r="C10750" s="10" t="s">
        <v>295</v>
      </c>
      <c r="D10750" s="10" t="s">
        <v>1668</v>
      </c>
      <c r="E10750" s="14">
        <v>0.01</v>
      </c>
      <c r="F10750" s="15">
        <f>ROUND(85.93,3)</f>
        <v>85.93</v>
      </c>
      <c r="G10750" s="12">
        <f t="shared" si="1623"/>
        <v>0.86</v>
      </c>
    </row>
    <row r="10751" ht="30.0" customHeight="1">
      <c r="A10751" s="10" t="s">
        <v>1669</v>
      </c>
      <c r="B10751" s="10" t="s">
        <v>42</v>
      </c>
      <c r="C10751" s="10" t="s">
        <v>304</v>
      </c>
      <c r="D10751" s="10" t="s">
        <v>1670</v>
      </c>
      <c r="E10751" s="14">
        <v>0.011</v>
      </c>
      <c r="F10751" s="15">
        <f>ROUND(2.52,3)</f>
        <v>2.52</v>
      </c>
      <c r="G10751" s="12">
        <f t="shared" si="1623"/>
        <v>0.03</v>
      </c>
    </row>
    <row r="10752" ht="24.0" customHeight="1">
      <c r="A10752" s="10" t="s">
        <v>1671</v>
      </c>
      <c r="B10752" s="10" t="s">
        <v>42</v>
      </c>
      <c r="C10752" s="10" t="s">
        <v>304</v>
      </c>
      <c r="D10752" s="10" t="s">
        <v>1672</v>
      </c>
      <c r="E10752" s="14">
        <v>0.011</v>
      </c>
      <c r="F10752" s="15">
        <f>ROUND(4.73,3)</f>
        <v>4.73</v>
      </c>
      <c r="G10752" s="12">
        <f t="shared" si="1623"/>
        <v>0.05</v>
      </c>
    </row>
    <row r="10753" ht="24.0" customHeight="1">
      <c r="A10753" s="10" t="s">
        <v>1673</v>
      </c>
      <c r="B10753" s="10" t="s">
        <v>42</v>
      </c>
      <c r="C10753" s="10" t="s">
        <v>304</v>
      </c>
      <c r="D10753" s="10" t="s">
        <v>1674</v>
      </c>
      <c r="E10753" s="14">
        <v>0.015</v>
      </c>
      <c r="F10753" s="15">
        <f>ROUND(0.65,3)</f>
        <v>0.65</v>
      </c>
      <c r="G10753" s="12">
        <f t="shared" si="1623"/>
        <v>0.01</v>
      </c>
    </row>
    <row r="10754" ht="24.0" customHeight="1">
      <c r="A10754" s="10" t="s">
        <v>1675</v>
      </c>
      <c r="B10754" s="10" t="s">
        <v>42</v>
      </c>
      <c r="C10754" s="10" t="s">
        <v>304</v>
      </c>
      <c r="D10754" s="10" t="s">
        <v>1676</v>
      </c>
      <c r="E10754" s="14">
        <v>0.011</v>
      </c>
      <c r="F10754" s="15">
        <f>ROUND(4.06,3)</f>
        <v>4.06</v>
      </c>
      <c r="G10754" s="12">
        <f t="shared" si="1623"/>
        <v>0.04</v>
      </c>
    </row>
    <row r="10755" ht="21.0" customHeight="1">
      <c r="A10755" s="10" t="s">
        <v>22</v>
      </c>
      <c r="B10755" s="10" t="s">
        <v>18</v>
      </c>
      <c r="C10755" s="10" t="s">
        <v>23</v>
      </c>
      <c r="D10755" s="10" t="s">
        <v>24</v>
      </c>
      <c r="E10755" s="14">
        <v>0.16</v>
      </c>
      <c r="F10755" s="15">
        <f>ROUND(43.8,3)</f>
        <v>43.8</v>
      </c>
      <c r="G10755" s="12">
        <f t="shared" si="1623"/>
        <v>7.01</v>
      </c>
    </row>
    <row r="10756" ht="15.0" customHeight="1">
      <c r="A10756" s="10" t="s">
        <v>32</v>
      </c>
      <c r="B10756" s="10"/>
      <c r="C10756" s="10" t="s">
        <v>33</v>
      </c>
      <c r="D10756" s="10" t="s">
        <v>34</v>
      </c>
      <c r="E10756" s="14">
        <v>3.0</v>
      </c>
      <c r="F10756" s="15">
        <f>ROUND(7.01,3)</f>
        <v>7.01</v>
      </c>
      <c r="G10756" s="12">
        <f>ROUND((E10756*F10756)/100,2)</f>
        <v>0.21</v>
      </c>
    </row>
    <row r="10757" ht="15.0" customHeight="1">
      <c r="A10757" s="11"/>
      <c r="B10757" s="11"/>
      <c r="C10757" s="11"/>
      <c r="D10757" s="10" t="s">
        <v>4768</v>
      </c>
      <c r="E10757" s="14">
        <v>13.0</v>
      </c>
      <c r="F10757" s="15">
        <f>ROUND((G10749+G10750+G10751+G10752+G10753+G10754+G10755+G10756),3)</f>
        <v>9.12</v>
      </c>
      <c r="G10757" s="12">
        <f>ROUND(E10757*F10757,2)</f>
        <v>118.56</v>
      </c>
    </row>
    <row r="10758" ht="15.0" customHeight="1">
      <c r="A10758" s="16"/>
      <c r="B10758" s="16"/>
      <c r="C10758" s="16"/>
      <c r="D10758" s="17" t="s">
        <v>4782</v>
      </c>
      <c r="E10758" s="16"/>
      <c r="F10758" s="18">
        <f>ROUND((G10727+G10732+G10740+G10748)*(1+G2/100),2)</f>
        <v>905.06</v>
      </c>
      <c r="G10758" s="16"/>
    </row>
    <row r="10759" ht="21.0" customHeight="1">
      <c r="A10759" s="19" t="s">
        <v>4787</v>
      </c>
      <c r="B10759" s="20" t="s">
        <v>18</v>
      </c>
      <c r="C10759" s="20" t="s">
        <v>251</v>
      </c>
      <c r="D10759" s="20" t="s">
        <v>4788</v>
      </c>
      <c r="E10759" s="21"/>
      <c r="F10759" s="22">
        <f>F10769</f>
        <v>16.67</v>
      </c>
      <c r="G10759" s="21"/>
    </row>
    <row r="10760" ht="57.75" customHeight="1">
      <c r="A10760" s="11"/>
      <c r="B10760" s="11"/>
      <c r="C10760" s="11"/>
      <c r="D10760" s="10" t="s">
        <v>4789</v>
      </c>
    </row>
    <row r="10761" ht="39.75" customHeight="1">
      <c r="A10761" s="10" t="s">
        <v>4790</v>
      </c>
      <c r="B10761" s="10" t="s">
        <v>42</v>
      </c>
      <c r="C10761" s="10" t="s">
        <v>276</v>
      </c>
      <c r="D10761" s="10" t="s">
        <v>4791</v>
      </c>
      <c r="E10761" s="14">
        <v>0.01111</v>
      </c>
      <c r="F10761" s="15">
        <f>ROUND(96.78,3)</f>
        <v>96.78</v>
      </c>
      <c r="G10761" s="12">
        <f t="shared" ref="G10761:G10767" si="1624">ROUND(E10761*F10761,2)</f>
        <v>1.08</v>
      </c>
    </row>
    <row r="10762" ht="39.75" customHeight="1">
      <c r="A10762" s="10" t="s">
        <v>4792</v>
      </c>
      <c r="B10762" s="10" t="s">
        <v>42</v>
      </c>
      <c r="C10762" s="10" t="s">
        <v>276</v>
      </c>
      <c r="D10762" s="10" t="s">
        <v>4793</v>
      </c>
      <c r="E10762" s="14">
        <v>0.01667</v>
      </c>
      <c r="F10762" s="15">
        <f>ROUND(69,3)</f>
        <v>69</v>
      </c>
      <c r="G10762" s="12">
        <f t="shared" si="1624"/>
        <v>1.15</v>
      </c>
    </row>
    <row r="10763" ht="21.0" customHeight="1">
      <c r="A10763" s="10" t="s">
        <v>22</v>
      </c>
      <c r="B10763" s="10" t="s">
        <v>18</v>
      </c>
      <c r="C10763" s="10" t="s">
        <v>23</v>
      </c>
      <c r="D10763" s="10" t="s">
        <v>24</v>
      </c>
      <c r="E10763" s="14">
        <v>0.32</v>
      </c>
      <c r="F10763" s="15">
        <f>F10767</f>
        <v>43.8</v>
      </c>
      <c r="G10763" s="12">
        <f t="shared" si="1624"/>
        <v>14.02</v>
      </c>
    </row>
    <row r="10764" ht="24.0" customHeight="1">
      <c r="A10764" s="10" t="s">
        <v>25</v>
      </c>
      <c r="B10764" s="10" t="s">
        <v>26</v>
      </c>
      <c r="C10764" s="10" t="s">
        <v>23</v>
      </c>
      <c r="D10764" s="10" t="s">
        <v>27</v>
      </c>
      <c r="E10764" s="14">
        <v>1.0</v>
      </c>
      <c r="F10764" s="15">
        <f>ROUND(21,3)</f>
        <v>21</v>
      </c>
      <c r="G10764" s="12">
        <f t="shared" si="1624"/>
        <v>21</v>
      </c>
    </row>
    <row r="10765" ht="24.0" customHeight="1">
      <c r="A10765" s="10" t="s">
        <v>28</v>
      </c>
      <c r="B10765" s="10" t="s">
        <v>26</v>
      </c>
      <c r="C10765" s="10" t="s">
        <v>23</v>
      </c>
      <c r="D10765" s="10" t="s">
        <v>29</v>
      </c>
      <c r="E10765" s="14">
        <v>1.0</v>
      </c>
      <c r="F10765" s="15">
        <f t="shared" ref="F10765:F10766" si="1625">ROUND(19,3)</f>
        <v>19</v>
      </c>
      <c r="G10765" s="12">
        <f t="shared" si="1624"/>
        <v>19</v>
      </c>
    </row>
    <row r="10766" ht="24.0" customHeight="1">
      <c r="A10766" s="10" t="s">
        <v>30</v>
      </c>
      <c r="B10766" s="10" t="s">
        <v>26</v>
      </c>
      <c r="C10766" s="10" t="s">
        <v>23</v>
      </c>
      <c r="D10766" s="10" t="s">
        <v>31</v>
      </c>
      <c r="E10766" s="14">
        <v>0.2</v>
      </c>
      <c r="F10766" s="15">
        <f t="shared" si="1625"/>
        <v>19</v>
      </c>
      <c r="G10766" s="12">
        <f t="shared" si="1624"/>
        <v>3.8</v>
      </c>
    </row>
    <row r="10767" ht="15.0" customHeight="1">
      <c r="A10767" s="11"/>
      <c r="B10767" s="11"/>
      <c r="C10767" s="11"/>
      <c r="D10767" s="10" t="s">
        <v>22</v>
      </c>
      <c r="E10767" s="14">
        <v>0.32</v>
      </c>
      <c r="F10767" s="15">
        <f>ROUND((G10764+G10765+G10766),3)</f>
        <v>43.8</v>
      </c>
      <c r="G10767" s="12">
        <f t="shared" si="1624"/>
        <v>14.02</v>
      </c>
    </row>
    <row r="10768" ht="15.0" customHeight="1">
      <c r="A10768" s="10" t="s">
        <v>32</v>
      </c>
      <c r="B10768" s="10"/>
      <c r="C10768" s="10" t="s">
        <v>33</v>
      </c>
      <c r="D10768" s="10" t="s">
        <v>34</v>
      </c>
      <c r="E10768" s="14">
        <v>3.0</v>
      </c>
      <c r="F10768" s="15">
        <f>ROUND(14.02,3)</f>
        <v>14.02</v>
      </c>
      <c r="G10768" s="12">
        <f>ROUND((E10768*F10768)/100,2)</f>
        <v>0.42</v>
      </c>
    </row>
    <row r="10769" ht="15.0" customHeight="1">
      <c r="A10769" s="16"/>
      <c r="B10769" s="16"/>
      <c r="C10769" s="16"/>
      <c r="D10769" s="17" t="s">
        <v>4787</v>
      </c>
      <c r="E10769" s="16"/>
      <c r="F10769" s="18">
        <f>ROUND((G10761+G10762+G10763+G10768)*(1+G2/100),2)</f>
        <v>16.67</v>
      </c>
      <c r="G10769" s="16"/>
    </row>
    <row r="10770" ht="21.0" customHeight="1">
      <c r="A10770" s="19" t="s">
        <v>4794</v>
      </c>
      <c r="B10770" s="20" t="s">
        <v>18</v>
      </c>
      <c r="C10770" s="20" t="s">
        <v>251</v>
      </c>
      <c r="D10770" s="20" t="s">
        <v>4795</v>
      </c>
      <c r="E10770" s="21"/>
      <c r="F10770" s="22">
        <f>F10783</f>
        <v>25.91</v>
      </c>
      <c r="G10770" s="21"/>
    </row>
    <row r="10771" ht="67.5" customHeight="1">
      <c r="A10771" s="11"/>
      <c r="B10771" s="11"/>
      <c r="C10771" s="11"/>
      <c r="D10771" s="10" t="s">
        <v>4796</v>
      </c>
    </row>
    <row r="10772" ht="24.0" customHeight="1">
      <c r="A10772" s="10" t="s">
        <v>4797</v>
      </c>
      <c r="B10772" s="10" t="s">
        <v>42</v>
      </c>
      <c r="C10772" s="10" t="s">
        <v>1207</v>
      </c>
      <c r="D10772" s="10" t="s">
        <v>4798</v>
      </c>
      <c r="E10772" s="14">
        <v>0.1</v>
      </c>
      <c r="F10772" s="15">
        <f>ROUND(122.52,3)</f>
        <v>122.52</v>
      </c>
      <c r="G10772" s="12">
        <f t="shared" ref="G10772:G10781" si="1626">ROUND(E10772*F10772,2)</f>
        <v>12.25</v>
      </c>
    </row>
    <row r="10773" ht="30.0" customHeight="1">
      <c r="A10773" s="10" t="s">
        <v>1669</v>
      </c>
      <c r="B10773" s="10" t="s">
        <v>42</v>
      </c>
      <c r="C10773" s="10" t="s">
        <v>304</v>
      </c>
      <c r="D10773" s="10" t="s">
        <v>1670</v>
      </c>
      <c r="E10773" s="14">
        <v>0.011</v>
      </c>
      <c r="F10773" s="15">
        <f>ROUND(2.52,3)</f>
        <v>2.52</v>
      </c>
      <c r="G10773" s="12">
        <f t="shared" si="1626"/>
        <v>0.03</v>
      </c>
    </row>
    <row r="10774" ht="24.0" customHeight="1">
      <c r="A10774" s="10" t="s">
        <v>1671</v>
      </c>
      <c r="B10774" s="10" t="s">
        <v>42</v>
      </c>
      <c r="C10774" s="10" t="s">
        <v>304</v>
      </c>
      <c r="D10774" s="10" t="s">
        <v>1672</v>
      </c>
      <c r="E10774" s="14">
        <v>0.011</v>
      </c>
      <c r="F10774" s="15">
        <f>ROUND(4.73,3)</f>
        <v>4.73</v>
      </c>
      <c r="G10774" s="12">
        <f t="shared" si="1626"/>
        <v>0.05</v>
      </c>
    </row>
    <row r="10775" ht="24.0" customHeight="1">
      <c r="A10775" s="10" t="s">
        <v>1673</v>
      </c>
      <c r="B10775" s="10" t="s">
        <v>42</v>
      </c>
      <c r="C10775" s="10" t="s">
        <v>304</v>
      </c>
      <c r="D10775" s="10" t="s">
        <v>1674</v>
      </c>
      <c r="E10775" s="14">
        <v>0.015</v>
      </c>
      <c r="F10775" s="15">
        <f>ROUND(0.65,3)</f>
        <v>0.65</v>
      </c>
      <c r="G10775" s="12">
        <f t="shared" si="1626"/>
        <v>0.01</v>
      </c>
    </row>
    <row r="10776" ht="24.0" customHeight="1">
      <c r="A10776" s="10" t="s">
        <v>1675</v>
      </c>
      <c r="B10776" s="10" t="s">
        <v>42</v>
      </c>
      <c r="C10776" s="10" t="s">
        <v>304</v>
      </c>
      <c r="D10776" s="10" t="s">
        <v>1676</v>
      </c>
      <c r="E10776" s="14">
        <v>0.011</v>
      </c>
      <c r="F10776" s="15">
        <f>ROUND(4.06,3)</f>
        <v>4.06</v>
      </c>
      <c r="G10776" s="12">
        <f t="shared" si="1626"/>
        <v>0.04</v>
      </c>
    </row>
    <row r="10777" ht="21.0" customHeight="1">
      <c r="A10777" s="10" t="s">
        <v>22</v>
      </c>
      <c r="B10777" s="10" t="s">
        <v>18</v>
      </c>
      <c r="C10777" s="10" t="s">
        <v>23</v>
      </c>
      <c r="D10777" s="10" t="s">
        <v>24</v>
      </c>
      <c r="E10777" s="14">
        <v>0.3</v>
      </c>
      <c r="F10777" s="15">
        <f>F10781</f>
        <v>43.8</v>
      </c>
      <c r="G10777" s="12">
        <f t="shared" si="1626"/>
        <v>13.14</v>
      </c>
    </row>
    <row r="10778" ht="24.0" customHeight="1">
      <c r="A10778" s="10" t="s">
        <v>25</v>
      </c>
      <c r="B10778" s="10" t="s">
        <v>26</v>
      </c>
      <c r="C10778" s="10" t="s">
        <v>23</v>
      </c>
      <c r="D10778" s="10" t="s">
        <v>27</v>
      </c>
      <c r="E10778" s="14">
        <v>1.0</v>
      </c>
      <c r="F10778" s="15">
        <f>ROUND(21,3)</f>
        <v>21</v>
      </c>
      <c r="G10778" s="12">
        <f t="shared" si="1626"/>
        <v>21</v>
      </c>
    </row>
    <row r="10779" ht="24.0" customHeight="1">
      <c r="A10779" s="10" t="s">
        <v>28</v>
      </c>
      <c r="B10779" s="10" t="s">
        <v>26</v>
      </c>
      <c r="C10779" s="10" t="s">
        <v>23</v>
      </c>
      <c r="D10779" s="10" t="s">
        <v>29</v>
      </c>
      <c r="E10779" s="14">
        <v>1.0</v>
      </c>
      <c r="F10779" s="15">
        <f t="shared" ref="F10779:F10780" si="1627">ROUND(19,3)</f>
        <v>19</v>
      </c>
      <c r="G10779" s="12">
        <f t="shared" si="1626"/>
        <v>19</v>
      </c>
    </row>
    <row r="10780" ht="24.0" customHeight="1">
      <c r="A10780" s="10" t="s">
        <v>30</v>
      </c>
      <c r="B10780" s="10" t="s">
        <v>26</v>
      </c>
      <c r="C10780" s="10" t="s">
        <v>23</v>
      </c>
      <c r="D10780" s="10" t="s">
        <v>31</v>
      </c>
      <c r="E10780" s="14">
        <v>0.2</v>
      </c>
      <c r="F10780" s="15">
        <f t="shared" si="1627"/>
        <v>19</v>
      </c>
      <c r="G10780" s="12">
        <f t="shared" si="1626"/>
        <v>3.8</v>
      </c>
    </row>
    <row r="10781" ht="15.0" customHeight="1">
      <c r="A10781" s="11"/>
      <c r="B10781" s="11"/>
      <c r="C10781" s="11"/>
      <c r="D10781" s="10" t="s">
        <v>22</v>
      </c>
      <c r="E10781" s="14">
        <v>0.3</v>
      </c>
      <c r="F10781" s="15">
        <f>ROUND((G10778+G10779+G10780),3)</f>
        <v>43.8</v>
      </c>
      <c r="G10781" s="12">
        <f t="shared" si="1626"/>
        <v>13.14</v>
      </c>
    </row>
    <row r="10782" ht="15.0" customHeight="1">
      <c r="A10782" s="10" t="s">
        <v>32</v>
      </c>
      <c r="B10782" s="10"/>
      <c r="C10782" s="10" t="s">
        <v>33</v>
      </c>
      <c r="D10782" s="10" t="s">
        <v>34</v>
      </c>
      <c r="E10782" s="14">
        <v>3.0</v>
      </c>
      <c r="F10782" s="15">
        <f>ROUND(13.14,3)</f>
        <v>13.14</v>
      </c>
      <c r="G10782" s="12">
        <f>ROUND((E10782*F10782)/100,2)</f>
        <v>0.39</v>
      </c>
    </row>
    <row r="10783" ht="15.0" customHeight="1">
      <c r="A10783" s="16"/>
      <c r="B10783" s="16"/>
      <c r="C10783" s="16"/>
      <c r="D10783" s="17" t="s">
        <v>4794</v>
      </c>
      <c r="E10783" s="16"/>
      <c r="F10783" s="18">
        <f>ROUND((G10772+G10773+G10774+G10775+G10776+G10777+G10782)*(1+G2/100),2)</f>
        <v>25.91</v>
      </c>
      <c r="G10783" s="16"/>
    </row>
    <row r="10784" ht="39.75" customHeight="1">
      <c r="A10784" s="19" t="s">
        <v>4799</v>
      </c>
      <c r="B10784" s="20" t="s">
        <v>18</v>
      </c>
      <c r="C10784" s="20" t="s">
        <v>19</v>
      </c>
      <c r="D10784" s="20" t="s">
        <v>4800</v>
      </c>
      <c r="E10784" s="21"/>
      <c r="F10784" s="22">
        <f>F10794</f>
        <v>16.26</v>
      </c>
      <c r="G10784" s="21"/>
    </row>
    <row r="10785" ht="21.0" customHeight="1">
      <c r="A10785" s="11"/>
      <c r="B10785" s="11"/>
      <c r="C10785" s="11"/>
      <c r="D10785" s="10" t="s">
        <v>4801</v>
      </c>
    </row>
    <row r="10786" ht="39.75" customHeight="1">
      <c r="A10786" s="10" t="s">
        <v>4802</v>
      </c>
      <c r="B10786" s="10" t="s">
        <v>42</v>
      </c>
      <c r="C10786" s="10" t="s">
        <v>43</v>
      </c>
      <c r="D10786" s="10" t="s">
        <v>4803</v>
      </c>
      <c r="E10786" s="14">
        <v>0.01667</v>
      </c>
      <c r="F10786" s="15">
        <f>ROUND(23.66,3)</f>
        <v>23.66</v>
      </c>
      <c r="G10786" s="12">
        <f t="shared" ref="G10786:G10792" si="1628">ROUND(E10786*F10786,2)</f>
        <v>0.39</v>
      </c>
    </row>
    <row r="10787" ht="39.75" customHeight="1">
      <c r="A10787" s="10" t="s">
        <v>4792</v>
      </c>
      <c r="B10787" s="10" t="s">
        <v>42</v>
      </c>
      <c r="C10787" s="10" t="s">
        <v>276</v>
      </c>
      <c r="D10787" s="10" t="s">
        <v>4793</v>
      </c>
      <c r="E10787" s="14">
        <v>0.01667</v>
      </c>
      <c r="F10787" s="15">
        <f>ROUND(69,3)</f>
        <v>69</v>
      </c>
      <c r="G10787" s="12">
        <f t="shared" si="1628"/>
        <v>1.15</v>
      </c>
    </row>
    <row r="10788" ht="21.0" customHeight="1">
      <c r="A10788" s="10" t="s">
        <v>1416</v>
      </c>
      <c r="B10788" s="10" t="s">
        <v>18</v>
      </c>
      <c r="C10788" s="10" t="s">
        <v>23</v>
      </c>
      <c r="D10788" s="10" t="s">
        <v>1417</v>
      </c>
      <c r="E10788" s="14">
        <v>0.32</v>
      </c>
      <c r="F10788" s="15">
        <f>F10792</f>
        <v>43.8</v>
      </c>
      <c r="G10788" s="12">
        <f t="shared" si="1628"/>
        <v>14.02</v>
      </c>
    </row>
    <row r="10789" ht="24.0" customHeight="1">
      <c r="A10789" s="10" t="s">
        <v>1418</v>
      </c>
      <c r="B10789" s="10" t="s">
        <v>26</v>
      </c>
      <c r="C10789" s="10" t="s">
        <v>23</v>
      </c>
      <c r="D10789" s="10" t="s">
        <v>1419</v>
      </c>
      <c r="E10789" s="14">
        <v>1.0</v>
      </c>
      <c r="F10789" s="15">
        <f>ROUND(21,3)</f>
        <v>21</v>
      </c>
      <c r="G10789" s="12">
        <f t="shared" si="1628"/>
        <v>21</v>
      </c>
    </row>
    <row r="10790" ht="24.0" customHeight="1">
      <c r="A10790" s="10" t="s">
        <v>1420</v>
      </c>
      <c r="B10790" s="10" t="s">
        <v>26</v>
      </c>
      <c r="C10790" s="10" t="s">
        <v>23</v>
      </c>
      <c r="D10790" s="10" t="s">
        <v>1421</v>
      </c>
      <c r="E10790" s="14">
        <v>1.0</v>
      </c>
      <c r="F10790" s="15">
        <f t="shared" ref="F10790:F10791" si="1629">ROUND(19,3)</f>
        <v>19</v>
      </c>
      <c r="G10790" s="12">
        <f t="shared" si="1628"/>
        <v>19</v>
      </c>
    </row>
    <row r="10791" ht="24.0" customHeight="1">
      <c r="A10791" s="10" t="s">
        <v>30</v>
      </c>
      <c r="B10791" s="10" t="s">
        <v>26</v>
      </c>
      <c r="C10791" s="10" t="s">
        <v>23</v>
      </c>
      <c r="D10791" s="10" t="s">
        <v>31</v>
      </c>
      <c r="E10791" s="14">
        <v>0.2</v>
      </c>
      <c r="F10791" s="15">
        <f t="shared" si="1629"/>
        <v>19</v>
      </c>
      <c r="G10791" s="12">
        <f t="shared" si="1628"/>
        <v>3.8</v>
      </c>
    </row>
    <row r="10792" ht="15.0" customHeight="1">
      <c r="A10792" s="11"/>
      <c r="B10792" s="11"/>
      <c r="C10792" s="11"/>
      <c r="D10792" s="10" t="s">
        <v>1416</v>
      </c>
      <c r="E10792" s="14">
        <v>0.32</v>
      </c>
      <c r="F10792" s="15">
        <f>ROUND((G10789+G10790+G10791),3)</f>
        <v>43.8</v>
      </c>
      <c r="G10792" s="12">
        <f t="shared" si="1628"/>
        <v>14.02</v>
      </c>
    </row>
    <row r="10793" ht="15.0" customHeight="1">
      <c r="A10793" s="10" t="s">
        <v>32</v>
      </c>
      <c r="B10793" s="10"/>
      <c r="C10793" s="10" t="s">
        <v>33</v>
      </c>
      <c r="D10793" s="10" t="s">
        <v>34</v>
      </c>
      <c r="E10793" s="14">
        <v>5.0</v>
      </c>
      <c r="F10793" s="15">
        <f>ROUND(14.02,3)</f>
        <v>14.02</v>
      </c>
      <c r="G10793" s="12">
        <f>ROUND((E10793*F10793)/100,2)</f>
        <v>0.7</v>
      </c>
    </row>
    <row r="10794" ht="15.0" customHeight="1">
      <c r="A10794" s="16"/>
      <c r="B10794" s="16"/>
      <c r="C10794" s="16"/>
      <c r="D10794" s="17" t="s">
        <v>4799</v>
      </c>
      <c r="E10794" s="16"/>
      <c r="F10794" s="18">
        <f>ROUND((G10786+G10787+G10788+G10793)*(1+G2/100),2)</f>
        <v>16.26</v>
      </c>
      <c r="G10794" s="16"/>
    </row>
    <row r="10795" ht="39.75" customHeight="1">
      <c r="A10795" s="19" t="s">
        <v>4804</v>
      </c>
      <c r="B10795" s="20" t="s">
        <v>18</v>
      </c>
      <c r="C10795" s="20" t="s">
        <v>19</v>
      </c>
      <c r="D10795" s="20" t="s">
        <v>4805</v>
      </c>
      <c r="E10795" s="21"/>
      <c r="F10795" s="22">
        <f>F10805</f>
        <v>13.8</v>
      </c>
      <c r="G10795" s="21"/>
    </row>
    <row r="10796" ht="21.0" customHeight="1">
      <c r="A10796" s="11"/>
      <c r="B10796" s="11"/>
      <c r="C10796" s="11"/>
      <c r="D10796" s="10" t="s">
        <v>4806</v>
      </c>
    </row>
    <row r="10797" ht="39.75" customHeight="1">
      <c r="A10797" s="10" t="s">
        <v>4802</v>
      </c>
      <c r="B10797" s="10" t="s">
        <v>42</v>
      </c>
      <c r="C10797" s="10" t="s">
        <v>43</v>
      </c>
      <c r="D10797" s="10" t="s">
        <v>4803</v>
      </c>
      <c r="E10797" s="14">
        <v>0.01666</v>
      </c>
      <c r="F10797" s="15">
        <f>ROUND(23.66,3)</f>
        <v>23.66</v>
      </c>
      <c r="G10797" s="12">
        <f t="shared" ref="G10797:G10803" si="1630">ROUND(E10797*F10797,2)</f>
        <v>0.39</v>
      </c>
    </row>
    <row r="10798" ht="39.75" customHeight="1">
      <c r="A10798" s="10" t="s">
        <v>4792</v>
      </c>
      <c r="B10798" s="10" t="s">
        <v>42</v>
      </c>
      <c r="C10798" s="10" t="s">
        <v>276</v>
      </c>
      <c r="D10798" s="10" t="s">
        <v>4793</v>
      </c>
      <c r="E10798" s="14">
        <v>0.01667</v>
      </c>
      <c r="F10798" s="15">
        <f>ROUND(69,3)</f>
        <v>69</v>
      </c>
      <c r="G10798" s="12">
        <f t="shared" si="1630"/>
        <v>1.15</v>
      </c>
    </row>
    <row r="10799" ht="21.0" customHeight="1">
      <c r="A10799" s="10" t="s">
        <v>1416</v>
      </c>
      <c r="B10799" s="10" t="s">
        <v>18</v>
      </c>
      <c r="C10799" s="10" t="s">
        <v>23</v>
      </c>
      <c r="D10799" s="10" t="s">
        <v>1417</v>
      </c>
      <c r="E10799" s="14">
        <v>0.26667</v>
      </c>
      <c r="F10799" s="15">
        <f>F10803</f>
        <v>43.8</v>
      </c>
      <c r="G10799" s="12">
        <f t="shared" si="1630"/>
        <v>11.68</v>
      </c>
    </row>
    <row r="10800" ht="24.0" customHeight="1">
      <c r="A10800" s="10" t="s">
        <v>1418</v>
      </c>
      <c r="B10800" s="10" t="s">
        <v>26</v>
      </c>
      <c r="C10800" s="10" t="s">
        <v>23</v>
      </c>
      <c r="D10800" s="10" t="s">
        <v>1419</v>
      </c>
      <c r="E10800" s="14">
        <v>1.0</v>
      </c>
      <c r="F10800" s="15">
        <f>ROUND(21,3)</f>
        <v>21</v>
      </c>
      <c r="G10800" s="12">
        <f t="shared" si="1630"/>
        <v>21</v>
      </c>
    </row>
    <row r="10801" ht="24.0" customHeight="1">
      <c r="A10801" s="10" t="s">
        <v>1420</v>
      </c>
      <c r="B10801" s="10" t="s">
        <v>26</v>
      </c>
      <c r="C10801" s="10" t="s">
        <v>23</v>
      </c>
      <c r="D10801" s="10" t="s">
        <v>1421</v>
      </c>
      <c r="E10801" s="14">
        <v>1.0</v>
      </c>
      <c r="F10801" s="15">
        <f t="shared" ref="F10801:F10802" si="1631">ROUND(19,3)</f>
        <v>19</v>
      </c>
      <c r="G10801" s="12">
        <f t="shared" si="1630"/>
        <v>19</v>
      </c>
    </row>
    <row r="10802" ht="24.0" customHeight="1">
      <c r="A10802" s="10" t="s">
        <v>30</v>
      </c>
      <c r="B10802" s="10" t="s">
        <v>26</v>
      </c>
      <c r="C10802" s="10" t="s">
        <v>23</v>
      </c>
      <c r="D10802" s="10" t="s">
        <v>31</v>
      </c>
      <c r="E10802" s="14">
        <v>0.2</v>
      </c>
      <c r="F10802" s="15">
        <f t="shared" si="1631"/>
        <v>19</v>
      </c>
      <c r="G10802" s="12">
        <f t="shared" si="1630"/>
        <v>3.8</v>
      </c>
    </row>
    <row r="10803" ht="15.0" customHeight="1">
      <c r="A10803" s="11"/>
      <c r="B10803" s="11"/>
      <c r="C10803" s="11"/>
      <c r="D10803" s="10" t="s">
        <v>1416</v>
      </c>
      <c r="E10803" s="14">
        <v>0.26667</v>
      </c>
      <c r="F10803" s="15">
        <f>ROUND((G10800+G10801+G10802),3)</f>
        <v>43.8</v>
      </c>
      <c r="G10803" s="12">
        <f t="shared" si="1630"/>
        <v>11.68</v>
      </c>
    </row>
    <row r="10804" ht="15.0" customHeight="1">
      <c r="A10804" s="10" t="s">
        <v>32</v>
      </c>
      <c r="B10804" s="10"/>
      <c r="C10804" s="10" t="s">
        <v>33</v>
      </c>
      <c r="D10804" s="10" t="s">
        <v>34</v>
      </c>
      <c r="E10804" s="14">
        <v>5.0</v>
      </c>
      <c r="F10804" s="15">
        <f>ROUND(11.68,3)</f>
        <v>11.68</v>
      </c>
      <c r="G10804" s="12">
        <f>ROUND((E10804*F10804)/100,2)</f>
        <v>0.58</v>
      </c>
    </row>
    <row r="10805" ht="15.0" customHeight="1">
      <c r="A10805" s="16"/>
      <c r="B10805" s="16"/>
      <c r="C10805" s="16"/>
      <c r="D10805" s="17" t="s">
        <v>4804</v>
      </c>
      <c r="E10805" s="16"/>
      <c r="F10805" s="18">
        <f>ROUND((G10797+G10798+G10799+G10804)*(1+G2/100),2)</f>
        <v>13.8</v>
      </c>
      <c r="G10805" s="16"/>
    </row>
    <row r="10806" ht="15.0" customHeight="1">
      <c r="A10806" s="23"/>
      <c r="B10806" s="23"/>
      <c r="C10806" s="23"/>
      <c r="D10806" s="32" t="s">
        <v>4704</v>
      </c>
      <c r="E10806" s="33"/>
      <c r="F10806" s="33"/>
      <c r="G10806" s="33"/>
    </row>
    <row r="10807" ht="15.0" customHeight="1">
      <c r="A10807" s="34" t="s">
        <v>4807</v>
      </c>
      <c r="B10807" s="34" t="s">
        <v>10</v>
      </c>
      <c r="C10807" s="35"/>
      <c r="D10807" s="34" t="s">
        <v>4705</v>
      </c>
      <c r="E10807" s="35"/>
      <c r="F10807" s="35"/>
      <c r="G10807" s="35"/>
    </row>
    <row r="10808" ht="48.75" customHeight="1">
      <c r="A10808" s="13" t="s">
        <v>4808</v>
      </c>
      <c r="B10808" s="10" t="s">
        <v>18</v>
      </c>
      <c r="C10808" s="10" t="s">
        <v>19</v>
      </c>
      <c r="D10808" s="10" t="s">
        <v>4809</v>
      </c>
      <c r="E10808" s="11"/>
      <c r="F10808" s="12">
        <f>F10819</f>
        <v>65.15</v>
      </c>
      <c r="G10808" s="11"/>
    </row>
    <row r="10809" ht="21.0" customHeight="1">
      <c r="A10809" s="11"/>
      <c r="B10809" s="11"/>
      <c r="C10809" s="11"/>
      <c r="D10809" s="10" t="s">
        <v>4809</v>
      </c>
    </row>
    <row r="10810" ht="39.75" customHeight="1">
      <c r="A10810" s="10" t="s">
        <v>4810</v>
      </c>
      <c r="B10810" s="10" t="s">
        <v>42</v>
      </c>
      <c r="C10810" s="10" t="s">
        <v>19</v>
      </c>
      <c r="D10810" s="10" t="s">
        <v>4811</v>
      </c>
      <c r="E10810" s="14">
        <v>1.05</v>
      </c>
      <c r="F10810" s="15">
        <f>ROUND(33.84,3)</f>
        <v>33.84</v>
      </c>
      <c r="G10810" s="12">
        <f t="shared" ref="G10810:G10817" si="1632">ROUND(E10810*F10810,2)</f>
        <v>35.53</v>
      </c>
    </row>
    <row r="10811" ht="48.75" customHeight="1">
      <c r="A10811" s="10" t="s">
        <v>2069</v>
      </c>
      <c r="B10811" s="10" t="s">
        <v>42</v>
      </c>
      <c r="C10811" s="10" t="s">
        <v>184</v>
      </c>
      <c r="D10811" s="10" t="s">
        <v>2070</v>
      </c>
      <c r="E10811" s="14">
        <v>0.504</v>
      </c>
      <c r="F10811" s="15">
        <f>ROUND(10.25,3)</f>
        <v>10.25</v>
      </c>
      <c r="G10811" s="12">
        <f t="shared" si="1632"/>
        <v>5.17</v>
      </c>
    </row>
    <row r="10812" ht="30.0" customHeight="1">
      <c r="A10812" s="10" t="s">
        <v>3633</v>
      </c>
      <c r="B10812" s="10" t="s">
        <v>42</v>
      </c>
      <c r="C10812" s="10" t="s">
        <v>184</v>
      </c>
      <c r="D10812" s="10" t="s">
        <v>3634</v>
      </c>
      <c r="E10812" s="14">
        <v>0.1716</v>
      </c>
      <c r="F10812" s="15">
        <f>ROUND(11,3)</f>
        <v>11</v>
      </c>
      <c r="G10812" s="12">
        <f t="shared" si="1632"/>
        <v>1.89</v>
      </c>
    </row>
    <row r="10813" ht="21.0" customHeight="1">
      <c r="A10813" s="10" t="s">
        <v>22</v>
      </c>
      <c r="B10813" s="10" t="s">
        <v>18</v>
      </c>
      <c r="C10813" s="10" t="s">
        <v>23</v>
      </c>
      <c r="D10813" s="10" t="s">
        <v>24</v>
      </c>
      <c r="E10813" s="14">
        <v>0.5</v>
      </c>
      <c r="F10813" s="15">
        <f>F10817</f>
        <v>43.8</v>
      </c>
      <c r="G10813" s="12">
        <f t="shared" si="1632"/>
        <v>21.9</v>
      </c>
    </row>
    <row r="10814" ht="24.0" customHeight="1">
      <c r="A10814" s="10" t="s">
        <v>25</v>
      </c>
      <c r="B10814" s="10" t="s">
        <v>26</v>
      </c>
      <c r="C10814" s="10" t="s">
        <v>23</v>
      </c>
      <c r="D10814" s="10" t="s">
        <v>27</v>
      </c>
      <c r="E10814" s="14">
        <v>1.0</v>
      </c>
      <c r="F10814" s="15">
        <f>ROUND(21,3)</f>
        <v>21</v>
      </c>
      <c r="G10814" s="12">
        <f t="shared" si="1632"/>
        <v>21</v>
      </c>
    </row>
    <row r="10815" ht="24.0" customHeight="1">
      <c r="A10815" s="10" t="s">
        <v>28</v>
      </c>
      <c r="B10815" s="10" t="s">
        <v>26</v>
      </c>
      <c r="C10815" s="10" t="s">
        <v>23</v>
      </c>
      <c r="D10815" s="10" t="s">
        <v>29</v>
      </c>
      <c r="E10815" s="14">
        <v>1.0</v>
      </c>
      <c r="F10815" s="15">
        <f t="shared" ref="F10815:F10816" si="1633">ROUND(19,3)</f>
        <v>19</v>
      </c>
      <c r="G10815" s="12">
        <f t="shared" si="1632"/>
        <v>19</v>
      </c>
    </row>
    <row r="10816" ht="24.0" customHeight="1">
      <c r="A10816" s="10" t="s">
        <v>30</v>
      </c>
      <c r="B10816" s="10" t="s">
        <v>26</v>
      </c>
      <c r="C10816" s="10" t="s">
        <v>23</v>
      </c>
      <c r="D10816" s="10" t="s">
        <v>31</v>
      </c>
      <c r="E10816" s="14">
        <v>0.2</v>
      </c>
      <c r="F10816" s="15">
        <f t="shared" si="1633"/>
        <v>19</v>
      </c>
      <c r="G10816" s="12">
        <f t="shared" si="1632"/>
        <v>3.8</v>
      </c>
    </row>
    <row r="10817" ht="15.0" customHeight="1">
      <c r="A10817" s="11"/>
      <c r="B10817" s="11"/>
      <c r="C10817" s="11"/>
      <c r="D10817" s="10" t="s">
        <v>22</v>
      </c>
      <c r="E10817" s="14">
        <v>0.5</v>
      </c>
      <c r="F10817" s="15">
        <f>ROUND((G10814+G10815+G10816),3)</f>
        <v>43.8</v>
      </c>
      <c r="G10817" s="12">
        <f t="shared" si="1632"/>
        <v>21.9</v>
      </c>
    </row>
    <row r="10818" ht="15.0" customHeight="1">
      <c r="A10818" s="10" t="s">
        <v>32</v>
      </c>
      <c r="B10818" s="10"/>
      <c r="C10818" s="10" t="s">
        <v>33</v>
      </c>
      <c r="D10818" s="10" t="s">
        <v>34</v>
      </c>
      <c r="E10818" s="14">
        <v>3.0</v>
      </c>
      <c r="F10818" s="15">
        <f>ROUND(21.9,3)</f>
        <v>21.9</v>
      </c>
      <c r="G10818" s="12">
        <f>ROUND((E10818*F10818)/100,2)</f>
        <v>0.66</v>
      </c>
    </row>
    <row r="10819" ht="24.75" customHeight="1">
      <c r="A10819" s="16"/>
      <c r="B10819" s="16"/>
      <c r="C10819" s="16"/>
      <c r="D10819" s="17" t="s">
        <v>4808</v>
      </c>
      <c r="E10819" s="16"/>
      <c r="F10819" s="18">
        <f>ROUND((G10810+G10811+G10812+G10813+G10818)*(1+G2/100),2)</f>
        <v>65.15</v>
      </c>
      <c r="G10819" s="16"/>
    </row>
    <row r="10820" ht="30.0" customHeight="1">
      <c r="A10820" s="19" t="s">
        <v>4812</v>
      </c>
      <c r="B10820" s="20" t="s">
        <v>18</v>
      </c>
      <c r="C10820" s="20" t="s">
        <v>19</v>
      </c>
      <c r="D10820" s="20" t="s">
        <v>4813</v>
      </c>
      <c r="E10820" s="21"/>
      <c r="F10820" s="22">
        <f>F10831</f>
        <v>46.63</v>
      </c>
      <c r="G10820" s="21"/>
    </row>
    <row r="10821" ht="21.0" customHeight="1">
      <c r="A10821" s="11"/>
      <c r="B10821" s="11"/>
      <c r="C10821" s="11"/>
      <c r="D10821" s="10" t="s">
        <v>4813</v>
      </c>
    </row>
    <row r="10822" ht="21.0" customHeight="1">
      <c r="A10822" s="10" t="s">
        <v>4814</v>
      </c>
      <c r="B10822" s="10" t="s">
        <v>42</v>
      </c>
      <c r="C10822" s="10" t="s">
        <v>19</v>
      </c>
      <c r="D10822" s="10" t="s">
        <v>4815</v>
      </c>
      <c r="E10822" s="14">
        <v>1.1</v>
      </c>
      <c r="F10822" s="15">
        <f>ROUND(11.5,3)</f>
        <v>11.5</v>
      </c>
      <c r="G10822" s="12">
        <f t="shared" ref="G10822:G10829" si="1634">ROUND(E10822*F10822,2)</f>
        <v>12.65</v>
      </c>
    </row>
    <row r="10823" ht="48.75" customHeight="1">
      <c r="A10823" s="10" t="s">
        <v>2069</v>
      </c>
      <c r="B10823" s="10" t="s">
        <v>42</v>
      </c>
      <c r="C10823" s="10" t="s">
        <v>184</v>
      </c>
      <c r="D10823" s="10" t="s">
        <v>2070</v>
      </c>
      <c r="E10823" s="14">
        <v>0.252</v>
      </c>
      <c r="F10823" s="15">
        <f>ROUND(10.25,3)</f>
        <v>10.25</v>
      </c>
      <c r="G10823" s="12">
        <f t="shared" si="1634"/>
        <v>2.58</v>
      </c>
    </row>
    <row r="10824" ht="30.0" customHeight="1">
      <c r="A10824" s="10" t="s">
        <v>3633</v>
      </c>
      <c r="B10824" s="10" t="s">
        <v>42</v>
      </c>
      <c r="C10824" s="10" t="s">
        <v>184</v>
      </c>
      <c r="D10824" s="10" t="s">
        <v>3634</v>
      </c>
      <c r="E10824" s="14">
        <v>0.12</v>
      </c>
      <c r="F10824" s="15">
        <f>ROUND(11,3)</f>
        <v>11</v>
      </c>
      <c r="G10824" s="12">
        <f t="shared" si="1634"/>
        <v>1.32</v>
      </c>
    </row>
    <row r="10825" ht="21.0" customHeight="1">
      <c r="A10825" s="10" t="s">
        <v>22</v>
      </c>
      <c r="B10825" s="10" t="s">
        <v>18</v>
      </c>
      <c r="C10825" s="10" t="s">
        <v>23</v>
      </c>
      <c r="D10825" s="10" t="s">
        <v>24</v>
      </c>
      <c r="E10825" s="14">
        <v>0.66667</v>
      </c>
      <c r="F10825" s="15">
        <f>F10829</f>
        <v>43.8</v>
      </c>
      <c r="G10825" s="12">
        <f t="shared" si="1634"/>
        <v>29.2</v>
      </c>
    </row>
    <row r="10826" ht="24.0" customHeight="1">
      <c r="A10826" s="10" t="s">
        <v>25</v>
      </c>
      <c r="B10826" s="10" t="s">
        <v>26</v>
      </c>
      <c r="C10826" s="10" t="s">
        <v>23</v>
      </c>
      <c r="D10826" s="10" t="s">
        <v>27</v>
      </c>
      <c r="E10826" s="14">
        <v>1.0</v>
      </c>
      <c r="F10826" s="15">
        <f>ROUND(21,3)</f>
        <v>21</v>
      </c>
      <c r="G10826" s="12">
        <f t="shared" si="1634"/>
        <v>21</v>
      </c>
    </row>
    <row r="10827" ht="24.0" customHeight="1">
      <c r="A10827" s="10" t="s">
        <v>28</v>
      </c>
      <c r="B10827" s="10" t="s">
        <v>26</v>
      </c>
      <c r="C10827" s="10" t="s">
        <v>23</v>
      </c>
      <c r="D10827" s="10" t="s">
        <v>29</v>
      </c>
      <c r="E10827" s="14">
        <v>1.0</v>
      </c>
      <c r="F10827" s="15">
        <f t="shared" ref="F10827:F10828" si="1635">ROUND(19,3)</f>
        <v>19</v>
      </c>
      <c r="G10827" s="12">
        <f t="shared" si="1634"/>
        <v>19</v>
      </c>
    </row>
    <row r="10828" ht="24.0" customHeight="1">
      <c r="A10828" s="10" t="s">
        <v>30</v>
      </c>
      <c r="B10828" s="10" t="s">
        <v>26</v>
      </c>
      <c r="C10828" s="10" t="s">
        <v>23</v>
      </c>
      <c r="D10828" s="10" t="s">
        <v>31</v>
      </c>
      <c r="E10828" s="14">
        <v>0.2</v>
      </c>
      <c r="F10828" s="15">
        <f t="shared" si="1635"/>
        <v>19</v>
      </c>
      <c r="G10828" s="12">
        <f t="shared" si="1634"/>
        <v>3.8</v>
      </c>
    </row>
    <row r="10829" ht="15.0" customHeight="1">
      <c r="A10829" s="11"/>
      <c r="B10829" s="11"/>
      <c r="C10829" s="11"/>
      <c r="D10829" s="10" t="s">
        <v>22</v>
      </c>
      <c r="E10829" s="14">
        <v>0.66667</v>
      </c>
      <c r="F10829" s="15">
        <f>ROUND((G10826+G10827+G10828),3)</f>
        <v>43.8</v>
      </c>
      <c r="G10829" s="12">
        <f t="shared" si="1634"/>
        <v>29.2</v>
      </c>
    </row>
    <row r="10830" ht="15.0" customHeight="1">
      <c r="A10830" s="10" t="s">
        <v>32</v>
      </c>
      <c r="B10830" s="10"/>
      <c r="C10830" s="10" t="s">
        <v>33</v>
      </c>
      <c r="D10830" s="10" t="s">
        <v>34</v>
      </c>
      <c r="E10830" s="14">
        <v>3.0</v>
      </c>
      <c r="F10830" s="15">
        <f>ROUND(29.2,3)</f>
        <v>29.2</v>
      </c>
      <c r="G10830" s="12">
        <f>ROUND((E10830*F10830)/100,2)</f>
        <v>0.88</v>
      </c>
    </row>
    <row r="10831" ht="24.75" customHeight="1">
      <c r="A10831" s="16"/>
      <c r="B10831" s="16"/>
      <c r="C10831" s="16"/>
      <c r="D10831" s="17" t="s">
        <v>4812</v>
      </c>
      <c r="E10831" s="16"/>
      <c r="F10831" s="18">
        <f>ROUND((G10822+G10823+G10824+G10825+G10830)*(1+G2/100),2)</f>
        <v>46.63</v>
      </c>
      <c r="G10831" s="16"/>
    </row>
    <row r="10832" ht="39.75" customHeight="1">
      <c r="A10832" s="19" t="s">
        <v>4816</v>
      </c>
      <c r="B10832" s="20" t="s">
        <v>18</v>
      </c>
      <c r="C10832" s="20" t="s">
        <v>19</v>
      </c>
      <c r="D10832" s="20" t="s">
        <v>4817</v>
      </c>
      <c r="E10832" s="21"/>
      <c r="F10832" s="22">
        <f>F10843</f>
        <v>67.42</v>
      </c>
      <c r="G10832" s="21"/>
    </row>
    <row r="10833" ht="21.0" customHeight="1">
      <c r="A10833" s="11"/>
      <c r="B10833" s="11"/>
      <c r="C10833" s="11"/>
      <c r="D10833" s="10" t="s">
        <v>4817</v>
      </c>
    </row>
    <row r="10834" ht="39.75" customHeight="1">
      <c r="A10834" s="10" t="s">
        <v>2769</v>
      </c>
      <c r="B10834" s="10" t="s">
        <v>42</v>
      </c>
      <c r="C10834" s="10" t="s">
        <v>19</v>
      </c>
      <c r="D10834" s="10" t="s">
        <v>2770</v>
      </c>
      <c r="E10834" s="14">
        <v>1.05</v>
      </c>
      <c r="F10834" s="15">
        <f>ROUND(29,3)</f>
        <v>29</v>
      </c>
      <c r="G10834" s="12">
        <f t="shared" ref="G10834:G10841" si="1636">ROUND(E10834*F10834,2)</f>
        <v>30.45</v>
      </c>
    </row>
    <row r="10835" ht="48.75" customHeight="1">
      <c r="A10835" s="10" t="s">
        <v>2069</v>
      </c>
      <c r="B10835" s="10" t="s">
        <v>42</v>
      </c>
      <c r="C10835" s="10" t="s">
        <v>184</v>
      </c>
      <c r="D10835" s="10" t="s">
        <v>2070</v>
      </c>
      <c r="E10835" s="14">
        <v>0.504</v>
      </c>
      <c r="F10835" s="15">
        <f>ROUND(10.25,3)</f>
        <v>10.25</v>
      </c>
      <c r="G10835" s="12">
        <f t="shared" si="1636"/>
        <v>5.17</v>
      </c>
    </row>
    <row r="10836" ht="30.0" customHeight="1">
      <c r="A10836" s="10" t="s">
        <v>3633</v>
      </c>
      <c r="B10836" s="10" t="s">
        <v>42</v>
      </c>
      <c r="C10836" s="10" t="s">
        <v>184</v>
      </c>
      <c r="D10836" s="10" t="s">
        <v>3634</v>
      </c>
      <c r="E10836" s="14">
        <v>0.15607</v>
      </c>
      <c r="F10836" s="15">
        <f>ROUND(11,3)</f>
        <v>11</v>
      </c>
      <c r="G10836" s="12">
        <f t="shared" si="1636"/>
        <v>1.72</v>
      </c>
    </row>
    <row r="10837" ht="21.0" customHeight="1">
      <c r="A10837" s="10" t="s">
        <v>22</v>
      </c>
      <c r="B10837" s="10" t="s">
        <v>18</v>
      </c>
      <c r="C10837" s="10" t="s">
        <v>23</v>
      </c>
      <c r="D10837" s="10" t="s">
        <v>24</v>
      </c>
      <c r="E10837" s="14">
        <v>0.66667</v>
      </c>
      <c r="F10837" s="15">
        <f>F10841</f>
        <v>43.8</v>
      </c>
      <c r="G10837" s="12">
        <f t="shared" si="1636"/>
        <v>29.2</v>
      </c>
    </row>
    <row r="10838" ht="24.0" customHeight="1">
      <c r="A10838" s="10" t="s">
        <v>25</v>
      </c>
      <c r="B10838" s="10" t="s">
        <v>26</v>
      </c>
      <c r="C10838" s="10" t="s">
        <v>23</v>
      </c>
      <c r="D10838" s="10" t="s">
        <v>27</v>
      </c>
      <c r="E10838" s="14">
        <v>1.0</v>
      </c>
      <c r="F10838" s="15">
        <f>ROUND(21,3)</f>
        <v>21</v>
      </c>
      <c r="G10838" s="12">
        <f t="shared" si="1636"/>
        <v>21</v>
      </c>
    </row>
    <row r="10839" ht="24.0" customHeight="1">
      <c r="A10839" s="10" t="s">
        <v>28</v>
      </c>
      <c r="B10839" s="10" t="s">
        <v>26</v>
      </c>
      <c r="C10839" s="10" t="s">
        <v>23</v>
      </c>
      <c r="D10839" s="10" t="s">
        <v>29</v>
      </c>
      <c r="E10839" s="14">
        <v>1.0</v>
      </c>
      <c r="F10839" s="15">
        <f t="shared" ref="F10839:F10840" si="1637">ROUND(19,3)</f>
        <v>19</v>
      </c>
      <c r="G10839" s="12">
        <f t="shared" si="1636"/>
        <v>19</v>
      </c>
    </row>
    <row r="10840" ht="24.0" customHeight="1">
      <c r="A10840" s="10" t="s">
        <v>30</v>
      </c>
      <c r="B10840" s="10" t="s">
        <v>26</v>
      </c>
      <c r="C10840" s="10" t="s">
        <v>23</v>
      </c>
      <c r="D10840" s="10" t="s">
        <v>31</v>
      </c>
      <c r="E10840" s="14">
        <v>0.2</v>
      </c>
      <c r="F10840" s="15">
        <f t="shared" si="1637"/>
        <v>19</v>
      </c>
      <c r="G10840" s="12">
        <f t="shared" si="1636"/>
        <v>3.8</v>
      </c>
    </row>
    <row r="10841" ht="15.0" customHeight="1">
      <c r="A10841" s="11"/>
      <c r="B10841" s="11"/>
      <c r="C10841" s="11"/>
      <c r="D10841" s="10" t="s">
        <v>22</v>
      </c>
      <c r="E10841" s="14">
        <v>0.66667</v>
      </c>
      <c r="F10841" s="15">
        <f>ROUND((G10838+G10839+G10840),3)</f>
        <v>43.8</v>
      </c>
      <c r="G10841" s="12">
        <f t="shared" si="1636"/>
        <v>29.2</v>
      </c>
    </row>
    <row r="10842" ht="15.0" customHeight="1">
      <c r="A10842" s="10" t="s">
        <v>32</v>
      </c>
      <c r="B10842" s="10"/>
      <c r="C10842" s="10" t="s">
        <v>33</v>
      </c>
      <c r="D10842" s="10" t="s">
        <v>34</v>
      </c>
      <c r="E10842" s="14">
        <v>3.0</v>
      </c>
      <c r="F10842" s="15">
        <f>ROUND(29.2,3)</f>
        <v>29.2</v>
      </c>
      <c r="G10842" s="12">
        <f>ROUND((E10842*F10842)/100,2)</f>
        <v>0.88</v>
      </c>
    </row>
    <row r="10843" ht="15.0" customHeight="1">
      <c r="A10843" s="16"/>
      <c r="B10843" s="16"/>
      <c r="C10843" s="16"/>
      <c r="D10843" s="17" t="s">
        <v>4816</v>
      </c>
      <c r="E10843" s="16"/>
      <c r="F10843" s="18">
        <f>ROUND((G10834+G10835+G10836+G10837+G10842)*(1+G2/100),2)</f>
        <v>67.42</v>
      </c>
      <c r="G10843" s="16"/>
    </row>
    <row r="10844" ht="30.0" customHeight="1">
      <c r="A10844" s="19" t="s">
        <v>4818</v>
      </c>
      <c r="B10844" s="20" t="s">
        <v>18</v>
      </c>
      <c r="C10844" s="20" t="s">
        <v>19</v>
      </c>
      <c r="D10844" s="20" t="s">
        <v>4819</v>
      </c>
      <c r="E10844" s="21"/>
      <c r="F10844" s="22">
        <f>F10855</f>
        <v>54.48</v>
      </c>
      <c r="G10844" s="21"/>
    </row>
    <row r="10845" ht="21.0" customHeight="1">
      <c r="A10845" s="11"/>
      <c r="B10845" s="11"/>
      <c r="C10845" s="11"/>
      <c r="D10845" s="10" t="s">
        <v>4820</v>
      </c>
    </row>
    <row r="10846" ht="30.0" customHeight="1">
      <c r="A10846" s="10" t="s">
        <v>3800</v>
      </c>
      <c r="B10846" s="10" t="s">
        <v>42</v>
      </c>
      <c r="C10846" s="10" t="s">
        <v>19</v>
      </c>
      <c r="D10846" s="10" t="s">
        <v>3801</v>
      </c>
      <c r="E10846" s="14">
        <v>1.075</v>
      </c>
      <c r="F10846" s="15">
        <f>ROUND(25,3)</f>
        <v>25</v>
      </c>
      <c r="G10846" s="12">
        <f t="shared" ref="G10846:G10853" si="1638">ROUND(E10846*F10846,2)</f>
        <v>26.88</v>
      </c>
    </row>
    <row r="10847" ht="30.0" customHeight="1">
      <c r="A10847" s="10" t="s">
        <v>3804</v>
      </c>
      <c r="B10847" s="10" t="s">
        <v>42</v>
      </c>
      <c r="C10847" s="10" t="s">
        <v>184</v>
      </c>
      <c r="D10847" s="10" t="s">
        <v>3805</v>
      </c>
      <c r="E10847" s="14">
        <v>0.5</v>
      </c>
      <c r="F10847" s="15">
        <f>ROUND(8.35,3)</f>
        <v>8.35</v>
      </c>
      <c r="G10847" s="12">
        <f t="shared" si="1638"/>
        <v>4.18</v>
      </c>
    </row>
    <row r="10848" ht="30.0" customHeight="1">
      <c r="A10848" s="10" t="s">
        <v>2053</v>
      </c>
      <c r="B10848" s="10" t="s">
        <v>42</v>
      </c>
      <c r="C10848" s="10" t="s">
        <v>184</v>
      </c>
      <c r="D10848" s="10" t="s">
        <v>2054</v>
      </c>
      <c r="E10848" s="14">
        <v>0.07333</v>
      </c>
      <c r="F10848" s="15">
        <f>ROUND(11.74,3)</f>
        <v>11.74</v>
      </c>
      <c r="G10848" s="12">
        <f t="shared" si="1638"/>
        <v>0.86</v>
      </c>
    </row>
    <row r="10849" ht="21.0" customHeight="1">
      <c r="A10849" s="10" t="s">
        <v>22</v>
      </c>
      <c r="B10849" s="10" t="s">
        <v>18</v>
      </c>
      <c r="C10849" s="10" t="s">
        <v>23</v>
      </c>
      <c r="D10849" s="10" t="s">
        <v>24</v>
      </c>
      <c r="E10849" s="14">
        <v>0.5</v>
      </c>
      <c r="F10849" s="15">
        <f>F10853</f>
        <v>43.8</v>
      </c>
      <c r="G10849" s="12">
        <f t="shared" si="1638"/>
        <v>21.9</v>
      </c>
    </row>
    <row r="10850" ht="24.0" customHeight="1">
      <c r="A10850" s="10" t="s">
        <v>25</v>
      </c>
      <c r="B10850" s="10" t="s">
        <v>26</v>
      </c>
      <c r="C10850" s="10" t="s">
        <v>23</v>
      </c>
      <c r="D10850" s="10" t="s">
        <v>27</v>
      </c>
      <c r="E10850" s="14">
        <v>1.0</v>
      </c>
      <c r="F10850" s="15">
        <f>ROUND(21,3)</f>
        <v>21</v>
      </c>
      <c r="G10850" s="12">
        <f t="shared" si="1638"/>
        <v>21</v>
      </c>
    </row>
    <row r="10851" ht="24.0" customHeight="1">
      <c r="A10851" s="10" t="s">
        <v>28</v>
      </c>
      <c r="B10851" s="10" t="s">
        <v>26</v>
      </c>
      <c r="C10851" s="10" t="s">
        <v>23</v>
      </c>
      <c r="D10851" s="10" t="s">
        <v>29</v>
      </c>
      <c r="E10851" s="14">
        <v>1.0</v>
      </c>
      <c r="F10851" s="15">
        <f t="shared" ref="F10851:F10852" si="1639">ROUND(19,3)</f>
        <v>19</v>
      </c>
      <c r="G10851" s="12">
        <f t="shared" si="1638"/>
        <v>19</v>
      </c>
    </row>
    <row r="10852" ht="24.0" customHeight="1">
      <c r="A10852" s="10" t="s">
        <v>30</v>
      </c>
      <c r="B10852" s="10" t="s">
        <v>26</v>
      </c>
      <c r="C10852" s="10" t="s">
        <v>23</v>
      </c>
      <c r="D10852" s="10" t="s">
        <v>31</v>
      </c>
      <c r="E10852" s="14">
        <v>0.2</v>
      </c>
      <c r="F10852" s="15">
        <f t="shared" si="1639"/>
        <v>19</v>
      </c>
      <c r="G10852" s="12">
        <f t="shared" si="1638"/>
        <v>3.8</v>
      </c>
    </row>
    <row r="10853" ht="15.0" customHeight="1">
      <c r="A10853" s="11"/>
      <c r="B10853" s="11"/>
      <c r="C10853" s="11"/>
      <c r="D10853" s="10" t="s">
        <v>22</v>
      </c>
      <c r="E10853" s="14">
        <v>0.5</v>
      </c>
      <c r="F10853" s="15">
        <f>ROUND((G10850+G10851+G10852),3)</f>
        <v>43.8</v>
      </c>
      <c r="G10853" s="12">
        <f t="shared" si="1638"/>
        <v>21.9</v>
      </c>
    </row>
    <row r="10854" ht="15.0" customHeight="1">
      <c r="A10854" s="10" t="s">
        <v>32</v>
      </c>
      <c r="B10854" s="10"/>
      <c r="C10854" s="10" t="s">
        <v>33</v>
      </c>
      <c r="D10854" s="10" t="s">
        <v>34</v>
      </c>
      <c r="E10854" s="14">
        <v>3.0</v>
      </c>
      <c r="F10854" s="15">
        <f>ROUND(21.9,3)</f>
        <v>21.9</v>
      </c>
      <c r="G10854" s="12">
        <f>ROUND((E10854*F10854)/100,2)</f>
        <v>0.66</v>
      </c>
    </row>
    <row r="10855" ht="15.0" customHeight="1">
      <c r="A10855" s="16"/>
      <c r="B10855" s="16"/>
      <c r="C10855" s="16"/>
      <c r="D10855" s="17" t="s">
        <v>4818</v>
      </c>
      <c r="E10855" s="16"/>
      <c r="F10855" s="18">
        <f>ROUND((G10846+G10847+G10848+G10849+G10854)*(1+G2/100),2)</f>
        <v>54.48</v>
      </c>
      <c r="G10855" s="16"/>
    </row>
    <row r="10856" ht="39.75" customHeight="1">
      <c r="A10856" s="19" t="s">
        <v>4821</v>
      </c>
      <c r="B10856" s="20" t="s">
        <v>18</v>
      </c>
      <c r="C10856" s="20" t="s">
        <v>19</v>
      </c>
      <c r="D10856" s="20" t="s">
        <v>4822</v>
      </c>
      <c r="E10856" s="21"/>
      <c r="F10856" s="22">
        <f>F10867</f>
        <v>51.74</v>
      </c>
      <c r="G10856" s="21"/>
    </row>
    <row r="10857" ht="21.0" customHeight="1">
      <c r="A10857" s="11"/>
      <c r="B10857" s="11"/>
      <c r="C10857" s="11"/>
      <c r="D10857" s="10" t="s">
        <v>4822</v>
      </c>
    </row>
    <row r="10858" ht="39.75" customHeight="1">
      <c r="A10858" s="10" t="s">
        <v>4823</v>
      </c>
      <c r="B10858" s="10" t="s">
        <v>42</v>
      </c>
      <c r="C10858" s="10" t="s">
        <v>344</v>
      </c>
      <c r="D10858" s="10" t="s">
        <v>4824</v>
      </c>
      <c r="E10858" s="14">
        <v>6.5625</v>
      </c>
      <c r="F10858" s="15">
        <f>ROUND(2.8,3)</f>
        <v>2.8</v>
      </c>
      <c r="G10858" s="12">
        <f t="shared" ref="G10858:G10865" si="1640">ROUND(E10858*F10858,2)</f>
        <v>18.38</v>
      </c>
    </row>
    <row r="10859" ht="21.0" customHeight="1">
      <c r="A10859" s="10" t="s">
        <v>3024</v>
      </c>
      <c r="B10859" s="10" t="s">
        <v>42</v>
      </c>
      <c r="C10859" s="10" t="s">
        <v>184</v>
      </c>
      <c r="D10859" s="10" t="s">
        <v>3025</v>
      </c>
      <c r="E10859" s="14">
        <v>2.268</v>
      </c>
      <c r="F10859" s="15">
        <f>ROUND(1.62,3)</f>
        <v>1.62</v>
      </c>
      <c r="G10859" s="12">
        <f t="shared" si="1640"/>
        <v>3.67</v>
      </c>
    </row>
    <row r="10860" ht="30.0" customHeight="1">
      <c r="A10860" s="10" t="s">
        <v>2053</v>
      </c>
      <c r="B10860" s="10" t="s">
        <v>42</v>
      </c>
      <c r="C10860" s="10" t="s">
        <v>184</v>
      </c>
      <c r="D10860" s="10" t="s">
        <v>2054</v>
      </c>
      <c r="E10860" s="14">
        <v>0.13376</v>
      </c>
      <c r="F10860" s="15">
        <f>ROUND(11.74,3)</f>
        <v>11.74</v>
      </c>
      <c r="G10860" s="12">
        <f t="shared" si="1640"/>
        <v>1.57</v>
      </c>
    </row>
    <row r="10861" ht="21.0" customHeight="1">
      <c r="A10861" s="10" t="s">
        <v>22</v>
      </c>
      <c r="B10861" s="10" t="s">
        <v>18</v>
      </c>
      <c r="C10861" s="10" t="s">
        <v>23</v>
      </c>
      <c r="D10861" s="10" t="s">
        <v>24</v>
      </c>
      <c r="E10861" s="14">
        <v>0.6</v>
      </c>
      <c r="F10861" s="15">
        <f>F10865</f>
        <v>43.8</v>
      </c>
      <c r="G10861" s="12">
        <f t="shared" si="1640"/>
        <v>26.28</v>
      </c>
    </row>
    <row r="10862" ht="24.0" customHeight="1">
      <c r="A10862" s="10" t="s">
        <v>25</v>
      </c>
      <c r="B10862" s="10" t="s">
        <v>26</v>
      </c>
      <c r="C10862" s="10" t="s">
        <v>23</v>
      </c>
      <c r="D10862" s="10" t="s">
        <v>27</v>
      </c>
      <c r="E10862" s="14">
        <v>1.0</v>
      </c>
      <c r="F10862" s="15">
        <f>ROUND(21,3)</f>
        <v>21</v>
      </c>
      <c r="G10862" s="12">
        <f t="shared" si="1640"/>
        <v>21</v>
      </c>
    </row>
    <row r="10863" ht="24.0" customHeight="1">
      <c r="A10863" s="10" t="s">
        <v>28</v>
      </c>
      <c r="B10863" s="10" t="s">
        <v>26</v>
      </c>
      <c r="C10863" s="10" t="s">
        <v>23</v>
      </c>
      <c r="D10863" s="10" t="s">
        <v>29</v>
      </c>
      <c r="E10863" s="14">
        <v>1.0</v>
      </c>
      <c r="F10863" s="15">
        <f t="shared" ref="F10863:F10864" si="1641">ROUND(19,3)</f>
        <v>19</v>
      </c>
      <c r="G10863" s="12">
        <f t="shared" si="1640"/>
        <v>19</v>
      </c>
    </row>
    <row r="10864" ht="24.0" customHeight="1">
      <c r="A10864" s="10" t="s">
        <v>30</v>
      </c>
      <c r="B10864" s="10" t="s">
        <v>26</v>
      </c>
      <c r="C10864" s="10" t="s">
        <v>23</v>
      </c>
      <c r="D10864" s="10" t="s">
        <v>31</v>
      </c>
      <c r="E10864" s="14">
        <v>0.2</v>
      </c>
      <c r="F10864" s="15">
        <f t="shared" si="1641"/>
        <v>19</v>
      </c>
      <c r="G10864" s="12">
        <f t="shared" si="1640"/>
        <v>3.8</v>
      </c>
    </row>
    <row r="10865" ht="15.0" customHeight="1">
      <c r="A10865" s="11"/>
      <c r="B10865" s="11"/>
      <c r="C10865" s="11"/>
      <c r="D10865" s="10" t="s">
        <v>22</v>
      </c>
      <c r="E10865" s="14">
        <v>0.6</v>
      </c>
      <c r="F10865" s="15">
        <f>ROUND((G10862+G10863+G10864),3)</f>
        <v>43.8</v>
      </c>
      <c r="G10865" s="12">
        <f t="shared" si="1640"/>
        <v>26.28</v>
      </c>
    </row>
    <row r="10866" ht="15.0" customHeight="1">
      <c r="A10866" s="10" t="s">
        <v>32</v>
      </c>
      <c r="B10866" s="10"/>
      <c r="C10866" s="10" t="s">
        <v>33</v>
      </c>
      <c r="D10866" s="10" t="s">
        <v>34</v>
      </c>
      <c r="E10866" s="14">
        <v>7.0</v>
      </c>
      <c r="F10866" s="15">
        <f>ROUND(26.28,3)</f>
        <v>26.28</v>
      </c>
      <c r="G10866" s="12">
        <f>ROUND((E10866*F10866)/100,2)</f>
        <v>1.84</v>
      </c>
    </row>
    <row r="10867" ht="15.0" customHeight="1">
      <c r="A10867" s="16"/>
      <c r="B10867" s="16"/>
      <c r="C10867" s="16"/>
      <c r="D10867" s="17" t="s">
        <v>4821</v>
      </c>
      <c r="E10867" s="16"/>
      <c r="F10867" s="18">
        <f>ROUND((G10858+G10859+G10860+G10861+G10866)*(1+G2/100),2)</f>
        <v>51.74</v>
      </c>
      <c r="G10867" s="16"/>
    </row>
    <row r="10868" ht="48.75" customHeight="1">
      <c r="A10868" s="19" t="s">
        <v>4825</v>
      </c>
      <c r="B10868" s="20" t="s">
        <v>18</v>
      </c>
      <c r="C10868" s="20" t="s">
        <v>19</v>
      </c>
      <c r="D10868" s="20" t="s">
        <v>4826</v>
      </c>
      <c r="E10868" s="21"/>
      <c r="F10868" s="22">
        <f>F10879</f>
        <v>45.13</v>
      </c>
      <c r="G10868" s="21"/>
    </row>
    <row r="10869" ht="21.0" customHeight="1">
      <c r="A10869" s="11"/>
      <c r="B10869" s="11"/>
      <c r="C10869" s="11"/>
      <c r="D10869" s="10" t="s">
        <v>4826</v>
      </c>
    </row>
    <row r="10870" ht="39.75" customHeight="1">
      <c r="A10870" s="10" t="s">
        <v>2750</v>
      </c>
      <c r="B10870" s="10" t="s">
        <v>42</v>
      </c>
      <c r="C10870" s="10" t="s">
        <v>19</v>
      </c>
      <c r="D10870" s="10" t="s">
        <v>2751</v>
      </c>
      <c r="E10870" s="14">
        <v>1.1</v>
      </c>
      <c r="F10870" s="15">
        <f>ROUND(10.12,3)</f>
        <v>10.12</v>
      </c>
      <c r="G10870" s="12">
        <f t="shared" ref="G10870:G10877" si="1642">ROUND(E10870*F10870,2)</f>
        <v>11.13</v>
      </c>
    </row>
    <row r="10871" ht="30.0" customHeight="1">
      <c r="A10871" s="10" t="s">
        <v>3804</v>
      </c>
      <c r="B10871" s="10" t="s">
        <v>42</v>
      </c>
      <c r="C10871" s="10" t="s">
        <v>184</v>
      </c>
      <c r="D10871" s="10" t="s">
        <v>3805</v>
      </c>
      <c r="E10871" s="14">
        <v>0.4</v>
      </c>
      <c r="F10871" s="15">
        <f>ROUND(8.35,3)</f>
        <v>8.35</v>
      </c>
      <c r="G10871" s="12">
        <f t="shared" si="1642"/>
        <v>3.34</v>
      </c>
    </row>
    <row r="10872" ht="30.0" customHeight="1">
      <c r="A10872" s="10" t="s">
        <v>2053</v>
      </c>
      <c r="B10872" s="10" t="s">
        <v>42</v>
      </c>
      <c r="C10872" s="10" t="s">
        <v>184</v>
      </c>
      <c r="D10872" s="10" t="s">
        <v>2054</v>
      </c>
      <c r="E10872" s="14">
        <v>0.216</v>
      </c>
      <c r="F10872" s="15">
        <f>ROUND(11.74,3)</f>
        <v>11.74</v>
      </c>
      <c r="G10872" s="12">
        <f t="shared" si="1642"/>
        <v>2.54</v>
      </c>
    </row>
    <row r="10873" ht="21.0" customHeight="1">
      <c r="A10873" s="10" t="s">
        <v>22</v>
      </c>
      <c r="B10873" s="10" t="s">
        <v>18</v>
      </c>
      <c r="C10873" s="10" t="s">
        <v>23</v>
      </c>
      <c r="D10873" s="10" t="s">
        <v>24</v>
      </c>
      <c r="E10873" s="14">
        <v>0.6</v>
      </c>
      <c r="F10873" s="15">
        <f>F10877</f>
        <v>43.8</v>
      </c>
      <c r="G10873" s="12">
        <f t="shared" si="1642"/>
        <v>26.28</v>
      </c>
    </row>
    <row r="10874" ht="24.0" customHeight="1">
      <c r="A10874" s="10" t="s">
        <v>25</v>
      </c>
      <c r="B10874" s="10" t="s">
        <v>26</v>
      </c>
      <c r="C10874" s="10" t="s">
        <v>23</v>
      </c>
      <c r="D10874" s="10" t="s">
        <v>27</v>
      </c>
      <c r="E10874" s="14">
        <v>1.0</v>
      </c>
      <c r="F10874" s="15">
        <f>ROUND(21,3)</f>
        <v>21</v>
      </c>
      <c r="G10874" s="12">
        <f t="shared" si="1642"/>
        <v>21</v>
      </c>
    </row>
    <row r="10875" ht="24.0" customHeight="1">
      <c r="A10875" s="10" t="s">
        <v>28</v>
      </c>
      <c r="B10875" s="10" t="s">
        <v>26</v>
      </c>
      <c r="C10875" s="10" t="s">
        <v>23</v>
      </c>
      <c r="D10875" s="10" t="s">
        <v>29</v>
      </c>
      <c r="E10875" s="14">
        <v>1.0</v>
      </c>
      <c r="F10875" s="15">
        <f t="shared" ref="F10875:F10876" si="1643">ROUND(19,3)</f>
        <v>19</v>
      </c>
      <c r="G10875" s="12">
        <f t="shared" si="1642"/>
        <v>19</v>
      </c>
    </row>
    <row r="10876" ht="24.0" customHeight="1">
      <c r="A10876" s="10" t="s">
        <v>30</v>
      </c>
      <c r="B10876" s="10" t="s">
        <v>26</v>
      </c>
      <c r="C10876" s="10" t="s">
        <v>23</v>
      </c>
      <c r="D10876" s="10" t="s">
        <v>31</v>
      </c>
      <c r="E10876" s="14">
        <v>0.2</v>
      </c>
      <c r="F10876" s="15">
        <f t="shared" si="1643"/>
        <v>19</v>
      </c>
      <c r="G10876" s="12">
        <f t="shared" si="1642"/>
        <v>3.8</v>
      </c>
    </row>
    <row r="10877" ht="15.0" customHeight="1">
      <c r="A10877" s="11"/>
      <c r="B10877" s="11"/>
      <c r="C10877" s="11"/>
      <c r="D10877" s="10" t="s">
        <v>22</v>
      </c>
      <c r="E10877" s="14">
        <v>0.6</v>
      </c>
      <c r="F10877" s="15">
        <f>ROUND((G10874+G10875+G10876),3)</f>
        <v>43.8</v>
      </c>
      <c r="G10877" s="12">
        <f t="shared" si="1642"/>
        <v>26.28</v>
      </c>
    </row>
    <row r="10878" ht="15.0" customHeight="1">
      <c r="A10878" s="10" t="s">
        <v>32</v>
      </c>
      <c r="B10878" s="10"/>
      <c r="C10878" s="10" t="s">
        <v>33</v>
      </c>
      <c r="D10878" s="10" t="s">
        <v>34</v>
      </c>
      <c r="E10878" s="14">
        <v>7.0</v>
      </c>
      <c r="F10878" s="15">
        <f>ROUND(26.28,3)</f>
        <v>26.28</v>
      </c>
      <c r="G10878" s="12">
        <f>ROUND((E10878*F10878)/100,2)</f>
        <v>1.84</v>
      </c>
    </row>
    <row r="10879" ht="24.75" customHeight="1">
      <c r="A10879" s="16"/>
      <c r="B10879" s="16"/>
      <c r="C10879" s="16"/>
      <c r="D10879" s="17" t="s">
        <v>4825</v>
      </c>
      <c r="E10879" s="16"/>
      <c r="F10879" s="18">
        <f>ROUND((G10870+G10871+G10872+G10873+G10878)*(1+G2/100),2)</f>
        <v>45.13</v>
      </c>
      <c r="G10879" s="16"/>
    </row>
    <row r="10880" ht="39.75" customHeight="1">
      <c r="A10880" s="19" t="s">
        <v>4827</v>
      </c>
      <c r="B10880" s="20" t="s">
        <v>18</v>
      </c>
      <c r="C10880" s="20" t="s">
        <v>19</v>
      </c>
      <c r="D10880" s="20" t="s">
        <v>4828</v>
      </c>
      <c r="E10880" s="21"/>
      <c r="F10880" s="22">
        <f>F10891</f>
        <v>54.07</v>
      </c>
      <c r="G10880" s="21"/>
    </row>
    <row r="10881" ht="21.0" customHeight="1">
      <c r="A10881" s="11"/>
      <c r="B10881" s="11"/>
      <c r="C10881" s="11"/>
      <c r="D10881" s="10" t="s">
        <v>4828</v>
      </c>
    </row>
    <row r="10882" ht="30.0" customHeight="1">
      <c r="A10882" s="10" t="s">
        <v>4829</v>
      </c>
      <c r="B10882" s="10" t="s">
        <v>42</v>
      </c>
      <c r="C10882" s="10" t="s">
        <v>344</v>
      </c>
      <c r="D10882" s="10" t="s">
        <v>4830</v>
      </c>
      <c r="E10882" s="14">
        <v>16.0</v>
      </c>
      <c r="F10882" s="15">
        <f>ROUND(1.84,3)</f>
        <v>1.84</v>
      </c>
      <c r="G10882" s="12">
        <f t="shared" ref="G10882:G10889" si="1644">ROUND(E10882*F10882,2)</f>
        <v>29.44</v>
      </c>
    </row>
    <row r="10883" ht="30.0" customHeight="1">
      <c r="A10883" s="10" t="s">
        <v>3804</v>
      </c>
      <c r="B10883" s="10" t="s">
        <v>42</v>
      </c>
      <c r="C10883" s="10" t="s">
        <v>184</v>
      </c>
      <c r="D10883" s="10" t="s">
        <v>3805</v>
      </c>
      <c r="E10883" s="14">
        <v>0.4</v>
      </c>
      <c r="F10883" s="15">
        <f>ROUND(8.35,3)</f>
        <v>8.35</v>
      </c>
      <c r="G10883" s="12">
        <f t="shared" si="1644"/>
        <v>3.34</v>
      </c>
    </row>
    <row r="10884" ht="30.0" customHeight="1">
      <c r="A10884" s="10" t="s">
        <v>2053</v>
      </c>
      <c r="B10884" s="10" t="s">
        <v>42</v>
      </c>
      <c r="C10884" s="10" t="s">
        <v>184</v>
      </c>
      <c r="D10884" s="10" t="s">
        <v>2054</v>
      </c>
      <c r="E10884" s="14">
        <v>0.216</v>
      </c>
      <c r="F10884" s="15">
        <f>ROUND(11.74,3)</f>
        <v>11.74</v>
      </c>
      <c r="G10884" s="12">
        <f t="shared" si="1644"/>
        <v>2.54</v>
      </c>
    </row>
    <row r="10885" ht="21.0" customHeight="1">
      <c r="A10885" s="10" t="s">
        <v>22</v>
      </c>
      <c r="B10885" s="10" t="s">
        <v>18</v>
      </c>
      <c r="C10885" s="10" t="s">
        <v>23</v>
      </c>
      <c r="D10885" s="10" t="s">
        <v>24</v>
      </c>
      <c r="E10885" s="14">
        <v>0.4</v>
      </c>
      <c r="F10885" s="15">
        <f>F10889</f>
        <v>43.8</v>
      </c>
      <c r="G10885" s="12">
        <f t="shared" si="1644"/>
        <v>17.52</v>
      </c>
    </row>
    <row r="10886" ht="24.0" customHeight="1">
      <c r="A10886" s="10" t="s">
        <v>25</v>
      </c>
      <c r="B10886" s="10" t="s">
        <v>26</v>
      </c>
      <c r="C10886" s="10" t="s">
        <v>23</v>
      </c>
      <c r="D10886" s="10" t="s">
        <v>27</v>
      </c>
      <c r="E10886" s="14">
        <v>1.0</v>
      </c>
      <c r="F10886" s="15">
        <f>ROUND(21,3)</f>
        <v>21</v>
      </c>
      <c r="G10886" s="12">
        <f t="shared" si="1644"/>
        <v>21</v>
      </c>
    </row>
    <row r="10887" ht="24.0" customHeight="1">
      <c r="A10887" s="10" t="s">
        <v>28</v>
      </c>
      <c r="B10887" s="10" t="s">
        <v>26</v>
      </c>
      <c r="C10887" s="10" t="s">
        <v>23</v>
      </c>
      <c r="D10887" s="10" t="s">
        <v>29</v>
      </c>
      <c r="E10887" s="14">
        <v>1.0</v>
      </c>
      <c r="F10887" s="15">
        <f t="shared" ref="F10887:F10888" si="1645">ROUND(19,3)</f>
        <v>19</v>
      </c>
      <c r="G10887" s="12">
        <f t="shared" si="1644"/>
        <v>19</v>
      </c>
    </row>
    <row r="10888" ht="24.0" customHeight="1">
      <c r="A10888" s="10" t="s">
        <v>30</v>
      </c>
      <c r="B10888" s="10" t="s">
        <v>26</v>
      </c>
      <c r="C10888" s="10" t="s">
        <v>23</v>
      </c>
      <c r="D10888" s="10" t="s">
        <v>31</v>
      </c>
      <c r="E10888" s="14">
        <v>0.2</v>
      </c>
      <c r="F10888" s="15">
        <f t="shared" si="1645"/>
        <v>19</v>
      </c>
      <c r="G10888" s="12">
        <f t="shared" si="1644"/>
        <v>3.8</v>
      </c>
    </row>
    <row r="10889" ht="15.0" customHeight="1">
      <c r="A10889" s="11"/>
      <c r="B10889" s="11"/>
      <c r="C10889" s="11"/>
      <c r="D10889" s="10" t="s">
        <v>22</v>
      </c>
      <c r="E10889" s="14">
        <v>0.4</v>
      </c>
      <c r="F10889" s="15">
        <f>ROUND((G10886+G10887+G10888),3)</f>
        <v>43.8</v>
      </c>
      <c r="G10889" s="12">
        <f t="shared" si="1644"/>
        <v>17.52</v>
      </c>
    </row>
    <row r="10890" ht="15.0" customHeight="1">
      <c r="A10890" s="10" t="s">
        <v>32</v>
      </c>
      <c r="B10890" s="10"/>
      <c r="C10890" s="10" t="s">
        <v>33</v>
      </c>
      <c r="D10890" s="10" t="s">
        <v>34</v>
      </c>
      <c r="E10890" s="14">
        <v>7.0</v>
      </c>
      <c r="F10890" s="15">
        <f>ROUND(17.52,3)</f>
        <v>17.52</v>
      </c>
      <c r="G10890" s="12">
        <f>ROUND((E10890*F10890)/100,2)</f>
        <v>1.23</v>
      </c>
    </row>
    <row r="10891" ht="15.0" customHeight="1">
      <c r="A10891" s="16"/>
      <c r="B10891" s="16"/>
      <c r="C10891" s="16"/>
      <c r="D10891" s="17" t="s">
        <v>4827</v>
      </c>
      <c r="E10891" s="16"/>
      <c r="F10891" s="18">
        <f>ROUND((G10882+G10883+G10884+G10885+G10890)*(1+G2/100),2)</f>
        <v>54.07</v>
      </c>
      <c r="G10891" s="16"/>
    </row>
    <row r="10892" ht="30.0" customHeight="1">
      <c r="A10892" s="19" t="s">
        <v>4831</v>
      </c>
      <c r="B10892" s="20" t="s">
        <v>18</v>
      </c>
      <c r="C10892" s="20" t="s">
        <v>19</v>
      </c>
      <c r="D10892" s="20" t="s">
        <v>4832</v>
      </c>
      <c r="E10892" s="21"/>
      <c r="F10892" s="22">
        <f>F10903</f>
        <v>122.72</v>
      </c>
      <c r="G10892" s="21"/>
    </row>
    <row r="10893" ht="30.0" customHeight="1">
      <c r="A10893" s="11"/>
      <c r="B10893" s="11"/>
      <c r="C10893" s="11"/>
      <c r="D10893" s="10" t="s">
        <v>4833</v>
      </c>
    </row>
    <row r="10894" ht="24.0" customHeight="1">
      <c r="A10894" s="10" t="s">
        <v>4834</v>
      </c>
      <c r="B10894" s="10" t="s">
        <v>42</v>
      </c>
      <c r="C10894" s="10" t="s">
        <v>344</v>
      </c>
      <c r="D10894" s="10" t="s">
        <v>4835</v>
      </c>
      <c r="E10894" s="14">
        <v>28.0</v>
      </c>
      <c r="F10894" s="15">
        <f>ROUND(3.15,3)</f>
        <v>3.15</v>
      </c>
      <c r="G10894" s="12">
        <f t="shared" ref="G10894:G10901" si="1646">ROUND(E10894*F10894,2)</f>
        <v>88.2</v>
      </c>
    </row>
    <row r="10895" ht="48.75" customHeight="1">
      <c r="A10895" s="10" t="s">
        <v>2069</v>
      </c>
      <c r="B10895" s="10" t="s">
        <v>42</v>
      </c>
      <c r="C10895" s="10" t="s">
        <v>184</v>
      </c>
      <c r="D10895" s="10" t="s">
        <v>2070</v>
      </c>
      <c r="E10895" s="14">
        <v>0.44</v>
      </c>
      <c r="F10895" s="15">
        <f>ROUND(10.25,3)</f>
        <v>10.25</v>
      </c>
      <c r="G10895" s="12">
        <f t="shared" si="1646"/>
        <v>4.51</v>
      </c>
    </row>
    <row r="10896" ht="30.0" customHeight="1">
      <c r="A10896" s="10" t="s">
        <v>3633</v>
      </c>
      <c r="B10896" s="10" t="s">
        <v>42</v>
      </c>
      <c r="C10896" s="10" t="s">
        <v>184</v>
      </c>
      <c r="D10896" s="10" t="s">
        <v>3634</v>
      </c>
      <c r="E10896" s="14">
        <v>0.22</v>
      </c>
      <c r="F10896" s="15">
        <f>ROUND(11,3)</f>
        <v>11</v>
      </c>
      <c r="G10896" s="12">
        <f t="shared" si="1646"/>
        <v>2.42</v>
      </c>
    </row>
    <row r="10897" ht="21.0" customHeight="1">
      <c r="A10897" s="10" t="s">
        <v>22</v>
      </c>
      <c r="B10897" s="10" t="s">
        <v>18</v>
      </c>
      <c r="C10897" s="10" t="s">
        <v>23</v>
      </c>
      <c r="D10897" s="10" t="s">
        <v>24</v>
      </c>
      <c r="E10897" s="14">
        <v>0.6</v>
      </c>
      <c r="F10897" s="15">
        <f>F10901</f>
        <v>43.8</v>
      </c>
      <c r="G10897" s="12">
        <f t="shared" si="1646"/>
        <v>26.28</v>
      </c>
    </row>
    <row r="10898" ht="24.0" customHeight="1">
      <c r="A10898" s="10" t="s">
        <v>25</v>
      </c>
      <c r="B10898" s="10" t="s">
        <v>26</v>
      </c>
      <c r="C10898" s="10" t="s">
        <v>23</v>
      </c>
      <c r="D10898" s="10" t="s">
        <v>27</v>
      </c>
      <c r="E10898" s="14">
        <v>1.0</v>
      </c>
      <c r="F10898" s="15">
        <f>ROUND(21,3)</f>
        <v>21</v>
      </c>
      <c r="G10898" s="12">
        <f t="shared" si="1646"/>
        <v>21</v>
      </c>
    </row>
    <row r="10899" ht="24.0" customHeight="1">
      <c r="A10899" s="10" t="s">
        <v>28</v>
      </c>
      <c r="B10899" s="10" t="s">
        <v>26</v>
      </c>
      <c r="C10899" s="10" t="s">
        <v>23</v>
      </c>
      <c r="D10899" s="10" t="s">
        <v>29</v>
      </c>
      <c r="E10899" s="14">
        <v>1.0</v>
      </c>
      <c r="F10899" s="15">
        <f t="shared" ref="F10899:F10900" si="1647">ROUND(19,3)</f>
        <v>19</v>
      </c>
      <c r="G10899" s="12">
        <f t="shared" si="1646"/>
        <v>19</v>
      </c>
    </row>
    <row r="10900" ht="24.0" customHeight="1">
      <c r="A10900" s="10" t="s">
        <v>30</v>
      </c>
      <c r="B10900" s="10" t="s">
        <v>26</v>
      </c>
      <c r="C10900" s="10" t="s">
        <v>23</v>
      </c>
      <c r="D10900" s="10" t="s">
        <v>31</v>
      </c>
      <c r="E10900" s="14">
        <v>0.2</v>
      </c>
      <c r="F10900" s="15">
        <f t="shared" si="1647"/>
        <v>19</v>
      </c>
      <c r="G10900" s="12">
        <f t="shared" si="1646"/>
        <v>3.8</v>
      </c>
    </row>
    <row r="10901" ht="15.0" customHeight="1">
      <c r="A10901" s="11"/>
      <c r="B10901" s="11"/>
      <c r="C10901" s="11"/>
      <c r="D10901" s="10" t="s">
        <v>22</v>
      </c>
      <c r="E10901" s="14">
        <v>0.6</v>
      </c>
      <c r="F10901" s="15">
        <f>ROUND((G10898+G10899+G10900),3)</f>
        <v>43.8</v>
      </c>
      <c r="G10901" s="12">
        <f t="shared" si="1646"/>
        <v>26.28</v>
      </c>
    </row>
    <row r="10902" ht="15.0" customHeight="1">
      <c r="A10902" s="10" t="s">
        <v>32</v>
      </c>
      <c r="B10902" s="10"/>
      <c r="C10902" s="10" t="s">
        <v>33</v>
      </c>
      <c r="D10902" s="10" t="s">
        <v>34</v>
      </c>
      <c r="E10902" s="14">
        <v>5.0</v>
      </c>
      <c r="F10902" s="15">
        <f>ROUND(26.28,3)</f>
        <v>26.28</v>
      </c>
      <c r="G10902" s="12">
        <f>ROUND((E10902*F10902)/100,2)</f>
        <v>1.31</v>
      </c>
    </row>
    <row r="10903" ht="24.75" customHeight="1">
      <c r="A10903" s="16"/>
      <c r="B10903" s="16"/>
      <c r="C10903" s="16"/>
      <c r="D10903" s="17" t="s">
        <v>4831</v>
      </c>
      <c r="E10903" s="16"/>
      <c r="F10903" s="18">
        <f>ROUND((G10894+G10895+G10896+G10897+G10902)*(1+G2/100),2)</f>
        <v>122.72</v>
      </c>
      <c r="G10903" s="16"/>
    </row>
    <row r="10904" ht="39.75" customHeight="1">
      <c r="A10904" s="19" t="s">
        <v>4836</v>
      </c>
      <c r="B10904" s="20" t="s">
        <v>18</v>
      </c>
      <c r="C10904" s="20" t="s">
        <v>19</v>
      </c>
      <c r="D10904" s="20" t="s">
        <v>4837</v>
      </c>
      <c r="E10904" s="21"/>
      <c r="F10904" s="22">
        <f>F10915</f>
        <v>67.6</v>
      </c>
      <c r="G10904" s="21"/>
    </row>
    <row r="10905" ht="21.0" customHeight="1">
      <c r="A10905" s="11"/>
      <c r="B10905" s="11"/>
      <c r="C10905" s="11"/>
      <c r="D10905" s="10" t="s">
        <v>4838</v>
      </c>
    </row>
    <row r="10906" ht="39.75" customHeight="1">
      <c r="A10906" s="10" t="s">
        <v>4839</v>
      </c>
      <c r="B10906" s="10" t="s">
        <v>42</v>
      </c>
      <c r="C10906" s="10" t="s">
        <v>19</v>
      </c>
      <c r="D10906" s="10" t="s">
        <v>4840</v>
      </c>
      <c r="E10906" s="14">
        <v>1.1</v>
      </c>
      <c r="F10906" s="15">
        <f>ROUND(35.19,3)</f>
        <v>35.19</v>
      </c>
      <c r="G10906" s="12">
        <f t="shared" ref="G10906:G10913" si="1648">ROUND(E10906*F10906,2)</f>
        <v>38.71</v>
      </c>
    </row>
    <row r="10907" ht="30.0" customHeight="1">
      <c r="A10907" s="10" t="s">
        <v>3804</v>
      </c>
      <c r="B10907" s="10" t="s">
        <v>42</v>
      </c>
      <c r="C10907" s="10" t="s">
        <v>184</v>
      </c>
      <c r="D10907" s="10" t="s">
        <v>3805</v>
      </c>
      <c r="E10907" s="14">
        <v>0.44</v>
      </c>
      <c r="F10907" s="15">
        <f>ROUND(8.35,3)</f>
        <v>8.35</v>
      </c>
      <c r="G10907" s="12">
        <f t="shared" si="1648"/>
        <v>3.67</v>
      </c>
    </row>
    <row r="10908" ht="30.0" customHeight="1">
      <c r="A10908" s="10" t="s">
        <v>2053</v>
      </c>
      <c r="B10908" s="10" t="s">
        <v>42</v>
      </c>
      <c r="C10908" s="10" t="s">
        <v>184</v>
      </c>
      <c r="D10908" s="10" t="s">
        <v>2054</v>
      </c>
      <c r="E10908" s="14">
        <v>0.352</v>
      </c>
      <c r="F10908" s="15">
        <f>ROUND(11.74,3)</f>
        <v>11.74</v>
      </c>
      <c r="G10908" s="12">
        <f t="shared" si="1648"/>
        <v>4.13</v>
      </c>
    </row>
    <row r="10909" ht="21.0" customHeight="1">
      <c r="A10909" s="10" t="s">
        <v>22</v>
      </c>
      <c r="B10909" s="10" t="s">
        <v>18</v>
      </c>
      <c r="C10909" s="10" t="s">
        <v>23</v>
      </c>
      <c r="D10909" s="10" t="s">
        <v>24</v>
      </c>
      <c r="E10909" s="14">
        <v>0.45</v>
      </c>
      <c r="F10909" s="15">
        <f>F10913</f>
        <v>43.8</v>
      </c>
      <c r="G10909" s="12">
        <f t="shared" si="1648"/>
        <v>19.71</v>
      </c>
    </row>
    <row r="10910" ht="24.0" customHeight="1">
      <c r="A10910" s="10" t="s">
        <v>25</v>
      </c>
      <c r="B10910" s="10" t="s">
        <v>26</v>
      </c>
      <c r="C10910" s="10" t="s">
        <v>23</v>
      </c>
      <c r="D10910" s="10" t="s">
        <v>27</v>
      </c>
      <c r="E10910" s="14">
        <v>1.0</v>
      </c>
      <c r="F10910" s="15">
        <f>ROUND(21,3)</f>
        <v>21</v>
      </c>
      <c r="G10910" s="12">
        <f t="shared" si="1648"/>
        <v>21</v>
      </c>
    </row>
    <row r="10911" ht="24.0" customHeight="1">
      <c r="A10911" s="10" t="s">
        <v>28</v>
      </c>
      <c r="B10911" s="10" t="s">
        <v>26</v>
      </c>
      <c r="C10911" s="10" t="s">
        <v>23</v>
      </c>
      <c r="D10911" s="10" t="s">
        <v>29</v>
      </c>
      <c r="E10911" s="14">
        <v>1.0</v>
      </c>
      <c r="F10911" s="15">
        <f t="shared" ref="F10911:F10912" si="1649">ROUND(19,3)</f>
        <v>19</v>
      </c>
      <c r="G10911" s="12">
        <f t="shared" si="1648"/>
        <v>19</v>
      </c>
    </row>
    <row r="10912" ht="24.0" customHeight="1">
      <c r="A10912" s="10" t="s">
        <v>30</v>
      </c>
      <c r="B10912" s="10" t="s">
        <v>26</v>
      </c>
      <c r="C10912" s="10" t="s">
        <v>23</v>
      </c>
      <c r="D10912" s="10" t="s">
        <v>31</v>
      </c>
      <c r="E10912" s="14">
        <v>0.2</v>
      </c>
      <c r="F10912" s="15">
        <f t="shared" si="1649"/>
        <v>19</v>
      </c>
      <c r="G10912" s="12">
        <f t="shared" si="1648"/>
        <v>3.8</v>
      </c>
    </row>
    <row r="10913" ht="15.0" customHeight="1">
      <c r="A10913" s="11"/>
      <c r="B10913" s="11"/>
      <c r="C10913" s="11"/>
      <c r="D10913" s="10" t="s">
        <v>22</v>
      </c>
      <c r="E10913" s="14">
        <v>0.45</v>
      </c>
      <c r="F10913" s="15">
        <f>ROUND((G10910+G10911+G10912),3)</f>
        <v>43.8</v>
      </c>
      <c r="G10913" s="12">
        <f t="shared" si="1648"/>
        <v>19.71</v>
      </c>
    </row>
    <row r="10914" ht="15.0" customHeight="1">
      <c r="A10914" s="10" t="s">
        <v>32</v>
      </c>
      <c r="B10914" s="10"/>
      <c r="C10914" s="10" t="s">
        <v>33</v>
      </c>
      <c r="D10914" s="10" t="s">
        <v>34</v>
      </c>
      <c r="E10914" s="14">
        <v>7.0</v>
      </c>
      <c r="F10914" s="15">
        <f>ROUND(19.71,3)</f>
        <v>19.71</v>
      </c>
      <c r="G10914" s="12">
        <f>ROUND((E10914*F10914)/100,2)</f>
        <v>1.38</v>
      </c>
    </row>
    <row r="10915" ht="15.0" customHeight="1">
      <c r="A10915" s="16"/>
      <c r="B10915" s="16"/>
      <c r="C10915" s="16"/>
      <c r="D10915" s="17" t="s">
        <v>4836</v>
      </c>
      <c r="E10915" s="16"/>
      <c r="F10915" s="18">
        <f>ROUND((G10906+G10907+G10908+G10909+G10914)*(1+G2/100),2)</f>
        <v>67.6</v>
      </c>
      <c r="G10915" s="16"/>
    </row>
    <row r="10916" ht="30.0" customHeight="1">
      <c r="A10916" s="19" t="s">
        <v>4841</v>
      </c>
      <c r="B10916" s="20" t="s">
        <v>18</v>
      </c>
      <c r="C10916" s="20" t="s">
        <v>19</v>
      </c>
      <c r="D10916" s="20" t="s">
        <v>4842</v>
      </c>
      <c r="E10916" s="21"/>
      <c r="F10916" s="22">
        <f>F10925</f>
        <v>30.97</v>
      </c>
      <c r="G10916" s="21"/>
    </row>
    <row r="10917" ht="12.0" customHeight="1">
      <c r="A10917" s="11"/>
      <c r="B10917" s="11"/>
      <c r="C10917" s="11"/>
      <c r="D10917" s="10" t="s">
        <v>4842</v>
      </c>
    </row>
    <row r="10918" ht="39.75" customHeight="1">
      <c r="A10918" s="10" t="s">
        <v>4843</v>
      </c>
      <c r="B10918" s="10" t="s">
        <v>42</v>
      </c>
      <c r="C10918" s="10" t="s">
        <v>43</v>
      </c>
      <c r="D10918" s="10" t="s">
        <v>4844</v>
      </c>
      <c r="E10918" s="14">
        <v>0.092</v>
      </c>
      <c r="F10918" s="15">
        <f>ROUND(107.43,3)</f>
        <v>107.43</v>
      </c>
      <c r="G10918" s="12">
        <f t="shared" ref="G10918:G10923" si="1650">ROUND(E10918*F10918,2)</f>
        <v>9.88</v>
      </c>
    </row>
    <row r="10919" ht="21.0" customHeight="1">
      <c r="A10919" s="10" t="s">
        <v>22</v>
      </c>
      <c r="B10919" s="10" t="s">
        <v>18</v>
      </c>
      <c r="C10919" s="10" t="s">
        <v>23</v>
      </c>
      <c r="D10919" s="10" t="s">
        <v>24</v>
      </c>
      <c r="E10919" s="14">
        <v>0.45</v>
      </c>
      <c r="F10919" s="15">
        <f>F10923</f>
        <v>43.8</v>
      </c>
      <c r="G10919" s="12">
        <f t="shared" si="1650"/>
        <v>19.71</v>
      </c>
    </row>
    <row r="10920" ht="24.0" customHeight="1">
      <c r="A10920" s="10" t="s">
        <v>25</v>
      </c>
      <c r="B10920" s="10" t="s">
        <v>26</v>
      </c>
      <c r="C10920" s="10" t="s">
        <v>23</v>
      </c>
      <c r="D10920" s="10" t="s">
        <v>27</v>
      </c>
      <c r="E10920" s="14">
        <v>1.0</v>
      </c>
      <c r="F10920" s="15">
        <f>ROUND(21,3)</f>
        <v>21</v>
      </c>
      <c r="G10920" s="12">
        <f t="shared" si="1650"/>
        <v>21</v>
      </c>
    </row>
    <row r="10921" ht="24.0" customHeight="1">
      <c r="A10921" s="10" t="s">
        <v>28</v>
      </c>
      <c r="B10921" s="10" t="s">
        <v>26</v>
      </c>
      <c r="C10921" s="10" t="s">
        <v>23</v>
      </c>
      <c r="D10921" s="10" t="s">
        <v>29</v>
      </c>
      <c r="E10921" s="14">
        <v>1.0</v>
      </c>
      <c r="F10921" s="15">
        <f t="shared" ref="F10921:F10922" si="1651">ROUND(19,3)</f>
        <v>19</v>
      </c>
      <c r="G10921" s="12">
        <f t="shared" si="1650"/>
        <v>19</v>
      </c>
    </row>
    <row r="10922" ht="24.0" customHeight="1">
      <c r="A10922" s="10" t="s">
        <v>30</v>
      </c>
      <c r="B10922" s="10" t="s">
        <v>26</v>
      </c>
      <c r="C10922" s="10" t="s">
        <v>23</v>
      </c>
      <c r="D10922" s="10" t="s">
        <v>31</v>
      </c>
      <c r="E10922" s="14">
        <v>0.2</v>
      </c>
      <c r="F10922" s="15">
        <f t="shared" si="1651"/>
        <v>19</v>
      </c>
      <c r="G10922" s="12">
        <f t="shared" si="1650"/>
        <v>3.8</v>
      </c>
    </row>
    <row r="10923" ht="15.0" customHeight="1">
      <c r="A10923" s="11"/>
      <c r="B10923" s="11"/>
      <c r="C10923" s="11"/>
      <c r="D10923" s="10" t="s">
        <v>22</v>
      </c>
      <c r="E10923" s="14">
        <v>0.45</v>
      </c>
      <c r="F10923" s="15">
        <f>ROUND((G10920+G10921+G10922),3)</f>
        <v>43.8</v>
      </c>
      <c r="G10923" s="12">
        <f t="shared" si="1650"/>
        <v>19.71</v>
      </c>
    </row>
    <row r="10924" ht="15.0" customHeight="1">
      <c r="A10924" s="10" t="s">
        <v>32</v>
      </c>
      <c r="B10924" s="10"/>
      <c r="C10924" s="10" t="s">
        <v>33</v>
      </c>
      <c r="D10924" s="10" t="s">
        <v>34</v>
      </c>
      <c r="E10924" s="14">
        <v>7.0</v>
      </c>
      <c r="F10924" s="15">
        <f>ROUND(19.71,3)</f>
        <v>19.71</v>
      </c>
      <c r="G10924" s="12">
        <f>ROUND((E10924*F10924)/100,2)</f>
        <v>1.38</v>
      </c>
    </row>
    <row r="10925" ht="15.0" customHeight="1">
      <c r="A10925" s="16"/>
      <c r="B10925" s="16"/>
      <c r="C10925" s="16"/>
      <c r="D10925" s="17" t="s">
        <v>4841</v>
      </c>
      <c r="E10925" s="16"/>
      <c r="F10925" s="18">
        <f>ROUND((G10918+G10919+G10924)*(1+G2/100),2)</f>
        <v>30.97</v>
      </c>
      <c r="G10925" s="16"/>
    </row>
    <row r="10926" ht="30.0" customHeight="1">
      <c r="A10926" s="19" t="s">
        <v>3683</v>
      </c>
      <c r="B10926" s="20" t="s">
        <v>18</v>
      </c>
      <c r="C10926" s="20" t="s">
        <v>19</v>
      </c>
      <c r="D10926" s="20" t="s">
        <v>3684</v>
      </c>
      <c r="E10926" s="21"/>
      <c r="F10926" s="22">
        <f>F10937</f>
        <v>45.72</v>
      </c>
      <c r="G10926" s="21"/>
    </row>
    <row r="10927" ht="12.0" customHeight="1">
      <c r="A10927" s="11"/>
      <c r="B10927" s="11"/>
      <c r="C10927" s="11"/>
      <c r="D10927" s="10" t="s">
        <v>3684</v>
      </c>
    </row>
    <row r="10928" ht="30.0" customHeight="1">
      <c r="A10928" s="10" t="s">
        <v>2755</v>
      </c>
      <c r="B10928" s="10" t="s">
        <v>42</v>
      </c>
      <c r="C10928" s="10" t="s">
        <v>344</v>
      </c>
      <c r="D10928" s="10" t="s">
        <v>2756</v>
      </c>
      <c r="E10928" s="14">
        <v>28.0</v>
      </c>
      <c r="F10928" s="15">
        <f>ROUND(0.4,3)</f>
        <v>0.4</v>
      </c>
      <c r="G10928" s="12">
        <f t="shared" ref="G10928:G10935" si="1652">ROUND(E10928*F10928,2)</f>
        <v>11.2</v>
      </c>
    </row>
    <row r="10929" ht="48.75" customHeight="1">
      <c r="A10929" s="10" t="s">
        <v>2069</v>
      </c>
      <c r="B10929" s="10" t="s">
        <v>42</v>
      </c>
      <c r="C10929" s="10" t="s">
        <v>184</v>
      </c>
      <c r="D10929" s="10" t="s">
        <v>2070</v>
      </c>
      <c r="E10929" s="14">
        <v>0.44</v>
      </c>
      <c r="F10929" s="15">
        <f>ROUND(10.25,3)</f>
        <v>10.25</v>
      </c>
      <c r="G10929" s="12">
        <f t="shared" si="1652"/>
        <v>4.51</v>
      </c>
    </row>
    <row r="10930" ht="30.0" customHeight="1">
      <c r="A10930" s="10" t="s">
        <v>3633</v>
      </c>
      <c r="B10930" s="10" t="s">
        <v>42</v>
      </c>
      <c r="C10930" s="10" t="s">
        <v>184</v>
      </c>
      <c r="D10930" s="10" t="s">
        <v>3634</v>
      </c>
      <c r="E10930" s="14">
        <v>0.22</v>
      </c>
      <c r="F10930" s="15">
        <f>ROUND(11,3)</f>
        <v>11</v>
      </c>
      <c r="G10930" s="12">
        <f t="shared" si="1652"/>
        <v>2.42</v>
      </c>
    </row>
    <row r="10931" ht="21.0" customHeight="1">
      <c r="A10931" s="10" t="s">
        <v>22</v>
      </c>
      <c r="B10931" s="10" t="s">
        <v>18</v>
      </c>
      <c r="C10931" s="10" t="s">
        <v>23</v>
      </c>
      <c r="D10931" s="10" t="s">
        <v>24</v>
      </c>
      <c r="E10931" s="14">
        <v>0.6</v>
      </c>
      <c r="F10931" s="15">
        <f>F10935</f>
        <v>43.8</v>
      </c>
      <c r="G10931" s="12">
        <f t="shared" si="1652"/>
        <v>26.28</v>
      </c>
    </row>
    <row r="10932" ht="24.0" customHeight="1">
      <c r="A10932" s="10" t="s">
        <v>25</v>
      </c>
      <c r="B10932" s="10" t="s">
        <v>26</v>
      </c>
      <c r="C10932" s="10" t="s">
        <v>23</v>
      </c>
      <c r="D10932" s="10" t="s">
        <v>27</v>
      </c>
      <c r="E10932" s="14">
        <v>1.0</v>
      </c>
      <c r="F10932" s="15">
        <f>ROUND(21,3)</f>
        <v>21</v>
      </c>
      <c r="G10932" s="12">
        <f t="shared" si="1652"/>
        <v>21</v>
      </c>
    </row>
    <row r="10933" ht="24.0" customHeight="1">
      <c r="A10933" s="10" t="s">
        <v>28</v>
      </c>
      <c r="B10933" s="10" t="s">
        <v>26</v>
      </c>
      <c r="C10933" s="10" t="s">
        <v>23</v>
      </c>
      <c r="D10933" s="10" t="s">
        <v>29</v>
      </c>
      <c r="E10933" s="14">
        <v>1.0</v>
      </c>
      <c r="F10933" s="15">
        <f t="shared" ref="F10933:F10934" si="1653">ROUND(19,3)</f>
        <v>19</v>
      </c>
      <c r="G10933" s="12">
        <f t="shared" si="1652"/>
        <v>19</v>
      </c>
    </row>
    <row r="10934" ht="24.0" customHeight="1">
      <c r="A10934" s="10" t="s">
        <v>30</v>
      </c>
      <c r="B10934" s="10" t="s">
        <v>26</v>
      </c>
      <c r="C10934" s="10" t="s">
        <v>23</v>
      </c>
      <c r="D10934" s="10" t="s">
        <v>31</v>
      </c>
      <c r="E10934" s="14">
        <v>0.2</v>
      </c>
      <c r="F10934" s="15">
        <f t="shared" si="1653"/>
        <v>19</v>
      </c>
      <c r="G10934" s="12">
        <f t="shared" si="1652"/>
        <v>3.8</v>
      </c>
    </row>
    <row r="10935" ht="15.0" customHeight="1">
      <c r="A10935" s="11"/>
      <c r="B10935" s="11"/>
      <c r="C10935" s="11"/>
      <c r="D10935" s="10" t="s">
        <v>22</v>
      </c>
      <c r="E10935" s="14">
        <v>0.6</v>
      </c>
      <c r="F10935" s="15">
        <f>ROUND((G10932+G10933+G10934),3)</f>
        <v>43.8</v>
      </c>
      <c r="G10935" s="12">
        <f t="shared" si="1652"/>
        <v>26.28</v>
      </c>
    </row>
    <row r="10936" ht="15.0" customHeight="1">
      <c r="A10936" s="10" t="s">
        <v>32</v>
      </c>
      <c r="B10936" s="10"/>
      <c r="C10936" s="10" t="s">
        <v>33</v>
      </c>
      <c r="D10936" s="10" t="s">
        <v>34</v>
      </c>
      <c r="E10936" s="14">
        <v>5.0</v>
      </c>
      <c r="F10936" s="15">
        <f>ROUND(26.28,3)</f>
        <v>26.28</v>
      </c>
      <c r="G10936" s="12">
        <f>ROUND((E10936*F10936)/100,2)</f>
        <v>1.31</v>
      </c>
    </row>
    <row r="10937" ht="15.0" customHeight="1">
      <c r="A10937" s="16"/>
      <c r="B10937" s="16"/>
      <c r="C10937" s="16"/>
      <c r="D10937" s="17" t="s">
        <v>3683</v>
      </c>
      <c r="E10937" s="16"/>
      <c r="F10937" s="18">
        <f>ROUND((G10928+G10929+G10930+G10931+G10936)*(1+G2/100),2)</f>
        <v>45.72</v>
      </c>
      <c r="G10937" s="16"/>
    </row>
    <row r="10938" ht="30.0" customHeight="1">
      <c r="A10938" s="19" t="s">
        <v>4845</v>
      </c>
      <c r="B10938" s="20" t="s">
        <v>18</v>
      </c>
      <c r="C10938" s="20" t="s">
        <v>19</v>
      </c>
      <c r="D10938" s="20" t="s">
        <v>3684</v>
      </c>
      <c r="E10938" s="21"/>
      <c r="F10938" s="22">
        <f>F10949</f>
        <v>44.94</v>
      </c>
      <c r="G10938" s="21"/>
    </row>
    <row r="10939" ht="12.0" customHeight="1">
      <c r="A10939" s="11"/>
      <c r="B10939" s="11"/>
      <c r="C10939" s="11"/>
      <c r="D10939" s="10" t="s">
        <v>3684</v>
      </c>
    </row>
    <row r="10940" ht="30.0" customHeight="1">
      <c r="A10940" s="10" t="s">
        <v>4846</v>
      </c>
      <c r="B10940" s="10" t="s">
        <v>42</v>
      </c>
      <c r="C10940" s="10" t="s">
        <v>19</v>
      </c>
      <c r="D10940" s="10" t="s">
        <v>4847</v>
      </c>
      <c r="E10940" s="14">
        <v>1.1</v>
      </c>
      <c r="F10940" s="15">
        <f>ROUND(9.47,3)</f>
        <v>9.47</v>
      </c>
      <c r="G10940" s="12">
        <f t="shared" ref="G10940:G10947" si="1654">ROUND(E10940*F10940,2)</f>
        <v>10.42</v>
      </c>
    </row>
    <row r="10941" ht="48.75" customHeight="1">
      <c r="A10941" s="10" t="s">
        <v>2069</v>
      </c>
      <c r="B10941" s="10" t="s">
        <v>42</v>
      </c>
      <c r="C10941" s="10" t="s">
        <v>184</v>
      </c>
      <c r="D10941" s="10" t="s">
        <v>2070</v>
      </c>
      <c r="E10941" s="14">
        <v>0.44</v>
      </c>
      <c r="F10941" s="15">
        <f>ROUND(10.25,3)</f>
        <v>10.25</v>
      </c>
      <c r="G10941" s="12">
        <f t="shared" si="1654"/>
        <v>4.51</v>
      </c>
    </row>
    <row r="10942" ht="30.0" customHeight="1">
      <c r="A10942" s="10" t="s">
        <v>3633</v>
      </c>
      <c r="B10942" s="10" t="s">
        <v>42</v>
      </c>
      <c r="C10942" s="10" t="s">
        <v>184</v>
      </c>
      <c r="D10942" s="10" t="s">
        <v>3634</v>
      </c>
      <c r="E10942" s="14">
        <v>0.22</v>
      </c>
      <c r="F10942" s="15">
        <f>ROUND(11,3)</f>
        <v>11</v>
      </c>
      <c r="G10942" s="12">
        <f t="shared" si="1654"/>
        <v>2.42</v>
      </c>
    </row>
    <row r="10943" ht="21.0" customHeight="1">
      <c r="A10943" s="10" t="s">
        <v>22</v>
      </c>
      <c r="B10943" s="10" t="s">
        <v>18</v>
      </c>
      <c r="C10943" s="10" t="s">
        <v>23</v>
      </c>
      <c r="D10943" s="10" t="s">
        <v>24</v>
      </c>
      <c r="E10943" s="14">
        <v>0.6</v>
      </c>
      <c r="F10943" s="15">
        <f>F10947</f>
        <v>43.8</v>
      </c>
      <c r="G10943" s="12">
        <f t="shared" si="1654"/>
        <v>26.28</v>
      </c>
    </row>
    <row r="10944" ht="24.0" customHeight="1">
      <c r="A10944" s="10" t="s">
        <v>25</v>
      </c>
      <c r="B10944" s="10" t="s">
        <v>26</v>
      </c>
      <c r="C10944" s="10" t="s">
        <v>23</v>
      </c>
      <c r="D10944" s="10" t="s">
        <v>27</v>
      </c>
      <c r="E10944" s="14">
        <v>1.0</v>
      </c>
      <c r="F10944" s="15">
        <f>ROUND(21,3)</f>
        <v>21</v>
      </c>
      <c r="G10944" s="12">
        <f t="shared" si="1654"/>
        <v>21</v>
      </c>
    </row>
    <row r="10945" ht="24.0" customHeight="1">
      <c r="A10945" s="10" t="s">
        <v>28</v>
      </c>
      <c r="B10945" s="10" t="s">
        <v>26</v>
      </c>
      <c r="C10945" s="10" t="s">
        <v>23</v>
      </c>
      <c r="D10945" s="10" t="s">
        <v>29</v>
      </c>
      <c r="E10945" s="14">
        <v>1.0</v>
      </c>
      <c r="F10945" s="15">
        <f t="shared" ref="F10945:F10946" si="1655">ROUND(19,3)</f>
        <v>19</v>
      </c>
      <c r="G10945" s="12">
        <f t="shared" si="1654"/>
        <v>19</v>
      </c>
    </row>
    <row r="10946" ht="24.0" customHeight="1">
      <c r="A10946" s="10" t="s">
        <v>30</v>
      </c>
      <c r="B10946" s="10" t="s">
        <v>26</v>
      </c>
      <c r="C10946" s="10" t="s">
        <v>23</v>
      </c>
      <c r="D10946" s="10" t="s">
        <v>31</v>
      </c>
      <c r="E10946" s="14">
        <v>0.2</v>
      </c>
      <c r="F10946" s="15">
        <f t="shared" si="1655"/>
        <v>19</v>
      </c>
      <c r="G10946" s="12">
        <f t="shared" si="1654"/>
        <v>3.8</v>
      </c>
    </row>
    <row r="10947" ht="15.0" customHeight="1">
      <c r="A10947" s="11"/>
      <c r="B10947" s="11"/>
      <c r="C10947" s="11"/>
      <c r="D10947" s="10" t="s">
        <v>22</v>
      </c>
      <c r="E10947" s="14">
        <v>0.6</v>
      </c>
      <c r="F10947" s="15">
        <f>ROUND((G10944+G10945+G10946),3)</f>
        <v>43.8</v>
      </c>
      <c r="G10947" s="12">
        <f t="shared" si="1654"/>
        <v>26.28</v>
      </c>
    </row>
    <row r="10948" ht="15.0" customHeight="1">
      <c r="A10948" s="10" t="s">
        <v>32</v>
      </c>
      <c r="B10948" s="10"/>
      <c r="C10948" s="10" t="s">
        <v>33</v>
      </c>
      <c r="D10948" s="10" t="s">
        <v>34</v>
      </c>
      <c r="E10948" s="14">
        <v>5.0</v>
      </c>
      <c r="F10948" s="15">
        <f>ROUND(26.28,3)</f>
        <v>26.28</v>
      </c>
      <c r="G10948" s="12">
        <f>ROUND((E10948*F10948)/100,2)</f>
        <v>1.31</v>
      </c>
    </row>
    <row r="10949" ht="15.0" customHeight="1">
      <c r="A10949" s="16"/>
      <c r="B10949" s="16"/>
      <c r="C10949" s="16"/>
      <c r="D10949" s="17" t="s">
        <v>4845</v>
      </c>
      <c r="E10949" s="16"/>
      <c r="F10949" s="18">
        <f>ROUND((G10940+G10941+G10942+G10943+G10948)*(1+G2/100),2)</f>
        <v>44.94</v>
      </c>
      <c r="G10949" s="16"/>
    </row>
    <row r="10950" ht="48.75" customHeight="1">
      <c r="A10950" s="19" t="s">
        <v>4848</v>
      </c>
      <c r="B10950" s="20" t="s">
        <v>18</v>
      </c>
      <c r="C10950" s="20" t="s">
        <v>19</v>
      </c>
      <c r="D10950" s="20" t="s">
        <v>4849</v>
      </c>
      <c r="E10950" s="21"/>
      <c r="F10950" s="22">
        <f>F10961</f>
        <v>102.55</v>
      </c>
      <c r="G10950" s="21"/>
    </row>
    <row r="10951" ht="21.0" customHeight="1">
      <c r="A10951" s="11"/>
      <c r="B10951" s="11"/>
      <c r="C10951" s="11"/>
      <c r="D10951" s="10" t="s">
        <v>4849</v>
      </c>
    </row>
    <row r="10952" ht="39.75" customHeight="1">
      <c r="A10952" s="10" t="s">
        <v>4850</v>
      </c>
      <c r="B10952" s="10" t="s">
        <v>42</v>
      </c>
      <c r="C10952" s="10" t="s">
        <v>19</v>
      </c>
      <c r="D10952" s="10" t="s">
        <v>4851</v>
      </c>
      <c r="E10952" s="14">
        <v>1.1</v>
      </c>
      <c r="F10952" s="15">
        <f>ROUND(62.9,3)</f>
        <v>62.9</v>
      </c>
      <c r="G10952" s="12">
        <f t="shared" ref="G10952:G10959" si="1656">ROUND(E10952*F10952,2)</f>
        <v>69.19</v>
      </c>
    </row>
    <row r="10953" ht="21.0" customHeight="1">
      <c r="A10953" s="10" t="s">
        <v>3024</v>
      </c>
      <c r="B10953" s="10" t="s">
        <v>42</v>
      </c>
      <c r="C10953" s="10" t="s">
        <v>184</v>
      </c>
      <c r="D10953" s="10" t="s">
        <v>3025</v>
      </c>
      <c r="E10953" s="14">
        <v>2.268</v>
      </c>
      <c r="F10953" s="15">
        <f>ROUND(1.62,3)</f>
        <v>1.62</v>
      </c>
      <c r="G10953" s="12">
        <f t="shared" si="1656"/>
        <v>3.67</v>
      </c>
    </row>
    <row r="10954" ht="30.0" customHeight="1">
      <c r="A10954" s="10" t="s">
        <v>2053</v>
      </c>
      <c r="B10954" s="10" t="s">
        <v>42</v>
      </c>
      <c r="C10954" s="10" t="s">
        <v>184</v>
      </c>
      <c r="D10954" s="10" t="s">
        <v>2054</v>
      </c>
      <c r="E10954" s="14">
        <v>0.13376</v>
      </c>
      <c r="F10954" s="15">
        <f>ROUND(11.74,3)</f>
        <v>11.74</v>
      </c>
      <c r="G10954" s="12">
        <f t="shared" si="1656"/>
        <v>1.57</v>
      </c>
    </row>
    <row r="10955" ht="21.0" customHeight="1">
      <c r="A10955" s="10" t="s">
        <v>22</v>
      </c>
      <c r="B10955" s="10" t="s">
        <v>18</v>
      </c>
      <c r="C10955" s="10" t="s">
        <v>23</v>
      </c>
      <c r="D10955" s="10" t="s">
        <v>24</v>
      </c>
      <c r="E10955" s="14">
        <v>0.6</v>
      </c>
      <c r="F10955" s="15">
        <f>F10959</f>
        <v>43.8</v>
      </c>
      <c r="G10955" s="12">
        <f t="shared" si="1656"/>
        <v>26.28</v>
      </c>
    </row>
    <row r="10956" ht="24.0" customHeight="1">
      <c r="A10956" s="10" t="s">
        <v>25</v>
      </c>
      <c r="B10956" s="10" t="s">
        <v>26</v>
      </c>
      <c r="C10956" s="10" t="s">
        <v>23</v>
      </c>
      <c r="D10956" s="10" t="s">
        <v>27</v>
      </c>
      <c r="E10956" s="14">
        <v>1.0</v>
      </c>
      <c r="F10956" s="15">
        <f>ROUND(21,3)</f>
        <v>21</v>
      </c>
      <c r="G10956" s="12">
        <f t="shared" si="1656"/>
        <v>21</v>
      </c>
    </row>
    <row r="10957" ht="24.0" customHeight="1">
      <c r="A10957" s="10" t="s">
        <v>28</v>
      </c>
      <c r="B10957" s="10" t="s">
        <v>26</v>
      </c>
      <c r="C10957" s="10" t="s">
        <v>23</v>
      </c>
      <c r="D10957" s="10" t="s">
        <v>29</v>
      </c>
      <c r="E10957" s="14">
        <v>1.0</v>
      </c>
      <c r="F10957" s="15">
        <f t="shared" ref="F10957:F10958" si="1657">ROUND(19,3)</f>
        <v>19</v>
      </c>
      <c r="G10957" s="12">
        <f t="shared" si="1656"/>
        <v>19</v>
      </c>
    </row>
    <row r="10958" ht="24.0" customHeight="1">
      <c r="A10958" s="10" t="s">
        <v>30</v>
      </c>
      <c r="B10958" s="10" t="s">
        <v>26</v>
      </c>
      <c r="C10958" s="10" t="s">
        <v>23</v>
      </c>
      <c r="D10958" s="10" t="s">
        <v>31</v>
      </c>
      <c r="E10958" s="14">
        <v>0.2</v>
      </c>
      <c r="F10958" s="15">
        <f t="shared" si="1657"/>
        <v>19</v>
      </c>
      <c r="G10958" s="12">
        <f t="shared" si="1656"/>
        <v>3.8</v>
      </c>
    </row>
    <row r="10959" ht="15.0" customHeight="1">
      <c r="A10959" s="11"/>
      <c r="B10959" s="11"/>
      <c r="C10959" s="11"/>
      <c r="D10959" s="10" t="s">
        <v>22</v>
      </c>
      <c r="E10959" s="14">
        <v>0.6</v>
      </c>
      <c r="F10959" s="15">
        <f>ROUND((G10956+G10957+G10958),3)</f>
        <v>43.8</v>
      </c>
      <c r="G10959" s="12">
        <f t="shared" si="1656"/>
        <v>26.28</v>
      </c>
    </row>
    <row r="10960" ht="15.0" customHeight="1">
      <c r="A10960" s="10" t="s">
        <v>32</v>
      </c>
      <c r="B10960" s="10"/>
      <c r="C10960" s="10" t="s">
        <v>33</v>
      </c>
      <c r="D10960" s="10" t="s">
        <v>34</v>
      </c>
      <c r="E10960" s="14">
        <v>7.0</v>
      </c>
      <c r="F10960" s="15">
        <f>ROUND(26.28,3)</f>
        <v>26.28</v>
      </c>
      <c r="G10960" s="12">
        <f>ROUND((E10960*F10960)/100,2)</f>
        <v>1.84</v>
      </c>
    </row>
    <row r="10961" ht="15.0" customHeight="1">
      <c r="A10961" s="16"/>
      <c r="B10961" s="16"/>
      <c r="C10961" s="16"/>
      <c r="D10961" s="17" t="s">
        <v>4848</v>
      </c>
      <c r="E10961" s="16"/>
      <c r="F10961" s="18">
        <f>ROUND((G10952+G10953+G10954+G10955+G10960)*(1+G2/100),2)</f>
        <v>102.55</v>
      </c>
      <c r="G10961" s="16"/>
    </row>
    <row r="10962" ht="48.75" customHeight="1">
      <c r="A10962" s="19" t="s">
        <v>4852</v>
      </c>
      <c r="B10962" s="20" t="s">
        <v>18</v>
      </c>
      <c r="C10962" s="20" t="s">
        <v>19</v>
      </c>
      <c r="D10962" s="20" t="s">
        <v>4853</v>
      </c>
      <c r="E10962" s="21"/>
      <c r="F10962" s="22">
        <f>F10973</f>
        <v>94.85</v>
      </c>
      <c r="G10962" s="21"/>
    </row>
    <row r="10963" ht="21.0" customHeight="1">
      <c r="A10963" s="11"/>
      <c r="B10963" s="11"/>
      <c r="C10963" s="11"/>
      <c r="D10963" s="10" t="s">
        <v>4853</v>
      </c>
    </row>
    <row r="10964" ht="39.75" customHeight="1">
      <c r="A10964" s="10" t="s">
        <v>4854</v>
      </c>
      <c r="B10964" s="10" t="s">
        <v>42</v>
      </c>
      <c r="C10964" s="10" t="s">
        <v>19</v>
      </c>
      <c r="D10964" s="10" t="s">
        <v>4855</v>
      </c>
      <c r="E10964" s="14">
        <v>1.1</v>
      </c>
      <c r="F10964" s="15">
        <f>ROUND(55.9,3)</f>
        <v>55.9</v>
      </c>
      <c r="G10964" s="12">
        <f t="shared" ref="G10964:G10971" si="1658">ROUND(E10964*F10964,2)</f>
        <v>61.49</v>
      </c>
    </row>
    <row r="10965" ht="21.0" customHeight="1">
      <c r="A10965" s="10" t="s">
        <v>3024</v>
      </c>
      <c r="B10965" s="10" t="s">
        <v>42</v>
      </c>
      <c r="C10965" s="10" t="s">
        <v>184</v>
      </c>
      <c r="D10965" s="10" t="s">
        <v>3025</v>
      </c>
      <c r="E10965" s="14">
        <v>2.268</v>
      </c>
      <c r="F10965" s="15">
        <f>ROUND(1.62,3)</f>
        <v>1.62</v>
      </c>
      <c r="G10965" s="12">
        <f t="shared" si="1658"/>
        <v>3.67</v>
      </c>
    </row>
    <row r="10966" ht="30.0" customHeight="1">
      <c r="A10966" s="10" t="s">
        <v>2053</v>
      </c>
      <c r="B10966" s="10" t="s">
        <v>42</v>
      </c>
      <c r="C10966" s="10" t="s">
        <v>184</v>
      </c>
      <c r="D10966" s="10" t="s">
        <v>2054</v>
      </c>
      <c r="E10966" s="14">
        <v>0.13376</v>
      </c>
      <c r="F10966" s="15">
        <f>ROUND(11.74,3)</f>
        <v>11.74</v>
      </c>
      <c r="G10966" s="12">
        <f t="shared" si="1658"/>
        <v>1.57</v>
      </c>
    </row>
    <row r="10967" ht="21.0" customHeight="1">
      <c r="A10967" s="10" t="s">
        <v>22</v>
      </c>
      <c r="B10967" s="10" t="s">
        <v>18</v>
      </c>
      <c r="C10967" s="10" t="s">
        <v>23</v>
      </c>
      <c r="D10967" s="10" t="s">
        <v>24</v>
      </c>
      <c r="E10967" s="14">
        <v>0.6</v>
      </c>
      <c r="F10967" s="15">
        <f>F10971</f>
        <v>43.8</v>
      </c>
      <c r="G10967" s="12">
        <f t="shared" si="1658"/>
        <v>26.28</v>
      </c>
    </row>
    <row r="10968" ht="24.0" customHeight="1">
      <c r="A10968" s="10" t="s">
        <v>25</v>
      </c>
      <c r="B10968" s="10" t="s">
        <v>26</v>
      </c>
      <c r="C10968" s="10" t="s">
        <v>23</v>
      </c>
      <c r="D10968" s="10" t="s">
        <v>27</v>
      </c>
      <c r="E10968" s="14">
        <v>1.0</v>
      </c>
      <c r="F10968" s="15">
        <f>ROUND(21,3)</f>
        <v>21</v>
      </c>
      <c r="G10968" s="12">
        <f t="shared" si="1658"/>
        <v>21</v>
      </c>
    </row>
    <row r="10969" ht="24.0" customHeight="1">
      <c r="A10969" s="10" t="s">
        <v>28</v>
      </c>
      <c r="B10969" s="10" t="s">
        <v>26</v>
      </c>
      <c r="C10969" s="10" t="s">
        <v>23</v>
      </c>
      <c r="D10969" s="10" t="s">
        <v>29</v>
      </c>
      <c r="E10969" s="14">
        <v>1.0</v>
      </c>
      <c r="F10969" s="15">
        <f t="shared" ref="F10969:F10970" si="1659">ROUND(19,3)</f>
        <v>19</v>
      </c>
      <c r="G10969" s="12">
        <f t="shared" si="1658"/>
        <v>19</v>
      </c>
    </row>
    <row r="10970" ht="24.0" customHeight="1">
      <c r="A10970" s="10" t="s">
        <v>30</v>
      </c>
      <c r="B10970" s="10" t="s">
        <v>26</v>
      </c>
      <c r="C10970" s="10" t="s">
        <v>23</v>
      </c>
      <c r="D10970" s="10" t="s">
        <v>31</v>
      </c>
      <c r="E10970" s="14">
        <v>0.2</v>
      </c>
      <c r="F10970" s="15">
        <f t="shared" si="1659"/>
        <v>19</v>
      </c>
      <c r="G10970" s="12">
        <f t="shared" si="1658"/>
        <v>3.8</v>
      </c>
    </row>
    <row r="10971" ht="15.0" customHeight="1">
      <c r="A10971" s="11"/>
      <c r="B10971" s="11"/>
      <c r="C10971" s="11"/>
      <c r="D10971" s="10" t="s">
        <v>22</v>
      </c>
      <c r="E10971" s="14">
        <v>0.6</v>
      </c>
      <c r="F10971" s="15">
        <f>ROUND((G10968+G10969+G10970),3)</f>
        <v>43.8</v>
      </c>
      <c r="G10971" s="12">
        <f t="shared" si="1658"/>
        <v>26.28</v>
      </c>
    </row>
    <row r="10972" ht="15.0" customHeight="1">
      <c r="A10972" s="10" t="s">
        <v>32</v>
      </c>
      <c r="B10972" s="10"/>
      <c r="C10972" s="10" t="s">
        <v>33</v>
      </c>
      <c r="D10972" s="10" t="s">
        <v>34</v>
      </c>
      <c r="E10972" s="14">
        <v>7.0</v>
      </c>
      <c r="F10972" s="15">
        <f>ROUND(26.28,3)</f>
        <v>26.28</v>
      </c>
      <c r="G10972" s="12">
        <f>ROUND((E10972*F10972)/100,2)</f>
        <v>1.84</v>
      </c>
    </row>
    <row r="10973" ht="15.0" customHeight="1">
      <c r="A10973" s="16"/>
      <c r="B10973" s="16"/>
      <c r="C10973" s="16"/>
      <c r="D10973" s="17" t="s">
        <v>4852</v>
      </c>
      <c r="E10973" s="16"/>
      <c r="F10973" s="18">
        <f>ROUND((G10964+G10965+G10966+G10967+G10972)*(1+G2/100),2)</f>
        <v>94.85</v>
      </c>
      <c r="G10973" s="16"/>
    </row>
    <row r="10974" ht="21.0" customHeight="1">
      <c r="A10974" s="19" t="s">
        <v>4856</v>
      </c>
      <c r="B10974" s="20" t="s">
        <v>18</v>
      </c>
      <c r="C10974" s="20" t="s">
        <v>251</v>
      </c>
      <c r="D10974" s="20" t="s">
        <v>4857</v>
      </c>
      <c r="E10974" s="21"/>
      <c r="F10974" s="22">
        <f>F10981</f>
        <v>51.46</v>
      </c>
      <c r="G10974" s="21"/>
    </row>
    <row r="10975" ht="39.75" customHeight="1">
      <c r="A10975" s="11"/>
      <c r="B10975" s="11"/>
      <c r="C10975" s="11"/>
      <c r="D10975" s="10" t="s">
        <v>4858</v>
      </c>
    </row>
    <row r="10976" ht="21.0" customHeight="1">
      <c r="A10976" s="10" t="s">
        <v>4859</v>
      </c>
      <c r="B10976" s="10" t="s">
        <v>42</v>
      </c>
      <c r="C10976" s="10" t="s">
        <v>19</v>
      </c>
      <c r="D10976" s="10" t="s">
        <v>4860</v>
      </c>
      <c r="E10976" s="14">
        <v>1.05</v>
      </c>
      <c r="F10976" s="15">
        <f>ROUND(38.42,3)</f>
        <v>38.42</v>
      </c>
      <c r="G10976" s="12">
        <f t="shared" ref="G10976:G10980" si="1660">ROUND(E10976*F10976,2)</f>
        <v>40.34</v>
      </c>
    </row>
    <row r="10977" ht="21.0" customHeight="1">
      <c r="A10977" s="10" t="s">
        <v>4861</v>
      </c>
      <c r="B10977" s="10" t="s">
        <v>42</v>
      </c>
      <c r="C10977" s="10" t="s">
        <v>19</v>
      </c>
      <c r="D10977" s="10" t="s">
        <v>4862</v>
      </c>
      <c r="E10977" s="14">
        <v>1.1</v>
      </c>
      <c r="F10977" s="15">
        <f>ROUND(0.79,3)</f>
        <v>0.79</v>
      </c>
      <c r="G10977" s="12">
        <f t="shared" si="1660"/>
        <v>0.87</v>
      </c>
    </row>
    <row r="10978" ht="21.0" customHeight="1">
      <c r="A10978" s="10" t="s">
        <v>4863</v>
      </c>
      <c r="B10978" s="10" t="s">
        <v>42</v>
      </c>
      <c r="C10978" s="10" t="s">
        <v>351</v>
      </c>
      <c r="D10978" s="10" t="s">
        <v>4864</v>
      </c>
      <c r="E10978" s="14">
        <v>0.5</v>
      </c>
      <c r="F10978" s="15">
        <f>ROUND(0.3,3)</f>
        <v>0.3</v>
      </c>
      <c r="G10978" s="12">
        <f t="shared" si="1660"/>
        <v>0.15</v>
      </c>
    </row>
    <row r="10979" ht="21.0" customHeight="1">
      <c r="A10979" s="10" t="s">
        <v>4865</v>
      </c>
      <c r="B10979" s="10" t="s">
        <v>42</v>
      </c>
      <c r="C10979" s="10" t="s">
        <v>521</v>
      </c>
      <c r="D10979" s="10" t="s">
        <v>4866</v>
      </c>
      <c r="E10979" s="14">
        <v>0.05</v>
      </c>
      <c r="F10979" s="15">
        <f>ROUND(4,3)</f>
        <v>4</v>
      </c>
      <c r="G10979" s="12">
        <f t="shared" si="1660"/>
        <v>0.2</v>
      </c>
    </row>
    <row r="10980" ht="24.0" customHeight="1">
      <c r="A10980" s="10" t="s">
        <v>1186</v>
      </c>
      <c r="B10980" s="10" t="s">
        <v>26</v>
      </c>
      <c r="C10980" s="10" t="s">
        <v>23</v>
      </c>
      <c r="D10980" s="10" t="s">
        <v>1187</v>
      </c>
      <c r="E10980" s="14">
        <v>0.2</v>
      </c>
      <c r="F10980" s="15">
        <f>ROUND(49.5,3)</f>
        <v>49.5</v>
      </c>
      <c r="G10980" s="12">
        <f t="shared" si="1660"/>
        <v>9.9</v>
      </c>
    </row>
    <row r="10981" ht="15.0" customHeight="1">
      <c r="A10981" s="16"/>
      <c r="B10981" s="16"/>
      <c r="C10981" s="16"/>
      <c r="D10981" s="17" t="s">
        <v>4856</v>
      </c>
      <c r="E10981" s="16"/>
      <c r="F10981" s="18">
        <f>ROUND((G10976+G10977+G10978+G10979+G10980)*(1+G2/100),2)</f>
        <v>51.46</v>
      </c>
      <c r="G10981" s="16"/>
    </row>
    <row r="10982" ht="21.0" customHeight="1">
      <c r="A10982" s="19" t="s">
        <v>4867</v>
      </c>
      <c r="B10982" s="20" t="s">
        <v>18</v>
      </c>
      <c r="C10982" s="20" t="s">
        <v>251</v>
      </c>
      <c r="D10982" s="20" t="s">
        <v>4868</v>
      </c>
      <c r="E10982" s="21"/>
      <c r="F10982" s="22">
        <f>F10989</f>
        <v>29.35</v>
      </c>
      <c r="G10982" s="21"/>
    </row>
    <row r="10983" ht="39.75" customHeight="1">
      <c r="A10983" s="11"/>
      <c r="B10983" s="11"/>
      <c r="C10983" s="11"/>
      <c r="D10983" s="10" t="s">
        <v>4869</v>
      </c>
    </row>
    <row r="10984" ht="21.0" customHeight="1">
      <c r="A10984" s="10" t="s">
        <v>4870</v>
      </c>
      <c r="B10984" s="10" t="s">
        <v>42</v>
      </c>
      <c r="C10984" s="10" t="s">
        <v>19</v>
      </c>
      <c r="D10984" s="10" t="s">
        <v>4871</v>
      </c>
      <c r="E10984" s="14">
        <v>1.05</v>
      </c>
      <c r="F10984" s="15">
        <f>ROUND(17.36,3)</f>
        <v>17.36</v>
      </c>
      <c r="G10984" s="12">
        <f t="shared" ref="G10984:G10988" si="1661">ROUND(E10984*F10984,2)</f>
        <v>18.23</v>
      </c>
    </row>
    <row r="10985" ht="21.0" customHeight="1">
      <c r="A10985" s="10" t="s">
        <v>4861</v>
      </c>
      <c r="B10985" s="10" t="s">
        <v>42</v>
      </c>
      <c r="C10985" s="10" t="s">
        <v>19</v>
      </c>
      <c r="D10985" s="10" t="s">
        <v>4862</v>
      </c>
      <c r="E10985" s="14">
        <v>1.1</v>
      </c>
      <c r="F10985" s="15">
        <f>ROUND(0.79,3)</f>
        <v>0.79</v>
      </c>
      <c r="G10985" s="12">
        <f t="shared" si="1661"/>
        <v>0.87</v>
      </c>
    </row>
    <row r="10986" ht="21.0" customHeight="1">
      <c r="A10986" s="10" t="s">
        <v>4863</v>
      </c>
      <c r="B10986" s="10" t="s">
        <v>42</v>
      </c>
      <c r="C10986" s="10" t="s">
        <v>351</v>
      </c>
      <c r="D10986" s="10" t="s">
        <v>4864</v>
      </c>
      <c r="E10986" s="14">
        <v>0.5</v>
      </c>
      <c r="F10986" s="15">
        <f>ROUND(0.3,3)</f>
        <v>0.3</v>
      </c>
      <c r="G10986" s="12">
        <f t="shared" si="1661"/>
        <v>0.15</v>
      </c>
    </row>
    <row r="10987" ht="21.0" customHeight="1">
      <c r="A10987" s="10" t="s">
        <v>4865</v>
      </c>
      <c r="B10987" s="10" t="s">
        <v>42</v>
      </c>
      <c r="C10987" s="10" t="s">
        <v>521</v>
      </c>
      <c r="D10987" s="10" t="s">
        <v>4866</v>
      </c>
      <c r="E10987" s="14">
        <v>0.05</v>
      </c>
      <c r="F10987" s="15">
        <f>ROUND(4,3)</f>
        <v>4</v>
      </c>
      <c r="G10987" s="12">
        <f t="shared" si="1661"/>
        <v>0.2</v>
      </c>
    </row>
    <row r="10988" ht="24.0" customHeight="1">
      <c r="A10988" s="10" t="s">
        <v>1186</v>
      </c>
      <c r="B10988" s="10" t="s">
        <v>26</v>
      </c>
      <c r="C10988" s="10" t="s">
        <v>23</v>
      </c>
      <c r="D10988" s="10" t="s">
        <v>1187</v>
      </c>
      <c r="E10988" s="14">
        <v>0.2</v>
      </c>
      <c r="F10988" s="15">
        <f>ROUND(49.5,3)</f>
        <v>49.5</v>
      </c>
      <c r="G10988" s="12">
        <f t="shared" si="1661"/>
        <v>9.9</v>
      </c>
    </row>
    <row r="10989" ht="15.0" customHeight="1">
      <c r="A10989" s="16"/>
      <c r="B10989" s="16"/>
      <c r="C10989" s="16"/>
      <c r="D10989" s="17" t="s">
        <v>4867</v>
      </c>
      <c r="E10989" s="16"/>
      <c r="F10989" s="18">
        <f>ROUND((G10984+G10985+G10986+G10987+G10988)*(1+G2/100),2)</f>
        <v>29.35</v>
      </c>
      <c r="G10989" s="16"/>
    </row>
    <row r="10990" ht="21.0" customHeight="1">
      <c r="A10990" s="19" t="s">
        <v>4130</v>
      </c>
      <c r="B10990" s="20" t="s">
        <v>18</v>
      </c>
      <c r="C10990" s="20" t="s">
        <v>321</v>
      </c>
      <c r="D10990" s="20" t="s">
        <v>4131</v>
      </c>
      <c r="E10990" s="21"/>
      <c r="F10990" s="22">
        <f>F11001</f>
        <v>12.93</v>
      </c>
      <c r="G10990" s="21"/>
    </row>
    <row r="10991" ht="12.0" customHeight="1">
      <c r="A10991" s="11"/>
      <c r="B10991" s="11"/>
      <c r="C10991" s="11"/>
      <c r="D10991" s="10" t="s">
        <v>4132</v>
      </c>
    </row>
    <row r="10992" ht="21.0" customHeight="1">
      <c r="A10992" s="10" t="s">
        <v>3631</v>
      </c>
      <c r="B10992" s="10" t="s">
        <v>42</v>
      </c>
      <c r="C10992" s="10" t="s">
        <v>19</v>
      </c>
      <c r="D10992" s="10" t="s">
        <v>3632</v>
      </c>
      <c r="E10992" s="14">
        <v>0.2</v>
      </c>
      <c r="F10992" s="15">
        <f>ROUND(22.86,3)</f>
        <v>22.86</v>
      </c>
      <c r="G10992" s="12">
        <f t="shared" ref="G10992:G10999" si="1662">ROUND(E10992*F10992,2)</f>
        <v>4.57</v>
      </c>
    </row>
    <row r="10993" ht="48.75" customHeight="1">
      <c r="A10993" s="10" t="s">
        <v>2069</v>
      </c>
      <c r="B10993" s="10" t="s">
        <v>42</v>
      </c>
      <c r="C10993" s="10" t="s">
        <v>184</v>
      </c>
      <c r="D10993" s="10" t="s">
        <v>2070</v>
      </c>
      <c r="E10993" s="14">
        <v>0.08</v>
      </c>
      <c r="F10993" s="15">
        <f>ROUND(10.25,3)</f>
        <v>10.25</v>
      </c>
      <c r="G10993" s="12">
        <f t="shared" si="1662"/>
        <v>0.82</v>
      </c>
    </row>
    <row r="10994" ht="30.0" customHeight="1">
      <c r="A10994" s="10" t="s">
        <v>3633</v>
      </c>
      <c r="B10994" s="10" t="s">
        <v>42</v>
      </c>
      <c r="C10994" s="10" t="s">
        <v>184</v>
      </c>
      <c r="D10994" s="10" t="s">
        <v>3634</v>
      </c>
      <c r="E10994" s="14">
        <v>0.07</v>
      </c>
      <c r="F10994" s="15">
        <f>ROUND(11,3)</f>
        <v>11</v>
      </c>
      <c r="G10994" s="12">
        <f t="shared" si="1662"/>
        <v>0.77</v>
      </c>
    </row>
    <row r="10995" ht="21.0" customHeight="1">
      <c r="A10995" s="10" t="s">
        <v>22</v>
      </c>
      <c r="B10995" s="10" t="s">
        <v>18</v>
      </c>
      <c r="C10995" s="10" t="s">
        <v>23</v>
      </c>
      <c r="D10995" s="10" t="s">
        <v>24</v>
      </c>
      <c r="E10995" s="14">
        <v>0.15</v>
      </c>
      <c r="F10995" s="15">
        <f>F10999</f>
        <v>43.8</v>
      </c>
      <c r="G10995" s="12">
        <f t="shared" si="1662"/>
        <v>6.57</v>
      </c>
    </row>
    <row r="10996" ht="24.0" customHeight="1">
      <c r="A10996" s="10" t="s">
        <v>25</v>
      </c>
      <c r="B10996" s="10" t="s">
        <v>26</v>
      </c>
      <c r="C10996" s="10" t="s">
        <v>23</v>
      </c>
      <c r="D10996" s="10" t="s">
        <v>27</v>
      </c>
      <c r="E10996" s="14">
        <v>1.0</v>
      </c>
      <c r="F10996" s="15">
        <f>ROUND(21,3)</f>
        <v>21</v>
      </c>
      <c r="G10996" s="12">
        <f t="shared" si="1662"/>
        <v>21</v>
      </c>
    </row>
    <row r="10997" ht="24.0" customHeight="1">
      <c r="A10997" s="10" t="s">
        <v>28</v>
      </c>
      <c r="B10997" s="10" t="s">
        <v>26</v>
      </c>
      <c r="C10997" s="10" t="s">
        <v>23</v>
      </c>
      <c r="D10997" s="10" t="s">
        <v>29</v>
      </c>
      <c r="E10997" s="14">
        <v>1.0</v>
      </c>
      <c r="F10997" s="15">
        <f t="shared" ref="F10997:F10998" si="1663">ROUND(19,3)</f>
        <v>19</v>
      </c>
      <c r="G10997" s="12">
        <f t="shared" si="1662"/>
        <v>19</v>
      </c>
    </row>
    <row r="10998" ht="24.0" customHeight="1">
      <c r="A10998" s="10" t="s">
        <v>30</v>
      </c>
      <c r="B10998" s="10" t="s">
        <v>26</v>
      </c>
      <c r="C10998" s="10" t="s">
        <v>23</v>
      </c>
      <c r="D10998" s="10" t="s">
        <v>31</v>
      </c>
      <c r="E10998" s="14">
        <v>0.2</v>
      </c>
      <c r="F10998" s="15">
        <f t="shared" si="1663"/>
        <v>19</v>
      </c>
      <c r="G10998" s="12">
        <f t="shared" si="1662"/>
        <v>3.8</v>
      </c>
    </row>
    <row r="10999" ht="15.0" customHeight="1">
      <c r="A10999" s="11"/>
      <c r="B10999" s="11"/>
      <c r="C10999" s="11"/>
      <c r="D10999" s="10" t="s">
        <v>22</v>
      </c>
      <c r="E10999" s="14">
        <v>0.15</v>
      </c>
      <c r="F10999" s="15">
        <f>ROUND((G10996+G10997+G10998),3)</f>
        <v>43.8</v>
      </c>
      <c r="G10999" s="12">
        <f t="shared" si="1662"/>
        <v>6.57</v>
      </c>
    </row>
    <row r="11000" ht="15.0" customHeight="1">
      <c r="A11000" s="10" t="s">
        <v>32</v>
      </c>
      <c r="B11000" s="10"/>
      <c r="C11000" s="10" t="s">
        <v>33</v>
      </c>
      <c r="D11000" s="10" t="s">
        <v>34</v>
      </c>
      <c r="E11000" s="14">
        <v>3.0</v>
      </c>
      <c r="F11000" s="15">
        <f>ROUND(6.57,3)</f>
        <v>6.57</v>
      </c>
      <c r="G11000" s="12">
        <f>ROUND((E11000*F11000)/100,2)</f>
        <v>0.2</v>
      </c>
    </row>
    <row r="11001" ht="15.0" customHeight="1">
      <c r="A11001" s="16"/>
      <c r="B11001" s="16"/>
      <c r="C11001" s="16"/>
      <c r="D11001" s="17" t="s">
        <v>4130</v>
      </c>
      <c r="E11001" s="16"/>
      <c r="F11001" s="18">
        <f>ROUND((G10992+G10993+G10994+G10995+G11000)*(1+G2/100),2)</f>
        <v>12.93</v>
      </c>
      <c r="G11001" s="16"/>
    </row>
    <row r="11002" ht="21.0" customHeight="1">
      <c r="A11002" s="19" t="s">
        <v>4872</v>
      </c>
      <c r="B11002" s="20" t="s">
        <v>18</v>
      </c>
      <c r="C11002" s="20" t="s">
        <v>537</v>
      </c>
      <c r="D11002" s="20" t="s">
        <v>4873</v>
      </c>
      <c r="E11002" s="21"/>
      <c r="F11002" s="22">
        <f>F11008</f>
        <v>10.84</v>
      </c>
      <c r="G11002" s="21"/>
    </row>
    <row r="11003" ht="12.0" customHeight="1">
      <c r="A11003" s="11"/>
      <c r="B11003" s="11"/>
      <c r="C11003" s="11"/>
      <c r="D11003" s="10" t="s">
        <v>4874</v>
      </c>
    </row>
    <row r="11004" ht="24.0" customHeight="1">
      <c r="A11004" s="10" t="s">
        <v>1186</v>
      </c>
      <c r="B11004" s="10" t="s">
        <v>26</v>
      </c>
      <c r="C11004" s="10" t="s">
        <v>23</v>
      </c>
      <c r="D11004" s="10" t="s">
        <v>1187</v>
      </c>
      <c r="E11004" s="14">
        <v>0.12</v>
      </c>
      <c r="F11004" s="15">
        <f>ROUND(49.5,3)</f>
        <v>49.5</v>
      </c>
      <c r="G11004" s="12">
        <f t="shared" ref="G11004:G11007" si="1664">ROUND(E11004*F11004,2)</f>
        <v>5.94</v>
      </c>
    </row>
    <row r="11005" ht="30.0" customHeight="1">
      <c r="A11005" s="10" t="s">
        <v>4875</v>
      </c>
      <c r="B11005" s="10" t="s">
        <v>42</v>
      </c>
      <c r="C11005" s="10" t="s">
        <v>304</v>
      </c>
      <c r="D11005" s="10" t="s">
        <v>4876</v>
      </c>
      <c r="E11005" s="14">
        <v>3.0</v>
      </c>
      <c r="F11005" s="15">
        <f>ROUND(0.05,3)</f>
        <v>0.05</v>
      </c>
      <c r="G11005" s="12">
        <f t="shared" si="1664"/>
        <v>0.15</v>
      </c>
    </row>
    <row r="11006" ht="21.0" customHeight="1">
      <c r="A11006" s="10" t="s">
        <v>4877</v>
      </c>
      <c r="B11006" s="10" t="s">
        <v>42</v>
      </c>
      <c r="C11006" s="10" t="s">
        <v>304</v>
      </c>
      <c r="D11006" s="10" t="s">
        <v>4878</v>
      </c>
      <c r="E11006" s="14">
        <v>0.0</v>
      </c>
      <c r="F11006" s="15">
        <f>ROUND(6.6,3)</f>
        <v>6.6</v>
      </c>
      <c r="G11006" s="12">
        <f t="shared" si="1664"/>
        <v>0</v>
      </c>
    </row>
    <row r="11007" ht="21.0" customHeight="1">
      <c r="A11007" s="10" t="s">
        <v>4879</v>
      </c>
      <c r="B11007" s="10" t="s">
        <v>42</v>
      </c>
      <c r="C11007" s="10" t="s">
        <v>304</v>
      </c>
      <c r="D11007" s="10" t="s">
        <v>4880</v>
      </c>
      <c r="E11007" s="14">
        <v>0.5</v>
      </c>
      <c r="F11007" s="15">
        <f>ROUND(9.5,3)</f>
        <v>9.5</v>
      </c>
      <c r="G11007" s="12">
        <f t="shared" si="1664"/>
        <v>4.75</v>
      </c>
    </row>
    <row r="11008" ht="15.0" customHeight="1">
      <c r="A11008" s="16"/>
      <c r="B11008" s="16"/>
      <c r="C11008" s="16"/>
      <c r="D11008" s="17" t="s">
        <v>4872</v>
      </c>
      <c r="E11008" s="16"/>
      <c r="F11008" s="18">
        <f>ROUND((G11004+G11005+G11006+G11007)*(1+G2/100),2)</f>
        <v>10.84</v>
      </c>
      <c r="G11008" s="16"/>
    </row>
    <row r="11009" ht="21.0" customHeight="1">
      <c r="A11009" s="19" t="s">
        <v>4881</v>
      </c>
      <c r="B11009" s="20" t="s">
        <v>18</v>
      </c>
      <c r="C11009" s="20" t="s">
        <v>251</v>
      </c>
      <c r="D11009" s="20" t="s">
        <v>4882</v>
      </c>
      <c r="E11009" s="21"/>
      <c r="F11009" s="22">
        <f>F11015</f>
        <v>41.8</v>
      </c>
      <c r="G11009" s="21"/>
    </row>
    <row r="11010" ht="39.75" customHeight="1">
      <c r="A11010" s="11"/>
      <c r="B11010" s="11"/>
      <c r="C11010" s="11"/>
      <c r="D11010" s="10" t="s">
        <v>4883</v>
      </c>
    </row>
    <row r="11011" ht="21.0" customHeight="1">
      <c r="A11011" s="10" t="s">
        <v>3626</v>
      </c>
      <c r="B11011" s="10" t="s">
        <v>42</v>
      </c>
      <c r="C11011" s="10" t="s">
        <v>304</v>
      </c>
      <c r="D11011" s="10" t="s">
        <v>3627</v>
      </c>
      <c r="E11011" s="14">
        <v>0.05</v>
      </c>
      <c r="F11011" s="15">
        <f>ROUND(5.16,3)</f>
        <v>5.16</v>
      </c>
      <c r="G11011" s="12">
        <f t="shared" ref="G11011:G11014" si="1665">ROUND(E11011*F11011,2)</f>
        <v>0.26</v>
      </c>
    </row>
    <row r="11012" ht="21.0" customHeight="1">
      <c r="A11012" s="10" t="s">
        <v>3789</v>
      </c>
      <c r="B11012" s="10" t="s">
        <v>42</v>
      </c>
      <c r="C11012" s="10" t="s">
        <v>304</v>
      </c>
      <c r="D11012" s="10" t="s">
        <v>3790</v>
      </c>
      <c r="E11012" s="14">
        <v>0.0222</v>
      </c>
      <c r="F11012" s="15">
        <f>ROUND(6.27,3)</f>
        <v>6.27</v>
      </c>
      <c r="G11012" s="12">
        <f t="shared" si="1665"/>
        <v>0.14</v>
      </c>
    </row>
    <row r="11013" ht="21.0" customHeight="1">
      <c r="A11013" s="10" t="s">
        <v>4884</v>
      </c>
      <c r="B11013" s="10" t="s">
        <v>42</v>
      </c>
      <c r="C11013" s="10" t="s">
        <v>1207</v>
      </c>
      <c r="D11013" s="10" t="s">
        <v>4885</v>
      </c>
      <c r="E11013" s="14">
        <v>126.0</v>
      </c>
      <c r="F11013" s="15">
        <f>ROUND(0.25,3)</f>
        <v>0.25</v>
      </c>
      <c r="G11013" s="12">
        <f t="shared" si="1665"/>
        <v>31.5</v>
      </c>
    </row>
    <row r="11014" ht="24.0" customHeight="1">
      <c r="A11014" s="10" t="s">
        <v>1186</v>
      </c>
      <c r="B11014" s="10" t="s">
        <v>26</v>
      </c>
      <c r="C11014" s="10" t="s">
        <v>23</v>
      </c>
      <c r="D11014" s="10" t="s">
        <v>1187</v>
      </c>
      <c r="E11014" s="14">
        <v>0.2</v>
      </c>
      <c r="F11014" s="15">
        <f>ROUND(49.5,3)</f>
        <v>49.5</v>
      </c>
      <c r="G11014" s="12">
        <f t="shared" si="1665"/>
        <v>9.9</v>
      </c>
    </row>
    <row r="11015" ht="15.0" customHeight="1">
      <c r="A11015" s="16"/>
      <c r="B11015" s="16"/>
      <c r="C11015" s="16"/>
      <c r="D11015" s="17" t="s">
        <v>4881</v>
      </c>
      <c r="E11015" s="16"/>
      <c r="F11015" s="18">
        <f>ROUND((G11011+G11012+G11013+G11014)*(1+G2/100),2)</f>
        <v>41.8</v>
      </c>
      <c r="G11015" s="16"/>
    </row>
    <row r="11016" ht="21.0" customHeight="1">
      <c r="A11016" s="19" t="s">
        <v>4886</v>
      </c>
      <c r="B11016" s="20" t="s">
        <v>18</v>
      </c>
      <c r="C11016" s="20" t="s">
        <v>251</v>
      </c>
      <c r="D11016" s="20" t="s">
        <v>4887</v>
      </c>
      <c r="E11016" s="21"/>
      <c r="F11016" s="22">
        <f>F11022</f>
        <v>83.25</v>
      </c>
      <c r="G11016" s="21"/>
    </row>
    <row r="11017" ht="39.75" customHeight="1">
      <c r="A11017" s="11"/>
      <c r="B11017" s="11"/>
      <c r="C11017" s="11"/>
      <c r="D11017" s="10" t="s">
        <v>4883</v>
      </c>
    </row>
    <row r="11018" ht="15.0" customHeight="1">
      <c r="A11018" s="10" t="s">
        <v>4888</v>
      </c>
      <c r="B11018" s="10" t="s">
        <v>42</v>
      </c>
      <c r="C11018" s="10" t="s">
        <v>19</v>
      </c>
      <c r="D11018" s="10" t="s">
        <v>4889</v>
      </c>
      <c r="E11018" s="14">
        <v>1.0</v>
      </c>
      <c r="F11018" s="15">
        <f>ROUND(50,3)</f>
        <v>50</v>
      </c>
      <c r="G11018" s="12">
        <f t="shared" ref="G11018:G11021" si="1666">ROUND(E11018*F11018,2)</f>
        <v>50</v>
      </c>
    </row>
    <row r="11019" ht="30.0" customHeight="1">
      <c r="A11019" s="10" t="s">
        <v>4890</v>
      </c>
      <c r="B11019" s="10" t="s">
        <v>42</v>
      </c>
      <c r="C11019" s="10" t="s">
        <v>1207</v>
      </c>
      <c r="D11019" s="10" t="s">
        <v>4891</v>
      </c>
      <c r="E11019" s="14">
        <v>8.0</v>
      </c>
      <c r="F11019" s="15">
        <f>ROUND(0.4,3)</f>
        <v>0.4</v>
      </c>
      <c r="G11019" s="12">
        <f t="shared" si="1666"/>
        <v>3.2</v>
      </c>
    </row>
    <row r="11020" ht="30.0" customHeight="1">
      <c r="A11020" s="10" t="s">
        <v>4892</v>
      </c>
      <c r="B11020" s="10" t="s">
        <v>42</v>
      </c>
      <c r="C11020" s="10" t="s">
        <v>1207</v>
      </c>
      <c r="D11020" s="10" t="s">
        <v>4893</v>
      </c>
      <c r="E11020" s="14">
        <v>0.15</v>
      </c>
      <c r="F11020" s="15">
        <f>ROUND(2.35,3)</f>
        <v>2.35</v>
      </c>
      <c r="G11020" s="12">
        <f t="shared" si="1666"/>
        <v>0.35</v>
      </c>
    </row>
    <row r="11021" ht="24.0" customHeight="1">
      <c r="A11021" s="10" t="s">
        <v>1186</v>
      </c>
      <c r="B11021" s="10" t="s">
        <v>26</v>
      </c>
      <c r="C11021" s="10" t="s">
        <v>23</v>
      </c>
      <c r="D11021" s="10" t="s">
        <v>1187</v>
      </c>
      <c r="E11021" s="14">
        <v>0.6</v>
      </c>
      <c r="F11021" s="15">
        <f>ROUND(49.5,3)</f>
        <v>49.5</v>
      </c>
      <c r="G11021" s="12">
        <f t="shared" si="1666"/>
        <v>29.7</v>
      </c>
    </row>
    <row r="11022" ht="15.0" customHeight="1">
      <c r="A11022" s="16"/>
      <c r="B11022" s="16"/>
      <c r="C11022" s="16"/>
      <c r="D11022" s="17" t="s">
        <v>4886</v>
      </c>
      <c r="E11022" s="16"/>
      <c r="F11022" s="18">
        <f>ROUND((G11018+G11019+G11020+G11021)*(1+G2/100),2)</f>
        <v>83.25</v>
      </c>
      <c r="G11022" s="16"/>
    </row>
    <row r="11023" ht="15.0" customHeight="1">
      <c r="A11023" s="19" t="s">
        <v>4894</v>
      </c>
      <c r="B11023" s="20" t="s">
        <v>18</v>
      </c>
      <c r="C11023" s="20" t="s">
        <v>251</v>
      </c>
      <c r="D11023" s="20" t="s">
        <v>4895</v>
      </c>
      <c r="E11023" s="21"/>
      <c r="F11023" s="22">
        <f>F11030</f>
        <v>139.75</v>
      </c>
      <c r="G11023" s="21"/>
    </row>
    <row r="11024" ht="48.75" customHeight="1">
      <c r="A11024" s="11"/>
      <c r="B11024" s="11"/>
      <c r="C11024" s="11"/>
      <c r="D11024" s="10" t="s">
        <v>4896</v>
      </c>
    </row>
    <row r="11025" ht="15.0" customHeight="1">
      <c r="A11025" s="10" t="s">
        <v>4897</v>
      </c>
      <c r="B11025" s="10" t="s">
        <v>42</v>
      </c>
      <c r="C11025" s="10" t="s">
        <v>19</v>
      </c>
      <c r="D11025" s="10" t="s">
        <v>4898</v>
      </c>
      <c r="E11025" s="14">
        <v>1.05</v>
      </c>
      <c r="F11025" s="15">
        <f>ROUND(65,3)</f>
        <v>65</v>
      </c>
      <c r="G11025" s="12">
        <f t="shared" ref="G11025:G11029" si="1667">ROUND(E11025*F11025,2)</f>
        <v>68.25</v>
      </c>
    </row>
    <row r="11026" ht="30.0" customHeight="1">
      <c r="A11026" s="10" t="s">
        <v>4890</v>
      </c>
      <c r="B11026" s="10" t="s">
        <v>42</v>
      </c>
      <c r="C11026" s="10" t="s">
        <v>1207</v>
      </c>
      <c r="D11026" s="10" t="s">
        <v>4891</v>
      </c>
      <c r="E11026" s="14">
        <v>6.0</v>
      </c>
      <c r="F11026" s="15">
        <f>ROUND(0.4,3)</f>
        <v>0.4</v>
      </c>
      <c r="G11026" s="12">
        <f t="shared" si="1667"/>
        <v>2.4</v>
      </c>
    </row>
    <row r="11027" ht="30.0" customHeight="1">
      <c r="A11027" s="10" t="s">
        <v>4892</v>
      </c>
      <c r="B11027" s="10" t="s">
        <v>42</v>
      </c>
      <c r="C11027" s="10" t="s">
        <v>1207</v>
      </c>
      <c r="D11027" s="10" t="s">
        <v>4893</v>
      </c>
      <c r="E11027" s="14">
        <v>0.9</v>
      </c>
      <c r="F11027" s="15">
        <f>ROUND(2.35,3)</f>
        <v>2.35</v>
      </c>
      <c r="G11027" s="12">
        <f t="shared" si="1667"/>
        <v>2.12</v>
      </c>
    </row>
    <row r="11028" ht="15.0" customHeight="1">
      <c r="A11028" s="10" t="s">
        <v>4899</v>
      </c>
      <c r="B11028" s="10" t="s">
        <v>42</v>
      </c>
      <c r="C11028" s="10" t="s">
        <v>304</v>
      </c>
      <c r="D11028" s="10" t="s">
        <v>4900</v>
      </c>
      <c r="E11028" s="14">
        <v>50.0</v>
      </c>
      <c r="F11028" s="15">
        <f>ROUND(0.02,3)</f>
        <v>0.02</v>
      </c>
      <c r="G11028" s="12">
        <f t="shared" si="1667"/>
        <v>1</v>
      </c>
    </row>
    <row r="11029" ht="24.0" customHeight="1">
      <c r="A11029" s="10" t="s">
        <v>1186</v>
      </c>
      <c r="B11029" s="10" t="s">
        <v>26</v>
      </c>
      <c r="C11029" s="10" t="s">
        <v>23</v>
      </c>
      <c r="D11029" s="10" t="s">
        <v>1187</v>
      </c>
      <c r="E11029" s="14">
        <v>1.333</v>
      </c>
      <c r="F11029" s="15">
        <f>ROUND(49.5,3)</f>
        <v>49.5</v>
      </c>
      <c r="G11029" s="12">
        <f t="shared" si="1667"/>
        <v>65.98</v>
      </c>
    </row>
    <row r="11030" ht="15.0" customHeight="1">
      <c r="A11030" s="16"/>
      <c r="B11030" s="16"/>
      <c r="C11030" s="16"/>
      <c r="D11030" s="17" t="s">
        <v>4894</v>
      </c>
      <c r="E11030" s="16"/>
      <c r="F11030" s="18">
        <f>ROUND((G11025+G11026+G11027+G11028+G11029)*(1+G2/100),2)</f>
        <v>139.75</v>
      </c>
      <c r="G11030" s="16"/>
    </row>
    <row r="11031" ht="21.0" customHeight="1">
      <c r="A11031" s="19" t="s">
        <v>4901</v>
      </c>
      <c r="B11031" s="20" t="s">
        <v>18</v>
      </c>
      <c r="C11031" s="20" t="s">
        <v>251</v>
      </c>
      <c r="D11031" s="20" t="s">
        <v>4902</v>
      </c>
      <c r="E11031" s="21"/>
      <c r="F11031" s="22">
        <f>F11035</f>
        <v>68.65</v>
      </c>
      <c r="G11031" s="21"/>
    </row>
    <row r="11032" ht="21.0" customHeight="1">
      <c r="A11032" s="11"/>
      <c r="B11032" s="11"/>
      <c r="C11032" s="11"/>
      <c r="D11032" s="10" t="s">
        <v>4903</v>
      </c>
    </row>
    <row r="11033" ht="30.0" customHeight="1">
      <c r="A11033" s="10" t="s">
        <v>4904</v>
      </c>
      <c r="B11033" s="10" t="s">
        <v>42</v>
      </c>
      <c r="C11033" s="10" t="s">
        <v>19</v>
      </c>
      <c r="D11033" s="10" t="s">
        <v>4905</v>
      </c>
      <c r="E11033" s="14">
        <v>1.0</v>
      </c>
      <c r="F11033" s="15">
        <f>ROUND(63.7,3)</f>
        <v>63.7</v>
      </c>
      <c r="G11033" s="12">
        <f t="shared" ref="G11033:G11034" si="1668">ROUND(E11033*F11033,2)</f>
        <v>63.7</v>
      </c>
    </row>
    <row r="11034" ht="24.0" customHeight="1">
      <c r="A11034" s="10" t="s">
        <v>1186</v>
      </c>
      <c r="B11034" s="10" t="s">
        <v>26</v>
      </c>
      <c r="C11034" s="10" t="s">
        <v>23</v>
      </c>
      <c r="D11034" s="10" t="s">
        <v>1187</v>
      </c>
      <c r="E11034" s="14">
        <v>0.1</v>
      </c>
      <c r="F11034" s="15">
        <f>ROUND(49.5,3)</f>
        <v>49.5</v>
      </c>
      <c r="G11034" s="12">
        <f t="shared" si="1668"/>
        <v>4.95</v>
      </c>
    </row>
    <row r="11035" ht="15.0" customHeight="1">
      <c r="A11035" s="16"/>
      <c r="B11035" s="16"/>
      <c r="C11035" s="16"/>
      <c r="D11035" s="17" t="s">
        <v>4901</v>
      </c>
      <c r="E11035" s="16"/>
      <c r="F11035" s="18">
        <f>ROUND((G11033+G11034)*(1+G2/100),2)</f>
        <v>68.65</v>
      </c>
      <c r="G11035" s="16"/>
    </row>
    <row r="11036" ht="24.75" customHeight="1">
      <c r="A11036" s="26" t="s">
        <v>4906</v>
      </c>
      <c r="B11036" s="26" t="s">
        <v>10</v>
      </c>
      <c r="C11036" s="27"/>
      <c r="D11036" s="26" t="s">
        <v>4907</v>
      </c>
      <c r="E11036" s="27"/>
      <c r="F11036" s="27"/>
      <c r="G11036" s="27"/>
    </row>
    <row r="11037" ht="24.75" customHeight="1">
      <c r="A11037" s="28" t="s">
        <v>4908</v>
      </c>
      <c r="B11037" s="28" t="s">
        <v>10</v>
      </c>
      <c r="C11037" s="29"/>
      <c r="D11037" s="28" t="s">
        <v>4909</v>
      </c>
      <c r="E11037" s="29"/>
      <c r="F11037" s="29"/>
      <c r="G11037" s="29"/>
    </row>
    <row r="11038" ht="30.0" customHeight="1">
      <c r="A11038" s="13" t="s">
        <v>4910</v>
      </c>
      <c r="B11038" s="10" t="s">
        <v>18</v>
      </c>
      <c r="C11038" s="10" t="s">
        <v>351</v>
      </c>
      <c r="D11038" s="10" t="s">
        <v>4911</v>
      </c>
      <c r="E11038" s="11"/>
      <c r="F11038" s="12">
        <f>F11049</f>
        <v>32.38</v>
      </c>
      <c r="G11038" s="11"/>
    </row>
    <row r="11039" ht="30.0" customHeight="1">
      <c r="A11039" s="11"/>
      <c r="B11039" s="11"/>
      <c r="C11039" s="11"/>
      <c r="D11039" s="10" t="s">
        <v>4912</v>
      </c>
    </row>
    <row r="11040" ht="24.0" customHeight="1">
      <c r="A11040" s="10" t="s">
        <v>4834</v>
      </c>
      <c r="B11040" s="10" t="s">
        <v>42</v>
      </c>
      <c r="C11040" s="10" t="s">
        <v>344</v>
      </c>
      <c r="D11040" s="10" t="s">
        <v>4835</v>
      </c>
      <c r="E11040" s="14">
        <v>4.0</v>
      </c>
      <c r="F11040" s="15">
        <f>ROUND(3.15,3)</f>
        <v>3.15</v>
      </c>
      <c r="G11040" s="12">
        <f t="shared" ref="G11040:G11047" si="1669">ROUND(E11040*F11040,2)</f>
        <v>12.6</v>
      </c>
    </row>
    <row r="11041" ht="30.0" customHeight="1">
      <c r="A11041" s="10" t="s">
        <v>3804</v>
      </c>
      <c r="B11041" s="10" t="s">
        <v>42</v>
      </c>
      <c r="C11041" s="10" t="s">
        <v>184</v>
      </c>
      <c r="D11041" s="10" t="s">
        <v>3805</v>
      </c>
      <c r="E11041" s="14">
        <v>0.06666</v>
      </c>
      <c r="F11041" s="15">
        <f>ROUND(8.35,3)</f>
        <v>8.35</v>
      </c>
      <c r="G11041" s="12">
        <f t="shared" si="1669"/>
        <v>0.56</v>
      </c>
    </row>
    <row r="11042" ht="30.0" customHeight="1">
      <c r="A11042" s="10" t="s">
        <v>2053</v>
      </c>
      <c r="B11042" s="10" t="s">
        <v>42</v>
      </c>
      <c r="C11042" s="10" t="s">
        <v>184</v>
      </c>
      <c r="D11042" s="10" t="s">
        <v>2054</v>
      </c>
      <c r="E11042" s="14">
        <v>0.04</v>
      </c>
      <c r="F11042" s="15">
        <f>ROUND(11.74,3)</f>
        <v>11.74</v>
      </c>
      <c r="G11042" s="12">
        <f t="shared" si="1669"/>
        <v>0.47</v>
      </c>
    </row>
    <row r="11043" ht="21.0" customHeight="1">
      <c r="A11043" s="10" t="s">
        <v>22</v>
      </c>
      <c r="B11043" s="10" t="s">
        <v>18</v>
      </c>
      <c r="C11043" s="10" t="s">
        <v>23</v>
      </c>
      <c r="D11043" s="10" t="s">
        <v>24</v>
      </c>
      <c r="E11043" s="14">
        <v>0.4</v>
      </c>
      <c r="F11043" s="15">
        <f>F11047</f>
        <v>43.8</v>
      </c>
      <c r="G11043" s="12">
        <f t="shared" si="1669"/>
        <v>17.52</v>
      </c>
    </row>
    <row r="11044" ht="24.0" customHeight="1">
      <c r="A11044" s="10" t="s">
        <v>25</v>
      </c>
      <c r="B11044" s="10" t="s">
        <v>26</v>
      </c>
      <c r="C11044" s="10" t="s">
        <v>23</v>
      </c>
      <c r="D11044" s="10" t="s">
        <v>27</v>
      </c>
      <c r="E11044" s="14">
        <v>1.0</v>
      </c>
      <c r="F11044" s="15">
        <f>ROUND(21,3)</f>
        <v>21</v>
      </c>
      <c r="G11044" s="12">
        <f t="shared" si="1669"/>
        <v>21</v>
      </c>
    </row>
    <row r="11045" ht="24.0" customHeight="1">
      <c r="A11045" s="10" t="s">
        <v>28</v>
      </c>
      <c r="B11045" s="10" t="s">
        <v>26</v>
      </c>
      <c r="C11045" s="10" t="s">
        <v>23</v>
      </c>
      <c r="D11045" s="10" t="s">
        <v>29</v>
      </c>
      <c r="E11045" s="14">
        <v>1.0</v>
      </c>
      <c r="F11045" s="15">
        <f t="shared" ref="F11045:F11046" si="1670">ROUND(19,3)</f>
        <v>19</v>
      </c>
      <c r="G11045" s="12">
        <f t="shared" si="1669"/>
        <v>19</v>
      </c>
    </row>
    <row r="11046" ht="24.0" customHeight="1">
      <c r="A11046" s="10" t="s">
        <v>30</v>
      </c>
      <c r="B11046" s="10" t="s">
        <v>26</v>
      </c>
      <c r="C11046" s="10" t="s">
        <v>23</v>
      </c>
      <c r="D11046" s="10" t="s">
        <v>31</v>
      </c>
      <c r="E11046" s="14">
        <v>0.2</v>
      </c>
      <c r="F11046" s="15">
        <f t="shared" si="1670"/>
        <v>19</v>
      </c>
      <c r="G11046" s="12">
        <f t="shared" si="1669"/>
        <v>3.8</v>
      </c>
    </row>
    <row r="11047" ht="15.0" customHeight="1">
      <c r="A11047" s="11"/>
      <c r="B11047" s="11"/>
      <c r="C11047" s="11"/>
      <c r="D11047" s="10" t="s">
        <v>22</v>
      </c>
      <c r="E11047" s="14">
        <v>0.4</v>
      </c>
      <c r="F11047" s="15">
        <f>ROUND((G11044+G11045+G11046),3)</f>
        <v>43.8</v>
      </c>
      <c r="G11047" s="12">
        <f t="shared" si="1669"/>
        <v>17.52</v>
      </c>
    </row>
    <row r="11048" ht="15.0" customHeight="1">
      <c r="A11048" s="10" t="s">
        <v>32</v>
      </c>
      <c r="B11048" s="10"/>
      <c r="C11048" s="10" t="s">
        <v>33</v>
      </c>
      <c r="D11048" s="10" t="s">
        <v>34</v>
      </c>
      <c r="E11048" s="14">
        <v>7.0</v>
      </c>
      <c r="F11048" s="15">
        <f>ROUND(17.52,3)</f>
        <v>17.52</v>
      </c>
      <c r="G11048" s="12">
        <f>ROUND((E11048*F11048)/100,2)</f>
        <v>1.23</v>
      </c>
    </row>
    <row r="11049" ht="15.0" customHeight="1">
      <c r="A11049" s="16"/>
      <c r="B11049" s="16"/>
      <c r="C11049" s="16"/>
      <c r="D11049" s="17" t="s">
        <v>4910</v>
      </c>
      <c r="E11049" s="16"/>
      <c r="F11049" s="18">
        <f>ROUND((G11040+G11041+G11042+G11043+G11048)*(1+G2/100),2)</f>
        <v>32.38</v>
      </c>
      <c r="G11049" s="16"/>
    </row>
    <row r="11050" ht="30.0" customHeight="1">
      <c r="A11050" s="19" t="s">
        <v>4913</v>
      </c>
      <c r="B11050" s="20" t="s">
        <v>18</v>
      </c>
      <c r="C11050" s="20" t="s">
        <v>351</v>
      </c>
      <c r="D11050" s="20" t="s">
        <v>4914</v>
      </c>
      <c r="E11050" s="21"/>
      <c r="F11050" s="22">
        <f>F11061</f>
        <v>33.58</v>
      </c>
      <c r="G11050" s="21"/>
    </row>
    <row r="11051" ht="12.0" customHeight="1">
      <c r="A11051" s="11"/>
      <c r="B11051" s="11"/>
      <c r="C11051" s="11"/>
      <c r="D11051" s="10" t="s">
        <v>4914</v>
      </c>
    </row>
    <row r="11052" ht="39.75" customHeight="1">
      <c r="A11052" s="10" t="s">
        <v>4915</v>
      </c>
      <c r="B11052" s="10" t="s">
        <v>42</v>
      </c>
      <c r="C11052" s="10" t="s">
        <v>19</v>
      </c>
      <c r="D11052" s="10" t="s">
        <v>4916</v>
      </c>
      <c r="E11052" s="14">
        <v>0.63</v>
      </c>
      <c r="F11052" s="15">
        <f>ROUND(21.12,3)</f>
        <v>21.12</v>
      </c>
      <c r="G11052" s="12">
        <f t="shared" ref="G11052:G11059" si="1671">ROUND(E11052*F11052,2)</f>
        <v>13.31</v>
      </c>
    </row>
    <row r="11053" ht="30.0" customHeight="1">
      <c r="A11053" s="10" t="s">
        <v>3804</v>
      </c>
      <c r="B11053" s="10" t="s">
        <v>42</v>
      </c>
      <c r="C11053" s="10" t="s">
        <v>184</v>
      </c>
      <c r="D11053" s="10" t="s">
        <v>3805</v>
      </c>
      <c r="E11053" s="14">
        <v>0.126</v>
      </c>
      <c r="F11053" s="15">
        <f>ROUND(8.35,3)</f>
        <v>8.35</v>
      </c>
      <c r="G11053" s="12">
        <f t="shared" si="1671"/>
        <v>1.05</v>
      </c>
    </row>
    <row r="11054" ht="30.0" customHeight="1">
      <c r="A11054" s="10" t="s">
        <v>2053</v>
      </c>
      <c r="B11054" s="10" t="s">
        <v>42</v>
      </c>
      <c r="C11054" s="10" t="s">
        <v>184</v>
      </c>
      <c r="D11054" s="10" t="s">
        <v>2054</v>
      </c>
      <c r="E11054" s="14">
        <v>0.04</v>
      </c>
      <c r="F11054" s="15">
        <f>ROUND(11.74,3)</f>
        <v>11.74</v>
      </c>
      <c r="G11054" s="12">
        <f t="shared" si="1671"/>
        <v>0.47</v>
      </c>
    </row>
    <row r="11055" ht="21.0" customHeight="1">
      <c r="A11055" s="10" t="s">
        <v>22</v>
      </c>
      <c r="B11055" s="10" t="s">
        <v>18</v>
      </c>
      <c r="C11055" s="10" t="s">
        <v>23</v>
      </c>
      <c r="D11055" s="10" t="s">
        <v>24</v>
      </c>
      <c r="E11055" s="14">
        <v>0.4</v>
      </c>
      <c r="F11055" s="15">
        <f>F11059</f>
        <v>43.8</v>
      </c>
      <c r="G11055" s="12">
        <f t="shared" si="1671"/>
        <v>17.52</v>
      </c>
    </row>
    <row r="11056" ht="24.0" customHeight="1">
      <c r="A11056" s="10" t="s">
        <v>25</v>
      </c>
      <c r="B11056" s="10" t="s">
        <v>26</v>
      </c>
      <c r="C11056" s="10" t="s">
        <v>23</v>
      </c>
      <c r="D11056" s="10" t="s">
        <v>27</v>
      </c>
      <c r="E11056" s="14">
        <v>1.0</v>
      </c>
      <c r="F11056" s="15">
        <f>ROUND(21,3)</f>
        <v>21</v>
      </c>
      <c r="G11056" s="12">
        <f t="shared" si="1671"/>
        <v>21</v>
      </c>
    </row>
    <row r="11057" ht="24.0" customHeight="1">
      <c r="A11057" s="10" t="s">
        <v>28</v>
      </c>
      <c r="B11057" s="10" t="s">
        <v>26</v>
      </c>
      <c r="C11057" s="10" t="s">
        <v>23</v>
      </c>
      <c r="D11057" s="10" t="s">
        <v>29</v>
      </c>
      <c r="E11057" s="14">
        <v>1.0</v>
      </c>
      <c r="F11057" s="15">
        <f t="shared" ref="F11057:F11058" si="1672">ROUND(19,3)</f>
        <v>19</v>
      </c>
      <c r="G11057" s="12">
        <f t="shared" si="1671"/>
        <v>19</v>
      </c>
    </row>
    <row r="11058" ht="24.0" customHeight="1">
      <c r="A11058" s="10" t="s">
        <v>30</v>
      </c>
      <c r="B11058" s="10" t="s">
        <v>26</v>
      </c>
      <c r="C11058" s="10" t="s">
        <v>23</v>
      </c>
      <c r="D11058" s="10" t="s">
        <v>31</v>
      </c>
      <c r="E11058" s="14">
        <v>0.2</v>
      </c>
      <c r="F11058" s="15">
        <f t="shared" si="1672"/>
        <v>19</v>
      </c>
      <c r="G11058" s="12">
        <f t="shared" si="1671"/>
        <v>3.8</v>
      </c>
    </row>
    <row r="11059" ht="15.0" customHeight="1">
      <c r="A11059" s="11"/>
      <c r="B11059" s="11"/>
      <c r="C11059" s="11"/>
      <c r="D11059" s="10" t="s">
        <v>22</v>
      </c>
      <c r="E11059" s="14">
        <v>0.4</v>
      </c>
      <c r="F11059" s="15">
        <f>ROUND((G11056+G11057+G11058),3)</f>
        <v>43.8</v>
      </c>
      <c r="G11059" s="12">
        <f t="shared" si="1671"/>
        <v>17.52</v>
      </c>
    </row>
    <row r="11060" ht="15.0" customHeight="1">
      <c r="A11060" s="10" t="s">
        <v>32</v>
      </c>
      <c r="B11060" s="10"/>
      <c r="C11060" s="10" t="s">
        <v>33</v>
      </c>
      <c r="D11060" s="10" t="s">
        <v>34</v>
      </c>
      <c r="E11060" s="14">
        <v>7.0</v>
      </c>
      <c r="F11060" s="15">
        <f>ROUND(17.52,3)</f>
        <v>17.52</v>
      </c>
      <c r="G11060" s="12">
        <f>ROUND((E11060*F11060)/100,2)</f>
        <v>1.23</v>
      </c>
    </row>
    <row r="11061" ht="15.0" customHeight="1">
      <c r="A11061" s="16"/>
      <c r="B11061" s="16"/>
      <c r="C11061" s="16"/>
      <c r="D11061" s="17" t="s">
        <v>4913</v>
      </c>
      <c r="E11061" s="16"/>
      <c r="F11061" s="18">
        <f>ROUND((G11052+G11053+G11054+G11055+G11060)*(1+G2/100),2)</f>
        <v>33.58</v>
      </c>
      <c r="G11061" s="16"/>
    </row>
    <row r="11062" ht="24.75" customHeight="1">
      <c r="A11062" s="19" t="s">
        <v>4917</v>
      </c>
      <c r="B11062" s="20" t="s">
        <v>18</v>
      </c>
      <c r="C11062" s="20" t="s">
        <v>351</v>
      </c>
      <c r="D11062" s="20" t="s">
        <v>4918</v>
      </c>
      <c r="E11062" s="21"/>
      <c r="F11062" s="22">
        <f>F11073</f>
        <v>11.84</v>
      </c>
      <c r="G11062" s="21"/>
    </row>
    <row r="11063" ht="12.0" customHeight="1">
      <c r="A11063" s="11"/>
      <c r="B11063" s="11"/>
      <c r="C11063" s="11"/>
      <c r="D11063" s="10" t="s">
        <v>4918</v>
      </c>
    </row>
    <row r="11064" ht="30.0" customHeight="1">
      <c r="A11064" s="10" t="s">
        <v>2880</v>
      </c>
      <c r="B11064" s="10" t="s">
        <v>42</v>
      </c>
      <c r="C11064" s="10" t="s">
        <v>344</v>
      </c>
      <c r="D11064" s="10" t="s">
        <v>2881</v>
      </c>
      <c r="E11064" s="14">
        <v>3.15</v>
      </c>
      <c r="F11064" s="15">
        <f>ROUND(1.95,3)</f>
        <v>1.95</v>
      </c>
      <c r="G11064" s="12">
        <f t="shared" ref="G11064:G11071" si="1673">ROUND(E11064*F11064,2)</f>
        <v>6.14</v>
      </c>
    </row>
    <row r="11065" ht="48.75" customHeight="1">
      <c r="A11065" s="10" t="s">
        <v>2069</v>
      </c>
      <c r="B11065" s="10" t="s">
        <v>42</v>
      </c>
      <c r="C11065" s="10" t="s">
        <v>184</v>
      </c>
      <c r="D11065" s="10" t="s">
        <v>2070</v>
      </c>
      <c r="E11065" s="14">
        <v>0.0352</v>
      </c>
      <c r="F11065" s="15">
        <f>ROUND(10.25,3)</f>
        <v>10.25</v>
      </c>
      <c r="G11065" s="12">
        <f t="shared" si="1673"/>
        <v>0.36</v>
      </c>
    </row>
    <row r="11066" ht="30.0" customHeight="1">
      <c r="A11066" s="10" t="s">
        <v>2053</v>
      </c>
      <c r="B11066" s="10" t="s">
        <v>42</v>
      </c>
      <c r="C11066" s="10" t="s">
        <v>184</v>
      </c>
      <c r="D11066" s="10" t="s">
        <v>2054</v>
      </c>
      <c r="E11066" s="14">
        <v>0.007</v>
      </c>
      <c r="F11066" s="15">
        <f>ROUND(11.74,3)</f>
        <v>11.74</v>
      </c>
      <c r="G11066" s="12">
        <f t="shared" si="1673"/>
        <v>0.08</v>
      </c>
    </row>
    <row r="11067" ht="21.0" customHeight="1">
      <c r="A11067" s="10" t="s">
        <v>22</v>
      </c>
      <c r="B11067" s="10" t="s">
        <v>18</v>
      </c>
      <c r="C11067" s="10" t="s">
        <v>23</v>
      </c>
      <c r="D11067" s="10" t="s">
        <v>24</v>
      </c>
      <c r="E11067" s="14">
        <v>0.11429</v>
      </c>
      <c r="F11067" s="15">
        <f>F11071</f>
        <v>43.8</v>
      </c>
      <c r="G11067" s="12">
        <f t="shared" si="1673"/>
        <v>5.01</v>
      </c>
    </row>
    <row r="11068" ht="24.0" customHeight="1">
      <c r="A11068" s="10" t="s">
        <v>25</v>
      </c>
      <c r="B11068" s="10" t="s">
        <v>26</v>
      </c>
      <c r="C11068" s="10" t="s">
        <v>23</v>
      </c>
      <c r="D11068" s="10" t="s">
        <v>27</v>
      </c>
      <c r="E11068" s="14">
        <v>1.0</v>
      </c>
      <c r="F11068" s="15">
        <f>ROUND(21,3)</f>
        <v>21</v>
      </c>
      <c r="G11068" s="12">
        <f t="shared" si="1673"/>
        <v>21</v>
      </c>
    </row>
    <row r="11069" ht="24.0" customHeight="1">
      <c r="A11069" s="10" t="s">
        <v>28</v>
      </c>
      <c r="B11069" s="10" t="s">
        <v>26</v>
      </c>
      <c r="C11069" s="10" t="s">
        <v>23</v>
      </c>
      <c r="D11069" s="10" t="s">
        <v>29</v>
      </c>
      <c r="E11069" s="14">
        <v>1.0</v>
      </c>
      <c r="F11069" s="15">
        <f t="shared" ref="F11069:F11070" si="1674">ROUND(19,3)</f>
        <v>19</v>
      </c>
      <c r="G11069" s="12">
        <f t="shared" si="1673"/>
        <v>19</v>
      </c>
    </row>
    <row r="11070" ht="24.0" customHeight="1">
      <c r="A11070" s="10" t="s">
        <v>30</v>
      </c>
      <c r="B11070" s="10" t="s">
        <v>26</v>
      </c>
      <c r="C11070" s="10" t="s">
        <v>23</v>
      </c>
      <c r="D11070" s="10" t="s">
        <v>31</v>
      </c>
      <c r="E11070" s="14">
        <v>0.2</v>
      </c>
      <c r="F11070" s="15">
        <f t="shared" si="1674"/>
        <v>19</v>
      </c>
      <c r="G11070" s="12">
        <f t="shared" si="1673"/>
        <v>3.8</v>
      </c>
    </row>
    <row r="11071" ht="15.0" customHeight="1">
      <c r="A11071" s="11"/>
      <c r="B11071" s="11"/>
      <c r="C11071" s="11"/>
      <c r="D11071" s="10" t="s">
        <v>22</v>
      </c>
      <c r="E11071" s="14">
        <v>0.11429</v>
      </c>
      <c r="F11071" s="15">
        <f>ROUND((G11068+G11069+G11070),3)</f>
        <v>43.8</v>
      </c>
      <c r="G11071" s="12">
        <f t="shared" si="1673"/>
        <v>5.01</v>
      </c>
    </row>
    <row r="11072" ht="15.0" customHeight="1">
      <c r="A11072" s="10" t="s">
        <v>32</v>
      </c>
      <c r="B11072" s="10"/>
      <c r="C11072" s="10" t="s">
        <v>33</v>
      </c>
      <c r="D11072" s="10" t="s">
        <v>34</v>
      </c>
      <c r="E11072" s="14">
        <v>5.0</v>
      </c>
      <c r="F11072" s="15">
        <f>ROUND(5.01,3)</f>
        <v>5.01</v>
      </c>
      <c r="G11072" s="12">
        <f>ROUND((E11072*F11072)/100,2)</f>
        <v>0.25</v>
      </c>
    </row>
    <row r="11073" ht="15.0" customHeight="1">
      <c r="A11073" s="16"/>
      <c r="B11073" s="16"/>
      <c r="C11073" s="16"/>
      <c r="D11073" s="17" t="s">
        <v>4917</v>
      </c>
      <c r="E11073" s="16"/>
      <c r="F11073" s="18">
        <f>ROUND((G11064+G11065+G11066+G11067+G11072)*(1+G2/100),2)</f>
        <v>11.84</v>
      </c>
      <c r="G11073" s="16"/>
    </row>
    <row r="11074" ht="24.75" customHeight="1">
      <c r="A11074" s="19" t="s">
        <v>4919</v>
      </c>
      <c r="B11074" s="20" t="s">
        <v>18</v>
      </c>
      <c r="C11074" s="20" t="s">
        <v>351</v>
      </c>
      <c r="D11074" s="20" t="s">
        <v>4920</v>
      </c>
      <c r="E11074" s="21"/>
      <c r="F11074" s="22">
        <f>F11085</f>
        <v>10.35</v>
      </c>
      <c r="G11074" s="21"/>
    </row>
    <row r="11075" ht="12.0" customHeight="1">
      <c r="A11075" s="11"/>
      <c r="B11075" s="11"/>
      <c r="C11075" s="11"/>
      <c r="D11075" s="10" t="s">
        <v>4921</v>
      </c>
    </row>
    <row r="11076" ht="30.0" customHeight="1">
      <c r="A11076" s="10" t="s">
        <v>4922</v>
      </c>
      <c r="B11076" s="10" t="s">
        <v>42</v>
      </c>
      <c r="C11076" s="10" t="s">
        <v>344</v>
      </c>
      <c r="D11076" s="10" t="s">
        <v>4923</v>
      </c>
      <c r="E11076" s="14">
        <v>2.33333</v>
      </c>
      <c r="F11076" s="15">
        <f>ROUND(1.99,3)</f>
        <v>1.99</v>
      </c>
      <c r="G11076" s="12">
        <f t="shared" ref="G11076:G11083" si="1675">ROUND(E11076*F11076,2)</f>
        <v>4.64</v>
      </c>
    </row>
    <row r="11077" ht="48.75" customHeight="1">
      <c r="A11077" s="10" t="s">
        <v>2069</v>
      </c>
      <c r="B11077" s="10" t="s">
        <v>42</v>
      </c>
      <c r="C11077" s="10" t="s">
        <v>184</v>
      </c>
      <c r="D11077" s="10" t="s">
        <v>2070</v>
      </c>
      <c r="E11077" s="14">
        <v>0.0352</v>
      </c>
      <c r="F11077" s="15">
        <f>ROUND(10.25,3)</f>
        <v>10.25</v>
      </c>
      <c r="G11077" s="12">
        <f t="shared" si="1675"/>
        <v>0.36</v>
      </c>
    </row>
    <row r="11078" ht="30.0" customHeight="1">
      <c r="A11078" s="10" t="s">
        <v>2053</v>
      </c>
      <c r="B11078" s="10" t="s">
        <v>42</v>
      </c>
      <c r="C11078" s="10" t="s">
        <v>184</v>
      </c>
      <c r="D11078" s="10" t="s">
        <v>2054</v>
      </c>
      <c r="E11078" s="14">
        <v>0.00746</v>
      </c>
      <c r="F11078" s="15">
        <f>ROUND(11.74,3)</f>
        <v>11.74</v>
      </c>
      <c r="G11078" s="12">
        <f t="shared" si="1675"/>
        <v>0.09</v>
      </c>
    </row>
    <row r="11079" ht="21.0" customHeight="1">
      <c r="A11079" s="10" t="s">
        <v>22</v>
      </c>
      <c r="B11079" s="10" t="s">
        <v>18</v>
      </c>
      <c r="C11079" s="10" t="s">
        <v>23</v>
      </c>
      <c r="D11079" s="10" t="s">
        <v>24</v>
      </c>
      <c r="E11079" s="14">
        <v>0.11429</v>
      </c>
      <c r="F11079" s="15">
        <f>F11083</f>
        <v>43.8</v>
      </c>
      <c r="G11079" s="12">
        <f t="shared" si="1675"/>
        <v>5.01</v>
      </c>
    </row>
    <row r="11080" ht="24.0" customHeight="1">
      <c r="A11080" s="10" t="s">
        <v>25</v>
      </c>
      <c r="B11080" s="10" t="s">
        <v>26</v>
      </c>
      <c r="C11080" s="10" t="s">
        <v>23</v>
      </c>
      <c r="D11080" s="10" t="s">
        <v>27</v>
      </c>
      <c r="E11080" s="14">
        <v>1.0</v>
      </c>
      <c r="F11080" s="15">
        <f>ROUND(21,3)</f>
        <v>21</v>
      </c>
      <c r="G11080" s="12">
        <f t="shared" si="1675"/>
        <v>21</v>
      </c>
    </row>
    <row r="11081" ht="24.0" customHeight="1">
      <c r="A11081" s="10" t="s">
        <v>28</v>
      </c>
      <c r="B11081" s="10" t="s">
        <v>26</v>
      </c>
      <c r="C11081" s="10" t="s">
        <v>23</v>
      </c>
      <c r="D11081" s="10" t="s">
        <v>29</v>
      </c>
      <c r="E11081" s="14">
        <v>1.0</v>
      </c>
      <c r="F11081" s="15">
        <f t="shared" ref="F11081:F11082" si="1676">ROUND(19,3)</f>
        <v>19</v>
      </c>
      <c r="G11081" s="12">
        <f t="shared" si="1675"/>
        <v>19</v>
      </c>
    </row>
    <row r="11082" ht="24.0" customHeight="1">
      <c r="A11082" s="10" t="s">
        <v>30</v>
      </c>
      <c r="B11082" s="10" t="s">
        <v>26</v>
      </c>
      <c r="C11082" s="10" t="s">
        <v>23</v>
      </c>
      <c r="D11082" s="10" t="s">
        <v>31</v>
      </c>
      <c r="E11082" s="14">
        <v>0.2</v>
      </c>
      <c r="F11082" s="15">
        <f t="shared" si="1676"/>
        <v>19</v>
      </c>
      <c r="G11082" s="12">
        <f t="shared" si="1675"/>
        <v>3.8</v>
      </c>
    </row>
    <row r="11083" ht="15.0" customHeight="1">
      <c r="A11083" s="11"/>
      <c r="B11083" s="11"/>
      <c r="C11083" s="11"/>
      <c r="D11083" s="10" t="s">
        <v>22</v>
      </c>
      <c r="E11083" s="14">
        <v>0.11429</v>
      </c>
      <c r="F11083" s="15">
        <f>ROUND((G11080+G11081+G11082),3)</f>
        <v>43.8</v>
      </c>
      <c r="G11083" s="12">
        <f t="shared" si="1675"/>
        <v>5.01</v>
      </c>
    </row>
    <row r="11084" ht="15.0" customHeight="1">
      <c r="A11084" s="10" t="s">
        <v>32</v>
      </c>
      <c r="B11084" s="10"/>
      <c r="C11084" s="10" t="s">
        <v>33</v>
      </c>
      <c r="D11084" s="10" t="s">
        <v>34</v>
      </c>
      <c r="E11084" s="14">
        <v>5.0</v>
      </c>
      <c r="F11084" s="15">
        <f>ROUND(5.01,3)</f>
        <v>5.01</v>
      </c>
      <c r="G11084" s="12">
        <f>ROUND((E11084*F11084)/100,2)</f>
        <v>0.25</v>
      </c>
    </row>
    <row r="11085" ht="15.0" customHeight="1">
      <c r="A11085" s="16"/>
      <c r="B11085" s="16"/>
      <c r="C11085" s="16"/>
      <c r="D11085" s="17" t="s">
        <v>4919</v>
      </c>
      <c r="E11085" s="16"/>
      <c r="F11085" s="18">
        <f>ROUND((G11076+G11077+G11078+G11079+G11084)*(1+G2/100),2)</f>
        <v>10.35</v>
      </c>
      <c r="G11085" s="16"/>
    </row>
    <row r="11086" ht="24.75" customHeight="1">
      <c r="A11086" s="19" t="s">
        <v>4924</v>
      </c>
      <c r="B11086" s="20" t="s">
        <v>18</v>
      </c>
      <c r="C11086" s="20" t="s">
        <v>351</v>
      </c>
      <c r="D11086" s="20" t="s">
        <v>4925</v>
      </c>
      <c r="E11086" s="21"/>
      <c r="F11086" s="22">
        <f>F11097</f>
        <v>10.26</v>
      </c>
      <c r="G11086" s="21"/>
    </row>
    <row r="11087" ht="12.0" customHeight="1">
      <c r="A11087" s="11"/>
      <c r="B11087" s="11"/>
      <c r="C11087" s="11"/>
      <c r="D11087" s="10" t="s">
        <v>4925</v>
      </c>
    </row>
    <row r="11088" ht="30.0" customHeight="1">
      <c r="A11088" s="10" t="s">
        <v>4926</v>
      </c>
      <c r="B11088" s="10" t="s">
        <v>42</v>
      </c>
      <c r="C11088" s="10" t="s">
        <v>344</v>
      </c>
      <c r="D11088" s="10" t="s">
        <v>4927</v>
      </c>
      <c r="E11088" s="14">
        <v>2.33333</v>
      </c>
      <c r="F11088" s="15">
        <f>ROUND(1.95,3)</f>
        <v>1.95</v>
      </c>
      <c r="G11088" s="12">
        <f t="shared" ref="G11088:G11095" si="1677">ROUND(E11088*F11088,2)</f>
        <v>4.55</v>
      </c>
    </row>
    <row r="11089" ht="48.75" customHeight="1">
      <c r="A11089" s="10" t="s">
        <v>2069</v>
      </c>
      <c r="B11089" s="10" t="s">
        <v>42</v>
      </c>
      <c r="C11089" s="10" t="s">
        <v>184</v>
      </c>
      <c r="D11089" s="10" t="s">
        <v>2070</v>
      </c>
      <c r="E11089" s="14">
        <v>0.0352</v>
      </c>
      <c r="F11089" s="15">
        <f>ROUND(10.25,3)</f>
        <v>10.25</v>
      </c>
      <c r="G11089" s="12">
        <f t="shared" si="1677"/>
        <v>0.36</v>
      </c>
    </row>
    <row r="11090" ht="30.0" customHeight="1">
      <c r="A11090" s="10" t="s">
        <v>2053</v>
      </c>
      <c r="B11090" s="10" t="s">
        <v>42</v>
      </c>
      <c r="C11090" s="10" t="s">
        <v>184</v>
      </c>
      <c r="D11090" s="10" t="s">
        <v>2054</v>
      </c>
      <c r="E11090" s="14">
        <v>0.00746</v>
      </c>
      <c r="F11090" s="15">
        <f>ROUND(11.74,3)</f>
        <v>11.74</v>
      </c>
      <c r="G11090" s="12">
        <f t="shared" si="1677"/>
        <v>0.09</v>
      </c>
    </row>
    <row r="11091" ht="21.0" customHeight="1">
      <c r="A11091" s="10" t="s">
        <v>22</v>
      </c>
      <c r="B11091" s="10" t="s">
        <v>18</v>
      </c>
      <c r="C11091" s="10" t="s">
        <v>23</v>
      </c>
      <c r="D11091" s="10" t="s">
        <v>24</v>
      </c>
      <c r="E11091" s="14">
        <v>0.11429</v>
      </c>
      <c r="F11091" s="15">
        <f>F11095</f>
        <v>43.8</v>
      </c>
      <c r="G11091" s="12">
        <f t="shared" si="1677"/>
        <v>5.01</v>
      </c>
    </row>
    <row r="11092" ht="24.0" customHeight="1">
      <c r="A11092" s="10" t="s">
        <v>25</v>
      </c>
      <c r="B11092" s="10" t="s">
        <v>26</v>
      </c>
      <c r="C11092" s="10" t="s">
        <v>23</v>
      </c>
      <c r="D11092" s="10" t="s">
        <v>27</v>
      </c>
      <c r="E11092" s="14">
        <v>1.0</v>
      </c>
      <c r="F11092" s="15">
        <f>ROUND(21,3)</f>
        <v>21</v>
      </c>
      <c r="G11092" s="12">
        <f t="shared" si="1677"/>
        <v>21</v>
      </c>
    </row>
    <row r="11093" ht="24.0" customHeight="1">
      <c r="A11093" s="10" t="s">
        <v>28</v>
      </c>
      <c r="B11093" s="10" t="s">
        <v>26</v>
      </c>
      <c r="C11093" s="10" t="s">
        <v>23</v>
      </c>
      <c r="D11093" s="10" t="s">
        <v>29</v>
      </c>
      <c r="E11093" s="14">
        <v>1.0</v>
      </c>
      <c r="F11093" s="15">
        <f t="shared" ref="F11093:F11094" si="1678">ROUND(19,3)</f>
        <v>19</v>
      </c>
      <c r="G11093" s="12">
        <f t="shared" si="1677"/>
        <v>19</v>
      </c>
    </row>
    <row r="11094" ht="24.0" customHeight="1">
      <c r="A11094" s="10" t="s">
        <v>30</v>
      </c>
      <c r="B11094" s="10" t="s">
        <v>26</v>
      </c>
      <c r="C11094" s="10" t="s">
        <v>23</v>
      </c>
      <c r="D11094" s="10" t="s">
        <v>31</v>
      </c>
      <c r="E11094" s="14">
        <v>0.2</v>
      </c>
      <c r="F11094" s="15">
        <f t="shared" si="1678"/>
        <v>19</v>
      </c>
      <c r="G11094" s="12">
        <f t="shared" si="1677"/>
        <v>3.8</v>
      </c>
    </row>
    <row r="11095" ht="15.0" customHeight="1">
      <c r="A11095" s="11"/>
      <c r="B11095" s="11"/>
      <c r="C11095" s="11"/>
      <c r="D11095" s="10" t="s">
        <v>22</v>
      </c>
      <c r="E11095" s="14">
        <v>0.11429</v>
      </c>
      <c r="F11095" s="15">
        <f>ROUND((G11092+G11093+G11094),3)</f>
        <v>43.8</v>
      </c>
      <c r="G11095" s="12">
        <f t="shared" si="1677"/>
        <v>5.01</v>
      </c>
    </row>
    <row r="11096" ht="15.0" customHeight="1">
      <c r="A11096" s="10" t="s">
        <v>32</v>
      </c>
      <c r="B11096" s="10"/>
      <c r="C11096" s="10" t="s">
        <v>33</v>
      </c>
      <c r="D11096" s="10" t="s">
        <v>34</v>
      </c>
      <c r="E11096" s="14">
        <v>5.0</v>
      </c>
      <c r="F11096" s="15">
        <f>ROUND(5.01,3)</f>
        <v>5.01</v>
      </c>
      <c r="G11096" s="12">
        <f>ROUND((E11096*F11096)/100,2)</f>
        <v>0.25</v>
      </c>
    </row>
    <row r="11097" ht="15.0" customHeight="1">
      <c r="A11097" s="16"/>
      <c r="B11097" s="16"/>
      <c r="C11097" s="16"/>
      <c r="D11097" s="17" t="s">
        <v>4924</v>
      </c>
      <c r="E11097" s="16"/>
      <c r="F11097" s="18">
        <f>ROUND((G11088+G11089+G11090+G11091+G11096)*(1+G2/100),2)</f>
        <v>10.26</v>
      </c>
      <c r="G11097" s="16"/>
    </row>
    <row r="11098" ht="24.75" customHeight="1">
      <c r="A11098" s="19" t="s">
        <v>4928</v>
      </c>
      <c r="B11098" s="20" t="s">
        <v>18</v>
      </c>
      <c r="C11098" s="20" t="s">
        <v>351</v>
      </c>
      <c r="D11098" s="20" t="s">
        <v>4929</v>
      </c>
      <c r="E11098" s="21"/>
      <c r="F11098" s="22">
        <f>F11109</f>
        <v>11.74</v>
      </c>
      <c r="G11098" s="21"/>
    </row>
    <row r="11099" ht="12.0" customHeight="1">
      <c r="A11099" s="11"/>
      <c r="B11099" s="11"/>
      <c r="C11099" s="11"/>
      <c r="D11099" s="10" t="s">
        <v>4929</v>
      </c>
    </row>
    <row r="11100" ht="30.0" customHeight="1">
      <c r="A11100" s="10" t="s">
        <v>4930</v>
      </c>
      <c r="B11100" s="10" t="s">
        <v>42</v>
      </c>
      <c r="C11100" s="10" t="s">
        <v>344</v>
      </c>
      <c r="D11100" s="10" t="s">
        <v>4931</v>
      </c>
      <c r="E11100" s="14">
        <v>3.19</v>
      </c>
      <c r="F11100" s="15">
        <f>ROUND(1.89,3)</f>
        <v>1.89</v>
      </c>
      <c r="G11100" s="12">
        <f t="shared" ref="G11100:G11107" si="1679">ROUND(E11100*F11100,2)</f>
        <v>6.03</v>
      </c>
    </row>
    <row r="11101" ht="48.75" customHeight="1">
      <c r="A11101" s="10" t="s">
        <v>2069</v>
      </c>
      <c r="B11101" s="10" t="s">
        <v>42</v>
      </c>
      <c r="C11101" s="10" t="s">
        <v>184</v>
      </c>
      <c r="D11101" s="10" t="s">
        <v>2070</v>
      </c>
      <c r="E11101" s="14">
        <v>0.0352</v>
      </c>
      <c r="F11101" s="15">
        <f>ROUND(10.25,3)</f>
        <v>10.25</v>
      </c>
      <c r="G11101" s="12">
        <f t="shared" si="1679"/>
        <v>0.36</v>
      </c>
    </row>
    <row r="11102" ht="30.0" customHeight="1">
      <c r="A11102" s="10" t="s">
        <v>2053</v>
      </c>
      <c r="B11102" s="10" t="s">
        <v>42</v>
      </c>
      <c r="C11102" s="10" t="s">
        <v>184</v>
      </c>
      <c r="D11102" s="10" t="s">
        <v>2054</v>
      </c>
      <c r="E11102" s="14">
        <v>0.00787</v>
      </c>
      <c r="F11102" s="15">
        <f>ROUND(11.74,3)</f>
        <v>11.74</v>
      </c>
      <c r="G11102" s="12">
        <f t="shared" si="1679"/>
        <v>0.09</v>
      </c>
    </row>
    <row r="11103" ht="21.0" customHeight="1">
      <c r="A11103" s="10" t="s">
        <v>22</v>
      </c>
      <c r="B11103" s="10" t="s">
        <v>18</v>
      </c>
      <c r="C11103" s="10" t="s">
        <v>23</v>
      </c>
      <c r="D11103" s="10" t="s">
        <v>24</v>
      </c>
      <c r="E11103" s="14">
        <v>0.11429</v>
      </c>
      <c r="F11103" s="15">
        <f>F11107</f>
        <v>43.8</v>
      </c>
      <c r="G11103" s="12">
        <f t="shared" si="1679"/>
        <v>5.01</v>
      </c>
    </row>
    <row r="11104" ht="24.0" customHeight="1">
      <c r="A11104" s="10" t="s">
        <v>25</v>
      </c>
      <c r="B11104" s="10" t="s">
        <v>26</v>
      </c>
      <c r="C11104" s="10" t="s">
        <v>23</v>
      </c>
      <c r="D11104" s="10" t="s">
        <v>27</v>
      </c>
      <c r="E11104" s="14">
        <v>1.0</v>
      </c>
      <c r="F11104" s="15">
        <f>ROUND(21,3)</f>
        <v>21</v>
      </c>
      <c r="G11104" s="12">
        <f t="shared" si="1679"/>
        <v>21</v>
      </c>
    </row>
    <row r="11105" ht="24.0" customHeight="1">
      <c r="A11105" s="10" t="s">
        <v>28</v>
      </c>
      <c r="B11105" s="10" t="s">
        <v>26</v>
      </c>
      <c r="C11105" s="10" t="s">
        <v>23</v>
      </c>
      <c r="D11105" s="10" t="s">
        <v>29</v>
      </c>
      <c r="E11105" s="14">
        <v>1.0</v>
      </c>
      <c r="F11105" s="15">
        <f t="shared" ref="F11105:F11106" si="1680">ROUND(19,3)</f>
        <v>19</v>
      </c>
      <c r="G11105" s="12">
        <f t="shared" si="1679"/>
        <v>19</v>
      </c>
    </row>
    <row r="11106" ht="24.0" customHeight="1">
      <c r="A11106" s="10" t="s">
        <v>30</v>
      </c>
      <c r="B11106" s="10" t="s">
        <v>26</v>
      </c>
      <c r="C11106" s="10" t="s">
        <v>23</v>
      </c>
      <c r="D11106" s="10" t="s">
        <v>31</v>
      </c>
      <c r="E11106" s="14">
        <v>0.2</v>
      </c>
      <c r="F11106" s="15">
        <f t="shared" si="1680"/>
        <v>19</v>
      </c>
      <c r="G11106" s="12">
        <f t="shared" si="1679"/>
        <v>3.8</v>
      </c>
    </row>
    <row r="11107" ht="15.0" customHeight="1">
      <c r="A11107" s="11"/>
      <c r="B11107" s="11"/>
      <c r="C11107" s="11"/>
      <c r="D11107" s="10" t="s">
        <v>22</v>
      </c>
      <c r="E11107" s="14">
        <v>0.11429</v>
      </c>
      <c r="F11107" s="15">
        <f>ROUND((G11104+G11105+G11106),3)</f>
        <v>43.8</v>
      </c>
      <c r="G11107" s="12">
        <f t="shared" si="1679"/>
        <v>5.01</v>
      </c>
    </row>
    <row r="11108" ht="15.0" customHeight="1">
      <c r="A11108" s="10" t="s">
        <v>32</v>
      </c>
      <c r="B11108" s="10"/>
      <c r="C11108" s="10" t="s">
        <v>33</v>
      </c>
      <c r="D11108" s="10" t="s">
        <v>34</v>
      </c>
      <c r="E11108" s="14">
        <v>5.0</v>
      </c>
      <c r="F11108" s="15">
        <f>ROUND(5.01,3)</f>
        <v>5.01</v>
      </c>
      <c r="G11108" s="12">
        <f>ROUND((E11108*F11108)/100,2)</f>
        <v>0.25</v>
      </c>
    </row>
    <row r="11109" ht="15.0" customHeight="1">
      <c r="A11109" s="16"/>
      <c r="B11109" s="16"/>
      <c r="C11109" s="16"/>
      <c r="D11109" s="17" t="s">
        <v>4928</v>
      </c>
      <c r="E11109" s="16"/>
      <c r="F11109" s="18">
        <f>ROUND((G11100+G11101+G11102+G11103+G11108)*(1+G2/100),2)</f>
        <v>11.74</v>
      </c>
      <c r="G11109" s="16"/>
    </row>
    <row r="11110" ht="15.0" customHeight="1">
      <c r="A11110" s="23"/>
      <c r="B11110" s="23"/>
      <c r="C11110" s="23"/>
      <c r="D11110" s="30" t="s">
        <v>4908</v>
      </c>
      <c r="E11110" s="31"/>
      <c r="F11110" s="31"/>
      <c r="G11110" s="31"/>
    </row>
    <row r="11111" ht="15.0" customHeight="1">
      <c r="A11111" s="23"/>
      <c r="B11111" s="23"/>
      <c r="C11111" s="23"/>
      <c r="D11111" s="24" t="s">
        <v>4906</v>
      </c>
      <c r="E11111" s="25"/>
      <c r="F11111" s="25"/>
      <c r="G11111" s="25"/>
    </row>
    <row r="11112" ht="15.0" customHeight="1">
      <c r="A11112" s="23"/>
      <c r="B11112" s="23"/>
      <c r="C11112" s="23"/>
      <c r="D11112" s="32" t="s">
        <v>4807</v>
      </c>
      <c r="E11112" s="33"/>
      <c r="F11112" s="33"/>
      <c r="G11112" s="33"/>
    </row>
    <row r="11113" ht="15.0" customHeight="1">
      <c r="A11113" s="34" t="s">
        <v>4932</v>
      </c>
      <c r="B11113" s="34" t="s">
        <v>10</v>
      </c>
      <c r="C11113" s="35"/>
      <c r="D11113" s="34" t="s">
        <v>4933</v>
      </c>
      <c r="E11113" s="35"/>
      <c r="F11113" s="35"/>
      <c r="G11113" s="35"/>
    </row>
    <row r="11114" ht="30.0" customHeight="1">
      <c r="A11114" s="13" t="s">
        <v>2621</v>
      </c>
      <c r="B11114" s="10" t="s">
        <v>18</v>
      </c>
      <c r="C11114" s="10" t="s">
        <v>251</v>
      </c>
      <c r="D11114" s="10" t="s">
        <v>2622</v>
      </c>
      <c r="E11114" s="11"/>
      <c r="F11114" s="12">
        <f>F11124</f>
        <v>26.26</v>
      </c>
      <c r="G11114" s="11"/>
    </row>
    <row r="11115" ht="48.75" customHeight="1">
      <c r="A11115" s="11"/>
      <c r="B11115" s="11"/>
      <c r="C11115" s="11"/>
      <c r="D11115" s="10" t="s">
        <v>4934</v>
      </c>
    </row>
    <row r="11116" ht="30.0" customHeight="1">
      <c r="A11116" s="10" t="s">
        <v>1051</v>
      </c>
      <c r="B11116" s="10" t="s">
        <v>42</v>
      </c>
      <c r="C11116" s="10" t="s">
        <v>43</v>
      </c>
      <c r="D11116" s="10" t="s">
        <v>1052</v>
      </c>
      <c r="E11116" s="14">
        <v>0.07</v>
      </c>
      <c r="F11116" s="15">
        <f>ROUND(110.66,3)</f>
        <v>110.66</v>
      </c>
      <c r="G11116" s="12">
        <f t="shared" ref="G11116:G11122" si="1681">ROUND(E11116*F11116,2)</f>
        <v>7.75</v>
      </c>
    </row>
    <row r="11117" ht="24.0" customHeight="1">
      <c r="A11117" s="10" t="s">
        <v>1053</v>
      </c>
      <c r="B11117" s="10" t="s">
        <v>42</v>
      </c>
      <c r="C11117" s="10" t="s">
        <v>43</v>
      </c>
      <c r="D11117" s="10" t="s">
        <v>1054</v>
      </c>
      <c r="E11117" s="14">
        <v>0.1</v>
      </c>
      <c r="F11117" s="15">
        <f>ROUND(4.63,3)</f>
        <v>4.63</v>
      </c>
      <c r="G11117" s="12">
        <f t="shared" si="1681"/>
        <v>0.46</v>
      </c>
    </row>
    <row r="11118" ht="21.0" customHeight="1">
      <c r="A11118" s="10" t="s">
        <v>22</v>
      </c>
      <c r="B11118" s="10" t="s">
        <v>18</v>
      </c>
      <c r="C11118" s="10" t="s">
        <v>23</v>
      </c>
      <c r="D11118" s="10" t="s">
        <v>24</v>
      </c>
      <c r="E11118" s="14">
        <v>0.4</v>
      </c>
      <c r="F11118" s="15">
        <f>F11122</f>
        <v>43.8</v>
      </c>
      <c r="G11118" s="12">
        <f t="shared" si="1681"/>
        <v>17.52</v>
      </c>
    </row>
    <row r="11119" ht="24.0" customHeight="1">
      <c r="A11119" s="10" t="s">
        <v>25</v>
      </c>
      <c r="B11119" s="10" t="s">
        <v>26</v>
      </c>
      <c r="C11119" s="10" t="s">
        <v>23</v>
      </c>
      <c r="D11119" s="10" t="s">
        <v>27</v>
      </c>
      <c r="E11119" s="14">
        <v>1.0</v>
      </c>
      <c r="F11119" s="15">
        <f>ROUND(21,3)</f>
        <v>21</v>
      </c>
      <c r="G11119" s="12">
        <f t="shared" si="1681"/>
        <v>21</v>
      </c>
    </row>
    <row r="11120" ht="24.0" customHeight="1">
      <c r="A11120" s="10" t="s">
        <v>28</v>
      </c>
      <c r="B11120" s="10" t="s">
        <v>26</v>
      </c>
      <c r="C11120" s="10" t="s">
        <v>23</v>
      </c>
      <c r="D11120" s="10" t="s">
        <v>29</v>
      </c>
      <c r="E11120" s="14">
        <v>1.0</v>
      </c>
      <c r="F11120" s="15">
        <f t="shared" ref="F11120:F11121" si="1682">ROUND(19,3)</f>
        <v>19</v>
      </c>
      <c r="G11120" s="12">
        <f t="shared" si="1681"/>
        <v>19</v>
      </c>
    </row>
    <row r="11121" ht="24.0" customHeight="1">
      <c r="A11121" s="10" t="s">
        <v>30</v>
      </c>
      <c r="B11121" s="10" t="s">
        <v>26</v>
      </c>
      <c r="C11121" s="10" t="s">
        <v>23</v>
      </c>
      <c r="D11121" s="10" t="s">
        <v>31</v>
      </c>
      <c r="E11121" s="14">
        <v>0.2</v>
      </c>
      <c r="F11121" s="15">
        <f t="shared" si="1682"/>
        <v>19</v>
      </c>
      <c r="G11121" s="12">
        <f t="shared" si="1681"/>
        <v>3.8</v>
      </c>
    </row>
    <row r="11122" ht="15.0" customHeight="1">
      <c r="A11122" s="11"/>
      <c r="B11122" s="11"/>
      <c r="C11122" s="11"/>
      <c r="D11122" s="10" t="s">
        <v>22</v>
      </c>
      <c r="E11122" s="14">
        <v>0.4</v>
      </c>
      <c r="F11122" s="15">
        <f>ROUND((G11119+G11120+G11121),3)</f>
        <v>43.8</v>
      </c>
      <c r="G11122" s="12">
        <f t="shared" si="1681"/>
        <v>17.52</v>
      </c>
    </row>
    <row r="11123" ht="15.0" customHeight="1">
      <c r="A11123" s="10" t="s">
        <v>32</v>
      </c>
      <c r="B11123" s="10"/>
      <c r="C11123" s="10" t="s">
        <v>33</v>
      </c>
      <c r="D11123" s="10" t="s">
        <v>34</v>
      </c>
      <c r="E11123" s="14">
        <v>3.0</v>
      </c>
      <c r="F11123" s="15">
        <f>ROUND(17.52,3)</f>
        <v>17.52</v>
      </c>
      <c r="G11123" s="12">
        <f>ROUND((E11123*F11123)/100,2)</f>
        <v>0.53</v>
      </c>
    </row>
    <row r="11124" ht="15.0" customHeight="1">
      <c r="A11124" s="16"/>
      <c r="B11124" s="16"/>
      <c r="C11124" s="16"/>
      <c r="D11124" s="17" t="s">
        <v>2621</v>
      </c>
      <c r="E11124" s="16"/>
      <c r="F11124" s="18">
        <f>ROUND((G11116+G11117+G11118+G11123)*(1+G2/100),2)</f>
        <v>26.26</v>
      </c>
      <c r="G11124" s="16"/>
    </row>
    <row r="11125" ht="30.0" customHeight="1">
      <c r="A11125" s="19" t="s">
        <v>4935</v>
      </c>
      <c r="B11125" s="20" t="s">
        <v>18</v>
      </c>
      <c r="C11125" s="20" t="s">
        <v>251</v>
      </c>
      <c r="D11125" s="20" t="s">
        <v>4936</v>
      </c>
      <c r="E11125" s="21"/>
      <c r="F11125" s="22">
        <f>F11135</f>
        <v>22.9</v>
      </c>
      <c r="G11125" s="21"/>
    </row>
    <row r="11126" ht="48.75" customHeight="1">
      <c r="A11126" s="11"/>
      <c r="B11126" s="11"/>
      <c r="C11126" s="11"/>
      <c r="D11126" s="10" t="s">
        <v>4937</v>
      </c>
    </row>
    <row r="11127" ht="30.0" customHeight="1">
      <c r="A11127" s="10" t="s">
        <v>1057</v>
      </c>
      <c r="B11127" s="10" t="s">
        <v>42</v>
      </c>
      <c r="C11127" s="10" t="s">
        <v>43</v>
      </c>
      <c r="D11127" s="10" t="s">
        <v>1058</v>
      </c>
      <c r="E11127" s="14">
        <v>0.07</v>
      </c>
      <c r="F11127" s="15">
        <f>ROUND(62.73,3)</f>
        <v>62.73</v>
      </c>
      <c r="G11127" s="12">
        <f t="shared" ref="G11127:G11133" si="1683">ROUND(E11127*F11127,2)</f>
        <v>4.39</v>
      </c>
    </row>
    <row r="11128" ht="24.0" customHeight="1">
      <c r="A11128" s="10" t="s">
        <v>1053</v>
      </c>
      <c r="B11128" s="10" t="s">
        <v>42</v>
      </c>
      <c r="C11128" s="10" t="s">
        <v>43</v>
      </c>
      <c r="D11128" s="10" t="s">
        <v>1054</v>
      </c>
      <c r="E11128" s="14">
        <v>0.1</v>
      </c>
      <c r="F11128" s="15">
        <f>ROUND(4.63,3)</f>
        <v>4.63</v>
      </c>
      <c r="G11128" s="12">
        <f t="shared" si="1683"/>
        <v>0.46</v>
      </c>
    </row>
    <row r="11129" ht="21.0" customHeight="1">
      <c r="A11129" s="10" t="s">
        <v>22</v>
      </c>
      <c r="B11129" s="10" t="s">
        <v>18</v>
      </c>
      <c r="C11129" s="10" t="s">
        <v>23</v>
      </c>
      <c r="D11129" s="10" t="s">
        <v>24</v>
      </c>
      <c r="E11129" s="14">
        <v>0.4</v>
      </c>
      <c r="F11129" s="15">
        <f>F11133</f>
        <v>43.8</v>
      </c>
      <c r="G11129" s="12">
        <f t="shared" si="1683"/>
        <v>17.52</v>
      </c>
    </row>
    <row r="11130" ht="24.0" customHeight="1">
      <c r="A11130" s="10" t="s">
        <v>25</v>
      </c>
      <c r="B11130" s="10" t="s">
        <v>26</v>
      </c>
      <c r="C11130" s="10" t="s">
        <v>23</v>
      </c>
      <c r="D11130" s="10" t="s">
        <v>27</v>
      </c>
      <c r="E11130" s="14">
        <v>1.0</v>
      </c>
      <c r="F11130" s="15">
        <f>ROUND(21,3)</f>
        <v>21</v>
      </c>
      <c r="G11130" s="12">
        <f t="shared" si="1683"/>
        <v>21</v>
      </c>
    </row>
    <row r="11131" ht="24.0" customHeight="1">
      <c r="A11131" s="10" t="s">
        <v>28</v>
      </c>
      <c r="B11131" s="10" t="s">
        <v>26</v>
      </c>
      <c r="C11131" s="10" t="s">
        <v>23</v>
      </c>
      <c r="D11131" s="10" t="s">
        <v>29</v>
      </c>
      <c r="E11131" s="14">
        <v>1.0</v>
      </c>
      <c r="F11131" s="15">
        <f t="shared" ref="F11131:F11132" si="1684">ROUND(19,3)</f>
        <v>19</v>
      </c>
      <c r="G11131" s="12">
        <f t="shared" si="1683"/>
        <v>19</v>
      </c>
    </row>
    <row r="11132" ht="24.0" customHeight="1">
      <c r="A11132" s="10" t="s">
        <v>30</v>
      </c>
      <c r="B11132" s="10" t="s">
        <v>26</v>
      </c>
      <c r="C11132" s="10" t="s">
        <v>23</v>
      </c>
      <c r="D11132" s="10" t="s">
        <v>31</v>
      </c>
      <c r="E11132" s="14">
        <v>0.2</v>
      </c>
      <c r="F11132" s="15">
        <f t="shared" si="1684"/>
        <v>19</v>
      </c>
      <c r="G11132" s="12">
        <f t="shared" si="1683"/>
        <v>3.8</v>
      </c>
    </row>
    <row r="11133" ht="15.0" customHeight="1">
      <c r="A11133" s="11"/>
      <c r="B11133" s="11"/>
      <c r="C11133" s="11"/>
      <c r="D11133" s="10" t="s">
        <v>22</v>
      </c>
      <c r="E11133" s="14">
        <v>0.4</v>
      </c>
      <c r="F11133" s="15">
        <f>ROUND((G11130+G11131+G11132),3)</f>
        <v>43.8</v>
      </c>
      <c r="G11133" s="12">
        <f t="shared" si="1683"/>
        <v>17.52</v>
      </c>
    </row>
    <row r="11134" ht="15.0" customHeight="1">
      <c r="A11134" s="10" t="s">
        <v>32</v>
      </c>
      <c r="B11134" s="10"/>
      <c r="C11134" s="10" t="s">
        <v>33</v>
      </c>
      <c r="D11134" s="10" t="s">
        <v>34</v>
      </c>
      <c r="E11134" s="14">
        <v>3.0</v>
      </c>
      <c r="F11134" s="15">
        <f>ROUND(17.52,3)</f>
        <v>17.52</v>
      </c>
      <c r="G11134" s="12">
        <f>ROUND((E11134*F11134)/100,2)</f>
        <v>0.53</v>
      </c>
    </row>
    <row r="11135" ht="15.0" customHeight="1">
      <c r="A11135" s="16"/>
      <c r="B11135" s="16"/>
      <c r="C11135" s="16"/>
      <c r="D11135" s="17" t="s">
        <v>4935</v>
      </c>
      <c r="E11135" s="16"/>
      <c r="F11135" s="18">
        <f>ROUND((G11127+G11128+G11129+G11134)*(1+G2/100),2)</f>
        <v>22.9</v>
      </c>
      <c r="G11135" s="16"/>
    </row>
    <row r="11136" ht="21.0" customHeight="1">
      <c r="A11136" s="19" t="s">
        <v>4938</v>
      </c>
      <c r="B11136" s="20" t="s">
        <v>18</v>
      </c>
      <c r="C11136" s="20" t="s">
        <v>251</v>
      </c>
      <c r="D11136" s="20" t="s">
        <v>4939</v>
      </c>
      <c r="E11136" s="21"/>
      <c r="F11136" s="22">
        <f>F11146</f>
        <v>30.67</v>
      </c>
      <c r="G11136" s="21"/>
    </row>
    <row r="11137" ht="21.0" customHeight="1">
      <c r="A11137" s="11"/>
      <c r="B11137" s="11"/>
      <c r="C11137" s="11"/>
      <c r="D11137" s="10" t="s">
        <v>4940</v>
      </c>
    </row>
    <row r="11138" ht="30.0" customHeight="1">
      <c r="A11138" s="10" t="s">
        <v>1062</v>
      </c>
      <c r="B11138" s="10" t="s">
        <v>42</v>
      </c>
      <c r="C11138" s="10" t="s">
        <v>43</v>
      </c>
      <c r="D11138" s="10" t="s">
        <v>1063</v>
      </c>
      <c r="E11138" s="14">
        <v>0.105</v>
      </c>
      <c r="F11138" s="15">
        <f>ROUND(73.89,3)</f>
        <v>73.89</v>
      </c>
      <c r="G11138" s="12">
        <f t="shared" ref="G11138:G11144" si="1685">ROUND(E11138*F11138,2)</f>
        <v>7.76</v>
      </c>
    </row>
    <row r="11139" ht="24.0" customHeight="1">
      <c r="A11139" s="10" t="s">
        <v>1053</v>
      </c>
      <c r="B11139" s="10" t="s">
        <v>42</v>
      </c>
      <c r="C11139" s="10" t="s">
        <v>43</v>
      </c>
      <c r="D11139" s="10" t="s">
        <v>1054</v>
      </c>
      <c r="E11139" s="14">
        <v>0.075</v>
      </c>
      <c r="F11139" s="15">
        <f>ROUND(4.63,3)</f>
        <v>4.63</v>
      </c>
      <c r="G11139" s="12">
        <f t="shared" si="1685"/>
        <v>0.35</v>
      </c>
    </row>
    <row r="11140" ht="21.0" customHeight="1">
      <c r="A11140" s="10" t="s">
        <v>22</v>
      </c>
      <c r="B11140" s="10" t="s">
        <v>18</v>
      </c>
      <c r="C11140" s="10" t="s">
        <v>23</v>
      </c>
      <c r="D11140" s="10" t="s">
        <v>24</v>
      </c>
      <c r="E11140" s="14">
        <v>0.5</v>
      </c>
      <c r="F11140" s="15">
        <f>F11144</f>
        <v>43.8</v>
      </c>
      <c r="G11140" s="12">
        <f t="shared" si="1685"/>
        <v>21.9</v>
      </c>
    </row>
    <row r="11141" ht="24.0" customHeight="1">
      <c r="A11141" s="10" t="s">
        <v>25</v>
      </c>
      <c r="B11141" s="10" t="s">
        <v>26</v>
      </c>
      <c r="C11141" s="10" t="s">
        <v>23</v>
      </c>
      <c r="D11141" s="10" t="s">
        <v>27</v>
      </c>
      <c r="E11141" s="14">
        <v>1.0</v>
      </c>
      <c r="F11141" s="15">
        <f>ROUND(21,3)</f>
        <v>21</v>
      </c>
      <c r="G11141" s="12">
        <f t="shared" si="1685"/>
        <v>21</v>
      </c>
    </row>
    <row r="11142" ht="24.0" customHeight="1">
      <c r="A11142" s="10" t="s">
        <v>28</v>
      </c>
      <c r="B11142" s="10" t="s">
        <v>26</v>
      </c>
      <c r="C11142" s="10" t="s">
        <v>23</v>
      </c>
      <c r="D11142" s="10" t="s">
        <v>29</v>
      </c>
      <c r="E11142" s="14">
        <v>1.0</v>
      </c>
      <c r="F11142" s="15">
        <f t="shared" ref="F11142:F11143" si="1686">ROUND(19,3)</f>
        <v>19</v>
      </c>
      <c r="G11142" s="12">
        <f t="shared" si="1685"/>
        <v>19</v>
      </c>
    </row>
    <row r="11143" ht="24.0" customHeight="1">
      <c r="A11143" s="10" t="s">
        <v>30</v>
      </c>
      <c r="B11143" s="10" t="s">
        <v>26</v>
      </c>
      <c r="C11143" s="10" t="s">
        <v>23</v>
      </c>
      <c r="D11143" s="10" t="s">
        <v>31</v>
      </c>
      <c r="E11143" s="14">
        <v>0.2</v>
      </c>
      <c r="F11143" s="15">
        <f t="shared" si="1686"/>
        <v>19</v>
      </c>
      <c r="G11143" s="12">
        <f t="shared" si="1685"/>
        <v>3.8</v>
      </c>
    </row>
    <row r="11144" ht="15.0" customHeight="1">
      <c r="A11144" s="11"/>
      <c r="B11144" s="11"/>
      <c r="C11144" s="11"/>
      <c r="D11144" s="10" t="s">
        <v>22</v>
      </c>
      <c r="E11144" s="14">
        <v>0.5</v>
      </c>
      <c r="F11144" s="15">
        <f>ROUND((G11141+G11142+G11143),3)</f>
        <v>43.8</v>
      </c>
      <c r="G11144" s="12">
        <f t="shared" si="1685"/>
        <v>21.9</v>
      </c>
    </row>
    <row r="11145" ht="15.0" customHeight="1">
      <c r="A11145" s="10" t="s">
        <v>32</v>
      </c>
      <c r="B11145" s="10"/>
      <c r="C11145" s="10" t="s">
        <v>33</v>
      </c>
      <c r="D11145" s="10" t="s">
        <v>34</v>
      </c>
      <c r="E11145" s="14">
        <v>3.0</v>
      </c>
      <c r="F11145" s="15">
        <f>ROUND(21.9,3)</f>
        <v>21.9</v>
      </c>
      <c r="G11145" s="12">
        <f>ROUND((E11145*F11145)/100,2)</f>
        <v>0.66</v>
      </c>
    </row>
    <row r="11146" ht="15.0" customHeight="1">
      <c r="A11146" s="16"/>
      <c r="B11146" s="16"/>
      <c r="C11146" s="16"/>
      <c r="D11146" s="17" t="s">
        <v>4938</v>
      </c>
      <c r="E11146" s="16"/>
      <c r="F11146" s="18">
        <f>ROUND((G11138+G11139+G11140+G11145)*(1+G2/100),2)</f>
        <v>30.67</v>
      </c>
      <c r="G11146" s="16"/>
    </row>
    <row r="11147" ht="15.0" customHeight="1">
      <c r="A11147" s="19" t="s">
        <v>4941</v>
      </c>
      <c r="B11147" s="20" t="s">
        <v>18</v>
      </c>
      <c r="C11147" s="20" t="s">
        <v>251</v>
      </c>
      <c r="D11147" s="20" t="s">
        <v>4942</v>
      </c>
      <c r="E11147" s="21"/>
      <c r="F11147" s="22">
        <f>F11157</f>
        <v>18.56</v>
      </c>
      <c r="G11147" s="21"/>
    </row>
    <row r="11148" ht="39.75" customHeight="1">
      <c r="A11148" s="11"/>
      <c r="B11148" s="11"/>
      <c r="C11148" s="11"/>
      <c r="D11148" s="10" t="s">
        <v>4943</v>
      </c>
    </row>
    <row r="11149" ht="39.75" customHeight="1">
      <c r="A11149" s="10" t="s">
        <v>4944</v>
      </c>
      <c r="B11149" s="10" t="s">
        <v>42</v>
      </c>
      <c r="C11149" s="10" t="s">
        <v>43</v>
      </c>
      <c r="D11149" s="10" t="s">
        <v>4945</v>
      </c>
      <c r="E11149" s="14">
        <v>0.01375</v>
      </c>
      <c r="F11149" s="15">
        <f>ROUND(23.99,3)</f>
        <v>23.99</v>
      </c>
      <c r="G11149" s="12">
        <f t="shared" ref="G11149:G11155" si="1687">ROUND(E11149*F11149,2)</f>
        <v>0.33</v>
      </c>
    </row>
    <row r="11150" ht="24.0" customHeight="1">
      <c r="A11150" s="10" t="s">
        <v>1044</v>
      </c>
      <c r="B11150" s="10" t="s">
        <v>112</v>
      </c>
      <c r="C11150" s="10" t="s">
        <v>23</v>
      </c>
      <c r="D11150" s="10" t="s">
        <v>1045</v>
      </c>
      <c r="E11150" s="14">
        <v>0.16</v>
      </c>
      <c r="F11150" s="15">
        <f>ROUND(1.1,3)</f>
        <v>1.1</v>
      </c>
      <c r="G11150" s="12">
        <f t="shared" si="1687"/>
        <v>0.18</v>
      </c>
    </row>
    <row r="11151" ht="21.0" customHeight="1">
      <c r="A11151" s="10" t="s">
        <v>22</v>
      </c>
      <c r="B11151" s="10" t="s">
        <v>18</v>
      </c>
      <c r="C11151" s="10" t="s">
        <v>23</v>
      </c>
      <c r="D11151" s="10" t="s">
        <v>24</v>
      </c>
      <c r="E11151" s="14">
        <v>0.4</v>
      </c>
      <c r="F11151" s="15">
        <f>F11155</f>
        <v>43.8</v>
      </c>
      <c r="G11151" s="12">
        <f t="shared" si="1687"/>
        <v>17.52</v>
      </c>
    </row>
    <row r="11152" ht="24.0" customHeight="1">
      <c r="A11152" s="10" t="s">
        <v>25</v>
      </c>
      <c r="B11152" s="10" t="s">
        <v>26</v>
      </c>
      <c r="C11152" s="10" t="s">
        <v>23</v>
      </c>
      <c r="D11152" s="10" t="s">
        <v>27</v>
      </c>
      <c r="E11152" s="14">
        <v>1.0</v>
      </c>
      <c r="F11152" s="15">
        <f>ROUND(21,3)</f>
        <v>21</v>
      </c>
      <c r="G11152" s="12">
        <f t="shared" si="1687"/>
        <v>21</v>
      </c>
    </row>
    <row r="11153" ht="24.0" customHeight="1">
      <c r="A11153" s="10" t="s">
        <v>28</v>
      </c>
      <c r="B11153" s="10" t="s">
        <v>26</v>
      </c>
      <c r="C11153" s="10" t="s">
        <v>23</v>
      </c>
      <c r="D11153" s="10" t="s">
        <v>29</v>
      </c>
      <c r="E11153" s="14">
        <v>1.0</v>
      </c>
      <c r="F11153" s="15">
        <f t="shared" ref="F11153:F11154" si="1688">ROUND(19,3)</f>
        <v>19</v>
      </c>
      <c r="G11153" s="12">
        <f t="shared" si="1687"/>
        <v>19</v>
      </c>
    </row>
    <row r="11154" ht="24.0" customHeight="1">
      <c r="A11154" s="10" t="s">
        <v>30</v>
      </c>
      <c r="B11154" s="10" t="s">
        <v>26</v>
      </c>
      <c r="C11154" s="10" t="s">
        <v>23</v>
      </c>
      <c r="D11154" s="10" t="s">
        <v>31</v>
      </c>
      <c r="E11154" s="14">
        <v>0.2</v>
      </c>
      <c r="F11154" s="15">
        <f t="shared" si="1688"/>
        <v>19</v>
      </c>
      <c r="G11154" s="12">
        <f t="shared" si="1687"/>
        <v>3.8</v>
      </c>
    </row>
    <row r="11155" ht="15.0" customHeight="1">
      <c r="A11155" s="11"/>
      <c r="B11155" s="11"/>
      <c r="C11155" s="11"/>
      <c r="D11155" s="10" t="s">
        <v>22</v>
      </c>
      <c r="E11155" s="14">
        <v>0.4</v>
      </c>
      <c r="F11155" s="15">
        <f>ROUND((G11152+G11153+G11154),3)</f>
        <v>43.8</v>
      </c>
      <c r="G11155" s="12">
        <f t="shared" si="1687"/>
        <v>17.52</v>
      </c>
    </row>
    <row r="11156" ht="15.0" customHeight="1">
      <c r="A11156" s="10" t="s">
        <v>32</v>
      </c>
      <c r="B11156" s="10"/>
      <c r="C11156" s="10" t="s">
        <v>33</v>
      </c>
      <c r="D11156" s="10" t="s">
        <v>34</v>
      </c>
      <c r="E11156" s="14">
        <v>3.0</v>
      </c>
      <c r="F11156" s="15">
        <f>ROUND(17.52,3)</f>
        <v>17.52</v>
      </c>
      <c r="G11156" s="12">
        <f>ROUND((E11156*F11156)/100,2)</f>
        <v>0.53</v>
      </c>
    </row>
    <row r="11157" ht="15.0" customHeight="1">
      <c r="A11157" s="16"/>
      <c r="B11157" s="16"/>
      <c r="C11157" s="16"/>
      <c r="D11157" s="17" t="s">
        <v>4941</v>
      </c>
      <c r="E11157" s="16"/>
      <c r="F11157" s="18">
        <f>ROUND((G11149+G11150+G11151+G11156)*(1+G2/100),2)</f>
        <v>18.56</v>
      </c>
      <c r="G11157" s="16"/>
    </row>
    <row r="11158" ht="21.0" customHeight="1">
      <c r="A11158" s="19" t="s">
        <v>4946</v>
      </c>
      <c r="B11158" s="20" t="s">
        <v>18</v>
      </c>
      <c r="C11158" s="20" t="s">
        <v>321</v>
      </c>
      <c r="D11158" s="20" t="s">
        <v>4947</v>
      </c>
      <c r="E11158" s="21"/>
      <c r="F11158" s="22">
        <f>F11168</f>
        <v>6.68</v>
      </c>
      <c r="G11158" s="21"/>
    </row>
    <row r="11159" ht="39.75" customHeight="1">
      <c r="A11159" s="11"/>
      <c r="B11159" s="11"/>
      <c r="C11159" s="11"/>
      <c r="D11159" s="10" t="s">
        <v>4948</v>
      </c>
    </row>
    <row r="11160" ht="30.0" customHeight="1">
      <c r="A11160" s="10" t="s">
        <v>1062</v>
      </c>
      <c r="B11160" s="10" t="s">
        <v>42</v>
      </c>
      <c r="C11160" s="10" t="s">
        <v>43</v>
      </c>
      <c r="D11160" s="10" t="s">
        <v>1063</v>
      </c>
      <c r="E11160" s="14">
        <v>0.02625</v>
      </c>
      <c r="F11160" s="15">
        <f>ROUND(73.89,3)</f>
        <v>73.89</v>
      </c>
      <c r="G11160" s="12">
        <f t="shared" ref="G11160:G11166" si="1689">ROUND(E11160*F11160,2)</f>
        <v>1.94</v>
      </c>
    </row>
    <row r="11161" ht="24.0" customHeight="1">
      <c r="A11161" s="10" t="s">
        <v>1053</v>
      </c>
      <c r="B11161" s="10" t="s">
        <v>42</v>
      </c>
      <c r="C11161" s="10" t="s">
        <v>43</v>
      </c>
      <c r="D11161" s="10" t="s">
        <v>1054</v>
      </c>
      <c r="E11161" s="14">
        <v>0.05</v>
      </c>
      <c r="F11161" s="15">
        <f>ROUND(4.63,3)</f>
        <v>4.63</v>
      </c>
      <c r="G11161" s="12">
        <f t="shared" si="1689"/>
        <v>0.23</v>
      </c>
    </row>
    <row r="11162" ht="21.0" customHeight="1">
      <c r="A11162" s="10" t="s">
        <v>22</v>
      </c>
      <c r="B11162" s="10" t="s">
        <v>18</v>
      </c>
      <c r="C11162" s="10" t="s">
        <v>23</v>
      </c>
      <c r="D11162" s="10" t="s">
        <v>24</v>
      </c>
      <c r="E11162" s="14">
        <v>0.1</v>
      </c>
      <c r="F11162" s="15">
        <f>F11166</f>
        <v>43.8</v>
      </c>
      <c r="G11162" s="12">
        <f t="shared" si="1689"/>
        <v>4.38</v>
      </c>
    </row>
    <row r="11163" ht="24.0" customHeight="1">
      <c r="A11163" s="10" t="s">
        <v>25</v>
      </c>
      <c r="B11163" s="10" t="s">
        <v>26</v>
      </c>
      <c r="C11163" s="10" t="s">
        <v>23</v>
      </c>
      <c r="D11163" s="10" t="s">
        <v>27</v>
      </c>
      <c r="E11163" s="14">
        <v>1.0</v>
      </c>
      <c r="F11163" s="15">
        <f>ROUND(21,3)</f>
        <v>21</v>
      </c>
      <c r="G11163" s="12">
        <f t="shared" si="1689"/>
        <v>21</v>
      </c>
    </row>
    <row r="11164" ht="24.0" customHeight="1">
      <c r="A11164" s="10" t="s">
        <v>28</v>
      </c>
      <c r="B11164" s="10" t="s">
        <v>26</v>
      </c>
      <c r="C11164" s="10" t="s">
        <v>23</v>
      </c>
      <c r="D11164" s="10" t="s">
        <v>29</v>
      </c>
      <c r="E11164" s="14">
        <v>1.0</v>
      </c>
      <c r="F11164" s="15">
        <f t="shared" ref="F11164:F11165" si="1690">ROUND(19,3)</f>
        <v>19</v>
      </c>
      <c r="G11164" s="12">
        <f t="shared" si="1689"/>
        <v>19</v>
      </c>
    </row>
    <row r="11165" ht="24.0" customHeight="1">
      <c r="A11165" s="10" t="s">
        <v>30</v>
      </c>
      <c r="B11165" s="10" t="s">
        <v>26</v>
      </c>
      <c r="C11165" s="10" t="s">
        <v>23</v>
      </c>
      <c r="D11165" s="10" t="s">
        <v>31</v>
      </c>
      <c r="E11165" s="14">
        <v>0.2</v>
      </c>
      <c r="F11165" s="15">
        <f t="shared" si="1690"/>
        <v>19</v>
      </c>
      <c r="G11165" s="12">
        <f t="shared" si="1689"/>
        <v>3.8</v>
      </c>
    </row>
    <row r="11166" ht="15.0" customHeight="1">
      <c r="A11166" s="11"/>
      <c r="B11166" s="11"/>
      <c r="C11166" s="11"/>
      <c r="D11166" s="10" t="s">
        <v>22</v>
      </c>
      <c r="E11166" s="14">
        <v>0.1</v>
      </c>
      <c r="F11166" s="15">
        <f>ROUND((G11163+G11164+G11165),3)</f>
        <v>43.8</v>
      </c>
      <c r="G11166" s="12">
        <f t="shared" si="1689"/>
        <v>4.38</v>
      </c>
    </row>
    <row r="11167" ht="15.0" customHeight="1">
      <c r="A11167" s="10" t="s">
        <v>32</v>
      </c>
      <c r="B11167" s="10"/>
      <c r="C11167" s="10" t="s">
        <v>33</v>
      </c>
      <c r="D11167" s="10" t="s">
        <v>34</v>
      </c>
      <c r="E11167" s="14">
        <v>3.0</v>
      </c>
      <c r="F11167" s="15">
        <f>ROUND(4.38,3)</f>
        <v>4.38</v>
      </c>
      <c r="G11167" s="12">
        <f>ROUND((E11167*F11167)/100,2)</f>
        <v>0.13</v>
      </c>
    </row>
    <row r="11168" ht="15.0" customHeight="1">
      <c r="A11168" s="16"/>
      <c r="B11168" s="16"/>
      <c r="C11168" s="16"/>
      <c r="D11168" s="17" t="s">
        <v>4946</v>
      </c>
      <c r="E11168" s="16"/>
      <c r="F11168" s="18">
        <f>ROUND((G11160+G11161+G11162+G11167)*(1+G2/100),2)</f>
        <v>6.68</v>
      </c>
      <c r="G11168" s="16"/>
    </row>
    <row r="11169" ht="21.0" customHeight="1">
      <c r="A11169" s="19" t="s">
        <v>4949</v>
      </c>
      <c r="B11169" s="20" t="s">
        <v>18</v>
      </c>
      <c r="C11169" s="20" t="s">
        <v>251</v>
      </c>
      <c r="D11169" s="20" t="s">
        <v>4950</v>
      </c>
      <c r="E11169" s="21"/>
      <c r="F11169" s="22">
        <f>F11178</f>
        <v>3.73</v>
      </c>
      <c r="G11169" s="21"/>
    </row>
    <row r="11170" ht="30.0" customHeight="1">
      <c r="A11170" s="11"/>
      <c r="B11170" s="11"/>
      <c r="C11170" s="11"/>
      <c r="D11170" s="10" t="s">
        <v>4951</v>
      </c>
    </row>
    <row r="11171" ht="30.0" customHeight="1">
      <c r="A11171" s="10" t="s">
        <v>4952</v>
      </c>
      <c r="B11171" s="10" t="s">
        <v>42</v>
      </c>
      <c r="C11171" s="10" t="s">
        <v>304</v>
      </c>
      <c r="D11171" s="10" t="s">
        <v>4953</v>
      </c>
      <c r="E11171" s="14">
        <v>0.05</v>
      </c>
      <c r="F11171" s="15">
        <f>ROUND(2.37,3)</f>
        <v>2.37</v>
      </c>
      <c r="G11171" s="12">
        <f t="shared" ref="G11171:G11176" si="1691">ROUND(E11171*F11171,2)</f>
        <v>0.12</v>
      </c>
    </row>
    <row r="11172" ht="21.0" customHeight="1">
      <c r="A11172" s="10" t="s">
        <v>22</v>
      </c>
      <c r="B11172" s="10" t="s">
        <v>18</v>
      </c>
      <c r="C11172" s="10" t="s">
        <v>23</v>
      </c>
      <c r="D11172" s="10" t="s">
        <v>24</v>
      </c>
      <c r="E11172" s="14">
        <v>0.08</v>
      </c>
      <c r="F11172" s="15">
        <f>F11176</f>
        <v>43.8</v>
      </c>
      <c r="G11172" s="12">
        <f t="shared" si="1691"/>
        <v>3.5</v>
      </c>
    </row>
    <row r="11173" ht="24.0" customHeight="1">
      <c r="A11173" s="10" t="s">
        <v>25</v>
      </c>
      <c r="B11173" s="10" t="s">
        <v>26</v>
      </c>
      <c r="C11173" s="10" t="s">
        <v>23</v>
      </c>
      <c r="D11173" s="10" t="s">
        <v>27</v>
      </c>
      <c r="E11173" s="14">
        <v>1.0</v>
      </c>
      <c r="F11173" s="15">
        <f>ROUND(21,3)</f>
        <v>21</v>
      </c>
      <c r="G11173" s="12">
        <f t="shared" si="1691"/>
        <v>21</v>
      </c>
    </row>
    <row r="11174" ht="24.0" customHeight="1">
      <c r="A11174" s="10" t="s">
        <v>28</v>
      </c>
      <c r="B11174" s="10" t="s">
        <v>26</v>
      </c>
      <c r="C11174" s="10" t="s">
        <v>23</v>
      </c>
      <c r="D11174" s="10" t="s">
        <v>29</v>
      </c>
      <c r="E11174" s="14">
        <v>1.0</v>
      </c>
      <c r="F11174" s="15">
        <f t="shared" ref="F11174:F11175" si="1692">ROUND(19,3)</f>
        <v>19</v>
      </c>
      <c r="G11174" s="12">
        <f t="shared" si="1691"/>
        <v>19</v>
      </c>
    </row>
    <row r="11175" ht="24.0" customHeight="1">
      <c r="A11175" s="10" t="s">
        <v>30</v>
      </c>
      <c r="B11175" s="10" t="s">
        <v>26</v>
      </c>
      <c r="C11175" s="10" t="s">
        <v>23</v>
      </c>
      <c r="D11175" s="10" t="s">
        <v>31</v>
      </c>
      <c r="E11175" s="14">
        <v>0.2</v>
      </c>
      <c r="F11175" s="15">
        <f t="shared" si="1692"/>
        <v>19</v>
      </c>
      <c r="G11175" s="12">
        <f t="shared" si="1691"/>
        <v>3.8</v>
      </c>
    </row>
    <row r="11176" ht="15.0" customHeight="1">
      <c r="A11176" s="11"/>
      <c r="B11176" s="11"/>
      <c r="C11176" s="11"/>
      <c r="D11176" s="10" t="s">
        <v>22</v>
      </c>
      <c r="E11176" s="14">
        <v>0.08</v>
      </c>
      <c r="F11176" s="15">
        <f>ROUND((G11173+G11174+G11175),3)</f>
        <v>43.8</v>
      </c>
      <c r="G11176" s="12">
        <f t="shared" si="1691"/>
        <v>3.5</v>
      </c>
    </row>
    <row r="11177" ht="15.0" customHeight="1">
      <c r="A11177" s="10" t="s">
        <v>32</v>
      </c>
      <c r="B11177" s="10"/>
      <c r="C11177" s="10" t="s">
        <v>33</v>
      </c>
      <c r="D11177" s="10" t="s">
        <v>34</v>
      </c>
      <c r="E11177" s="14">
        <v>3.0</v>
      </c>
      <c r="F11177" s="15">
        <f>ROUND(3.5,3)</f>
        <v>3.5</v>
      </c>
      <c r="G11177" s="12">
        <f>ROUND((E11177*F11177)/100,2)</f>
        <v>0.11</v>
      </c>
    </row>
    <row r="11178" ht="15.0" customHeight="1">
      <c r="A11178" s="16"/>
      <c r="B11178" s="16"/>
      <c r="C11178" s="16"/>
      <c r="D11178" s="17" t="s">
        <v>4949</v>
      </c>
      <c r="E11178" s="16"/>
      <c r="F11178" s="18">
        <f>ROUND((G11171+G11172+G11177)*(1+G2/100),2)</f>
        <v>3.73</v>
      </c>
      <c r="G11178" s="16"/>
    </row>
    <row r="11179" ht="30.0" customHeight="1">
      <c r="A11179" s="19" t="s">
        <v>2623</v>
      </c>
      <c r="B11179" s="20" t="s">
        <v>18</v>
      </c>
      <c r="C11179" s="20" t="s">
        <v>251</v>
      </c>
      <c r="D11179" s="20" t="s">
        <v>2624</v>
      </c>
      <c r="E11179" s="21"/>
      <c r="F11179" s="22">
        <f>F11188</f>
        <v>5.93</v>
      </c>
      <c r="G11179" s="21"/>
    </row>
    <row r="11180" ht="12.0" customHeight="1">
      <c r="A11180" s="11"/>
      <c r="B11180" s="11"/>
      <c r="C11180" s="11"/>
      <c r="D11180" s="10" t="s">
        <v>4954</v>
      </c>
    </row>
    <row r="11181" ht="21.0" customHeight="1">
      <c r="A11181" s="10" t="s">
        <v>2625</v>
      </c>
      <c r="B11181" s="10" t="s">
        <v>42</v>
      </c>
      <c r="C11181" s="10" t="s">
        <v>304</v>
      </c>
      <c r="D11181" s="10" t="s">
        <v>2626</v>
      </c>
      <c r="E11181" s="14">
        <v>0.5</v>
      </c>
      <c r="F11181" s="15">
        <f>ROUND(2.84,3)</f>
        <v>2.84</v>
      </c>
      <c r="G11181" s="12">
        <f t="shared" ref="G11181:G11186" si="1693">ROUND(E11181*F11181,2)</f>
        <v>1.42</v>
      </c>
    </row>
    <row r="11182" ht="21.0" customHeight="1">
      <c r="A11182" s="10" t="s">
        <v>22</v>
      </c>
      <c r="B11182" s="10" t="s">
        <v>18</v>
      </c>
      <c r="C11182" s="10" t="s">
        <v>23</v>
      </c>
      <c r="D11182" s="10" t="s">
        <v>24</v>
      </c>
      <c r="E11182" s="14">
        <v>0.1</v>
      </c>
      <c r="F11182" s="15">
        <f>F11186</f>
        <v>43.8</v>
      </c>
      <c r="G11182" s="12">
        <f t="shared" si="1693"/>
        <v>4.38</v>
      </c>
    </row>
    <row r="11183" ht="24.0" customHeight="1">
      <c r="A11183" s="10" t="s">
        <v>25</v>
      </c>
      <c r="B11183" s="10" t="s">
        <v>26</v>
      </c>
      <c r="C11183" s="10" t="s">
        <v>23</v>
      </c>
      <c r="D11183" s="10" t="s">
        <v>27</v>
      </c>
      <c r="E11183" s="14">
        <v>1.0</v>
      </c>
      <c r="F11183" s="15">
        <f>ROUND(21,3)</f>
        <v>21</v>
      </c>
      <c r="G11183" s="12">
        <f t="shared" si="1693"/>
        <v>21</v>
      </c>
    </row>
    <row r="11184" ht="24.0" customHeight="1">
      <c r="A11184" s="10" t="s">
        <v>28</v>
      </c>
      <c r="B11184" s="10" t="s">
        <v>26</v>
      </c>
      <c r="C11184" s="10" t="s">
        <v>23</v>
      </c>
      <c r="D11184" s="10" t="s">
        <v>29</v>
      </c>
      <c r="E11184" s="14">
        <v>1.0</v>
      </c>
      <c r="F11184" s="15">
        <f t="shared" ref="F11184:F11185" si="1694">ROUND(19,3)</f>
        <v>19</v>
      </c>
      <c r="G11184" s="12">
        <f t="shared" si="1693"/>
        <v>19</v>
      </c>
    </row>
    <row r="11185" ht="24.0" customHeight="1">
      <c r="A11185" s="10" t="s">
        <v>30</v>
      </c>
      <c r="B11185" s="10" t="s">
        <v>26</v>
      </c>
      <c r="C11185" s="10" t="s">
        <v>23</v>
      </c>
      <c r="D11185" s="10" t="s">
        <v>31</v>
      </c>
      <c r="E11185" s="14">
        <v>0.2</v>
      </c>
      <c r="F11185" s="15">
        <f t="shared" si="1694"/>
        <v>19</v>
      </c>
      <c r="G11185" s="12">
        <f t="shared" si="1693"/>
        <v>3.8</v>
      </c>
    </row>
    <row r="11186" ht="15.0" customHeight="1">
      <c r="A11186" s="11"/>
      <c r="B11186" s="11"/>
      <c r="C11186" s="11"/>
      <c r="D11186" s="10" t="s">
        <v>22</v>
      </c>
      <c r="E11186" s="14">
        <v>0.1</v>
      </c>
      <c r="F11186" s="15">
        <f>ROUND((G11183+G11184+G11185),3)</f>
        <v>43.8</v>
      </c>
      <c r="G11186" s="12">
        <f t="shared" si="1693"/>
        <v>4.38</v>
      </c>
    </row>
    <row r="11187" ht="15.0" customHeight="1">
      <c r="A11187" s="10" t="s">
        <v>32</v>
      </c>
      <c r="B11187" s="10"/>
      <c r="C11187" s="10" t="s">
        <v>33</v>
      </c>
      <c r="D11187" s="10" t="s">
        <v>34</v>
      </c>
      <c r="E11187" s="14">
        <v>3.0</v>
      </c>
      <c r="F11187" s="15">
        <f>ROUND(4.38,3)</f>
        <v>4.38</v>
      </c>
      <c r="G11187" s="12">
        <f>ROUND((E11187*F11187)/100,2)</f>
        <v>0.13</v>
      </c>
    </row>
    <row r="11188" ht="15.0" customHeight="1">
      <c r="A11188" s="16"/>
      <c r="B11188" s="16"/>
      <c r="C11188" s="16"/>
      <c r="D11188" s="17" t="s">
        <v>2623</v>
      </c>
      <c r="E11188" s="16"/>
      <c r="F11188" s="18">
        <f>ROUND((G11181+G11182+G11187)*(1+G2/100),2)</f>
        <v>5.93</v>
      </c>
      <c r="G11188" s="16"/>
    </row>
    <row r="11189" ht="15.0" customHeight="1">
      <c r="A11189" s="19" t="s">
        <v>4955</v>
      </c>
      <c r="B11189" s="20" t="s">
        <v>18</v>
      </c>
      <c r="C11189" s="20" t="s">
        <v>251</v>
      </c>
      <c r="D11189" s="20" t="s">
        <v>4956</v>
      </c>
      <c r="E11189" s="21"/>
      <c r="F11189" s="22">
        <f>F11198</f>
        <v>9.69</v>
      </c>
      <c r="G11189" s="21"/>
    </row>
    <row r="11190" ht="85.5" customHeight="1">
      <c r="A11190" s="11"/>
      <c r="B11190" s="11"/>
      <c r="C11190" s="11"/>
      <c r="D11190" s="10" t="s">
        <v>4957</v>
      </c>
    </row>
    <row r="11191" ht="30.0" customHeight="1">
      <c r="A11191" s="10" t="s">
        <v>1938</v>
      </c>
      <c r="B11191" s="10" t="s">
        <v>42</v>
      </c>
      <c r="C11191" s="10" t="s">
        <v>1939</v>
      </c>
      <c r="D11191" s="10" t="s">
        <v>1940</v>
      </c>
      <c r="E11191" s="14">
        <v>0.1</v>
      </c>
      <c r="F11191" s="15">
        <f>ROUND(29.17,3)</f>
        <v>29.17</v>
      </c>
      <c r="G11191" s="12">
        <f t="shared" ref="G11191:G11196" si="1695">ROUND(E11191*F11191,2)</f>
        <v>2.92</v>
      </c>
    </row>
    <row r="11192" ht="21.0" customHeight="1">
      <c r="A11192" s="10" t="s">
        <v>22</v>
      </c>
      <c r="B11192" s="10" t="s">
        <v>18</v>
      </c>
      <c r="C11192" s="10" t="s">
        <v>23</v>
      </c>
      <c r="D11192" s="10" t="s">
        <v>24</v>
      </c>
      <c r="E11192" s="14">
        <v>0.15</v>
      </c>
      <c r="F11192" s="15">
        <f>F11196</f>
        <v>43.8</v>
      </c>
      <c r="G11192" s="12">
        <f t="shared" si="1695"/>
        <v>6.57</v>
      </c>
    </row>
    <row r="11193" ht="24.0" customHeight="1">
      <c r="A11193" s="10" t="s">
        <v>25</v>
      </c>
      <c r="B11193" s="10" t="s">
        <v>26</v>
      </c>
      <c r="C11193" s="10" t="s">
        <v>23</v>
      </c>
      <c r="D11193" s="10" t="s">
        <v>27</v>
      </c>
      <c r="E11193" s="14">
        <v>1.0</v>
      </c>
      <c r="F11193" s="15">
        <f>ROUND(21,3)</f>
        <v>21</v>
      </c>
      <c r="G11193" s="12">
        <f t="shared" si="1695"/>
        <v>21</v>
      </c>
    </row>
    <row r="11194" ht="24.0" customHeight="1">
      <c r="A11194" s="10" t="s">
        <v>28</v>
      </c>
      <c r="B11194" s="10" t="s">
        <v>26</v>
      </c>
      <c r="C11194" s="10" t="s">
        <v>23</v>
      </c>
      <c r="D11194" s="10" t="s">
        <v>29</v>
      </c>
      <c r="E11194" s="14">
        <v>1.0</v>
      </c>
      <c r="F11194" s="15">
        <f t="shared" ref="F11194:F11195" si="1696">ROUND(19,3)</f>
        <v>19</v>
      </c>
      <c r="G11194" s="12">
        <f t="shared" si="1695"/>
        <v>19</v>
      </c>
    </row>
    <row r="11195" ht="24.0" customHeight="1">
      <c r="A11195" s="10" t="s">
        <v>30</v>
      </c>
      <c r="B11195" s="10" t="s">
        <v>26</v>
      </c>
      <c r="C11195" s="10" t="s">
        <v>23</v>
      </c>
      <c r="D11195" s="10" t="s">
        <v>31</v>
      </c>
      <c r="E11195" s="14">
        <v>0.2</v>
      </c>
      <c r="F11195" s="15">
        <f t="shared" si="1696"/>
        <v>19</v>
      </c>
      <c r="G11195" s="12">
        <f t="shared" si="1695"/>
        <v>3.8</v>
      </c>
    </row>
    <row r="11196" ht="15.0" customHeight="1">
      <c r="A11196" s="11"/>
      <c r="B11196" s="11"/>
      <c r="C11196" s="11"/>
      <c r="D11196" s="10" t="s">
        <v>22</v>
      </c>
      <c r="E11196" s="14">
        <v>0.15</v>
      </c>
      <c r="F11196" s="15">
        <f>ROUND((G11193+G11194+G11195),3)</f>
        <v>43.8</v>
      </c>
      <c r="G11196" s="12">
        <f t="shared" si="1695"/>
        <v>6.57</v>
      </c>
    </row>
    <row r="11197" ht="15.0" customHeight="1">
      <c r="A11197" s="10" t="s">
        <v>32</v>
      </c>
      <c r="B11197" s="10"/>
      <c r="C11197" s="10" t="s">
        <v>33</v>
      </c>
      <c r="D11197" s="10" t="s">
        <v>34</v>
      </c>
      <c r="E11197" s="14">
        <v>3.0</v>
      </c>
      <c r="F11197" s="15">
        <f>ROUND(6.57,3)</f>
        <v>6.57</v>
      </c>
      <c r="G11197" s="12">
        <f>ROUND((E11197*F11197)/100,2)</f>
        <v>0.2</v>
      </c>
    </row>
    <row r="11198" ht="15.0" customHeight="1">
      <c r="A11198" s="16"/>
      <c r="B11198" s="16"/>
      <c r="C11198" s="16"/>
      <c r="D11198" s="17" t="s">
        <v>4955</v>
      </c>
      <c r="E11198" s="16"/>
      <c r="F11198" s="18">
        <f>ROUND((G11191+G11192+G11197)*(1+G2/100),2)</f>
        <v>9.69</v>
      </c>
      <c r="G11198" s="16"/>
    </row>
    <row r="11199" ht="21.0" customHeight="1">
      <c r="A11199" s="19" t="s">
        <v>4958</v>
      </c>
      <c r="B11199" s="20" t="s">
        <v>18</v>
      </c>
      <c r="C11199" s="20" t="s">
        <v>251</v>
      </c>
      <c r="D11199" s="20" t="s">
        <v>4959</v>
      </c>
      <c r="E11199" s="21"/>
      <c r="F11199" s="22">
        <f>F11207</f>
        <v>3.61</v>
      </c>
      <c r="G11199" s="21"/>
    </row>
    <row r="11200" ht="21.0" customHeight="1">
      <c r="A11200" s="11"/>
      <c r="B11200" s="11"/>
      <c r="C11200" s="11"/>
      <c r="D11200" s="10" t="s">
        <v>4960</v>
      </c>
    </row>
    <row r="11201" ht="21.0" customHeight="1">
      <c r="A11201" s="10" t="s">
        <v>22</v>
      </c>
      <c r="B11201" s="10" t="s">
        <v>18</v>
      </c>
      <c r="C11201" s="10" t="s">
        <v>23</v>
      </c>
      <c r="D11201" s="10" t="s">
        <v>24</v>
      </c>
      <c r="E11201" s="14">
        <v>0.08</v>
      </c>
      <c r="F11201" s="15">
        <f>F11205</f>
        <v>43.8</v>
      </c>
      <c r="G11201" s="12">
        <f t="shared" ref="G11201:G11205" si="1697">ROUND(E11201*F11201,2)</f>
        <v>3.5</v>
      </c>
    </row>
    <row r="11202" ht="24.0" customHeight="1">
      <c r="A11202" s="10" t="s">
        <v>25</v>
      </c>
      <c r="B11202" s="10" t="s">
        <v>26</v>
      </c>
      <c r="C11202" s="10" t="s">
        <v>23</v>
      </c>
      <c r="D11202" s="10" t="s">
        <v>27</v>
      </c>
      <c r="E11202" s="14">
        <v>1.0</v>
      </c>
      <c r="F11202" s="15">
        <f>ROUND(21,3)</f>
        <v>21</v>
      </c>
      <c r="G11202" s="12">
        <f t="shared" si="1697"/>
        <v>21</v>
      </c>
    </row>
    <row r="11203" ht="24.0" customHeight="1">
      <c r="A11203" s="10" t="s">
        <v>28</v>
      </c>
      <c r="B11203" s="10" t="s">
        <v>26</v>
      </c>
      <c r="C11203" s="10" t="s">
        <v>23</v>
      </c>
      <c r="D11203" s="10" t="s">
        <v>29</v>
      </c>
      <c r="E11203" s="14">
        <v>1.0</v>
      </c>
      <c r="F11203" s="15">
        <f t="shared" ref="F11203:F11204" si="1698">ROUND(19,3)</f>
        <v>19</v>
      </c>
      <c r="G11203" s="12">
        <f t="shared" si="1697"/>
        <v>19</v>
      </c>
    </row>
    <row r="11204" ht="24.0" customHeight="1">
      <c r="A11204" s="10" t="s">
        <v>30</v>
      </c>
      <c r="B11204" s="10" t="s">
        <v>26</v>
      </c>
      <c r="C11204" s="10" t="s">
        <v>23</v>
      </c>
      <c r="D11204" s="10" t="s">
        <v>31</v>
      </c>
      <c r="E11204" s="14">
        <v>0.2</v>
      </c>
      <c r="F11204" s="15">
        <f t="shared" si="1698"/>
        <v>19</v>
      </c>
      <c r="G11204" s="12">
        <f t="shared" si="1697"/>
        <v>3.8</v>
      </c>
    </row>
    <row r="11205" ht="15.0" customHeight="1">
      <c r="A11205" s="11"/>
      <c r="B11205" s="11"/>
      <c r="C11205" s="11"/>
      <c r="D11205" s="10" t="s">
        <v>22</v>
      </c>
      <c r="E11205" s="14">
        <v>0.08</v>
      </c>
      <c r="F11205" s="15">
        <f>ROUND((G11202+G11203+G11204),3)</f>
        <v>43.8</v>
      </c>
      <c r="G11205" s="12">
        <f t="shared" si="1697"/>
        <v>3.5</v>
      </c>
    </row>
    <row r="11206" ht="15.0" customHeight="1">
      <c r="A11206" s="10" t="s">
        <v>32</v>
      </c>
      <c r="B11206" s="10"/>
      <c r="C11206" s="10" t="s">
        <v>33</v>
      </c>
      <c r="D11206" s="10" t="s">
        <v>34</v>
      </c>
      <c r="E11206" s="14">
        <v>3.0</v>
      </c>
      <c r="F11206" s="15">
        <f>ROUND(3.5,3)</f>
        <v>3.5</v>
      </c>
      <c r="G11206" s="12">
        <f>ROUND((E11206*F11206)/100,2)</f>
        <v>0.11</v>
      </c>
    </row>
    <row r="11207" ht="15.0" customHeight="1">
      <c r="A11207" s="16"/>
      <c r="B11207" s="16"/>
      <c r="C11207" s="16"/>
      <c r="D11207" s="17" t="s">
        <v>4958</v>
      </c>
      <c r="E11207" s="16"/>
      <c r="F11207" s="18">
        <f>ROUND((G11201+G11206)*(1+G2/100),2)</f>
        <v>3.61</v>
      </c>
      <c r="G11207" s="16"/>
    </row>
    <row r="11208" ht="21.0" customHeight="1">
      <c r="A11208" s="19" t="s">
        <v>1663</v>
      </c>
      <c r="B11208" s="20" t="s">
        <v>18</v>
      </c>
      <c r="C11208" s="20" t="s">
        <v>251</v>
      </c>
      <c r="D11208" s="20" t="s">
        <v>1664</v>
      </c>
      <c r="E11208" s="21"/>
      <c r="F11208" s="22">
        <f>F11222</f>
        <v>11.82</v>
      </c>
      <c r="G11208" s="21"/>
    </row>
    <row r="11209" ht="39.75" customHeight="1">
      <c r="A11209" s="11"/>
      <c r="B11209" s="11"/>
      <c r="C11209" s="11"/>
      <c r="D11209" s="10" t="s">
        <v>4961</v>
      </c>
    </row>
    <row r="11210" ht="30.0" customHeight="1">
      <c r="A11210" s="10" t="s">
        <v>1665</v>
      </c>
      <c r="B11210" s="10" t="s">
        <v>42</v>
      </c>
      <c r="C11210" s="10" t="s">
        <v>295</v>
      </c>
      <c r="D11210" s="10" t="s">
        <v>1666</v>
      </c>
      <c r="E11210" s="14">
        <v>0.0214</v>
      </c>
      <c r="F11210" s="15">
        <f>ROUND(41.9,3)</f>
        <v>41.9</v>
      </c>
      <c r="G11210" s="12">
        <f t="shared" ref="G11210:G11220" si="1699">ROUND(E11210*F11210,2)</f>
        <v>0.9</v>
      </c>
    </row>
    <row r="11211" ht="24.0" customHeight="1">
      <c r="A11211" s="10" t="s">
        <v>1667</v>
      </c>
      <c r="B11211" s="10" t="s">
        <v>42</v>
      </c>
      <c r="C11211" s="10" t="s">
        <v>295</v>
      </c>
      <c r="D11211" s="10" t="s">
        <v>1668</v>
      </c>
      <c r="E11211" s="14">
        <v>0.01</v>
      </c>
      <c r="F11211" s="15">
        <f>ROUND(85.93,3)</f>
        <v>85.93</v>
      </c>
      <c r="G11211" s="12">
        <f t="shared" si="1699"/>
        <v>0.86</v>
      </c>
    </row>
    <row r="11212" ht="30.0" customHeight="1">
      <c r="A11212" s="10" t="s">
        <v>1669</v>
      </c>
      <c r="B11212" s="10" t="s">
        <v>42</v>
      </c>
      <c r="C11212" s="10" t="s">
        <v>304</v>
      </c>
      <c r="D11212" s="10" t="s">
        <v>1670</v>
      </c>
      <c r="E11212" s="14">
        <v>0.011</v>
      </c>
      <c r="F11212" s="15">
        <f>ROUND(2.52,3)</f>
        <v>2.52</v>
      </c>
      <c r="G11212" s="12">
        <f t="shared" si="1699"/>
        <v>0.03</v>
      </c>
    </row>
    <row r="11213" ht="24.0" customHeight="1">
      <c r="A11213" s="10" t="s">
        <v>1671</v>
      </c>
      <c r="B11213" s="10" t="s">
        <v>42</v>
      </c>
      <c r="C11213" s="10" t="s">
        <v>304</v>
      </c>
      <c r="D11213" s="10" t="s">
        <v>1672</v>
      </c>
      <c r="E11213" s="14">
        <v>0.011</v>
      </c>
      <c r="F11213" s="15">
        <f>ROUND(4.73,3)</f>
        <v>4.73</v>
      </c>
      <c r="G11213" s="12">
        <f t="shared" si="1699"/>
        <v>0.05</v>
      </c>
    </row>
    <row r="11214" ht="24.0" customHeight="1">
      <c r="A11214" s="10" t="s">
        <v>1673</v>
      </c>
      <c r="B11214" s="10" t="s">
        <v>42</v>
      </c>
      <c r="C11214" s="10" t="s">
        <v>304</v>
      </c>
      <c r="D11214" s="10" t="s">
        <v>1674</v>
      </c>
      <c r="E11214" s="14">
        <v>0.015</v>
      </c>
      <c r="F11214" s="15">
        <f>ROUND(0.65,3)</f>
        <v>0.65</v>
      </c>
      <c r="G11214" s="12">
        <f t="shared" si="1699"/>
        <v>0.01</v>
      </c>
    </row>
    <row r="11215" ht="24.0" customHeight="1">
      <c r="A11215" s="10" t="s">
        <v>1675</v>
      </c>
      <c r="B11215" s="10" t="s">
        <v>42</v>
      </c>
      <c r="C11215" s="10" t="s">
        <v>304</v>
      </c>
      <c r="D11215" s="10" t="s">
        <v>1676</v>
      </c>
      <c r="E11215" s="14">
        <v>0.011</v>
      </c>
      <c r="F11215" s="15">
        <f>ROUND(4.06,3)</f>
        <v>4.06</v>
      </c>
      <c r="G11215" s="12">
        <f t="shared" si="1699"/>
        <v>0.04</v>
      </c>
    </row>
    <row r="11216" ht="21.0" customHeight="1">
      <c r="A11216" s="10" t="s">
        <v>22</v>
      </c>
      <c r="B11216" s="10" t="s">
        <v>18</v>
      </c>
      <c r="C11216" s="10" t="s">
        <v>23</v>
      </c>
      <c r="D11216" s="10" t="s">
        <v>24</v>
      </c>
      <c r="E11216" s="14">
        <v>0.22</v>
      </c>
      <c r="F11216" s="15">
        <f>F11220</f>
        <v>43.8</v>
      </c>
      <c r="G11216" s="12">
        <f t="shared" si="1699"/>
        <v>9.64</v>
      </c>
    </row>
    <row r="11217" ht="24.0" customHeight="1">
      <c r="A11217" s="10" t="s">
        <v>25</v>
      </c>
      <c r="B11217" s="10" t="s">
        <v>26</v>
      </c>
      <c r="C11217" s="10" t="s">
        <v>23</v>
      </c>
      <c r="D11217" s="10" t="s">
        <v>27</v>
      </c>
      <c r="E11217" s="14">
        <v>1.0</v>
      </c>
      <c r="F11217" s="15">
        <f>ROUND(21,3)</f>
        <v>21</v>
      </c>
      <c r="G11217" s="12">
        <f t="shared" si="1699"/>
        <v>21</v>
      </c>
    </row>
    <row r="11218" ht="24.0" customHeight="1">
      <c r="A11218" s="10" t="s">
        <v>28</v>
      </c>
      <c r="B11218" s="10" t="s">
        <v>26</v>
      </c>
      <c r="C11218" s="10" t="s">
        <v>23</v>
      </c>
      <c r="D11218" s="10" t="s">
        <v>29</v>
      </c>
      <c r="E11218" s="14">
        <v>1.0</v>
      </c>
      <c r="F11218" s="15">
        <f t="shared" ref="F11218:F11219" si="1700">ROUND(19,3)</f>
        <v>19</v>
      </c>
      <c r="G11218" s="12">
        <f t="shared" si="1699"/>
        <v>19</v>
      </c>
    </row>
    <row r="11219" ht="24.0" customHeight="1">
      <c r="A11219" s="10" t="s">
        <v>30</v>
      </c>
      <c r="B11219" s="10" t="s">
        <v>26</v>
      </c>
      <c r="C11219" s="10" t="s">
        <v>23</v>
      </c>
      <c r="D11219" s="10" t="s">
        <v>31</v>
      </c>
      <c r="E11219" s="14">
        <v>0.2</v>
      </c>
      <c r="F11219" s="15">
        <f t="shared" si="1700"/>
        <v>19</v>
      </c>
      <c r="G11219" s="12">
        <f t="shared" si="1699"/>
        <v>3.8</v>
      </c>
    </row>
    <row r="11220" ht="15.0" customHeight="1">
      <c r="A11220" s="11"/>
      <c r="B11220" s="11"/>
      <c r="C11220" s="11"/>
      <c r="D11220" s="10" t="s">
        <v>22</v>
      </c>
      <c r="E11220" s="14">
        <v>0.22</v>
      </c>
      <c r="F11220" s="15">
        <f>ROUND((G11217+G11218+G11219),3)</f>
        <v>43.8</v>
      </c>
      <c r="G11220" s="12">
        <f t="shared" si="1699"/>
        <v>9.64</v>
      </c>
    </row>
    <row r="11221" ht="15.0" customHeight="1">
      <c r="A11221" s="10" t="s">
        <v>32</v>
      </c>
      <c r="B11221" s="10"/>
      <c r="C11221" s="10" t="s">
        <v>33</v>
      </c>
      <c r="D11221" s="10" t="s">
        <v>34</v>
      </c>
      <c r="E11221" s="14">
        <v>3.0</v>
      </c>
      <c r="F11221" s="15">
        <f>ROUND(9.64,3)</f>
        <v>9.64</v>
      </c>
      <c r="G11221" s="12">
        <f>ROUND((E11221*F11221)/100,2)</f>
        <v>0.29</v>
      </c>
    </row>
    <row r="11222" ht="15.0" customHeight="1">
      <c r="A11222" s="16"/>
      <c r="B11222" s="16"/>
      <c r="C11222" s="16"/>
      <c r="D11222" s="17" t="s">
        <v>1663</v>
      </c>
      <c r="E11222" s="16"/>
      <c r="F11222" s="18">
        <f>ROUND((G11210+G11211+G11212+G11213+G11214+G11215+G11216+G11221)*(1+G2/100),2)</f>
        <v>11.82</v>
      </c>
      <c r="G11222" s="16"/>
    </row>
    <row r="11223" ht="30.0" customHeight="1">
      <c r="A11223" s="19" t="s">
        <v>4962</v>
      </c>
      <c r="B11223" s="20" t="s">
        <v>18</v>
      </c>
      <c r="C11223" s="20" t="s">
        <v>251</v>
      </c>
      <c r="D11223" s="20" t="s">
        <v>4963</v>
      </c>
      <c r="E11223" s="21"/>
      <c r="F11223" s="22">
        <f>F11237</f>
        <v>22.54</v>
      </c>
      <c r="G11223" s="21"/>
    </row>
    <row r="11224" ht="39.75" customHeight="1">
      <c r="A11224" s="11"/>
      <c r="B11224" s="11"/>
      <c r="C11224" s="11"/>
      <c r="D11224" s="10" t="s">
        <v>4964</v>
      </c>
    </row>
    <row r="11225" ht="30.0" customHeight="1">
      <c r="A11225" s="10" t="s">
        <v>1665</v>
      </c>
      <c r="B11225" s="10" t="s">
        <v>42</v>
      </c>
      <c r="C11225" s="10" t="s">
        <v>295</v>
      </c>
      <c r="D11225" s="10" t="s">
        <v>1666</v>
      </c>
      <c r="E11225" s="14">
        <v>0.0214</v>
      </c>
      <c r="F11225" s="15">
        <f>ROUND(41.9,3)</f>
        <v>41.9</v>
      </c>
      <c r="G11225" s="12">
        <f t="shared" ref="G11225:G11235" si="1701">ROUND(E11225*F11225,2)</f>
        <v>0.9</v>
      </c>
    </row>
    <row r="11226" ht="24.0" customHeight="1">
      <c r="A11226" s="10" t="s">
        <v>1667</v>
      </c>
      <c r="B11226" s="10" t="s">
        <v>42</v>
      </c>
      <c r="C11226" s="10" t="s">
        <v>295</v>
      </c>
      <c r="D11226" s="10" t="s">
        <v>1668</v>
      </c>
      <c r="E11226" s="14">
        <v>0.01</v>
      </c>
      <c r="F11226" s="15">
        <f>ROUND(85.93,3)</f>
        <v>85.93</v>
      </c>
      <c r="G11226" s="12">
        <f t="shared" si="1701"/>
        <v>0.86</v>
      </c>
    </row>
    <row r="11227" ht="30.0" customHeight="1">
      <c r="A11227" s="10" t="s">
        <v>1669</v>
      </c>
      <c r="B11227" s="10" t="s">
        <v>42</v>
      </c>
      <c r="C11227" s="10" t="s">
        <v>304</v>
      </c>
      <c r="D11227" s="10" t="s">
        <v>1670</v>
      </c>
      <c r="E11227" s="14">
        <v>0.011</v>
      </c>
      <c r="F11227" s="15">
        <f>ROUND(2.52,3)</f>
        <v>2.52</v>
      </c>
      <c r="G11227" s="12">
        <f t="shared" si="1701"/>
        <v>0.03</v>
      </c>
    </row>
    <row r="11228" ht="24.0" customHeight="1">
      <c r="A11228" s="10" t="s">
        <v>1671</v>
      </c>
      <c r="B11228" s="10" t="s">
        <v>42</v>
      </c>
      <c r="C11228" s="10" t="s">
        <v>304</v>
      </c>
      <c r="D11228" s="10" t="s">
        <v>1672</v>
      </c>
      <c r="E11228" s="14">
        <v>0.011</v>
      </c>
      <c r="F11228" s="15">
        <f>ROUND(4.73,3)</f>
        <v>4.73</v>
      </c>
      <c r="G11228" s="12">
        <f t="shared" si="1701"/>
        <v>0.05</v>
      </c>
    </row>
    <row r="11229" ht="24.0" customHeight="1">
      <c r="A11229" s="10" t="s">
        <v>1673</v>
      </c>
      <c r="B11229" s="10" t="s">
        <v>42</v>
      </c>
      <c r="C11229" s="10" t="s">
        <v>304</v>
      </c>
      <c r="D11229" s="10" t="s">
        <v>1674</v>
      </c>
      <c r="E11229" s="14">
        <v>0.015</v>
      </c>
      <c r="F11229" s="15">
        <f>ROUND(0.65,3)</f>
        <v>0.65</v>
      </c>
      <c r="G11229" s="12">
        <f t="shared" si="1701"/>
        <v>0.01</v>
      </c>
    </row>
    <row r="11230" ht="24.0" customHeight="1">
      <c r="A11230" s="10" t="s">
        <v>1675</v>
      </c>
      <c r="B11230" s="10" t="s">
        <v>42</v>
      </c>
      <c r="C11230" s="10" t="s">
        <v>304</v>
      </c>
      <c r="D11230" s="10" t="s">
        <v>1676</v>
      </c>
      <c r="E11230" s="14">
        <v>0.011</v>
      </c>
      <c r="F11230" s="15">
        <f>ROUND(4.06,3)</f>
        <v>4.06</v>
      </c>
      <c r="G11230" s="12">
        <f t="shared" si="1701"/>
        <v>0.04</v>
      </c>
    </row>
    <row r="11231" ht="24.0" customHeight="1">
      <c r="A11231" s="10" t="s">
        <v>286</v>
      </c>
      <c r="B11231" s="10" t="s">
        <v>18</v>
      </c>
      <c r="C11231" s="10" t="s">
        <v>23</v>
      </c>
      <c r="D11231" s="10" t="s">
        <v>287</v>
      </c>
      <c r="E11231" s="14">
        <v>0.405</v>
      </c>
      <c r="F11231" s="15">
        <f>F11235</f>
        <v>49.5</v>
      </c>
      <c r="G11231" s="12">
        <f t="shared" si="1701"/>
        <v>20.05</v>
      </c>
    </row>
    <row r="11232" ht="24.0" customHeight="1">
      <c r="A11232" s="10" t="s">
        <v>288</v>
      </c>
      <c r="B11232" s="10" t="s">
        <v>26</v>
      </c>
      <c r="C11232" s="10" t="s">
        <v>23</v>
      </c>
      <c r="D11232" s="10" t="s">
        <v>289</v>
      </c>
      <c r="E11232" s="14">
        <v>1.0</v>
      </c>
      <c r="F11232" s="15">
        <f>ROUND(21,3)</f>
        <v>21</v>
      </c>
      <c r="G11232" s="12">
        <f t="shared" si="1701"/>
        <v>21</v>
      </c>
    </row>
    <row r="11233" ht="24.0" customHeight="1">
      <c r="A11233" s="10" t="s">
        <v>290</v>
      </c>
      <c r="B11233" s="10" t="s">
        <v>26</v>
      </c>
      <c r="C11233" s="10" t="s">
        <v>23</v>
      </c>
      <c r="D11233" s="10" t="s">
        <v>291</v>
      </c>
      <c r="E11233" s="14">
        <v>1.0</v>
      </c>
      <c r="F11233" s="15">
        <f t="shared" ref="F11233:F11234" si="1702">ROUND(19,3)</f>
        <v>19</v>
      </c>
      <c r="G11233" s="12">
        <f t="shared" si="1701"/>
        <v>19</v>
      </c>
    </row>
    <row r="11234" ht="24.0" customHeight="1">
      <c r="A11234" s="10" t="s">
        <v>292</v>
      </c>
      <c r="B11234" s="10" t="s">
        <v>26</v>
      </c>
      <c r="C11234" s="10" t="s">
        <v>23</v>
      </c>
      <c r="D11234" s="10" t="s">
        <v>293</v>
      </c>
      <c r="E11234" s="14">
        <v>0.5</v>
      </c>
      <c r="F11234" s="15">
        <f t="shared" si="1702"/>
        <v>19</v>
      </c>
      <c r="G11234" s="12">
        <f t="shared" si="1701"/>
        <v>9.5</v>
      </c>
    </row>
    <row r="11235" ht="15.0" customHeight="1">
      <c r="A11235" s="11"/>
      <c r="B11235" s="11"/>
      <c r="C11235" s="11"/>
      <c r="D11235" s="10" t="s">
        <v>286</v>
      </c>
      <c r="E11235" s="14">
        <v>0.405</v>
      </c>
      <c r="F11235" s="15">
        <f>ROUND((G11232+G11233+G11234),3)</f>
        <v>49.5</v>
      </c>
      <c r="G11235" s="12">
        <f t="shared" si="1701"/>
        <v>20.05</v>
      </c>
    </row>
    <row r="11236" ht="15.0" customHeight="1">
      <c r="A11236" s="10" t="s">
        <v>32</v>
      </c>
      <c r="B11236" s="10"/>
      <c r="C11236" s="10" t="s">
        <v>33</v>
      </c>
      <c r="D11236" s="10" t="s">
        <v>34</v>
      </c>
      <c r="E11236" s="14">
        <v>3.0</v>
      </c>
      <c r="F11236" s="15">
        <f>ROUND(20.05,3)</f>
        <v>20.05</v>
      </c>
      <c r="G11236" s="12">
        <f>ROUND((E11236*F11236)/100,2)</f>
        <v>0.6</v>
      </c>
    </row>
    <row r="11237" ht="15.0" customHeight="1">
      <c r="A11237" s="16"/>
      <c r="B11237" s="16"/>
      <c r="C11237" s="16"/>
      <c r="D11237" s="17" t="s">
        <v>4962</v>
      </c>
      <c r="E11237" s="16"/>
      <c r="F11237" s="18">
        <f>ROUND((G11225+G11226+G11227+G11228+G11229+G11230+G11231+G11236)*(1+G2/100),2)</f>
        <v>22.54</v>
      </c>
      <c r="G11237" s="16"/>
    </row>
    <row r="11238" ht="21.0" customHeight="1">
      <c r="A11238" s="19" t="s">
        <v>4768</v>
      </c>
      <c r="B11238" s="20" t="s">
        <v>18</v>
      </c>
      <c r="C11238" s="20" t="s">
        <v>251</v>
      </c>
      <c r="D11238" s="20" t="s">
        <v>4769</v>
      </c>
      <c r="E11238" s="21"/>
      <c r="F11238" s="22">
        <f>F11252</f>
        <v>9.12</v>
      </c>
      <c r="G11238" s="21"/>
    </row>
    <row r="11239" ht="39.75" customHeight="1">
      <c r="A11239" s="11"/>
      <c r="B11239" s="11"/>
      <c r="C11239" s="11"/>
      <c r="D11239" s="10" t="s">
        <v>4965</v>
      </c>
    </row>
    <row r="11240" ht="24.0" customHeight="1">
      <c r="A11240" s="10" t="s">
        <v>4770</v>
      </c>
      <c r="B11240" s="10" t="s">
        <v>42</v>
      </c>
      <c r="C11240" s="10" t="s">
        <v>295</v>
      </c>
      <c r="D11240" s="10" t="s">
        <v>4771</v>
      </c>
      <c r="E11240" s="14">
        <v>0.0214</v>
      </c>
      <c r="F11240" s="15">
        <f>ROUND(42.7,3)</f>
        <v>42.7</v>
      </c>
      <c r="G11240" s="12">
        <f t="shared" ref="G11240:G11250" si="1703">ROUND(E11240*F11240,2)</f>
        <v>0.91</v>
      </c>
    </row>
    <row r="11241" ht="24.0" customHeight="1">
      <c r="A11241" s="10" t="s">
        <v>1667</v>
      </c>
      <c r="B11241" s="10" t="s">
        <v>42</v>
      </c>
      <c r="C11241" s="10" t="s">
        <v>295</v>
      </c>
      <c r="D11241" s="10" t="s">
        <v>1668</v>
      </c>
      <c r="E11241" s="14">
        <v>0.01</v>
      </c>
      <c r="F11241" s="15">
        <f>ROUND(85.93,3)</f>
        <v>85.93</v>
      </c>
      <c r="G11241" s="12">
        <f t="shared" si="1703"/>
        <v>0.86</v>
      </c>
    </row>
    <row r="11242" ht="30.0" customHeight="1">
      <c r="A11242" s="10" t="s">
        <v>1669</v>
      </c>
      <c r="B11242" s="10" t="s">
        <v>42</v>
      </c>
      <c r="C11242" s="10" t="s">
        <v>304</v>
      </c>
      <c r="D11242" s="10" t="s">
        <v>1670</v>
      </c>
      <c r="E11242" s="14">
        <v>0.011</v>
      </c>
      <c r="F11242" s="15">
        <f>ROUND(2.52,3)</f>
        <v>2.52</v>
      </c>
      <c r="G11242" s="12">
        <f t="shared" si="1703"/>
        <v>0.03</v>
      </c>
    </row>
    <row r="11243" ht="24.0" customHeight="1">
      <c r="A11243" s="10" t="s">
        <v>1671</v>
      </c>
      <c r="B11243" s="10" t="s">
        <v>42</v>
      </c>
      <c r="C11243" s="10" t="s">
        <v>304</v>
      </c>
      <c r="D11243" s="10" t="s">
        <v>1672</v>
      </c>
      <c r="E11243" s="14">
        <v>0.011</v>
      </c>
      <c r="F11243" s="15">
        <f>ROUND(4.73,3)</f>
        <v>4.73</v>
      </c>
      <c r="G11243" s="12">
        <f t="shared" si="1703"/>
        <v>0.05</v>
      </c>
    </row>
    <row r="11244" ht="24.0" customHeight="1">
      <c r="A11244" s="10" t="s">
        <v>1673</v>
      </c>
      <c r="B11244" s="10" t="s">
        <v>42</v>
      </c>
      <c r="C11244" s="10" t="s">
        <v>304</v>
      </c>
      <c r="D11244" s="10" t="s">
        <v>1674</v>
      </c>
      <c r="E11244" s="14">
        <v>0.015</v>
      </c>
      <c r="F11244" s="15">
        <f>ROUND(0.65,3)</f>
        <v>0.65</v>
      </c>
      <c r="G11244" s="12">
        <f t="shared" si="1703"/>
        <v>0.01</v>
      </c>
    </row>
    <row r="11245" ht="24.0" customHeight="1">
      <c r="A11245" s="10" t="s">
        <v>1675</v>
      </c>
      <c r="B11245" s="10" t="s">
        <v>42</v>
      </c>
      <c r="C11245" s="10" t="s">
        <v>304</v>
      </c>
      <c r="D11245" s="10" t="s">
        <v>1676</v>
      </c>
      <c r="E11245" s="14">
        <v>0.011</v>
      </c>
      <c r="F11245" s="15">
        <f>ROUND(4.06,3)</f>
        <v>4.06</v>
      </c>
      <c r="G11245" s="12">
        <f t="shared" si="1703"/>
        <v>0.04</v>
      </c>
    </row>
    <row r="11246" ht="21.0" customHeight="1">
      <c r="A11246" s="10" t="s">
        <v>22</v>
      </c>
      <c r="B11246" s="10" t="s">
        <v>18</v>
      </c>
      <c r="C11246" s="10" t="s">
        <v>23</v>
      </c>
      <c r="D11246" s="10" t="s">
        <v>24</v>
      </c>
      <c r="E11246" s="14">
        <v>0.16</v>
      </c>
      <c r="F11246" s="15">
        <f>F11250</f>
        <v>43.8</v>
      </c>
      <c r="G11246" s="12">
        <f t="shared" si="1703"/>
        <v>7.01</v>
      </c>
    </row>
    <row r="11247" ht="24.0" customHeight="1">
      <c r="A11247" s="10" t="s">
        <v>25</v>
      </c>
      <c r="B11247" s="10" t="s">
        <v>26</v>
      </c>
      <c r="C11247" s="10" t="s">
        <v>23</v>
      </c>
      <c r="D11247" s="10" t="s">
        <v>27</v>
      </c>
      <c r="E11247" s="14">
        <v>1.0</v>
      </c>
      <c r="F11247" s="15">
        <f>ROUND(21,3)</f>
        <v>21</v>
      </c>
      <c r="G11247" s="12">
        <f t="shared" si="1703"/>
        <v>21</v>
      </c>
    </row>
    <row r="11248" ht="24.0" customHeight="1">
      <c r="A11248" s="10" t="s">
        <v>28</v>
      </c>
      <c r="B11248" s="10" t="s">
        <v>26</v>
      </c>
      <c r="C11248" s="10" t="s">
        <v>23</v>
      </c>
      <c r="D11248" s="10" t="s">
        <v>29</v>
      </c>
      <c r="E11248" s="14">
        <v>1.0</v>
      </c>
      <c r="F11248" s="15">
        <f t="shared" ref="F11248:F11249" si="1704">ROUND(19,3)</f>
        <v>19</v>
      </c>
      <c r="G11248" s="12">
        <f t="shared" si="1703"/>
        <v>19</v>
      </c>
    </row>
    <row r="11249" ht="24.0" customHeight="1">
      <c r="A11249" s="10" t="s">
        <v>30</v>
      </c>
      <c r="B11249" s="10" t="s">
        <v>26</v>
      </c>
      <c r="C11249" s="10" t="s">
        <v>23</v>
      </c>
      <c r="D11249" s="10" t="s">
        <v>31</v>
      </c>
      <c r="E11249" s="14">
        <v>0.2</v>
      </c>
      <c r="F11249" s="15">
        <f t="shared" si="1704"/>
        <v>19</v>
      </c>
      <c r="G11249" s="12">
        <f t="shared" si="1703"/>
        <v>3.8</v>
      </c>
    </row>
    <row r="11250" ht="15.0" customHeight="1">
      <c r="A11250" s="11"/>
      <c r="B11250" s="11"/>
      <c r="C11250" s="11"/>
      <c r="D11250" s="10" t="s">
        <v>22</v>
      </c>
      <c r="E11250" s="14">
        <v>0.16</v>
      </c>
      <c r="F11250" s="15">
        <f>ROUND((G11247+G11248+G11249),3)</f>
        <v>43.8</v>
      </c>
      <c r="G11250" s="12">
        <f t="shared" si="1703"/>
        <v>7.01</v>
      </c>
    </row>
    <row r="11251" ht="15.0" customHeight="1">
      <c r="A11251" s="10" t="s">
        <v>32</v>
      </c>
      <c r="B11251" s="10"/>
      <c r="C11251" s="10" t="s">
        <v>33</v>
      </c>
      <c r="D11251" s="10" t="s">
        <v>34</v>
      </c>
      <c r="E11251" s="14">
        <v>3.0</v>
      </c>
      <c r="F11251" s="15">
        <f>ROUND(7.01,3)</f>
        <v>7.01</v>
      </c>
      <c r="G11251" s="12">
        <f>ROUND((E11251*F11251)/100,2)</f>
        <v>0.21</v>
      </c>
    </row>
    <row r="11252" ht="15.0" customHeight="1">
      <c r="A11252" s="16"/>
      <c r="B11252" s="16"/>
      <c r="C11252" s="16"/>
      <c r="D11252" s="17" t="s">
        <v>4768</v>
      </c>
      <c r="E11252" s="16"/>
      <c r="F11252" s="18">
        <f>ROUND((G11240+G11241+G11242+G11243+G11244+G11245+G11246+G11251)*(1+G2/100),2)</f>
        <v>9.12</v>
      </c>
      <c r="G11252" s="16"/>
    </row>
    <row r="11253" ht="30.0" customHeight="1">
      <c r="A11253" s="19" t="s">
        <v>4966</v>
      </c>
      <c r="B11253" s="20" t="s">
        <v>18</v>
      </c>
      <c r="C11253" s="20" t="s">
        <v>251</v>
      </c>
      <c r="D11253" s="20" t="s">
        <v>4967</v>
      </c>
      <c r="E11253" s="21"/>
      <c r="F11253" s="22">
        <f>F11267</f>
        <v>16.7</v>
      </c>
      <c r="G11253" s="21"/>
    </row>
    <row r="11254" ht="48.75" customHeight="1">
      <c r="A11254" s="11"/>
      <c r="B11254" s="11"/>
      <c r="C11254" s="11"/>
      <c r="D11254" s="10" t="s">
        <v>4968</v>
      </c>
    </row>
    <row r="11255" ht="39.75" customHeight="1">
      <c r="A11255" s="10" t="s">
        <v>4969</v>
      </c>
      <c r="B11255" s="10" t="s">
        <v>42</v>
      </c>
      <c r="C11255" s="10" t="s">
        <v>276</v>
      </c>
      <c r="D11255" s="10" t="s">
        <v>4970</v>
      </c>
      <c r="E11255" s="14">
        <v>0.005</v>
      </c>
      <c r="F11255" s="15">
        <f>ROUND(117.57,3)</f>
        <v>117.57</v>
      </c>
      <c r="G11255" s="12">
        <f t="shared" ref="G11255:G11265" si="1705">ROUND(E11255*F11255,2)</f>
        <v>0.59</v>
      </c>
    </row>
    <row r="11256" ht="57.75" customHeight="1">
      <c r="A11256" s="10" t="s">
        <v>4971</v>
      </c>
      <c r="B11256" s="10" t="s">
        <v>42</v>
      </c>
      <c r="C11256" s="10" t="s">
        <v>276</v>
      </c>
      <c r="D11256" s="10" t="s">
        <v>4972</v>
      </c>
      <c r="E11256" s="14">
        <v>0.022</v>
      </c>
      <c r="F11256" s="15">
        <f>ROUND(172.5,3)</f>
        <v>172.5</v>
      </c>
      <c r="G11256" s="12">
        <f t="shared" si="1705"/>
        <v>3.8</v>
      </c>
    </row>
    <row r="11257" ht="30.0" customHeight="1">
      <c r="A11257" s="10" t="s">
        <v>1669</v>
      </c>
      <c r="B11257" s="10" t="s">
        <v>42</v>
      </c>
      <c r="C11257" s="10" t="s">
        <v>304</v>
      </c>
      <c r="D11257" s="10" t="s">
        <v>1670</v>
      </c>
      <c r="E11257" s="14">
        <v>0.011</v>
      </c>
      <c r="F11257" s="15">
        <f>ROUND(2.52,3)</f>
        <v>2.52</v>
      </c>
      <c r="G11257" s="12">
        <f t="shared" si="1705"/>
        <v>0.03</v>
      </c>
    </row>
    <row r="11258" ht="24.0" customHeight="1">
      <c r="A11258" s="10" t="s">
        <v>1671</v>
      </c>
      <c r="B11258" s="10" t="s">
        <v>42</v>
      </c>
      <c r="C11258" s="10" t="s">
        <v>304</v>
      </c>
      <c r="D11258" s="10" t="s">
        <v>1672</v>
      </c>
      <c r="E11258" s="14">
        <v>0.011</v>
      </c>
      <c r="F11258" s="15">
        <f>ROUND(4.73,3)</f>
        <v>4.73</v>
      </c>
      <c r="G11258" s="12">
        <f t="shared" si="1705"/>
        <v>0.05</v>
      </c>
    </row>
    <row r="11259" ht="24.0" customHeight="1">
      <c r="A11259" s="10" t="s">
        <v>1673</v>
      </c>
      <c r="B11259" s="10" t="s">
        <v>42</v>
      </c>
      <c r="C11259" s="10" t="s">
        <v>304</v>
      </c>
      <c r="D11259" s="10" t="s">
        <v>1674</v>
      </c>
      <c r="E11259" s="14">
        <v>0.015</v>
      </c>
      <c r="F11259" s="15">
        <f>ROUND(0.65,3)</f>
        <v>0.65</v>
      </c>
      <c r="G11259" s="12">
        <f t="shared" si="1705"/>
        <v>0.01</v>
      </c>
    </row>
    <row r="11260" ht="24.0" customHeight="1">
      <c r="A11260" s="10" t="s">
        <v>1675</v>
      </c>
      <c r="B11260" s="10" t="s">
        <v>42</v>
      </c>
      <c r="C11260" s="10" t="s">
        <v>304</v>
      </c>
      <c r="D11260" s="10" t="s">
        <v>1676</v>
      </c>
      <c r="E11260" s="14">
        <v>0.011</v>
      </c>
      <c r="F11260" s="15">
        <f>ROUND(4.06,3)</f>
        <v>4.06</v>
      </c>
      <c r="G11260" s="12">
        <f t="shared" si="1705"/>
        <v>0.04</v>
      </c>
    </row>
    <row r="11261" ht="21.0" customHeight="1">
      <c r="A11261" s="10" t="s">
        <v>22</v>
      </c>
      <c r="B11261" s="10" t="s">
        <v>18</v>
      </c>
      <c r="C11261" s="10" t="s">
        <v>23</v>
      </c>
      <c r="D11261" s="10" t="s">
        <v>24</v>
      </c>
      <c r="E11261" s="14">
        <v>0.27</v>
      </c>
      <c r="F11261" s="15">
        <f>F11265</f>
        <v>43.8</v>
      </c>
      <c r="G11261" s="12">
        <f t="shared" si="1705"/>
        <v>11.83</v>
      </c>
    </row>
    <row r="11262" ht="24.0" customHeight="1">
      <c r="A11262" s="10" t="s">
        <v>25</v>
      </c>
      <c r="B11262" s="10" t="s">
        <v>26</v>
      </c>
      <c r="C11262" s="10" t="s">
        <v>23</v>
      </c>
      <c r="D11262" s="10" t="s">
        <v>27</v>
      </c>
      <c r="E11262" s="14">
        <v>1.0</v>
      </c>
      <c r="F11262" s="15">
        <f>ROUND(21,3)</f>
        <v>21</v>
      </c>
      <c r="G11262" s="12">
        <f t="shared" si="1705"/>
        <v>21</v>
      </c>
    </row>
    <row r="11263" ht="24.0" customHeight="1">
      <c r="A11263" s="10" t="s">
        <v>28</v>
      </c>
      <c r="B11263" s="10" t="s">
        <v>26</v>
      </c>
      <c r="C11263" s="10" t="s">
        <v>23</v>
      </c>
      <c r="D11263" s="10" t="s">
        <v>29</v>
      </c>
      <c r="E11263" s="14">
        <v>1.0</v>
      </c>
      <c r="F11263" s="15">
        <f t="shared" ref="F11263:F11264" si="1706">ROUND(19,3)</f>
        <v>19</v>
      </c>
      <c r="G11263" s="12">
        <f t="shared" si="1705"/>
        <v>19</v>
      </c>
    </row>
    <row r="11264" ht="24.0" customHeight="1">
      <c r="A11264" s="10" t="s">
        <v>30</v>
      </c>
      <c r="B11264" s="10" t="s">
        <v>26</v>
      </c>
      <c r="C11264" s="10" t="s">
        <v>23</v>
      </c>
      <c r="D11264" s="10" t="s">
        <v>31</v>
      </c>
      <c r="E11264" s="14">
        <v>0.2</v>
      </c>
      <c r="F11264" s="15">
        <f t="shared" si="1706"/>
        <v>19</v>
      </c>
      <c r="G11264" s="12">
        <f t="shared" si="1705"/>
        <v>3.8</v>
      </c>
    </row>
    <row r="11265" ht="15.0" customHeight="1">
      <c r="A11265" s="11"/>
      <c r="B11265" s="11"/>
      <c r="C11265" s="11"/>
      <c r="D11265" s="10" t="s">
        <v>22</v>
      </c>
      <c r="E11265" s="14">
        <v>0.27</v>
      </c>
      <c r="F11265" s="15">
        <f>ROUND((G11262+G11263+G11264),3)</f>
        <v>43.8</v>
      </c>
      <c r="G11265" s="12">
        <f t="shared" si="1705"/>
        <v>11.83</v>
      </c>
    </row>
    <row r="11266" ht="15.0" customHeight="1">
      <c r="A11266" s="10" t="s">
        <v>32</v>
      </c>
      <c r="B11266" s="10"/>
      <c r="C11266" s="10" t="s">
        <v>33</v>
      </c>
      <c r="D11266" s="10" t="s">
        <v>34</v>
      </c>
      <c r="E11266" s="14">
        <v>3.0</v>
      </c>
      <c r="F11266" s="15">
        <f>ROUND(11.83,3)</f>
        <v>11.83</v>
      </c>
      <c r="G11266" s="12">
        <f>ROUND((E11266*F11266)/100,2)</f>
        <v>0.35</v>
      </c>
    </row>
    <row r="11267" ht="15.0" customHeight="1">
      <c r="A11267" s="16"/>
      <c r="B11267" s="16"/>
      <c r="C11267" s="16"/>
      <c r="D11267" s="17" t="s">
        <v>4966</v>
      </c>
      <c r="E11267" s="16"/>
      <c r="F11267" s="18">
        <f>ROUND((G11255+G11256+G11257+G11258+G11259+G11260+G11261+G11266)*(1+G2/100),2)</f>
        <v>16.7</v>
      </c>
      <c r="G11267" s="16"/>
    </row>
    <row r="11268" ht="39.75" customHeight="1">
      <c r="A11268" s="19" t="s">
        <v>4973</v>
      </c>
      <c r="B11268" s="20" t="s">
        <v>18</v>
      </c>
      <c r="C11268" s="20" t="s">
        <v>251</v>
      </c>
      <c r="D11268" s="20" t="s">
        <v>4974</v>
      </c>
      <c r="E11268" s="21"/>
      <c r="F11268" s="22">
        <f>F11282</f>
        <v>25.1</v>
      </c>
      <c r="G11268" s="21"/>
    </row>
    <row r="11269" ht="48.75" customHeight="1">
      <c r="A11269" s="11"/>
      <c r="B11269" s="11"/>
      <c r="C11269" s="11"/>
      <c r="D11269" s="10" t="s">
        <v>4975</v>
      </c>
    </row>
    <row r="11270" ht="39.75" customHeight="1">
      <c r="A11270" s="10" t="s">
        <v>4969</v>
      </c>
      <c r="B11270" s="10" t="s">
        <v>42</v>
      </c>
      <c r="C11270" s="10" t="s">
        <v>276</v>
      </c>
      <c r="D11270" s="10" t="s">
        <v>4970</v>
      </c>
      <c r="E11270" s="14">
        <v>0.00444</v>
      </c>
      <c r="F11270" s="15">
        <f>ROUND(117.57,3)</f>
        <v>117.57</v>
      </c>
      <c r="G11270" s="12">
        <f t="shared" ref="G11270:G11280" si="1707">ROUND(E11270*F11270,2)</f>
        <v>0.52</v>
      </c>
    </row>
    <row r="11271" ht="57.75" customHeight="1">
      <c r="A11271" s="10" t="s">
        <v>4971</v>
      </c>
      <c r="B11271" s="10" t="s">
        <v>42</v>
      </c>
      <c r="C11271" s="10" t="s">
        <v>276</v>
      </c>
      <c r="D11271" s="10" t="s">
        <v>4972</v>
      </c>
      <c r="E11271" s="14">
        <v>0.022</v>
      </c>
      <c r="F11271" s="15">
        <f>ROUND(172.5,3)</f>
        <v>172.5</v>
      </c>
      <c r="G11271" s="12">
        <f t="shared" si="1707"/>
        <v>3.8</v>
      </c>
    </row>
    <row r="11272" ht="30.0" customHeight="1">
      <c r="A11272" s="10" t="s">
        <v>1669</v>
      </c>
      <c r="B11272" s="10" t="s">
        <v>42</v>
      </c>
      <c r="C11272" s="10" t="s">
        <v>304</v>
      </c>
      <c r="D11272" s="10" t="s">
        <v>1670</v>
      </c>
      <c r="E11272" s="14">
        <v>0.011</v>
      </c>
      <c r="F11272" s="15">
        <f>ROUND(2.52,3)</f>
        <v>2.52</v>
      </c>
      <c r="G11272" s="12">
        <f t="shared" si="1707"/>
        <v>0.03</v>
      </c>
    </row>
    <row r="11273" ht="24.0" customHeight="1">
      <c r="A11273" s="10" t="s">
        <v>1671</v>
      </c>
      <c r="B11273" s="10" t="s">
        <v>42</v>
      </c>
      <c r="C11273" s="10" t="s">
        <v>304</v>
      </c>
      <c r="D11273" s="10" t="s">
        <v>1672</v>
      </c>
      <c r="E11273" s="14">
        <v>0.011</v>
      </c>
      <c r="F11273" s="15">
        <f>ROUND(4.73,3)</f>
        <v>4.73</v>
      </c>
      <c r="G11273" s="12">
        <f t="shared" si="1707"/>
        <v>0.05</v>
      </c>
    </row>
    <row r="11274" ht="24.0" customHeight="1">
      <c r="A11274" s="10" t="s">
        <v>1673</v>
      </c>
      <c r="B11274" s="10" t="s">
        <v>42</v>
      </c>
      <c r="C11274" s="10" t="s">
        <v>304</v>
      </c>
      <c r="D11274" s="10" t="s">
        <v>1674</v>
      </c>
      <c r="E11274" s="14">
        <v>0.015</v>
      </c>
      <c r="F11274" s="15">
        <f>ROUND(0.65,3)</f>
        <v>0.65</v>
      </c>
      <c r="G11274" s="12">
        <f t="shared" si="1707"/>
        <v>0.01</v>
      </c>
    </row>
    <row r="11275" ht="24.0" customHeight="1">
      <c r="A11275" s="10" t="s">
        <v>1675</v>
      </c>
      <c r="B11275" s="10" t="s">
        <v>42</v>
      </c>
      <c r="C11275" s="10" t="s">
        <v>304</v>
      </c>
      <c r="D11275" s="10" t="s">
        <v>1676</v>
      </c>
      <c r="E11275" s="14">
        <v>0.011</v>
      </c>
      <c r="F11275" s="15">
        <f>ROUND(4.06,3)</f>
        <v>4.06</v>
      </c>
      <c r="G11275" s="12">
        <f t="shared" si="1707"/>
        <v>0.04</v>
      </c>
    </row>
    <row r="11276" ht="24.0" customHeight="1">
      <c r="A11276" s="10" t="s">
        <v>286</v>
      </c>
      <c r="B11276" s="10" t="s">
        <v>18</v>
      </c>
      <c r="C11276" s="10" t="s">
        <v>23</v>
      </c>
      <c r="D11276" s="10" t="s">
        <v>287</v>
      </c>
      <c r="E11276" s="14">
        <v>0.405</v>
      </c>
      <c r="F11276" s="15">
        <f>F11280</f>
        <v>49.5</v>
      </c>
      <c r="G11276" s="12">
        <f t="shared" si="1707"/>
        <v>20.05</v>
      </c>
    </row>
    <row r="11277" ht="24.0" customHeight="1">
      <c r="A11277" s="10" t="s">
        <v>288</v>
      </c>
      <c r="B11277" s="10" t="s">
        <v>26</v>
      </c>
      <c r="C11277" s="10" t="s">
        <v>23</v>
      </c>
      <c r="D11277" s="10" t="s">
        <v>289</v>
      </c>
      <c r="E11277" s="14">
        <v>1.0</v>
      </c>
      <c r="F11277" s="15">
        <f>ROUND(21,3)</f>
        <v>21</v>
      </c>
      <c r="G11277" s="12">
        <f t="shared" si="1707"/>
        <v>21</v>
      </c>
    </row>
    <row r="11278" ht="24.0" customHeight="1">
      <c r="A11278" s="10" t="s">
        <v>290</v>
      </c>
      <c r="B11278" s="10" t="s">
        <v>26</v>
      </c>
      <c r="C11278" s="10" t="s">
        <v>23</v>
      </c>
      <c r="D11278" s="10" t="s">
        <v>291</v>
      </c>
      <c r="E11278" s="14">
        <v>1.0</v>
      </c>
      <c r="F11278" s="15">
        <f t="shared" ref="F11278:F11279" si="1708">ROUND(19,3)</f>
        <v>19</v>
      </c>
      <c r="G11278" s="12">
        <f t="shared" si="1707"/>
        <v>19</v>
      </c>
    </row>
    <row r="11279" ht="24.0" customHeight="1">
      <c r="A11279" s="10" t="s">
        <v>292</v>
      </c>
      <c r="B11279" s="10" t="s">
        <v>26</v>
      </c>
      <c r="C11279" s="10" t="s">
        <v>23</v>
      </c>
      <c r="D11279" s="10" t="s">
        <v>293</v>
      </c>
      <c r="E11279" s="14">
        <v>0.5</v>
      </c>
      <c r="F11279" s="15">
        <f t="shared" si="1708"/>
        <v>19</v>
      </c>
      <c r="G11279" s="12">
        <f t="shared" si="1707"/>
        <v>9.5</v>
      </c>
    </row>
    <row r="11280" ht="15.0" customHeight="1">
      <c r="A11280" s="11"/>
      <c r="B11280" s="11"/>
      <c r="C11280" s="11"/>
      <c r="D11280" s="10" t="s">
        <v>286</v>
      </c>
      <c r="E11280" s="14">
        <v>0.405</v>
      </c>
      <c r="F11280" s="15">
        <f>ROUND((G11277+G11278+G11279),3)</f>
        <v>49.5</v>
      </c>
      <c r="G11280" s="12">
        <f t="shared" si="1707"/>
        <v>20.05</v>
      </c>
    </row>
    <row r="11281" ht="15.0" customHeight="1">
      <c r="A11281" s="10" t="s">
        <v>32</v>
      </c>
      <c r="B11281" s="10"/>
      <c r="C11281" s="10" t="s">
        <v>33</v>
      </c>
      <c r="D11281" s="10" t="s">
        <v>34</v>
      </c>
      <c r="E11281" s="14">
        <v>3.0</v>
      </c>
      <c r="F11281" s="15">
        <f>ROUND(20.05,3)</f>
        <v>20.05</v>
      </c>
      <c r="G11281" s="12">
        <f>ROUND((E11281*F11281)/100,2)</f>
        <v>0.6</v>
      </c>
    </row>
    <row r="11282" ht="15.0" customHeight="1">
      <c r="A11282" s="16"/>
      <c r="B11282" s="16"/>
      <c r="C11282" s="16"/>
      <c r="D11282" s="17" t="s">
        <v>4973</v>
      </c>
      <c r="E11282" s="16"/>
      <c r="F11282" s="18">
        <f>ROUND((G11270+G11271+G11272+G11273+G11274+G11275+G11276+G11281)*(1+G2/100),2)</f>
        <v>25.1</v>
      </c>
      <c r="G11282" s="16"/>
    </row>
    <row r="11283" ht="30.0" customHeight="1">
      <c r="A11283" s="19" t="s">
        <v>4976</v>
      </c>
      <c r="B11283" s="20" t="s">
        <v>18</v>
      </c>
      <c r="C11283" s="20" t="s">
        <v>251</v>
      </c>
      <c r="D11283" s="20" t="s">
        <v>4977</v>
      </c>
      <c r="E11283" s="21"/>
      <c r="F11283" s="22">
        <f>F11297</f>
        <v>19.2</v>
      </c>
      <c r="G11283" s="21"/>
    </row>
    <row r="11284" ht="48.75" customHeight="1">
      <c r="A11284" s="11"/>
      <c r="B11284" s="11"/>
      <c r="C11284" s="11"/>
      <c r="D11284" s="10" t="s">
        <v>4978</v>
      </c>
    </row>
    <row r="11285" ht="39.75" customHeight="1">
      <c r="A11285" s="10" t="s">
        <v>4979</v>
      </c>
      <c r="B11285" s="10" t="s">
        <v>42</v>
      </c>
      <c r="C11285" s="10" t="s">
        <v>276</v>
      </c>
      <c r="D11285" s="10" t="s">
        <v>4980</v>
      </c>
      <c r="E11285" s="14">
        <v>0.008</v>
      </c>
      <c r="F11285" s="15">
        <f>ROUND(284.34,3)</f>
        <v>284.34</v>
      </c>
      <c r="G11285" s="12">
        <f t="shared" ref="G11285:G11295" si="1709">ROUND(E11285*F11285,2)</f>
        <v>2.27</v>
      </c>
    </row>
    <row r="11286" ht="30.0" customHeight="1">
      <c r="A11286" s="10" t="s">
        <v>4981</v>
      </c>
      <c r="B11286" s="10" t="s">
        <v>42</v>
      </c>
      <c r="C11286" s="10" t="s">
        <v>276</v>
      </c>
      <c r="D11286" s="10" t="s">
        <v>4982</v>
      </c>
      <c r="E11286" s="14">
        <v>0.0133</v>
      </c>
      <c r="F11286" s="15">
        <f>ROUND(347.03,3)</f>
        <v>347.03</v>
      </c>
      <c r="G11286" s="12">
        <f t="shared" si="1709"/>
        <v>4.62</v>
      </c>
    </row>
    <row r="11287" ht="30.0" customHeight="1">
      <c r="A11287" s="10" t="s">
        <v>1669</v>
      </c>
      <c r="B11287" s="10" t="s">
        <v>42</v>
      </c>
      <c r="C11287" s="10" t="s">
        <v>304</v>
      </c>
      <c r="D11287" s="10" t="s">
        <v>1670</v>
      </c>
      <c r="E11287" s="14">
        <v>0.011</v>
      </c>
      <c r="F11287" s="15">
        <f>ROUND(2.52,3)</f>
        <v>2.52</v>
      </c>
      <c r="G11287" s="12">
        <f t="shared" si="1709"/>
        <v>0.03</v>
      </c>
    </row>
    <row r="11288" ht="24.0" customHeight="1">
      <c r="A11288" s="10" t="s">
        <v>1671</v>
      </c>
      <c r="B11288" s="10" t="s">
        <v>42</v>
      </c>
      <c r="C11288" s="10" t="s">
        <v>304</v>
      </c>
      <c r="D11288" s="10" t="s">
        <v>1672</v>
      </c>
      <c r="E11288" s="14">
        <v>0.011</v>
      </c>
      <c r="F11288" s="15">
        <f>ROUND(4.73,3)</f>
        <v>4.73</v>
      </c>
      <c r="G11288" s="12">
        <f t="shared" si="1709"/>
        <v>0.05</v>
      </c>
    </row>
    <row r="11289" ht="24.0" customHeight="1">
      <c r="A11289" s="10" t="s">
        <v>1673</v>
      </c>
      <c r="B11289" s="10" t="s">
        <v>42</v>
      </c>
      <c r="C11289" s="10" t="s">
        <v>304</v>
      </c>
      <c r="D11289" s="10" t="s">
        <v>1674</v>
      </c>
      <c r="E11289" s="14">
        <v>0.015</v>
      </c>
      <c r="F11289" s="15">
        <f>ROUND(0.65,3)</f>
        <v>0.65</v>
      </c>
      <c r="G11289" s="12">
        <f t="shared" si="1709"/>
        <v>0.01</v>
      </c>
    </row>
    <row r="11290" ht="24.0" customHeight="1">
      <c r="A11290" s="10" t="s">
        <v>1675</v>
      </c>
      <c r="B11290" s="10" t="s">
        <v>42</v>
      </c>
      <c r="C11290" s="10" t="s">
        <v>304</v>
      </c>
      <c r="D11290" s="10" t="s">
        <v>1676</v>
      </c>
      <c r="E11290" s="14">
        <v>0.011</v>
      </c>
      <c r="F11290" s="15">
        <f>ROUND(4.06,3)</f>
        <v>4.06</v>
      </c>
      <c r="G11290" s="12">
        <f t="shared" si="1709"/>
        <v>0.04</v>
      </c>
    </row>
    <row r="11291" ht="21.0" customHeight="1">
      <c r="A11291" s="10" t="s">
        <v>22</v>
      </c>
      <c r="B11291" s="10" t="s">
        <v>18</v>
      </c>
      <c r="C11291" s="10" t="s">
        <v>23</v>
      </c>
      <c r="D11291" s="10" t="s">
        <v>24</v>
      </c>
      <c r="E11291" s="14">
        <v>0.27</v>
      </c>
      <c r="F11291" s="15">
        <f>F11295</f>
        <v>43.8</v>
      </c>
      <c r="G11291" s="12">
        <f t="shared" si="1709"/>
        <v>11.83</v>
      </c>
    </row>
    <row r="11292" ht="24.0" customHeight="1">
      <c r="A11292" s="10" t="s">
        <v>25</v>
      </c>
      <c r="B11292" s="10" t="s">
        <v>26</v>
      </c>
      <c r="C11292" s="10" t="s">
        <v>23</v>
      </c>
      <c r="D11292" s="10" t="s">
        <v>27</v>
      </c>
      <c r="E11292" s="14">
        <v>1.0</v>
      </c>
      <c r="F11292" s="15">
        <f>ROUND(21,3)</f>
        <v>21</v>
      </c>
      <c r="G11292" s="12">
        <f t="shared" si="1709"/>
        <v>21</v>
      </c>
    </row>
    <row r="11293" ht="24.0" customHeight="1">
      <c r="A11293" s="10" t="s">
        <v>28</v>
      </c>
      <c r="B11293" s="10" t="s">
        <v>26</v>
      </c>
      <c r="C11293" s="10" t="s">
        <v>23</v>
      </c>
      <c r="D11293" s="10" t="s">
        <v>29</v>
      </c>
      <c r="E11293" s="14">
        <v>1.0</v>
      </c>
      <c r="F11293" s="15">
        <f t="shared" ref="F11293:F11294" si="1710">ROUND(19,3)</f>
        <v>19</v>
      </c>
      <c r="G11293" s="12">
        <f t="shared" si="1709"/>
        <v>19</v>
      </c>
    </row>
    <row r="11294" ht="24.0" customHeight="1">
      <c r="A11294" s="10" t="s">
        <v>30</v>
      </c>
      <c r="B11294" s="10" t="s">
        <v>26</v>
      </c>
      <c r="C11294" s="10" t="s">
        <v>23</v>
      </c>
      <c r="D11294" s="10" t="s">
        <v>31</v>
      </c>
      <c r="E11294" s="14">
        <v>0.2</v>
      </c>
      <c r="F11294" s="15">
        <f t="shared" si="1710"/>
        <v>19</v>
      </c>
      <c r="G11294" s="12">
        <f t="shared" si="1709"/>
        <v>3.8</v>
      </c>
    </row>
    <row r="11295" ht="15.0" customHeight="1">
      <c r="A11295" s="11"/>
      <c r="B11295" s="11"/>
      <c r="C11295" s="11"/>
      <c r="D11295" s="10" t="s">
        <v>22</v>
      </c>
      <c r="E11295" s="14">
        <v>0.27</v>
      </c>
      <c r="F11295" s="15">
        <f>ROUND((G11292+G11293+G11294),3)</f>
        <v>43.8</v>
      </c>
      <c r="G11295" s="12">
        <f t="shared" si="1709"/>
        <v>11.83</v>
      </c>
    </row>
    <row r="11296" ht="15.0" customHeight="1">
      <c r="A11296" s="10" t="s">
        <v>32</v>
      </c>
      <c r="B11296" s="10"/>
      <c r="C11296" s="10" t="s">
        <v>33</v>
      </c>
      <c r="D11296" s="10" t="s">
        <v>34</v>
      </c>
      <c r="E11296" s="14">
        <v>3.0</v>
      </c>
      <c r="F11296" s="15">
        <f>ROUND(11.83,3)</f>
        <v>11.83</v>
      </c>
      <c r="G11296" s="12">
        <f>ROUND((E11296*F11296)/100,2)</f>
        <v>0.35</v>
      </c>
    </row>
    <row r="11297" ht="15.0" customHeight="1">
      <c r="A11297" s="16"/>
      <c r="B11297" s="16"/>
      <c r="C11297" s="16"/>
      <c r="D11297" s="17" t="s">
        <v>4976</v>
      </c>
      <c r="E11297" s="16"/>
      <c r="F11297" s="18">
        <f>ROUND((G11285+G11286+G11287+G11288+G11289+G11290+G11291+G11296)*(1+G2/100),2)</f>
        <v>19.2</v>
      </c>
      <c r="G11297" s="16"/>
    </row>
    <row r="11298" ht="39.75" customHeight="1">
      <c r="A11298" s="19" t="s">
        <v>4983</v>
      </c>
      <c r="B11298" s="20" t="s">
        <v>18</v>
      </c>
      <c r="C11298" s="20" t="s">
        <v>251</v>
      </c>
      <c r="D11298" s="20" t="s">
        <v>4984</v>
      </c>
      <c r="E11298" s="21"/>
      <c r="F11298" s="22">
        <f>F11312</f>
        <v>27.67</v>
      </c>
      <c r="G11298" s="21"/>
    </row>
    <row r="11299" ht="48.75" customHeight="1">
      <c r="A11299" s="11"/>
      <c r="B11299" s="11"/>
      <c r="C11299" s="11"/>
      <c r="D11299" s="10" t="s">
        <v>4985</v>
      </c>
    </row>
    <row r="11300" ht="39.75" customHeight="1">
      <c r="A11300" s="10" t="s">
        <v>4979</v>
      </c>
      <c r="B11300" s="10" t="s">
        <v>42</v>
      </c>
      <c r="C11300" s="10" t="s">
        <v>276</v>
      </c>
      <c r="D11300" s="10" t="s">
        <v>4980</v>
      </c>
      <c r="E11300" s="14">
        <v>0.008</v>
      </c>
      <c r="F11300" s="15">
        <f>ROUND(284.34,3)</f>
        <v>284.34</v>
      </c>
      <c r="G11300" s="12">
        <f t="shared" ref="G11300:G11310" si="1711">ROUND(E11300*F11300,2)</f>
        <v>2.27</v>
      </c>
    </row>
    <row r="11301" ht="30.0" customHeight="1">
      <c r="A11301" s="10" t="s">
        <v>4981</v>
      </c>
      <c r="B11301" s="10" t="s">
        <v>42</v>
      </c>
      <c r="C11301" s="10" t="s">
        <v>276</v>
      </c>
      <c r="D11301" s="10" t="s">
        <v>4982</v>
      </c>
      <c r="E11301" s="14">
        <v>0.0133</v>
      </c>
      <c r="F11301" s="15">
        <f>ROUND(347.03,3)</f>
        <v>347.03</v>
      </c>
      <c r="G11301" s="12">
        <f t="shared" si="1711"/>
        <v>4.62</v>
      </c>
    </row>
    <row r="11302" ht="30.0" customHeight="1">
      <c r="A11302" s="10" t="s">
        <v>1669</v>
      </c>
      <c r="B11302" s="10" t="s">
        <v>42</v>
      </c>
      <c r="C11302" s="10" t="s">
        <v>304</v>
      </c>
      <c r="D11302" s="10" t="s">
        <v>1670</v>
      </c>
      <c r="E11302" s="14">
        <v>0.011</v>
      </c>
      <c r="F11302" s="15">
        <f>ROUND(2.52,3)</f>
        <v>2.52</v>
      </c>
      <c r="G11302" s="12">
        <f t="shared" si="1711"/>
        <v>0.03</v>
      </c>
    </row>
    <row r="11303" ht="24.0" customHeight="1">
      <c r="A11303" s="10" t="s">
        <v>1671</v>
      </c>
      <c r="B11303" s="10" t="s">
        <v>42</v>
      </c>
      <c r="C11303" s="10" t="s">
        <v>304</v>
      </c>
      <c r="D11303" s="10" t="s">
        <v>1672</v>
      </c>
      <c r="E11303" s="14">
        <v>0.011</v>
      </c>
      <c r="F11303" s="15">
        <f>ROUND(4.73,3)</f>
        <v>4.73</v>
      </c>
      <c r="G11303" s="12">
        <f t="shared" si="1711"/>
        <v>0.05</v>
      </c>
    </row>
    <row r="11304" ht="24.0" customHeight="1">
      <c r="A11304" s="10" t="s">
        <v>1673</v>
      </c>
      <c r="B11304" s="10" t="s">
        <v>42</v>
      </c>
      <c r="C11304" s="10" t="s">
        <v>304</v>
      </c>
      <c r="D11304" s="10" t="s">
        <v>1674</v>
      </c>
      <c r="E11304" s="14">
        <v>0.015</v>
      </c>
      <c r="F11304" s="15">
        <f>ROUND(0.65,3)</f>
        <v>0.65</v>
      </c>
      <c r="G11304" s="12">
        <f t="shared" si="1711"/>
        <v>0.01</v>
      </c>
    </row>
    <row r="11305" ht="24.0" customHeight="1">
      <c r="A11305" s="10" t="s">
        <v>1675</v>
      </c>
      <c r="B11305" s="10" t="s">
        <v>42</v>
      </c>
      <c r="C11305" s="10" t="s">
        <v>304</v>
      </c>
      <c r="D11305" s="10" t="s">
        <v>1676</v>
      </c>
      <c r="E11305" s="14">
        <v>0.011</v>
      </c>
      <c r="F11305" s="15">
        <f>ROUND(4.06,3)</f>
        <v>4.06</v>
      </c>
      <c r="G11305" s="12">
        <f t="shared" si="1711"/>
        <v>0.04</v>
      </c>
    </row>
    <row r="11306" ht="24.0" customHeight="1">
      <c r="A11306" s="10" t="s">
        <v>286</v>
      </c>
      <c r="B11306" s="10" t="s">
        <v>18</v>
      </c>
      <c r="C11306" s="10" t="s">
        <v>23</v>
      </c>
      <c r="D11306" s="10" t="s">
        <v>287</v>
      </c>
      <c r="E11306" s="14">
        <v>0.405</v>
      </c>
      <c r="F11306" s="15">
        <f>F11310</f>
        <v>49.5</v>
      </c>
      <c r="G11306" s="12">
        <f t="shared" si="1711"/>
        <v>20.05</v>
      </c>
    </row>
    <row r="11307" ht="24.0" customHeight="1">
      <c r="A11307" s="10" t="s">
        <v>288</v>
      </c>
      <c r="B11307" s="10" t="s">
        <v>26</v>
      </c>
      <c r="C11307" s="10" t="s">
        <v>23</v>
      </c>
      <c r="D11307" s="10" t="s">
        <v>289</v>
      </c>
      <c r="E11307" s="14">
        <v>1.0</v>
      </c>
      <c r="F11307" s="15">
        <f>ROUND(21,3)</f>
        <v>21</v>
      </c>
      <c r="G11307" s="12">
        <f t="shared" si="1711"/>
        <v>21</v>
      </c>
    </row>
    <row r="11308" ht="24.0" customHeight="1">
      <c r="A11308" s="10" t="s">
        <v>290</v>
      </c>
      <c r="B11308" s="10" t="s">
        <v>26</v>
      </c>
      <c r="C11308" s="10" t="s">
        <v>23</v>
      </c>
      <c r="D11308" s="10" t="s">
        <v>291</v>
      </c>
      <c r="E11308" s="14">
        <v>1.0</v>
      </c>
      <c r="F11308" s="15">
        <f t="shared" ref="F11308:F11309" si="1712">ROUND(19,3)</f>
        <v>19</v>
      </c>
      <c r="G11308" s="12">
        <f t="shared" si="1711"/>
        <v>19</v>
      </c>
    </row>
    <row r="11309" ht="24.0" customHeight="1">
      <c r="A11309" s="10" t="s">
        <v>292</v>
      </c>
      <c r="B11309" s="10" t="s">
        <v>26</v>
      </c>
      <c r="C11309" s="10" t="s">
        <v>23</v>
      </c>
      <c r="D11309" s="10" t="s">
        <v>293</v>
      </c>
      <c r="E11309" s="14">
        <v>0.5</v>
      </c>
      <c r="F11309" s="15">
        <f t="shared" si="1712"/>
        <v>19</v>
      </c>
      <c r="G11309" s="12">
        <f t="shared" si="1711"/>
        <v>9.5</v>
      </c>
    </row>
    <row r="11310" ht="15.0" customHeight="1">
      <c r="A11310" s="11"/>
      <c r="B11310" s="11"/>
      <c r="C11310" s="11"/>
      <c r="D11310" s="10" t="s">
        <v>286</v>
      </c>
      <c r="E11310" s="14">
        <v>0.405</v>
      </c>
      <c r="F11310" s="15">
        <f>ROUND((G11307+G11308+G11309),3)</f>
        <v>49.5</v>
      </c>
      <c r="G11310" s="12">
        <f t="shared" si="1711"/>
        <v>20.05</v>
      </c>
    </row>
    <row r="11311" ht="15.0" customHeight="1">
      <c r="A11311" s="10" t="s">
        <v>32</v>
      </c>
      <c r="B11311" s="10"/>
      <c r="C11311" s="10" t="s">
        <v>33</v>
      </c>
      <c r="D11311" s="10" t="s">
        <v>34</v>
      </c>
      <c r="E11311" s="14">
        <v>3.0</v>
      </c>
      <c r="F11311" s="15">
        <f>ROUND(20.05,3)</f>
        <v>20.05</v>
      </c>
      <c r="G11311" s="12">
        <f>ROUND((E11311*F11311)/100,2)</f>
        <v>0.6</v>
      </c>
    </row>
    <row r="11312" ht="15.0" customHeight="1">
      <c r="A11312" s="16"/>
      <c r="B11312" s="16"/>
      <c r="C11312" s="16"/>
      <c r="D11312" s="17" t="s">
        <v>4983</v>
      </c>
      <c r="E11312" s="16"/>
      <c r="F11312" s="18">
        <f>ROUND((G11300+G11301+G11302+G11303+G11304+G11305+G11306+G11311)*(1+G2/100),2)</f>
        <v>27.67</v>
      </c>
      <c r="G11312" s="16"/>
    </row>
    <row r="11313" ht="21.0" customHeight="1">
      <c r="A11313" s="19" t="s">
        <v>4986</v>
      </c>
      <c r="B11313" s="20" t="s">
        <v>18</v>
      </c>
      <c r="C11313" s="20" t="s">
        <v>251</v>
      </c>
      <c r="D11313" s="20" t="s">
        <v>4987</v>
      </c>
      <c r="E11313" s="21"/>
      <c r="F11313" s="22">
        <f>F11327</f>
        <v>20.79</v>
      </c>
      <c r="G11313" s="21"/>
    </row>
    <row r="11314" ht="48.75" customHeight="1">
      <c r="A11314" s="11"/>
      <c r="B11314" s="11"/>
      <c r="C11314" s="11"/>
      <c r="D11314" s="10" t="s">
        <v>4988</v>
      </c>
    </row>
    <row r="11315" ht="30.0" customHeight="1">
      <c r="A11315" s="10" t="s">
        <v>4989</v>
      </c>
      <c r="B11315" s="10" t="s">
        <v>42</v>
      </c>
      <c r="C11315" s="10" t="s">
        <v>276</v>
      </c>
      <c r="D11315" s="10" t="s">
        <v>4990</v>
      </c>
      <c r="E11315" s="14">
        <v>0.00825</v>
      </c>
      <c r="F11315" s="15">
        <f>ROUND(227.64,3)</f>
        <v>227.64</v>
      </c>
      <c r="G11315" s="12">
        <f t="shared" ref="G11315:G11325" si="1713">ROUND(E11315*F11315,2)</f>
        <v>1.88</v>
      </c>
    </row>
    <row r="11316" ht="39.75" customHeight="1">
      <c r="A11316" s="10" t="s">
        <v>4991</v>
      </c>
      <c r="B11316" s="10" t="s">
        <v>42</v>
      </c>
      <c r="C11316" s="10" t="s">
        <v>43</v>
      </c>
      <c r="D11316" s="10" t="s">
        <v>4992</v>
      </c>
      <c r="E11316" s="14">
        <v>0.09</v>
      </c>
      <c r="F11316" s="15">
        <f>ROUND(73.31,3)</f>
        <v>73.31</v>
      </c>
      <c r="G11316" s="12">
        <f t="shared" si="1713"/>
        <v>6.6</v>
      </c>
    </row>
    <row r="11317" ht="30.0" customHeight="1">
      <c r="A11317" s="10" t="s">
        <v>1669</v>
      </c>
      <c r="B11317" s="10" t="s">
        <v>42</v>
      </c>
      <c r="C11317" s="10" t="s">
        <v>304</v>
      </c>
      <c r="D11317" s="10" t="s">
        <v>1670</v>
      </c>
      <c r="E11317" s="14">
        <v>0.011</v>
      </c>
      <c r="F11317" s="15">
        <f>ROUND(2.52,3)</f>
        <v>2.52</v>
      </c>
      <c r="G11317" s="12">
        <f t="shared" si="1713"/>
        <v>0.03</v>
      </c>
    </row>
    <row r="11318" ht="24.0" customHeight="1">
      <c r="A11318" s="10" t="s">
        <v>1671</v>
      </c>
      <c r="B11318" s="10" t="s">
        <v>42</v>
      </c>
      <c r="C11318" s="10" t="s">
        <v>304</v>
      </c>
      <c r="D11318" s="10" t="s">
        <v>1672</v>
      </c>
      <c r="E11318" s="14">
        <v>0.011</v>
      </c>
      <c r="F11318" s="15">
        <f>ROUND(4.73,3)</f>
        <v>4.73</v>
      </c>
      <c r="G11318" s="12">
        <f t="shared" si="1713"/>
        <v>0.05</v>
      </c>
    </row>
    <row r="11319" ht="24.0" customHeight="1">
      <c r="A11319" s="10" t="s">
        <v>1673</v>
      </c>
      <c r="B11319" s="10" t="s">
        <v>42</v>
      </c>
      <c r="C11319" s="10" t="s">
        <v>304</v>
      </c>
      <c r="D11319" s="10" t="s">
        <v>1674</v>
      </c>
      <c r="E11319" s="14">
        <v>0.015</v>
      </c>
      <c r="F11319" s="15">
        <f>ROUND(0.65,3)</f>
        <v>0.65</v>
      </c>
      <c r="G11319" s="12">
        <f t="shared" si="1713"/>
        <v>0.01</v>
      </c>
    </row>
    <row r="11320" ht="24.0" customHeight="1">
      <c r="A11320" s="10" t="s">
        <v>1675</v>
      </c>
      <c r="B11320" s="10" t="s">
        <v>42</v>
      </c>
      <c r="C11320" s="10" t="s">
        <v>304</v>
      </c>
      <c r="D11320" s="10" t="s">
        <v>1676</v>
      </c>
      <c r="E11320" s="14">
        <v>0.011</v>
      </c>
      <c r="F11320" s="15">
        <f>ROUND(4.06,3)</f>
        <v>4.06</v>
      </c>
      <c r="G11320" s="12">
        <f t="shared" si="1713"/>
        <v>0.04</v>
      </c>
    </row>
    <row r="11321" ht="21.0" customHeight="1">
      <c r="A11321" s="10" t="s">
        <v>22</v>
      </c>
      <c r="B11321" s="10" t="s">
        <v>18</v>
      </c>
      <c r="C11321" s="10" t="s">
        <v>23</v>
      </c>
      <c r="D11321" s="10" t="s">
        <v>24</v>
      </c>
      <c r="E11321" s="14">
        <v>0.27</v>
      </c>
      <c r="F11321" s="15">
        <f>F11325</f>
        <v>43.8</v>
      </c>
      <c r="G11321" s="12">
        <f t="shared" si="1713"/>
        <v>11.83</v>
      </c>
    </row>
    <row r="11322" ht="24.0" customHeight="1">
      <c r="A11322" s="10" t="s">
        <v>25</v>
      </c>
      <c r="B11322" s="10" t="s">
        <v>26</v>
      </c>
      <c r="C11322" s="10" t="s">
        <v>23</v>
      </c>
      <c r="D11322" s="10" t="s">
        <v>27</v>
      </c>
      <c r="E11322" s="14">
        <v>1.0</v>
      </c>
      <c r="F11322" s="15">
        <f>ROUND(21,3)</f>
        <v>21</v>
      </c>
      <c r="G11322" s="12">
        <f t="shared" si="1713"/>
        <v>21</v>
      </c>
    </row>
    <row r="11323" ht="24.0" customHeight="1">
      <c r="A11323" s="10" t="s">
        <v>28</v>
      </c>
      <c r="B11323" s="10" t="s">
        <v>26</v>
      </c>
      <c r="C11323" s="10" t="s">
        <v>23</v>
      </c>
      <c r="D11323" s="10" t="s">
        <v>29</v>
      </c>
      <c r="E11323" s="14">
        <v>1.0</v>
      </c>
      <c r="F11323" s="15">
        <f t="shared" ref="F11323:F11324" si="1714">ROUND(19,3)</f>
        <v>19</v>
      </c>
      <c r="G11323" s="12">
        <f t="shared" si="1713"/>
        <v>19</v>
      </c>
    </row>
    <row r="11324" ht="24.0" customHeight="1">
      <c r="A11324" s="10" t="s">
        <v>30</v>
      </c>
      <c r="B11324" s="10" t="s">
        <v>26</v>
      </c>
      <c r="C11324" s="10" t="s">
        <v>23</v>
      </c>
      <c r="D11324" s="10" t="s">
        <v>31</v>
      </c>
      <c r="E11324" s="14">
        <v>0.2</v>
      </c>
      <c r="F11324" s="15">
        <f t="shared" si="1714"/>
        <v>19</v>
      </c>
      <c r="G11324" s="12">
        <f t="shared" si="1713"/>
        <v>3.8</v>
      </c>
    </row>
    <row r="11325" ht="15.0" customHeight="1">
      <c r="A11325" s="11"/>
      <c r="B11325" s="11"/>
      <c r="C11325" s="11"/>
      <c r="D11325" s="10" t="s">
        <v>22</v>
      </c>
      <c r="E11325" s="14">
        <v>0.27</v>
      </c>
      <c r="F11325" s="15">
        <f>ROUND((G11322+G11323+G11324),3)</f>
        <v>43.8</v>
      </c>
      <c r="G11325" s="12">
        <f t="shared" si="1713"/>
        <v>11.83</v>
      </c>
    </row>
    <row r="11326" ht="15.0" customHeight="1">
      <c r="A11326" s="10" t="s">
        <v>32</v>
      </c>
      <c r="B11326" s="10"/>
      <c r="C11326" s="10" t="s">
        <v>33</v>
      </c>
      <c r="D11326" s="10" t="s">
        <v>34</v>
      </c>
      <c r="E11326" s="14">
        <v>3.0</v>
      </c>
      <c r="F11326" s="15">
        <f>ROUND(11.83,3)</f>
        <v>11.83</v>
      </c>
      <c r="G11326" s="12">
        <f>ROUND((E11326*F11326)/100,2)</f>
        <v>0.35</v>
      </c>
    </row>
    <row r="11327" ht="15.0" customHeight="1">
      <c r="A11327" s="16"/>
      <c r="B11327" s="16"/>
      <c r="C11327" s="16"/>
      <c r="D11327" s="17" t="s">
        <v>4986</v>
      </c>
      <c r="E11327" s="16"/>
      <c r="F11327" s="18">
        <f>ROUND((G11315+G11316+G11317+G11318+G11319+G11320+G11321+G11326)*(1+G2/100),2)</f>
        <v>20.79</v>
      </c>
      <c r="G11327" s="16"/>
    </row>
    <row r="11328" ht="30.0" customHeight="1">
      <c r="A11328" s="19" t="s">
        <v>4993</v>
      </c>
      <c r="B11328" s="20" t="s">
        <v>18</v>
      </c>
      <c r="C11328" s="20" t="s">
        <v>251</v>
      </c>
      <c r="D11328" s="20" t="s">
        <v>4994</v>
      </c>
      <c r="E11328" s="21"/>
      <c r="F11328" s="22">
        <f>F11342</f>
        <v>29.26</v>
      </c>
      <c r="G11328" s="21"/>
    </row>
    <row r="11329" ht="48.75" customHeight="1">
      <c r="A11329" s="11"/>
      <c r="B11329" s="11"/>
      <c r="C11329" s="11"/>
      <c r="D11329" s="10" t="s">
        <v>4995</v>
      </c>
    </row>
    <row r="11330" ht="30.0" customHeight="1">
      <c r="A11330" s="10" t="s">
        <v>4989</v>
      </c>
      <c r="B11330" s="10" t="s">
        <v>42</v>
      </c>
      <c r="C11330" s="10" t="s">
        <v>276</v>
      </c>
      <c r="D11330" s="10" t="s">
        <v>4990</v>
      </c>
      <c r="E11330" s="14">
        <v>0.00825</v>
      </c>
      <c r="F11330" s="15">
        <f>ROUND(227.64,3)</f>
        <v>227.64</v>
      </c>
      <c r="G11330" s="12">
        <f t="shared" ref="G11330:G11340" si="1715">ROUND(E11330*F11330,2)</f>
        <v>1.88</v>
      </c>
    </row>
    <row r="11331" ht="39.75" customHeight="1">
      <c r="A11331" s="10" t="s">
        <v>4991</v>
      </c>
      <c r="B11331" s="10" t="s">
        <v>42</v>
      </c>
      <c r="C11331" s="10" t="s">
        <v>43</v>
      </c>
      <c r="D11331" s="10" t="s">
        <v>4992</v>
      </c>
      <c r="E11331" s="14">
        <v>0.09</v>
      </c>
      <c r="F11331" s="15">
        <f>ROUND(73.31,3)</f>
        <v>73.31</v>
      </c>
      <c r="G11331" s="12">
        <f t="shared" si="1715"/>
        <v>6.6</v>
      </c>
    </row>
    <row r="11332" ht="30.0" customHeight="1">
      <c r="A11332" s="10" t="s">
        <v>1669</v>
      </c>
      <c r="B11332" s="10" t="s">
        <v>42</v>
      </c>
      <c r="C11332" s="10" t="s">
        <v>304</v>
      </c>
      <c r="D11332" s="10" t="s">
        <v>1670</v>
      </c>
      <c r="E11332" s="14">
        <v>0.011</v>
      </c>
      <c r="F11332" s="15">
        <f>ROUND(2.52,3)</f>
        <v>2.52</v>
      </c>
      <c r="G11332" s="12">
        <f t="shared" si="1715"/>
        <v>0.03</v>
      </c>
    </row>
    <row r="11333" ht="24.0" customHeight="1">
      <c r="A11333" s="10" t="s">
        <v>1671</v>
      </c>
      <c r="B11333" s="10" t="s">
        <v>42</v>
      </c>
      <c r="C11333" s="10" t="s">
        <v>304</v>
      </c>
      <c r="D11333" s="10" t="s">
        <v>1672</v>
      </c>
      <c r="E11333" s="14">
        <v>0.011</v>
      </c>
      <c r="F11333" s="15">
        <f>ROUND(4.73,3)</f>
        <v>4.73</v>
      </c>
      <c r="G11333" s="12">
        <f t="shared" si="1715"/>
        <v>0.05</v>
      </c>
    </row>
    <row r="11334" ht="24.0" customHeight="1">
      <c r="A11334" s="10" t="s">
        <v>1673</v>
      </c>
      <c r="B11334" s="10" t="s">
        <v>42</v>
      </c>
      <c r="C11334" s="10" t="s">
        <v>304</v>
      </c>
      <c r="D11334" s="10" t="s">
        <v>1674</v>
      </c>
      <c r="E11334" s="14">
        <v>0.015</v>
      </c>
      <c r="F11334" s="15">
        <f>ROUND(0.65,3)</f>
        <v>0.65</v>
      </c>
      <c r="G11334" s="12">
        <f t="shared" si="1715"/>
        <v>0.01</v>
      </c>
    </row>
    <row r="11335" ht="24.0" customHeight="1">
      <c r="A11335" s="10" t="s">
        <v>1675</v>
      </c>
      <c r="B11335" s="10" t="s">
        <v>42</v>
      </c>
      <c r="C11335" s="10" t="s">
        <v>304</v>
      </c>
      <c r="D11335" s="10" t="s">
        <v>1676</v>
      </c>
      <c r="E11335" s="14">
        <v>0.011</v>
      </c>
      <c r="F11335" s="15">
        <f>ROUND(4.06,3)</f>
        <v>4.06</v>
      </c>
      <c r="G11335" s="12">
        <f t="shared" si="1715"/>
        <v>0.04</v>
      </c>
    </row>
    <row r="11336" ht="24.0" customHeight="1">
      <c r="A11336" s="10" t="s">
        <v>286</v>
      </c>
      <c r="B11336" s="10" t="s">
        <v>18</v>
      </c>
      <c r="C11336" s="10" t="s">
        <v>23</v>
      </c>
      <c r="D11336" s="10" t="s">
        <v>287</v>
      </c>
      <c r="E11336" s="14">
        <v>0.405</v>
      </c>
      <c r="F11336" s="15">
        <f>F11340</f>
        <v>49.5</v>
      </c>
      <c r="G11336" s="12">
        <f t="shared" si="1715"/>
        <v>20.05</v>
      </c>
    </row>
    <row r="11337" ht="24.0" customHeight="1">
      <c r="A11337" s="10" t="s">
        <v>288</v>
      </c>
      <c r="B11337" s="10" t="s">
        <v>26</v>
      </c>
      <c r="C11337" s="10" t="s">
        <v>23</v>
      </c>
      <c r="D11337" s="10" t="s">
        <v>289</v>
      </c>
      <c r="E11337" s="14">
        <v>1.0</v>
      </c>
      <c r="F11337" s="15">
        <f>ROUND(21,3)</f>
        <v>21</v>
      </c>
      <c r="G11337" s="12">
        <f t="shared" si="1715"/>
        <v>21</v>
      </c>
    </row>
    <row r="11338" ht="24.0" customHeight="1">
      <c r="A11338" s="10" t="s">
        <v>290</v>
      </c>
      <c r="B11338" s="10" t="s">
        <v>26</v>
      </c>
      <c r="C11338" s="10" t="s">
        <v>23</v>
      </c>
      <c r="D11338" s="10" t="s">
        <v>291</v>
      </c>
      <c r="E11338" s="14">
        <v>1.0</v>
      </c>
      <c r="F11338" s="15">
        <f t="shared" ref="F11338:F11339" si="1716">ROUND(19,3)</f>
        <v>19</v>
      </c>
      <c r="G11338" s="12">
        <f t="shared" si="1715"/>
        <v>19</v>
      </c>
    </row>
    <row r="11339" ht="24.0" customHeight="1">
      <c r="A11339" s="10" t="s">
        <v>292</v>
      </c>
      <c r="B11339" s="10" t="s">
        <v>26</v>
      </c>
      <c r="C11339" s="10" t="s">
        <v>23</v>
      </c>
      <c r="D11339" s="10" t="s">
        <v>293</v>
      </c>
      <c r="E11339" s="14">
        <v>0.5</v>
      </c>
      <c r="F11339" s="15">
        <f t="shared" si="1716"/>
        <v>19</v>
      </c>
      <c r="G11339" s="12">
        <f t="shared" si="1715"/>
        <v>9.5</v>
      </c>
    </row>
    <row r="11340" ht="15.0" customHeight="1">
      <c r="A11340" s="11"/>
      <c r="B11340" s="11"/>
      <c r="C11340" s="11"/>
      <c r="D11340" s="10" t="s">
        <v>286</v>
      </c>
      <c r="E11340" s="14">
        <v>0.405</v>
      </c>
      <c r="F11340" s="15">
        <f>ROUND((G11337+G11338+G11339),3)</f>
        <v>49.5</v>
      </c>
      <c r="G11340" s="12">
        <f t="shared" si="1715"/>
        <v>20.05</v>
      </c>
    </row>
    <row r="11341" ht="15.0" customHeight="1">
      <c r="A11341" s="10" t="s">
        <v>32</v>
      </c>
      <c r="B11341" s="10"/>
      <c r="C11341" s="10" t="s">
        <v>33</v>
      </c>
      <c r="D11341" s="10" t="s">
        <v>34</v>
      </c>
      <c r="E11341" s="14">
        <v>3.0</v>
      </c>
      <c r="F11341" s="15">
        <f>ROUND(20.05,3)</f>
        <v>20.05</v>
      </c>
      <c r="G11341" s="12">
        <f>ROUND((E11341*F11341)/100,2)</f>
        <v>0.6</v>
      </c>
    </row>
    <row r="11342" ht="15.0" customHeight="1">
      <c r="A11342" s="16"/>
      <c r="B11342" s="16"/>
      <c r="C11342" s="16"/>
      <c r="D11342" s="17" t="s">
        <v>4993</v>
      </c>
      <c r="E11342" s="16"/>
      <c r="F11342" s="18">
        <f>ROUND((G11330+G11331+G11332+G11333+G11334+G11335+G11336+G11341)*(1+G2/100),2)</f>
        <v>29.26</v>
      </c>
      <c r="G11342" s="16"/>
    </row>
    <row r="11343" ht="21.0" customHeight="1">
      <c r="A11343" s="19" t="s">
        <v>4996</v>
      </c>
      <c r="B11343" s="20" t="s">
        <v>18</v>
      </c>
      <c r="C11343" s="20" t="s">
        <v>251</v>
      </c>
      <c r="D11343" s="20" t="s">
        <v>4997</v>
      </c>
      <c r="E11343" s="21"/>
      <c r="F11343" s="22">
        <f>F11356</f>
        <v>16.6</v>
      </c>
      <c r="G11343" s="21"/>
    </row>
    <row r="11344" ht="57.75" customHeight="1">
      <c r="A11344" s="11"/>
      <c r="B11344" s="11"/>
      <c r="C11344" s="11"/>
      <c r="D11344" s="10" t="s">
        <v>4998</v>
      </c>
    </row>
    <row r="11345" ht="39.75" customHeight="1">
      <c r="A11345" s="10" t="s">
        <v>4999</v>
      </c>
      <c r="B11345" s="10" t="s">
        <v>42</v>
      </c>
      <c r="C11345" s="10" t="s">
        <v>276</v>
      </c>
      <c r="D11345" s="10" t="s">
        <v>5000</v>
      </c>
      <c r="E11345" s="14">
        <v>0.0275</v>
      </c>
      <c r="F11345" s="15">
        <f>ROUND(139.67,3)</f>
        <v>139.67</v>
      </c>
      <c r="G11345" s="12">
        <f t="shared" ref="G11345:G11354" si="1717">ROUND(E11345*F11345,2)</f>
        <v>3.84</v>
      </c>
    </row>
    <row r="11346" ht="30.0" customHeight="1">
      <c r="A11346" s="10" t="s">
        <v>1669</v>
      </c>
      <c r="B11346" s="10" t="s">
        <v>42</v>
      </c>
      <c r="C11346" s="10" t="s">
        <v>304</v>
      </c>
      <c r="D11346" s="10" t="s">
        <v>1670</v>
      </c>
      <c r="E11346" s="14">
        <v>0.011</v>
      </c>
      <c r="F11346" s="15">
        <f>ROUND(2.52,3)</f>
        <v>2.52</v>
      </c>
      <c r="G11346" s="12">
        <f t="shared" si="1717"/>
        <v>0.03</v>
      </c>
    </row>
    <row r="11347" ht="24.0" customHeight="1">
      <c r="A11347" s="10" t="s">
        <v>1671</v>
      </c>
      <c r="B11347" s="10" t="s">
        <v>42</v>
      </c>
      <c r="C11347" s="10" t="s">
        <v>304</v>
      </c>
      <c r="D11347" s="10" t="s">
        <v>1672</v>
      </c>
      <c r="E11347" s="14">
        <v>0.011</v>
      </c>
      <c r="F11347" s="15">
        <f>ROUND(4.73,3)</f>
        <v>4.73</v>
      </c>
      <c r="G11347" s="12">
        <f t="shared" si="1717"/>
        <v>0.05</v>
      </c>
    </row>
    <row r="11348" ht="24.0" customHeight="1">
      <c r="A11348" s="10" t="s">
        <v>1673</v>
      </c>
      <c r="B11348" s="10" t="s">
        <v>42</v>
      </c>
      <c r="C11348" s="10" t="s">
        <v>304</v>
      </c>
      <c r="D11348" s="10" t="s">
        <v>1674</v>
      </c>
      <c r="E11348" s="14">
        <v>0.015</v>
      </c>
      <c r="F11348" s="15">
        <f>ROUND(0.65,3)</f>
        <v>0.65</v>
      </c>
      <c r="G11348" s="12">
        <f t="shared" si="1717"/>
        <v>0.01</v>
      </c>
    </row>
    <row r="11349" ht="24.0" customHeight="1">
      <c r="A11349" s="10" t="s">
        <v>1675</v>
      </c>
      <c r="B11349" s="10" t="s">
        <v>42</v>
      </c>
      <c r="C11349" s="10" t="s">
        <v>304</v>
      </c>
      <c r="D11349" s="10" t="s">
        <v>1676</v>
      </c>
      <c r="E11349" s="14">
        <v>0.011</v>
      </c>
      <c r="F11349" s="15">
        <f>ROUND(4.06,3)</f>
        <v>4.06</v>
      </c>
      <c r="G11349" s="12">
        <f t="shared" si="1717"/>
        <v>0.04</v>
      </c>
    </row>
    <row r="11350" ht="21.0" customHeight="1">
      <c r="A11350" s="10" t="s">
        <v>22</v>
      </c>
      <c r="B11350" s="10" t="s">
        <v>18</v>
      </c>
      <c r="C11350" s="10" t="s">
        <v>23</v>
      </c>
      <c r="D11350" s="10" t="s">
        <v>24</v>
      </c>
      <c r="E11350" s="14">
        <v>0.28</v>
      </c>
      <c r="F11350" s="15">
        <f>F11354</f>
        <v>43.8</v>
      </c>
      <c r="G11350" s="12">
        <f t="shared" si="1717"/>
        <v>12.26</v>
      </c>
    </row>
    <row r="11351" ht="24.0" customHeight="1">
      <c r="A11351" s="10" t="s">
        <v>25</v>
      </c>
      <c r="B11351" s="10" t="s">
        <v>26</v>
      </c>
      <c r="C11351" s="10" t="s">
        <v>23</v>
      </c>
      <c r="D11351" s="10" t="s">
        <v>27</v>
      </c>
      <c r="E11351" s="14">
        <v>1.0</v>
      </c>
      <c r="F11351" s="15">
        <f>ROUND(21,3)</f>
        <v>21</v>
      </c>
      <c r="G11351" s="12">
        <f t="shared" si="1717"/>
        <v>21</v>
      </c>
    </row>
    <row r="11352" ht="24.0" customHeight="1">
      <c r="A11352" s="10" t="s">
        <v>28</v>
      </c>
      <c r="B11352" s="10" t="s">
        <v>26</v>
      </c>
      <c r="C11352" s="10" t="s">
        <v>23</v>
      </c>
      <c r="D11352" s="10" t="s">
        <v>29</v>
      </c>
      <c r="E11352" s="14">
        <v>1.0</v>
      </c>
      <c r="F11352" s="15">
        <f t="shared" ref="F11352:F11353" si="1718">ROUND(19,3)</f>
        <v>19</v>
      </c>
      <c r="G11352" s="12">
        <f t="shared" si="1717"/>
        <v>19</v>
      </c>
    </row>
    <row r="11353" ht="24.0" customHeight="1">
      <c r="A11353" s="10" t="s">
        <v>30</v>
      </c>
      <c r="B11353" s="10" t="s">
        <v>26</v>
      </c>
      <c r="C11353" s="10" t="s">
        <v>23</v>
      </c>
      <c r="D11353" s="10" t="s">
        <v>31</v>
      </c>
      <c r="E11353" s="14">
        <v>0.2</v>
      </c>
      <c r="F11353" s="15">
        <f t="shared" si="1718"/>
        <v>19</v>
      </c>
      <c r="G11353" s="12">
        <f t="shared" si="1717"/>
        <v>3.8</v>
      </c>
    </row>
    <row r="11354" ht="15.0" customHeight="1">
      <c r="A11354" s="11"/>
      <c r="B11354" s="11"/>
      <c r="C11354" s="11"/>
      <c r="D11354" s="10" t="s">
        <v>22</v>
      </c>
      <c r="E11354" s="14">
        <v>0.28</v>
      </c>
      <c r="F11354" s="15">
        <f>ROUND((G11351+G11352+G11353),3)</f>
        <v>43.8</v>
      </c>
      <c r="G11354" s="12">
        <f t="shared" si="1717"/>
        <v>12.26</v>
      </c>
    </row>
    <row r="11355" ht="15.0" customHeight="1">
      <c r="A11355" s="10" t="s">
        <v>32</v>
      </c>
      <c r="B11355" s="10"/>
      <c r="C11355" s="10" t="s">
        <v>33</v>
      </c>
      <c r="D11355" s="10" t="s">
        <v>34</v>
      </c>
      <c r="E11355" s="14">
        <v>3.0</v>
      </c>
      <c r="F11355" s="15">
        <f>ROUND(12.26,3)</f>
        <v>12.26</v>
      </c>
      <c r="G11355" s="12">
        <f>ROUND((E11355*F11355)/100,2)</f>
        <v>0.37</v>
      </c>
    </row>
    <row r="11356" ht="15.0" customHeight="1">
      <c r="A11356" s="16"/>
      <c r="B11356" s="16"/>
      <c r="C11356" s="16"/>
      <c r="D11356" s="17" t="s">
        <v>4996</v>
      </c>
      <c r="E11356" s="16"/>
      <c r="F11356" s="18">
        <f>ROUND((G11345+G11346+G11347+G11348+G11349+G11350+G11355)*(1+G2/100),2)</f>
        <v>16.6</v>
      </c>
      <c r="G11356" s="16"/>
    </row>
    <row r="11357" ht="21.0" customHeight="1">
      <c r="A11357" s="19" t="s">
        <v>5001</v>
      </c>
      <c r="B11357" s="20" t="s">
        <v>18</v>
      </c>
      <c r="C11357" s="20" t="s">
        <v>251</v>
      </c>
      <c r="D11357" s="20" t="s">
        <v>5002</v>
      </c>
      <c r="E11357" s="21"/>
      <c r="F11357" s="22">
        <f>F11367</f>
        <v>13.47</v>
      </c>
      <c r="G11357" s="21"/>
    </row>
    <row r="11358" ht="21.0" customHeight="1">
      <c r="A11358" s="11"/>
      <c r="B11358" s="11"/>
      <c r="C11358" s="11"/>
      <c r="D11358" s="10" t="s">
        <v>5003</v>
      </c>
    </row>
    <row r="11359" ht="39.75" customHeight="1">
      <c r="A11359" s="10" t="s">
        <v>5004</v>
      </c>
      <c r="B11359" s="10" t="s">
        <v>42</v>
      </c>
      <c r="C11359" s="10" t="s">
        <v>43</v>
      </c>
      <c r="D11359" s="10" t="s">
        <v>5005</v>
      </c>
      <c r="E11359" s="14">
        <v>0.0113</v>
      </c>
      <c r="F11359" s="15">
        <f>ROUND(110.7,3)</f>
        <v>110.7</v>
      </c>
      <c r="G11359" s="12">
        <f t="shared" ref="G11359:G11365" si="1719">ROUND(E11359*F11359,2)</f>
        <v>1.25</v>
      </c>
    </row>
    <row r="11360" ht="30.0" customHeight="1">
      <c r="A11360" s="10" t="s">
        <v>5006</v>
      </c>
      <c r="B11360" s="10" t="s">
        <v>42</v>
      </c>
      <c r="C11360" s="10" t="s">
        <v>276</v>
      </c>
      <c r="D11360" s="10" t="s">
        <v>5007</v>
      </c>
      <c r="E11360" s="14">
        <v>0.01333</v>
      </c>
      <c r="F11360" s="15">
        <f>ROUND(70.68,3)</f>
        <v>70.68</v>
      </c>
      <c r="G11360" s="12">
        <f t="shared" si="1719"/>
        <v>0.94</v>
      </c>
    </row>
    <row r="11361" ht="21.0" customHeight="1">
      <c r="A11361" s="10" t="s">
        <v>22</v>
      </c>
      <c r="B11361" s="10" t="s">
        <v>18</v>
      </c>
      <c r="C11361" s="10" t="s">
        <v>23</v>
      </c>
      <c r="D11361" s="10" t="s">
        <v>24</v>
      </c>
      <c r="E11361" s="14">
        <v>0.25</v>
      </c>
      <c r="F11361" s="15">
        <f>F11365</f>
        <v>43.8</v>
      </c>
      <c r="G11361" s="12">
        <f t="shared" si="1719"/>
        <v>10.95</v>
      </c>
    </row>
    <row r="11362" ht="24.0" customHeight="1">
      <c r="A11362" s="10" t="s">
        <v>25</v>
      </c>
      <c r="B11362" s="10" t="s">
        <v>26</v>
      </c>
      <c r="C11362" s="10" t="s">
        <v>23</v>
      </c>
      <c r="D11362" s="10" t="s">
        <v>27</v>
      </c>
      <c r="E11362" s="14">
        <v>1.0</v>
      </c>
      <c r="F11362" s="15">
        <f>ROUND(21,3)</f>
        <v>21</v>
      </c>
      <c r="G11362" s="12">
        <f t="shared" si="1719"/>
        <v>21</v>
      </c>
    </row>
    <row r="11363" ht="24.0" customHeight="1">
      <c r="A11363" s="10" t="s">
        <v>28</v>
      </c>
      <c r="B11363" s="10" t="s">
        <v>26</v>
      </c>
      <c r="C11363" s="10" t="s">
        <v>23</v>
      </c>
      <c r="D11363" s="10" t="s">
        <v>29</v>
      </c>
      <c r="E11363" s="14">
        <v>1.0</v>
      </c>
      <c r="F11363" s="15">
        <f t="shared" ref="F11363:F11364" si="1720">ROUND(19,3)</f>
        <v>19</v>
      </c>
      <c r="G11363" s="12">
        <f t="shared" si="1719"/>
        <v>19</v>
      </c>
    </row>
    <row r="11364" ht="24.0" customHeight="1">
      <c r="A11364" s="10" t="s">
        <v>30</v>
      </c>
      <c r="B11364" s="10" t="s">
        <v>26</v>
      </c>
      <c r="C11364" s="10" t="s">
        <v>23</v>
      </c>
      <c r="D11364" s="10" t="s">
        <v>31</v>
      </c>
      <c r="E11364" s="14">
        <v>0.2</v>
      </c>
      <c r="F11364" s="15">
        <f t="shared" si="1720"/>
        <v>19</v>
      </c>
      <c r="G11364" s="12">
        <f t="shared" si="1719"/>
        <v>3.8</v>
      </c>
    </row>
    <row r="11365" ht="15.0" customHeight="1">
      <c r="A11365" s="11"/>
      <c r="B11365" s="11"/>
      <c r="C11365" s="11"/>
      <c r="D11365" s="10" t="s">
        <v>22</v>
      </c>
      <c r="E11365" s="14">
        <v>0.25</v>
      </c>
      <c r="F11365" s="15">
        <f>ROUND((G11362+G11363+G11364),3)</f>
        <v>43.8</v>
      </c>
      <c r="G11365" s="12">
        <f t="shared" si="1719"/>
        <v>10.95</v>
      </c>
    </row>
    <row r="11366" ht="15.0" customHeight="1">
      <c r="A11366" s="10" t="s">
        <v>32</v>
      </c>
      <c r="B11366" s="10"/>
      <c r="C11366" s="10" t="s">
        <v>33</v>
      </c>
      <c r="D11366" s="10" t="s">
        <v>34</v>
      </c>
      <c r="E11366" s="14">
        <v>3.0</v>
      </c>
      <c r="F11366" s="15">
        <f>ROUND(10.95,3)</f>
        <v>10.95</v>
      </c>
      <c r="G11366" s="12">
        <f>ROUND((E11366*F11366)/100,2)</f>
        <v>0.33</v>
      </c>
    </row>
    <row r="11367" ht="15.0" customHeight="1">
      <c r="A11367" s="16"/>
      <c r="B11367" s="16"/>
      <c r="C11367" s="16"/>
      <c r="D11367" s="17" t="s">
        <v>5001</v>
      </c>
      <c r="E11367" s="16"/>
      <c r="F11367" s="18">
        <f>ROUND((G11359+G11360+G11361+G11366)*(1+G2/100),2)</f>
        <v>13.47</v>
      </c>
      <c r="G11367" s="16"/>
    </row>
    <row r="11368" ht="30.0" customHeight="1">
      <c r="A11368" s="19" t="s">
        <v>5008</v>
      </c>
      <c r="B11368" s="20" t="s">
        <v>18</v>
      </c>
      <c r="C11368" s="20" t="s">
        <v>251</v>
      </c>
      <c r="D11368" s="20" t="s">
        <v>5009</v>
      </c>
      <c r="E11368" s="21"/>
      <c r="F11368" s="22">
        <f>F11378</f>
        <v>21.31</v>
      </c>
      <c r="G11368" s="21"/>
    </row>
    <row r="11369" ht="12.0" customHeight="1">
      <c r="A11369" s="11"/>
      <c r="B11369" s="11"/>
      <c r="C11369" s="11"/>
      <c r="D11369" s="10" t="s">
        <v>5010</v>
      </c>
    </row>
    <row r="11370" ht="39.75" customHeight="1">
      <c r="A11370" s="10" t="s">
        <v>5004</v>
      </c>
      <c r="B11370" s="10" t="s">
        <v>42</v>
      </c>
      <c r="C11370" s="10" t="s">
        <v>43</v>
      </c>
      <c r="D11370" s="10" t="s">
        <v>5005</v>
      </c>
      <c r="E11370" s="14">
        <v>0.0113</v>
      </c>
      <c r="F11370" s="15">
        <f>ROUND(110.7,3)</f>
        <v>110.7</v>
      </c>
      <c r="G11370" s="12">
        <f t="shared" ref="G11370:G11376" si="1721">ROUND(E11370*F11370,2)</f>
        <v>1.25</v>
      </c>
    </row>
    <row r="11371" ht="30.0" customHeight="1">
      <c r="A11371" s="10" t="s">
        <v>5006</v>
      </c>
      <c r="B11371" s="10" t="s">
        <v>42</v>
      </c>
      <c r="C11371" s="10" t="s">
        <v>276</v>
      </c>
      <c r="D11371" s="10" t="s">
        <v>5007</v>
      </c>
      <c r="E11371" s="14">
        <v>0.01333</v>
      </c>
      <c r="F11371" s="15">
        <f>ROUND(70.68,3)</f>
        <v>70.68</v>
      </c>
      <c r="G11371" s="12">
        <f t="shared" si="1721"/>
        <v>0.94</v>
      </c>
    </row>
    <row r="11372" ht="24.0" customHeight="1">
      <c r="A11372" s="10" t="s">
        <v>286</v>
      </c>
      <c r="B11372" s="10" t="s">
        <v>18</v>
      </c>
      <c r="C11372" s="10" t="s">
        <v>23</v>
      </c>
      <c r="D11372" s="10" t="s">
        <v>287</v>
      </c>
      <c r="E11372" s="14">
        <v>0.375</v>
      </c>
      <c r="F11372" s="15">
        <f>F11376</f>
        <v>49.5</v>
      </c>
      <c r="G11372" s="12">
        <f t="shared" si="1721"/>
        <v>18.56</v>
      </c>
    </row>
    <row r="11373" ht="24.0" customHeight="1">
      <c r="A11373" s="10" t="s">
        <v>288</v>
      </c>
      <c r="B11373" s="10" t="s">
        <v>26</v>
      </c>
      <c r="C11373" s="10" t="s">
        <v>23</v>
      </c>
      <c r="D11373" s="10" t="s">
        <v>289</v>
      </c>
      <c r="E11373" s="14">
        <v>1.0</v>
      </c>
      <c r="F11373" s="15">
        <f>ROUND(21,3)</f>
        <v>21</v>
      </c>
      <c r="G11373" s="12">
        <f t="shared" si="1721"/>
        <v>21</v>
      </c>
    </row>
    <row r="11374" ht="24.0" customHeight="1">
      <c r="A11374" s="10" t="s">
        <v>290</v>
      </c>
      <c r="B11374" s="10" t="s">
        <v>26</v>
      </c>
      <c r="C11374" s="10" t="s">
        <v>23</v>
      </c>
      <c r="D11374" s="10" t="s">
        <v>291</v>
      </c>
      <c r="E11374" s="14">
        <v>1.0</v>
      </c>
      <c r="F11374" s="15">
        <f t="shared" ref="F11374:F11375" si="1722">ROUND(19,3)</f>
        <v>19</v>
      </c>
      <c r="G11374" s="12">
        <f t="shared" si="1721"/>
        <v>19</v>
      </c>
    </row>
    <row r="11375" ht="24.0" customHeight="1">
      <c r="A11375" s="10" t="s">
        <v>292</v>
      </c>
      <c r="B11375" s="10" t="s">
        <v>26</v>
      </c>
      <c r="C11375" s="10" t="s">
        <v>23</v>
      </c>
      <c r="D11375" s="10" t="s">
        <v>293</v>
      </c>
      <c r="E11375" s="14">
        <v>0.5</v>
      </c>
      <c r="F11375" s="15">
        <f t="shared" si="1722"/>
        <v>19</v>
      </c>
      <c r="G11375" s="12">
        <f t="shared" si="1721"/>
        <v>9.5</v>
      </c>
    </row>
    <row r="11376" ht="15.0" customHeight="1">
      <c r="A11376" s="11"/>
      <c r="B11376" s="11"/>
      <c r="C11376" s="11"/>
      <c r="D11376" s="10" t="s">
        <v>286</v>
      </c>
      <c r="E11376" s="14">
        <v>0.375</v>
      </c>
      <c r="F11376" s="15">
        <f>ROUND((G11373+G11374+G11375),3)</f>
        <v>49.5</v>
      </c>
      <c r="G11376" s="12">
        <f t="shared" si="1721"/>
        <v>18.56</v>
      </c>
    </row>
    <row r="11377" ht="15.0" customHeight="1">
      <c r="A11377" s="10" t="s">
        <v>32</v>
      </c>
      <c r="B11377" s="10"/>
      <c r="C11377" s="10" t="s">
        <v>33</v>
      </c>
      <c r="D11377" s="10" t="s">
        <v>34</v>
      </c>
      <c r="E11377" s="14">
        <v>3.0</v>
      </c>
      <c r="F11377" s="15">
        <f>ROUND(18.56,3)</f>
        <v>18.56</v>
      </c>
      <c r="G11377" s="12">
        <f>ROUND((E11377*F11377)/100,2)</f>
        <v>0.56</v>
      </c>
    </row>
    <row r="11378" ht="15.0" customHeight="1">
      <c r="A11378" s="16"/>
      <c r="B11378" s="16"/>
      <c r="C11378" s="16"/>
      <c r="D11378" s="17" t="s">
        <v>5008</v>
      </c>
      <c r="E11378" s="16"/>
      <c r="F11378" s="18">
        <f>ROUND((G11370+G11371+G11372+G11377)*(1+G2/100),2)</f>
        <v>21.31</v>
      </c>
      <c r="G11378" s="16"/>
    </row>
    <row r="11379" ht="30.0" customHeight="1">
      <c r="A11379" s="19" t="s">
        <v>5011</v>
      </c>
      <c r="B11379" s="20" t="s">
        <v>18</v>
      </c>
      <c r="C11379" s="20" t="s">
        <v>251</v>
      </c>
      <c r="D11379" s="20" t="s">
        <v>5012</v>
      </c>
      <c r="E11379" s="21"/>
      <c r="F11379" s="22">
        <f>F11389</f>
        <v>13.36</v>
      </c>
      <c r="G11379" s="21"/>
    </row>
    <row r="11380" ht="12.0" customHeight="1">
      <c r="A11380" s="11"/>
      <c r="B11380" s="11"/>
      <c r="C11380" s="11"/>
      <c r="D11380" s="10" t="s">
        <v>5013</v>
      </c>
    </row>
    <row r="11381" ht="39.75" customHeight="1">
      <c r="A11381" s="10" t="s">
        <v>5004</v>
      </c>
      <c r="B11381" s="10" t="s">
        <v>42</v>
      </c>
      <c r="C11381" s="10" t="s">
        <v>43</v>
      </c>
      <c r="D11381" s="10" t="s">
        <v>5005</v>
      </c>
      <c r="E11381" s="14">
        <v>0.0113</v>
      </c>
      <c r="F11381" s="15">
        <f>ROUND(110.7,3)</f>
        <v>110.7</v>
      </c>
      <c r="G11381" s="12">
        <f t="shared" ref="G11381:G11387" si="1723">ROUND(E11381*F11381,2)</f>
        <v>1.25</v>
      </c>
    </row>
    <row r="11382" ht="30.0" customHeight="1">
      <c r="A11382" s="10" t="s">
        <v>5014</v>
      </c>
      <c r="B11382" s="10" t="s">
        <v>42</v>
      </c>
      <c r="C11382" s="10" t="s">
        <v>276</v>
      </c>
      <c r="D11382" s="10" t="s">
        <v>5015</v>
      </c>
      <c r="E11382" s="14">
        <v>0.01667</v>
      </c>
      <c r="F11382" s="15">
        <f>ROUND(49.5,3)</f>
        <v>49.5</v>
      </c>
      <c r="G11382" s="12">
        <f t="shared" si="1723"/>
        <v>0.83</v>
      </c>
    </row>
    <row r="11383" ht="21.0" customHeight="1">
      <c r="A11383" s="10" t="s">
        <v>22</v>
      </c>
      <c r="B11383" s="10" t="s">
        <v>18</v>
      </c>
      <c r="C11383" s="10" t="s">
        <v>23</v>
      </c>
      <c r="D11383" s="10" t="s">
        <v>24</v>
      </c>
      <c r="E11383" s="14">
        <v>0.25</v>
      </c>
      <c r="F11383" s="15">
        <f>F11387</f>
        <v>43.8</v>
      </c>
      <c r="G11383" s="12">
        <f t="shared" si="1723"/>
        <v>10.95</v>
      </c>
    </row>
    <row r="11384" ht="24.0" customHeight="1">
      <c r="A11384" s="10" t="s">
        <v>25</v>
      </c>
      <c r="B11384" s="10" t="s">
        <v>26</v>
      </c>
      <c r="C11384" s="10" t="s">
        <v>23</v>
      </c>
      <c r="D11384" s="10" t="s">
        <v>27</v>
      </c>
      <c r="E11384" s="14">
        <v>1.0</v>
      </c>
      <c r="F11384" s="15">
        <f>ROUND(21,3)</f>
        <v>21</v>
      </c>
      <c r="G11384" s="12">
        <f t="shared" si="1723"/>
        <v>21</v>
      </c>
    </row>
    <row r="11385" ht="24.0" customHeight="1">
      <c r="A11385" s="10" t="s">
        <v>28</v>
      </c>
      <c r="B11385" s="10" t="s">
        <v>26</v>
      </c>
      <c r="C11385" s="10" t="s">
        <v>23</v>
      </c>
      <c r="D11385" s="10" t="s">
        <v>29</v>
      </c>
      <c r="E11385" s="14">
        <v>1.0</v>
      </c>
      <c r="F11385" s="15">
        <f t="shared" ref="F11385:F11386" si="1724">ROUND(19,3)</f>
        <v>19</v>
      </c>
      <c r="G11385" s="12">
        <f t="shared" si="1723"/>
        <v>19</v>
      </c>
    </row>
    <row r="11386" ht="24.0" customHeight="1">
      <c r="A11386" s="10" t="s">
        <v>30</v>
      </c>
      <c r="B11386" s="10" t="s">
        <v>26</v>
      </c>
      <c r="C11386" s="10" t="s">
        <v>23</v>
      </c>
      <c r="D11386" s="10" t="s">
        <v>31</v>
      </c>
      <c r="E11386" s="14">
        <v>0.2</v>
      </c>
      <c r="F11386" s="15">
        <f t="shared" si="1724"/>
        <v>19</v>
      </c>
      <c r="G11386" s="12">
        <f t="shared" si="1723"/>
        <v>3.8</v>
      </c>
    </row>
    <row r="11387" ht="15.0" customHeight="1">
      <c r="A11387" s="11"/>
      <c r="B11387" s="11"/>
      <c r="C11387" s="11"/>
      <c r="D11387" s="10" t="s">
        <v>22</v>
      </c>
      <c r="E11387" s="14">
        <v>0.25</v>
      </c>
      <c r="F11387" s="15">
        <f>ROUND((G11384+G11385+G11386),3)</f>
        <v>43.8</v>
      </c>
      <c r="G11387" s="12">
        <f t="shared" si="1723"/>
        <v>10.95</v>
      </c>
    </row>
    <row r="11388" ht="15.0" customHeight="1">
      <c r="A11388" s="10" t="s">
        <v>32</v>
      </c>
      <c r="B11388" s="10"/>
      <c r="C11388" s="10" t="s">
        <v>33</v>
      </c>
      <c r="D11388" s="10" t="s">
        <v>34</v>
      </c>
      <c r="E11388" s="14">
        <v>3.0</v>
      </c>
      <c r="F11388" s="15">
        <f>ROUND(10.95,3)</f>
        <v>10.95</v>
      </c>
      <c r="G11388" s="12">
        <f>ROUND((E11388*F11388)/100,2)</f>
        <v>0.33</v>
      </c>
    </row>
    <row r="11389" ht="15.0" customHeight="1">
      <c r="A11389" s="16"/>
      <c r="B11389" s="16"/>
      <c r="C11389" s="16"/>
      <c r="D11389" s="17" t="s">
        <v>5011</v>
      </c>
      <c r="E11389" s="16"/>
      <c r="F11389" s="18">
        <f>ROUND((G11381+G11382+G11383+G11388)*(1+G2/100),2)</f>
        <v>13.36</v>
      </c>
      <c r="G11389" s="16"/>
    </row>
    <row r="11390" ht="21.0" customHeight="1">
      <c r="A11390" s="19" t="s">
        <v>5016</v>
      </c>
      <c r="B11390" s="20" t="s">
        <v>18</v>
      </c>
      <c r="C11390" s="20" t="s">
        <v>251</v>
      </c>
      <c r="D11390" s="20" t="s">
        <v>5017</v>
      </c>
      <c r="E11390" s="21"/>
      <c r="F11390" s="22">
        <f>F11400</f>
        <v>18.88</v>
      </c>
      <c r="G11390" s="21"/>
    </row>
    <row r="11391" ht="39.75" customHeight="1">
      <c r="A11391" s="11"/>
      <c r="B11391" s="11"/>
      <c r="C11391" s="11"/>
      <c r="D11391" s="10" t="s">
        <v>5018</v>
      </c>
    </row>
    <row r="11392" ht="30.0" customHeight="1">
      <c r="A11392" s="10" t="s">
        <v>1938</v>
      </c>
      <c r="B11392" s="10" t="s">
        <v>42</v>
      </c>
      <c r="C11392" s="10" t="s">
        <v>1939</v>
      </c>
      <c r="D11392" s="10" t="s">
        <v>1940</v>
      </c>
      <c r="E11392" s="14">
        <v>0.1</v>
      </c>
      <c r="F11392" s="15">
        <f>ROUND(29.17,3)</f>
        <v>29.17</v>
      </c>
      <c r="G11392" s="12">
        <f t="shared" ref="G11392:G11398" si="1725">ROUND(E11392*F11392,2)</f>
        <v>2.92</v>
      </c>
    </row>
    <row r="11393" ht="24.0" customHeight="1">
      <c r="A11393" s="10" t="s">
        <v>5019</v>
      </c>
      <c r="B11393" s="10" t="s">
        <v>42</v>
      </c>
      <c r="C11393" s="10" t="s">
        <v>1939</v>
      </c>
      <c r="D11393" s="10" t="s">
        <v>5020</v>
      </c>
      <c r="E11393" s="14">
        <v>0.026</v>
      </c>
      <c r="F11393" s="15">
        <f>ROUND(180,3)</f>
        <v>180</v>
      </c>
      <c r="G11393" s="12">
        <f t="shared" si="1725"/>
        <v>4.68</v>
      </c>
    </row>
    <row r="11394" ht="21.0" customHeight="1">
      <c r="A11394" s="10" t="s">
        <v>22</v>
      </c>
      <c r="B11394" s="10" t="s">
        <v>18</v>
      </c>
      <c r="C11394" s="10" t="s">
        <v>23</v>
      </c>
      <c r="D11394" s="10" t="s">
        <v>24</v>
      </c>
      <c r="E11394" s="14">
        <v>0.25</v>
      </c>
      <c r="F11394" s="15">
        <f>F11398</f>
        <v>43.8</v>
      </c>
      <c r="G11394" s="12">
        <f t="shared" si="1725"/>
        <v>10.95</v>
      </c>
    </row>
    <row r="11395" ht="24.0" customHeight="1">
      <c r="A11395" s="10" t="s">
        <v>25</v>
      </c>
      <c r="B11395" s="10" t="s">
        <v>26</v>
      </c>
      <c r="C11395" s="10" t="s">
        <v>23</v>
      </c>
      <c r="D11395" s="10" t="s">
        <v>27</v>
      </c>
      <c r="E11395" s="14">
        <v>1.0</v>
      </c>
      <c r="F11395" s="15">
        <f>ROUND(21,3)</f>
        <v>21</v>
      </c>
      <c r="G11395" s="12">
        <f t="shared" si="1725"/>
        <v>21</v>
      </c>
    </row>
    <row r="11396" ht="24.0" customHeight="1">
      <c r="A11396" s="10" t="s">
        <v>28</v>
      </c>
      <c r="B11396" s="10" t="s">
        <v>26</v>
      </c>
      <c r="C11396" s="10" t="s">
        <v>23</v>
      </c>
      <c r="D11396" s="10" t="s">
        <v>29</v>
      </c>
      <c r="E11396" s="14">
        <v>1.0</v>
      </c>
      <c r="F11396" s="15">
        <f t="shared" ref="F11396:F11397" si="1726">ROUND(19,3)</f>
        <v>19</v>
      </c>
      <c r="G11396" s="12">
        <f t="shared" si="1725"/>
        <v>19</v>
      </c>
    </row>
    <row r="11397" ht="24.0" customHeight="1">
      <c r="A11397" s="10" t="s">
        <v>30</v>
      </c>
      <c r="B11397" s="10" t="s">
        <v>26</v>
      </c>
      <c r="C11397" s="10" t="s">
        <v>23</v>
      </c>
      <c r="D11397" s="10" t="s">
        <v>31</v>
      </c>
      <c r="E11397" s="14">
        <v>0.2</v>
      </c>
      <c r="F11397" s="15">
        <f t="shared" si="1726"/>
        <v>19</v>
      </c>
      <c r="G11397" s="12">
        <f t="shared" si="1725"/>
        <v>3.8</v>
      </c>
    </row>
    <row r="11398" ht="15.0" customHeight="1">
      <c r="A11398" s="11"/>
      <c r="B11398" s="11"/>
      <c r="C11398" s="11"/>
      <c r="D11398" s="10" t="s">
        <v>22</v>
      </c>
      <c r="E11398" s="14">
        <v>0.25</v>
      </c>
      <c r="F11398" s="15">
        <f>ROUND((G11395+G11396+G11397),3)</f>
        <v>43.8</v>
      </c>
      <c r="G11398" s="12">
        <f t="shared" si="1725"/>
        <v>10.95</v>
      </c>
    </row>
    <row r="11399" ht="15.0" customHeight="1">
      <c r="A11399" s="10" t="s">
        <v>32</v>
      </c>
      <c r="B11399" s="10"/>
      <c r="C11399" s="10" t="s">
        <v>33</v>
      </c>
      <c r="D11399" s="10" t="s">
        <v>34</v>
      </c>
      <c r="E11399" s="14">
        <v>3.0</v>
      </c>
      <c r="F11399" s="15">
        <f>ROUND(10.95,3)</f>
        <v>10.95</v>
      </c>
      <c r="G11399" s="12">
        <f>ROUND((E11399*F11399)/100,2)</f>
        <v>0.33</v>
      </c>
    </row>
    <row r="11400" ht="15.0" customHeight="1">
      <c r="A11400" s="16"/>
      <c r="B11400" s="16"/>
      <c r="C11400" s="16"/>
      <c r="D11400" s="17" t="s">
        <v>5016</v>
      </c>
      <c r="E11400" s="16"/>
      <c r="F11400" s="18">
        <f>ROUND((G11392+G11393+G11394+G11399)*(1+G2/100),2)</f>
        <v>18.88</v>
      </c>
      <c r="G11400" s="16"/>
    </row>
    <row r="11401" ht="21.0" customHeight="1">
      <c r="A11401" s="19" t="s">
        <v>5021</v>
      </c>
      <c r="B11401" s="20" t="s">
        <v>18</v>
      </c>
      <c r="C11401" s="20" t="s">
        <v>251</v>
      </c>
      <c r="D11401" s="20" t="s">
        <v>5022</v>
      </c>
      <c r="E11401" s="21"/>
      <c r="F11401" s="22">
        <f>F11411</f>
        <v>13.88</v>
      </c>
      <c r="G11401" s="21"/>
    </row>
    <row r="11402" ht="39.75" customHeight="1">
      <c r="A11402" s="11"/>
      <c r="B11402" s="11"/>
      <c r="C11402" s="11"/>
      <c r="D11402" s="10" t="s">
        <v>5023</v>
      </c>
    </row>
    <row r="11403" ht="39.75" customHeight="1">
      <c r="A11403" s="10" t="s">
        <v>5024</v>
      </c>
      <c r="B11403" s="10" t="s">
        <v>42</v>
      </c>
      <c r="C11403" s="10" t="s">
        <v>43</v>
      </c>
      <c r="D11403" s="10" t="s">
        <v>5025</v>
      </c>
      <c r="E11403" s="14">
        <v>0.02625</v>
      </c>
      <c r="F11403" s="15">
        <f>ROUND(35.18,3)</f>
        <v>35.18</v>
      </c>
      <c r="G11403" s="12">
        <f t="shared" ref="G11403:G11409" si="1727">ROUND(E11403*F11403,2)</f>
        <v>0.92</v>
      </c>
    </row>
    <row r="11404" ht="39.75" customHeight="1">
      <c r="A11404" s="10" t="s">
        <v>5026</v>
      </c>
      <c r="B11404" s="10" t="s">
        <v>42</v>
      </c>
      <c r="C11404" s="10" t="s">
        <v>43</v>
      </c>
      <c r="D11404" s="10" t="s">
        <v>5027</v>
      </c>
      <c r="E11404" s="14">
        <v>0.07</v>
      </c>
      <c r="F11404" s="15">
        <f>ROUND(36.95,3)</f>
        <v>36.95</v>
      </c>
      <c r="G11404" s="12">
        <f t="shared" si="1727"/>
        <v>2.59</v>
      </c>
    </row>
    <row r="11405" ht="21.0" customHeight="1">
      <c r="A11405" s="10" t="s">
        <v>22</v>
      </c>
      <c r="B11405" s="10" t="s">
        <v>18</v>
      </c>
      <c r="C11405" s="10" t="s">
        <v>23</v>
      </c>
      <c r="D11405" s="10" t="s">
        <v>24</v>
      </c>
      <c r="E11405" s="14">
        <v>0.23</v>
      </c>
      <c r="F11405" s="15">
        <f>F11409</f>
        <v>43.8</v>
      </c>
      <c r="G11405" s="12">
        <f t="shared" si="1727"/>
        <v>10.07</v>
      </c>
    </row>
    <row r="11406" ht="24.0" customHeight="1">
      <c r="A11406" s="10" t="s">
        <v>25</v>
      </c>
      <c r="B11406" s="10" t="s">
        <v>26</v>
      </c>
      <c r="C11406" s="10" t="s">
        <v>23</v>
      </c>
      <c r="D11406" s="10" t="s">
        <v>27</v>
      </c>
      <c r="E11406" s="14">
        <v>1.0</v>
      </c>
      <c r="F11406" s="15">
        <f>ROUND(21,3)</f>
        <v>21</v>
      </c>
      <c r="G11406" s="12">
        <f t="shared" si="1727"/>
        <v>21</v>
      </c>
    </row>
    <row r="11407" ht="24.0" customHeight="1">
      <c r="A11407" s="10" t="s">
        <v>28</v>
      </c>
      <c r="B11407" s="10" t="s">
        <v>26</v>
      </c>
      <c r="C11407" s="10" t="s">
        <v>23</v>
      </c>
      <c r="D11407" s="10" t="s">
        <v>29</v>
      </c>
      <c r="E11407" s="14">
        <v>1.0</v>
      </c>
      <c r="F11407" s="15">
        <f t="shared" ref="F11407:F11408" si="1728">ROUND(19,3)</f>
        <v>19</v>
      </c>
      <c r="G11407" s="12">
        <f t="shared" si="1727"/>
        <v>19</v>
      </c>
    </row>
    <row r="11408" ht="24.0" customHeight="1">
      <c r="A11408" s="10" t="s">
        <v>30</v>
      </c>
      <c r="B11408" s="10" t="s">
        <v>26</v>
      </c>
      <c r="C11408" s="10" t="s">
        <v>23</v>
      </c>
      <c r="D11408" s="10" t="s">
        <v>31</v>
      </c>
      <c r="E11408" s="14">
        <v>0.2</v>
      </c>
      <c r="F11408" s="15">
        <f t="shared" si="1728"/>
        <v>19</v>
      </c>
      <c r="G11408" s="12">
        <f t="shared" si="1727"/>
        <v>3.8</v>
      </c>
    </row>
    <row r="11409" ht="15.0" customHeight="1">
      <c r="A11409" s="11"/>
      <c r="B11409" s="11"/>
      <c r="C11409" s="11"/>
      <c r="D11409" s="10" t="s">
        <v>22</v>
      </c>
      <c r="E11409" s="14">
        <v>0.23</v>
      </c>
      <c r="F11409" s="15">
        <f>ROUND((G11406+G11407+G11408),3)</f>
        <v>43.8</v>
      </c>
      <c r="G11409" s="12">
        <f t="shared" si="1727"/>
        <v>10.07</v>
      </c>
    </row>
    <row r="11410" ht="15.0" customHeight="1">
      <c r="A11410" s="10" t="s">
        <v>32</v>
      </c>
      <c r="B11410" s="10"/>
      <c r="C11410" s="10" t="s">
        <v>33</v>
      </c>
      <c r="D11410" s="10" t="s">
        <v>34</v>
      </c>
      <c r="E11410" s="14">
        <v>3.0</v>
      </c>
      <c r="F11410" s="15">
        <f>ROUND(10.07,3)</f>
        <v>10.07</v>
      </c>
      <c r="G11410" s="12">
        <f>ROUND((E11410*F11410)/100,2)</f>
        <v>0.3</v>
      </c>
    </row>
    <row r="11411" ht="15.0" customHeight="1">
      <c r="A11411" s="16"/>
      <c r="B11411" s="16"/>
      <c r="C11411" s="16"/>
      <c r="D11411" s="17" t="s">
        <v>5021</v>
      </c>
      <c r="E11411" s="16"/>
      <c r="F11411" s="18">
        <f>ROUND((G11403+G11404+G11405+G11410)*(1+G2/100),2)</f>
        <v>13.88</v>
      </c>
      <c r="G11411" s="16"/>
    </row>
    <row r="11412" ht="30.0" customHeight="1">
      <c r="A11412" s="19" t="s">
        <v>5028</v>
      </c>
      <c r="B11412" s="20" t="s">
        <v>18</v>
      </c>
      <c r="C11412" s="20" t="s">
        <v>251</v>
      </c>
      <c r="D11412" s="20" t="s">
        <v>5029</v>
      </c>
      <c r="E11412" s="21"/>
      <c r="F11412" s="22">
        <f>F11422</f>
        <v>22.63</v>
      </c>
      <c r="G11412" s="21"/>
    </row>
    <row r="11413" ht="39.75" customHeight="1">
      <c r="A11413" s="11"/>
      <c r="B11413" s="11"/>
      <c r="C11413" s="11"/>
      <c r="D11413" s="10" t="s">
        <v>5030</v>
      </c>
    </row>
    <row r="11414" ht="39.75" customHeight="1">
      <c r="A11414" s="10" t="s">
        <v>5024</v>
      </c>
      <c r="B11414" s="10" t="s">
        <v>42</v>
      </c>
      <c r="C11414" s="10" t="s">
        <v>43</v>
      </c>
      <c r="D11414" s="10" t="s">
        <v>5025</v>
      </c>
      <c r="E11414" s="14">
        <v>0.02625</v>
      </c>
      <c r="F11414" s="15">
        <f>ROUND(35.18,3)</f>
        <v>35.18</v>
      </c>
      <c r="G11414" s="12">
        <f t="shared" ref="G11414:G11420" si="1729">ROUND(E11414*F11414,2)</f>
        <v>0.92</v>
      </c>
    </row>
    <row r="11415" ht="39.75" customHeight="1">
      <c r="A11415" s="10" t="s">
        <v>5026</v>
      </c>
      <c r="B11415" s="10" t="s">
        <v>42</v>
      </c>
      <c r="C11415" s="10" t="s">
        <v>43</v>
      </c>
      <c r="D11415" s="10" t="s">
        <v>5027</v>
      </c>
      <c r="E11415" s="14">
        <v>0.07</v>
      </c>
      <c r="F11415" s="15">
        <f>ROUND(36.95,3)</f>
        <v>36.95</v>
      </c>
      <c r="G11415" s="12">
        <f t="shared" si="1729"/>
        <v>2.59</v>
      </c>
    </row>
    <row r="11416" ht="24.0" customHeight="1">
      <c r="A11416" s="10" t="s">
        <v>286</v>
      </c>
      <c r="B11416" s="10" t="s">
        <v>18</v>
      </c>
      <c r="C11416" s="10" t="s">
        <v>23</v>
      </c>
      <c r="D11416" s="10" t="s">
        <v>287</v>
      </c>
      <c r="E11416" s="14">
        <v>0.375</v>
      </c>
      <c r="F11416" s="15">
        <f>F11420</f>
        <v>49.5</v>
      </c>
      <c r="G11416" s="12">
        <f t="shared" si="1729"/>
        <v>18.56</v>
      </c>
    </row>
    <row r="11417" ht="24.0" customHeight="1">
      <c r="A11417" s="10" t="s">
        <v>288</v>
      </c>
      <c r="B11417" s="10" t="s">
        <v>26</v>
      </c>
      <c r="C11417" s="10" t="s">
        <v>23</v>
      </c>
      <c r="D11417" s="10" t="s">
        <v>289</v>
      </c>
      <c r="E11417" s="14">
        <v>1.0</v>
      </c>
      <c r="F11417" s="15">
        <f>ROUND(21,3)</f>
        <v>21</v>
      </c>
      <c r="G11417" s="12">
        <f t="shared" si="1729"/>
        <v>21</v>
      </c>
    </row>
    <row r="11418" ht="24.0" customHeight="1">
      <c r="A11418" s="10" t="s">
        <v>290</v>
      </c>
      <c r="B11418" s="10" t="s">
        <v>26</v>
      </c>
      <c r="C11418" s="10" t="s">
        <v>23</v>
      </c>
      <c r="D11418" s="10" t="s">
        <v>291</v>
      </c>
      <c r="E11418" s="14">
        <v>1.0</v>
      </c>
      <c r="F11418" s="15">
        <f t="shared" ref="F11418:F11419" si="1730">ROUND(19,3)</f>
        <v>19</v>
      </c>
      <c r="G11418" s="12">
        <f t="shared" si="1729"/>
        <v>19</v>
      </c>
    </row>
    <row r="11419" ht="24.0" customHeight="1">
      <c r="A11419" s="10" t="s">
        <v>292</v>
      </c>
      <c r="B11419" s="10" t="s">
        <v>26</v>
      </c>
      <c r="C11419" s="10" t="s">
        <v>23</v>
      </c>
      <c r="D11419" s="10" t="s">
        <v>293</v>
      </c>
      <c r="E11419" s="14">
        <v>0.5</v>
      </c>
      <c r="F11419" s="15">
        <f t="shared" si="1730"/>
        <v>19</v>
      </c>
      <c r="G11419" s="12">
        <f t="shared" si="1729"/>
        <v>9.5</v>
      </c>
    </row>
    <row r="11420" ht="15.0" customHeight="1">
      <c r="A11420" s="11"/>
      <c r="B11420" s="11"/>
      <c r="C11420" s="11"/>
      <c r="D11420" s="10" t="s">
        <v>286</v>
      </c>
      <c r="E11420" s="14">
        <v>0.375</v>
      </c>
      <c r="F11420" s="15">
        <f>ROUND((G11417+G11418+G11419),3)</f>
        <v>49.5</v>
      </c>
      <c r="G11420" s="12">
        <f t="shared" si="1729"/>
        <v>18.56</v>
      </c>
    </row>
    <row r="11421" ht="15.0" customHeight="1">
      <c r="A11421" s="10" t="s">
        <v>32</v>
      </c>
      <c r="B11421" s="10"/>
      <c r="C11421" s="10" t="s">
        <v>33</v>
      </c>
      <c r="D11421" s="10" t="s">
        <v>34</v>
      </c>
      <c r="E11421" s="14">
        <v>3.0</v>
      </c>
      <c r="F11421" s="15">
        <f>ROUND(18.56,3)</f>
        <v>18.56</v>
      </c>
      <c r="G11421" s="12">
        <f>ROUND((E11421*F11421)/100,2)</f>
        <v>0.56</v>
      </c>
    </row>
    <row r="11422" ht="15.0" customHeight="1">
      <c r="A11422" s="16"/>
      <c r="B11422" s="16"/>
      <c r="C11422" s="16"/>
      <c r="D11422" s="17" t="s">
        <v>5028</v>
      </c>
      <c r="E11422" s="16"/>
      <c r="F11422" s="18">
        <f>ROUND((G11414+G11415+G11416+G11421)*(1+G2/100),2)</f>
        <v>22.63</v>
      </c>
      <c r="G11422" s="16"/>
    </row>
    <row r="11423" ht="21.0" customHeight="1">
      <c r="A11423" s="19" t="s">
        <v>5031</v>
      </c>
      <c r="B11423" s="20" t="s">
        <v>18</v>
      </c>
      <c r="C11423" s="20" t="s">
        <v>251</v>
      </c>
      <c r="D11423" s="20" t="s">
        <v>5032</v>
      </c>
      <c r="E11423" s="21"/>
      <c r="F11423" s="22">
        <f>F11433</f>
        <v>14.71</v>
      </c>
      <c r="G11423" s="21"/>
    </row>
    <row r="11424" ht="30.0" customHeight="1">
      <c r="A11424" s="11"/>
      <c r="B11424" s="11"/>
      <c r="C11424" s="11"/>
      <c r="D11424" s="10" t="s">
        <v>5033</v>
      </c>
    </row>
    <row r="11425" ht="39.75" customHeight="1">
      <c r="A11425" s="10" t="s">
        <v>5034</v>
      </c>
      <c r="B11425" s="10" t="s">
        <v>42</v>
      </c>
      <c r="C11425" s="10" t="s">
        <v>276</v>
      </c>
      <c r="D11425" s="10" t="s">
        <v>5035</v>
      </c>
      <c r="E11425" s="14">
        <v>0.011</v>
      </c>
      <c r="F11425" s="15">
        <f>ROUND(138.04,3)</f>
        <v>138.04</v>
      </c>
      <c r="G11425" s="12">
        <f t="shared" ref="G11425:G11431" si="1731">ROUND(E11425*F11425,2)</f>
        <v>1.52</v>
      </c>
    </row>
    <row r="11426" ht="39.75" customHeight="1">
      <c r="A11426" s="10" t="s">
        <v>5036</v>
      </c>
      <c r="B11426" s="10" t="s">
        <v>42</v>
      </c>
      <c r="C11426" s="10" t="s">
        <v>43</v>
      </c>
      <c r="D11426" s="10" t="s">
        <v>5037</v>
      </c>
      <c r="E11426" s="14">
        <v>0.0222</v>
      </c>
      <c r="F11426" s="15">
        <f>ROUND(86.21,3)</f>
        <v>86.21</v>
      </c>
      <c r="G11426" s="12">
        <f t="shared" si="1731"/>
        <v>1.91</v>
      </c>
    </row>
    <row r="11427" ht="21.0" customHeight="1">
      <c r="A11427" s="10" t="s">
        <v>22</v>
      </c>
      <c r="B11427" s="10" t="s">
        <v>18</v>
      </c>
      <c r="C11427" s="10" t="s">
        <v>23</v>
      </c>
      <c r="D11427" s="10" t="s">
        <v>24</v>
      </c>
      <c r="E11427" s="14">
        <v>0.25</v>
      </c>
      <c r="F11427" s="15">
        <f>F11431</f>
        <v>43.8</v>
      </c>
      <c r="G11427" s="12">
        <f t="shared" si="1731"/>
        <v>10.95</v>
      </c>
    </row>
    <row r="11428" ht="24.0" customHeight="1">
      <c r="A11428" s="10" t="s">
        <v>25</v>
      </c>
      <c r="B11428" s="10" t="s">
        <v>26</v>
      </c>
      <c r="C11428" s="10" t="s">
        <v>23</v>
      </c>
      <c r="D11428" s="10" t="s">
        <v>27</v>
      </c>
      <c r="E11428" s="14">
        <v>1.0</v>
      </c>
      <c r="F11428" s="15">
        <f>ROUND(21,3)</f>
        <v>21</v>
      </c>
      <c r="G11428" s="12">
        <f t="shared" si="1731"/>
        <v>21</v>
      </c>
    </row>
    <row r="11429" ht="24.0" customHeight="1">
      <c r="A11429" s="10" t="s">
        <v>28</v>
      </c>
      <c r="B11429" s="10" t="s">
        <v>26</v>
      </c>
      <c r="C11429" s="10" t="s">
        <v>23</v>
      </c>
      <c r="D11429" s="10" t="s">
        <v>29</v>
      </c>
      <c r="E11429" s="14">
        <v>1.0</v>
      </c>
      <c r="F11429" s="15">
        <f t="shared" ref="F11429:F11430" si="1732">ROUND(19,3)</f>
        <v>19</v>
      </c>
      <c r="G11429" s="12">
        <f t="shared" si="1731"/>
        <v>19</v>
      </c>
    </row>
    <row r="11430" ht="24.0" customHeight="1">
      <c r="A11430" s="10" t="s">
        <v>30</v>
      </c>
      <c r="B11430" s="10" t="s">
        <v>26</v>
      </c>
      <c r="C11430" s="10" t="s">
        <v>23</v>
      </c>
      <c r="D11430" s="10" t="s">
        <v>31</v>
      </c>
      <c r="E11430" s="14">
        <v>0.2</v>
      </c>
      <c r="F11430" s="15">
        <f t="shared" si="1732"/>
        <v>19</v>
      </c>
      <c r="G11430" s="12">
        <f t="shared" si="1731"/>
        <v>3.8</v>
      </c>
    </row>
    <row r="11431" ht="15.0" customHeight="1">
      <c r="A11431" s="11"/>
      <c r="B11431" s="11"/>
      <c r="C11431" s="11"/>
      <c r="D11431" s="10" t="s">
        <v>22</v>
      </c>
      <c r="E11431" s="14">
        <v>0.25</v>
      </c>
      <c r="F11431" s="15">
        <f>ROUND((G11428+G11429+G11430),3)</f>
        <v>43.8</v>
      </c>
      <c r="G11431" s="12">
        <f t="shared" si="1731"/>
        <v>10.95</v>
      </c>
    </row>
    <row r="11432" ht="15.0" customHeight="1">
      <c r="A11432" s="10" t="s">
        <v>32</v>
      </c>
      <c r="B11432" s="10"/>
      <c r="C11432" s="10" t="s">
        <v>33</v>
      </c>
      <c r="D11432" s="10" t="s">
        <v>34</v>
      </c>
      <c r="E11432" s="14">
        <v>3.0</v>
      </c>
      <c r="F11432" s="15">
        <f>ROUND(10.95,3)</f>
        <v>10.95</v>
      </c>
      <c r="G11432" s="12">
        <f>ROUND((E11432*F11432)/100,2)</f>
        <v>0.33</v>
      </c>
    </row>
    <row r="11433" ht="15.0" customHeight="1">
      <c r="A11433" s="16"/>
      <c r="B11433" s="16"/>
      <c r="C11433" s="16"/>
      <c r="D11433" s="17" t="s">
        <v>5031</v>
      </c>
      <c r="E11433" s="16"/>
      <c r="F11433" s="18">
        <f>ROUND((G11425+G11426+G11427+G11432)*(1+G2/100),2)</f>
        <v>14.71</v>
      </c>
      <c r="G11433" s="16"/>
    </row>
    <row r="11434" ht="30.0" customHeight="1">
      <c r="A11434" s="19" t="s">
        <v>5038</v>
      </c>
      <c r="B11434" s="20" t="s">
        <v>18</v>
      </c>
      <c r="C11434" s="20" t="s">
        <v>251</v>
      </c>
      <c r="D11434" s="20" t="s">
        <v>5039</v>
      </c>
      <c r="E11434" s="21"/>
      <c r="F11434" s="22">
        <f>F11444</f>
        <v>22.55</v>
      </c>
      <c r="G11434" s="21"/>
    </row>
    <row r="11435" ht="30.0" customHeight="1">
      <c r="A11435" s="11"/>
      <c r="B11435" s="11"/>
      <c r="C11435" s="11"/>
      <c r="D11435" s="10" t="s">
        <v>5033</v>
      </c>
    </row>
    <row r="11436" ht="39.75" customHeight="1">
      <c r="A11436" s="10" t="s">
        <v>5034</v>
      </c>
      <c r="B11436" s="10" t="s">
        <v>42</v>
      </c>
      <c r="C11436" s="10" t="s">
        <v>276</v>
      </c>
      <c r="D11436" s="10" t="s">
        <v>5035</v>
      </c>
      <c r="E11436" s="14">
        <v>0.011</v>
      </c>
      <c r="F11436" s="15">
        <f>ROUND(138.04,3)</f>
        <v>138.04</v>
      </c>
      <c r="G11436" s="12">
        <f t="shared" ref="G11436:G11442" si="1733">ROUND(E11436*F11436,2)</f>
        <v>1.52</v>
      </c>
    </row>
    <row r="11437" ht="39.75" customHeight="1">
      <c r="A11437" s="10" t="s">
        <v>5036</v>
      </c>
      <c r="B11437" s="10" t="s">
        <v>42</v>
      </c>
      <c r="C11437" s="10" t="s">
        <v>43</v>
      </c>
      <c r="D11437" s="10" t="s">
        <v>5037</v>
      </c>
      <c r="E11437" s="14">
        <v>0.0222</v>
      </c>
      <c r="F11437" s="15">
        <f>ROUND(86.21,3)</f>
        <v>86.21</v>
      </c>
      <c r="G11437" s="12">
        <f t="shared" si="1733"/>
        <v>1.91</v>
      </c>
    </row>
    <row r="11438" ht="24.0" customHeight="1">
      <c r="A11438" s="10" t="s">
        <v>286</v>
      </c>
      <c r="B11438" s="10" t="s">
        <v>18</v>
      </c>
      <c r="C11438" s="10" t="s">
        <v>23</v>
      </c>
      <c r="D11438" s="10" t="s">
        <v>287</v>
      </c>
      <c r="E11438" s="14">
        <v>0.375</v>
      </c>
      <c r="F11438" s="15">
        <f>F11442</f>
        <v>49.5</v>
      </c>
      <c r="G11438" s="12">
        <f t="shared" si="1733"/>
        <v>18.56</v>
      </c>
    </row>
    <row r="11439" ht="24.0" customHeight="1">
      <c r="A11439" s="10" t="s">
        <v>288</v>
      </c>
      <c r="B11439" s="10" t="s">
        <v>26</v>
      </c>
      <c r="C11439" s="10" t="s">
        <v>23</v>
      </c>
      <c r="D11439" s="10" t="s">
        <v>289</v>
      </c>
      <c r="E11439" s="14">
        <v>1.0</v>
      </c>
      <c r="F11439" s="15">
        <f>ROUND(21,3)</f>
        <v>21</v>
      </c>
      <c r="G11439" s="12">
        <f t="shared" si="1733"/>
        <v>21</v>
      </c>
    </row>
    <row r="11440" ht="24.0" customHeight="1">
      <c r="A11440" s="10" t="s">
        <v>290</v>
      </c>
      <c r="B11440" s="10" t="s">
        <v>26</v>
      </c>
      <c r="C11440" s="10" t="s">
        <v>23</v>
      </c>
      <c r="D11440" s="10" t="s">
        <v>291</v>
      </c>
      <c r="E11440" s="14">
        <v>1.0</v>
      </c>
      <c r="F11440" s="15">
        <f t="shared" ref="F11440:F11441" si="1734">ROUND(19,3)</f>
        <v>19</v>
      </c>
      <c r="G11440" s="12">
        <f t="shared" si="1733"/>
        <v>19</v>
      </c>
    </row>
    <row r="11441" ht="24.0" customHeight="1">
      <c r="A11441" s="10" t="s">
        <v>292</v>
      </c>
      <c r="B11441" s="10" t="s">
        <v>26</v>
      </c>
      <c r="C11441" s="10" t="s">
        <v>23</v>
      </c>
      <c r="D11441" s="10" t="s">
        <v>293</v>
      </c>
      <c r="E11441" s="14">
        <v>0.5</v>
      </c>
      <c r="F11441" s="15">
        <f t="shared" si="1734"/>
        <v>19</v>
      </c>
      <c r="G11441" s="12">
        <f t="shared" si="1733"/>
        <v>9.5</v>
      </c>
    </row>
    <row r="11442" ht="15.0" customHeight="1">
      <c r="A11442" s="11"/>
      <c r="B11442" s="11"/>
      <c r="C11442" s="11"/>
      <c r="D11442" s="10" t="s">
        <v>286</v>
      </c>
      <c r="E11442" s="14">
        <v>0.375</v>
      </c>
      <c r="F11442" s="15">
        <f>ROUND((G11439+G11440+G11441),3)</f>
        <v>49.5</v>
      </c>
      <c r="G11442" s="12">
        <f t="shared" si="1733"/>
        <v>18.56</v>
      </c>
    </row>
    <row r="11443" ht="15.0" customHeight="1">
      <c r="A11443" s="10" t="s">
        <v>32</v>
      </c>
      <c r="B11443" s="10"/>
      <c r="C11443" s="10" t="s">
        <v>33</v>
      </c>
      <c r="D11443" s="10" t="s">
        <v>34</v>
      </c>
      <c r="E11443" s="14">
        <v>3.0</v>
      </c>
      <c r="F11443" s="15">
        <f>ROUND(18.56,3)</f>
        <v>18.56</v>
      </c>
      <c r="G11443" s="12">
        <f>ROUND((E11443*F11443)/100,2)</f>
        <v>0.56</v>
      </c>
    </row>
    <row r="11444" ht="15.0" customHeight="1">
      <c r="A11444" s="16"/>
      <c r="B11444" s="16"/>
      <c r="C11444" s="16"/>
      <c r="D11444" s="17" t="s">
        <v>5038</v>
      </c>
      <c r="E11444" s="16"/>
      <c r="F11444" s="18">
        <f>ROUND((G11436+G11437+G11438+G11443)*(1+G2/100),2)</f>
        <v>22.55</v>
      </c>
      <c r="G11444" s="16"/>
    </row>
    <row r="11445" ht="21.0" customHeight="1">
      <c r="A11445" s="19" t="s">
        <v>5040</v>
      </c>
      <c r="B11445" s="20" t="s">
        <v>18</v>
      </c>
      <c r="C11445" s="20" t="s">
        <v>251</v>
      </c>
      <c r="D11445" s="20" t="s">
        <v>5041</v>
      </c>
      <c r="E11445" s="21"/>
      <c r="F11445" s="22">
        <f>F11454</f>
        <v>13</v>
      </c>
      <c r="G11445" s="21"/>
    </row>
    <row r="11446" ht="21.0" customHeight="1">
      <c r="A11446" s="11"/>
      <c r="B11446" s="11"/>
      <c r="C11446" s="11"/>
      <c r="D11446" s="10" t="s">
        <v>5042</v>
      </c>
    </row>
    <row r="11447" ht="39.75" customHeight="1">
      <c r="A11447" s="10" t="s">
        <v>1414</v>
      </c>
      <c r="B11447" s="10" t="s">
        <v>42</v>
      </c>
      <c r="C11447" s="10" t="s">
        <v>276</v>
      </c>
      <c r="D11447" s="10" t="s">
        <v>1415</v>
      </c>
      <c r="E11447" s="14">
        <v>0.02</v>
      </c>
      <c r="F11447" s="15">
        <f>ROUND(86,3)</f>
        <v>86</v>
      </c>
      <c r="G11447" s="12">
        <f t="shared" ref="G11447:G11452" si="1735">ROUND(E11447*F11447,2)</f>
        <v>1.72</v>
      </c>
    </row>
    <row r="11448" ht="21.0" customHeight="1">
      <c r="A11448" s="10" t="s">
        <v>22</v>
      </c>
      <c r="B11448" s="10" t="s">
        <v>18</v>
      </c>
      <c r="C11448" s="10" t="s">
        <v>23</v>
      </c>
      <c r="D11448" s="10" t="s">
        <v>24</v>
      </c>
      <c r="E11448" s="14">
        <v>0.25</v>
      </c>
      <c r="F11448" s="15">
        <f>F11452</f>
        <v>43.8</v>
      </c>
      <c r="G11448" s="12">
        <f t="shared" si="1735"/>
        <v>10.95</v>
      </c>
    </row>
    <row r="11449" ht="24.0" customHeight="1">
      <c r="A11449" s="10" t="s">
        <v>25</v>
      </c>
      <c r="B11449" s="10" t="s">
        <v>26</v>
      </c>
      <c r="C11449" s="10" t="s">
        <v>23</v>
      </c>
      <c r="D11449" s="10" t="s">
        <v>27</v>
      </c>
      <c r="E11449" s="14">
        <v>1.0</v>
      </c>
      <c r="F11449" s="15">
        <f>ROUND(21,3)</f>
        <v>21</v>
      </c>
      <c r="G11449" s="12">
        <f t="shared" si="1735"/>
        <v>21</v>
      </c>
    </row>
    <row r="11450" ht="24.0" customHeight="1">
      <c r="A11450" s="10" t="s">
        <v>28</v>
      </c>
      <c r="B11450" s="10" t="s">
        <v>26</v>
      </c>
      <c r="C11450" s="10" t="s">
        <v>23</v>
      </c>
      <c r="D11450" s="10" t="s">
        <v>29</v>
      </c>
      <c r="E11450" s="14">
        <v>1.0</v>
      </c>
      <c r="F11450" s="15">
        <f t="shared" ref="F11450:F11451" si="1736">ROUND(19,3)</f>
        <v>19</v>
      </c>
      <c r="G11450" s="12">
        <f t="shared" si="1735"/>
        <v>19</v>
      </c>
    </row>
    <row r="11451" ht="24.0" customHeight="1">
      <c r="A11451" s="10" t="s">
        <v>30</v>
      </c>
      <c r="B11451" s="10" t="s">
        <v>26</v>
      </c>
      <c r="C11451" s="10" t="s">
        <v>23</v>
      </c>
      <c r="D11451" s="10" t="s">
        <v>31</v>
      </c>
      <c r="E11451" s="14">
        <v>0.2</v>
      </c>
      <c r="F11451" s="15">
        <f t="shared" si="1736"/>
        <v>19</v>
      </c>
      <c r="G11451" s="12">
        <f t="shared" si="1735"/>
        <v>3.8</v>
      </c>
    </row>
    <row r="11452" ht="15.0" customHeight="1">
      <c r="A11452" s="11"/>
      <c r="B11452" s="11"/>
      <c r="C11452" s="11"/>
      <c r="D11452" s="10" t="s">
        <v>22</v>
      </c>
      <c r="E11452" s="14">
        <v>0.25</v>
      </c>
      <c r="F11452" s="15">
        <f>ROUND((G11449+G11450+G11451),3)</f>
        <v>43.8</v>
      </c>
      <c r="G11452" s="12">
        <f t="shared" si="1735"/>
        <v>10.95</v>
      </c>
    </row>
    <row r="11453" ht="15.0" customHeight="1">
      <c r="A11453" s="10" t="s">
        <v>32</v>
      </c>
      <c r="B11453" s="10"/>
      <c r="C11453" s="10" t="s">
        <v>33</v>
      </c>
      <c r="D11453" s="10" t="s">
        <v>34</v>
      </c>
      <c r="E11453" s="14">
        <v>3.0</v>
      </c>
      <c r="F11453" s="15">
        <f>ROUND(10.95,3)</f>
        <v>10.95</v>
      </c>
      <c r="G11453" s="12">
        <f>ROUND((E11453*F11453)/100,2)</f>
        <v>0.33</v>
      </c>
    </row>
    <row r="11454" ht="15.0" customHeight="1">
      <c r="A11454" s="16"/>
      <c r="B11454" s="16"/>
      <c r="C11454" s="16"/>
      <c r="D11454" s="17" t="s">
        <v>5040</v>
      </c>
      <c r="E11454" s="16"/>
      <c r="F11454" s="18">
        <f>ROUND((G11447+G11448+G11453)*(1+G2/100),2)</f>
        <v>13</v>
      </c>
      <c r="G11454" s="16"/>
    </row>
    <row r="11455" ht="21.0" customHeight="1">
      <c r="A11455" s="19" t="s">
        <v>5043</v>
      </c>
      <c r="B11455" s="20" t="s">
        <v>18</v>
      </c>
      <c r="C11455" s="20" t="s">
        <v>251</v>
      </c>
      <c r="D11455" s="20" t="s">
        <v>5044</v>
      </c>
      <c r="E11455" s="21"/>
      <c r="F11455" s="22">
        <f>F11465</f>
        <v>13.97</v>
      </c>
      <c r="G11455" s="21"/>
    </row>
    <row r="11456" ht="21.0" customHeight="1">
      <c r="A11456" s="11"/>
      <c r="B11456" s="11"/>
      <c r="C11456" s="11"/>
      <c r="D11456" s="10" t="s">
        <v>5045</v>
      </c>
    </row>
    <row r="11457" ht="30.0" customHeight="1">
      <c r="A11457" s="10" t="s">
        <v>5046</v>
      </c>
      <c r="B11457" s="10" t="s">
        <v>42</v>
      </c>
      <c r="C11457" s="10" t="s">
        <v>43</v>
      </c>
      <c r="D11457" s="10" t="s">
        <v>5047</v>
      </c>
      <c r="E11457" s="14">
        <v>0.05</v>
      </c>
      <c r="F11457" s="15">
        <f>ROUND(20.75,3)</f>
        <v>20.75</v>
      </c>
      <c r="G11457" s="12">
        <f t="shared" ref="G11457:G11463" si="1737">ROUND(E11457*F11457,2)</f>
        <v>1.04</v>
      </c>
    </row>
    <row r="11458" ht="39.75" customHeight="1">
      <c r="A11458" s="10" t="s">
        <v>5048</v>
      </c>
      <c r="B11458" s="10" t="s">
        <v>42</v>
      </c>
      <c r="C11458" s="10" t="s">
        <v>43</v>
      </c>
      <c r="D11458" s="10" t="s">
        <v>5049</v>
      </c>
      <c r="E11458" s="14">
        <v>0.1</v>
      </c>
      <c r="F11458" s="15">
        <f>ROUND(16.5,3)</f>
        <v>16.5</v>
      </c>
      <c r="G11458" s="12">
        <f t="shared" si="1737"/>
        <v>1.65</v>
      </c>
    </row>
    <row r="11459" ht="21.0" customHeight="1">
      <c r="A11459" s="10" t="s">
        <v>22</v>
      </c>
      <c r="B11459" s="10" t="s">
        <v>18</v>
      </c>
      <c r="C11459" s="10" t="s">
        <v>23</v>
      </c>
      <c r="D11459" s="10" t="s">
        <v>24</v>
      </c>
      <c r="E11459" s="14">
        <v>0.25</v>
      </c>
      <c r="F11459" s="15">
        <f>F11463</f>
        <v>43.8</v>
      </c>
      <c r="G11459" s="12">
        <f t="shared" si="1737"/>
        <v>10.95</v>
      </c>
    </row>
    <row r="11460" ht="24.0" customHeight="1">
      <c r="A11460" s="10" t="s">
        <v>25</v>
      </c>
      <c r="B11460" s="10" t="s">
        <v>26</v>
      </c>
      <c r="C11460" s="10" t="s">
        <v>23</v>
      </c>
      <c r="D11460" s="10" t="s">
        <v>27</v>
      </c>
      <c r="E11460" s="14">
        <v>1.0</v>
      </c>
      <c r="F11460" s="15">
        <f>ROUND(21,3)</f>
        <v>21</v>
      </c>
      <c r="G11460" s="12">
        <f t="shared" si="1737"/>
        <v>21</v>
      </c>
    </row>
    <row r="11461" ht="24.0" customHeight="1">
      <c r="A11461" s="10" t="s">
        <v>28</v>
      </c>
      <c r="B11461" s="10" t="s">
        <v>26</v>
      </c>
      <c r="C11461" s="10" t="s">
        <v>23</v>
      </c>
      <c r="D11461" s="10" t="s">
        <v>29</v>
      </c>
      <c r="E11461" s="14">
        <v>1.0</v>
      </c>
      <c r="F11461" s="15">
        <f t="shared" ref="F11461:F11462" si="1738">ROUND(19,3)</f>
        <v>19</v>
      </c>
      <c r="G11461" s="12">
        <f t="shared" si="1737"/>
        <v>19</v>
      </c>
    </row>
    <row r="11462" ht="24.0" customHeight="1">
      <c r="A11462" s="10" t="s">
        <v>30</v>
      </c>
      <c r="B11462" s="10" t="s">
        <v>26</v>
      </c>
      <c r="C11462" s="10" t="s">
        <v>23</v>
      </c>
      <c r="D11462" s="10" t="s">
        <v>31</v>
      </c>
      <c r="E11462" s="14">
        <v>0.2</v>
      </c>
      <c r="F11462" s="15">
        <f t="shared" si="1738"/>
        <v>19</v>
      </c>
      <c r="G11462" s="12">
        <f t="shared" si="1737"/>
        <v>3.8</v>
      </c>
    </row>
    <row r="11463" ht="15.0" customHeight="1">
      <c r="A11463" s="11"/>
      <c r="B11463" s="11"/>
      <c r="C11463" s="11"/>
      <c r="D11463" s="10" t="s">
        <v>22</v>
      </c>
      <c r="E11463" s="14">
        <v>0.25</v>
      </c>
      <c r="F11463" s="15">
        <f>ROUND((G11460+G11461+G11462),3)</f>
        <v>43.8</v>
      </c>
      <c r="G11463" s="12">
        <f t="shared" si="1737"/>
        <v>10.95</v>
      </c>
    </row>
    <row r="11464" ht="15.0" customHeight="1">
      <c r="A11464" s="10" t="s">
        <v>32</v>
      </c>
      <c r="B11464" s="10"/>
      <c r="C11464" s="10" t="s">
        <v>33</v>
      </c>
      <c r="D11464" s="10" t="s">
        <v>34</v>
      </c>
      <c r="E11464" s="14">
        <v>3.0</v>
      </c>
      <c r="F11464" s="15">
        <f>ROUND(10.95,3)</f>
        <v>10.95</v>
      </c>
      <c r="G11464" s="12">
        <f>ROUND((E11464*F11464)/100,2)</f>
        <v>0.33</v>
      </c>
    </row>
    <row r="11465" ht="15.0" customHeight="1">
      <c r="A11465" s="16"/>
      <c r="B11465" s="16"/>
      <c r="C11465" s="16"/>
      <c r="D11465" s="17" t="s">
        <v>5043</v>
      </c>
      <c r="E11465" s="16"/>
      <c r="F11465" s="18">
        <f>ROUND((G11457+G11458+G11459+G11464)*(1+G2/100),2)</f>
        <v>13.97</v>
      </c>
      <c r="G11465" s="16"/>
    </row>
    <row r="11466" ht="21.0" customHeight="1">
      <c r="A11466" s="19" t="s">
        <v>5050</v>
      </c>
      <c r="B11466" s="20" t="s">
        <v>18</v>
      </c>
      <c r="C11466" s="20" t="s">
        <v>251</v>
      </c>
      <c r="D11466" s="20" t="s">
        <v>5051</v>
      </c>
      <c r="E11466" s="21"/>
      <c r="F11466" s="22">
        <f>F11476</f>
        <v>16.69</v>
      </c>
      <c r="G11466" s="21"/>
    </row>
    <row r="11467" ht="21.0" customHeight="1">
      <c r="A11467" s="11"/>
      <c r="B11467" s="11"/>
      <c r="C11467" s="11"/>
      <c r="D11467" s="10" t="s">
        <v>5052</v>
      </c>
    </row>
    <row r="11468" ht="39.75" customHeight="1">
      <c r="A11468" s="10" t="s">
        <v>5053</v>
      </c>
      <c r="B11468" s="10" t="s">
        <v>42</v>
      </c>
      <c r="C11468" s="10" t="s">
        <v>43</v>
      </c>
      <c r="D11468" s="10" t="s">
        <v>5054</v>
      </c>
      <c r="E11468" s="14">
        <v>0.05</v>
      </c>
      <c r="F11468" s="15">
        <f>ROUND(41.28,3)</f>
        <v>41.28</v>
      </c>
      <c r="G11468" s="12">
        <f t="shared" ref="G11468:G11474" si="1739">ROUND(E11468*F11468,2)</f>
        <v>2.06</v>
      </c>
    </row>
    <row r="11469" ht="48.75" customHeight="1">
      <c r="A11469" s="10" t="s">
        <v>5055</v>
      </c>
      <c r="B11469" s="10" t="s">
        <v>42</v>
      </c>
      <c r="C11469" s="10" t="s">
        <v>276</v>
      </c>
      <c r="D11469" s="10" t="s">
        <v>5056</v>
      </c>
      <c r="E11469" s="14">
        <v>0.024</v>
      </c>
      <c r="F11469" s="15">
        <f>ROUND(139.42,3)</f>
        <v>139.42</v>
      </c>
      <c r="G11469" s="12">
        <f t="shared" si="1739"/>
        <v>3.35</v>
      </c>
    </row>
    <row r="11470" ht="21.0" customHeight="1">
      <c r="A11470" s="10" t="s">
        <v>22</v>
      </c>
      <c r="B11470" s="10" t="s">
        <v>18</v>
      </c>
      <c r="C11470" s="10" t="s">
        <v>23</v>
      </c>
      <c r="D11470" s="10" t="s">
        <v>24</v>
      </c>
      <c r="E11470" s="14">
        <v>0.25</v>
      </c>
      <c r="F11470" s="15">
        <f>F11474</f>
        <v>43.8</v>
      </c>
      <c r="G11470" s="12">
        <f t="shared" si="1739"/>
        <v>10.95</v>
      </c>
    </row>
    <row r="11471" ht="24.0" customHeight="1">
      <c r="A11471" s="10" t="s">
        <v>25</v>
      </c>
      <c r="B11471" s="10" t="s">
        <v>26</v>
      </c>
      <c r="C11471" s="10" t="s">
        <v>23</v>
      </c>
      <c r="D11471" s="10" t="s">
        <v>27</v>
      </c>
      <c r="E11471" s="14">
        <v>1.0</v>
      </c>
      <c r="F11471" s="15">
        <f>ROUND(21,3)</f>
        <v>21</v>
      </c>
      <c r="G11471" s="12">
        <f t="shared" si="1739"/>
        <v>21</v>
      </c>
    </row>
    <row r="11472" ht="24.0" customHeight="1">
      <c r="A11472" s="10" t="s">
        <v>28</v>
      </c>
      <c r="B11472" s="10" t="s">
        <v>26</v>
      </c>
      <c r="C11472" s="10" t="s">
        <v>23</v>
      </c>
      <c r="D11472" s="10" t="s">
        <v>29</v>
      </c>
      <c r="E11472" s="14">
        <v>1.0</v>
      </c>
      <c r="F11472" s="15">
        <f t="shared" ref="F11472:F11473" si="1740">ROUND(19,3)</f>
        <v>19</v>
      </c>
      <c r="G11472" s="12">
        <f t="shared" si="1739"/>
        <v>19</v>
      </c>
    </row>
    <row r="11473" ht="24.0" customHeight="1">
      <c r="A11473" s="10" t="s">
        <v>30</v>
      </c>
      <c r="B11473" s="10" t="s">
        <v>26</v>
      </c>
      <c r="C11473" s="10" t="s">
        <v>23</v>
      </c>
      <c r="D11473" s="10" t="s">
        <v>31</v>
      </c>
      <c r="E11473" s="14">
        <v>0.2</v>
      </c>
      <c r="F11473" s="15">
        <f t="shared" si="1740"/>
        <v>19</v>
      </c>
      <c r="G11473" s="12">
        <f t="shared" si="1739"/>
        <v>3.8</v>
      </c>
    </row>
    <row r="11474" ht="15.0" customHeight="1">
      <c r="A11474" s="11"/>
      <c r="B11474" s="11"/>
      <c r="C11474" s="11"/>
      <c r="D11474" s="10" t="s">
        <v>22</v>
      </c>
      <c r="E11474" s="14">
        <v>0.25</v>
      </c>
      <c r="F11474" s="15">
        <f>ROUND((G11471+G11472+G11473),3)</f>
        <v>43.8</v>
      </c>
      <c r="G11474" s="12">
        <f t="shared" si="1739"/>
        <v>10.95</v>
      </c>
    </row>
    <row r="11475" ht="15.0" customHeight="1">
      <c r="A11475" s="10" t="s">
        <v>32</v>
      </c>
      <c r="B11475" s="10"/>
      <c r="C11475" s="10" t="s">
        <v>33</v>
      </c>
      <c r="D11475" s="10" t="s">
        <v>34</v>
      </c>
      <c r="E11475" s="14">
        <v>3.0</v>
      </c>
      <c r="F11475" s="15">
        <f>ROUND(10.95,3)</f>
        <v>10.95</v>
      </c>
      <c r="G11475" s="12">
        <f>ROUND((E11475*F11475)/100,2)</f>
        <v>0.33</v>
      </c>
    </row>
    <row r="11476" ht="15.0" customHeight="1">
      <c r="A11476" s="16"/>
      <c r="B11476" s="16"/>
      <c r="C11476" s="16"/>
      <c r="D11476" s="17" t="s">
        <v>5050</v>
      </c>
      <c r="E11476" s="16"/>
      <c r="F11476" s="18">
        <f>ROUND((G11468+G11469+G11470+G11475)*(1+G2/100),2)</f>
        <v>16.69</v>
      </c>
      <c r="G11476" s="16"/>
    </row>
    <row r="11477" ht="30.0" customHeight="1">
      <c r="A11477" s="19" t="s">
        <v>5057</v>
      </c>
      <c r="B11477" s="20" t="s">
        <v>18</v>
      </c>
      <c r="C11477" s="20" t="s">
        <v>251</v>
      </c>
      <c r="D11477" s="20" t="s">
        <v>5058</v>
      </c>
      <c r="E11477" s="21"/>
      <c r="F11477" s="22">
        <f>F11487</f>
        <v>24.53</v>
      </c>
      <c r="G11477" s="21"/>
    </row>
    <row r="11478" ht="12.0" customHeight="1">
      <c r="A11478" s="11"/>
      <c r="B11478" s="11"/>
      <c r="C11478" s="11"/>
      <c r="D11478" s="10" t="s">
        <v>5059</v>
      </c>
    </row>
    <row r="11479" ht="39.75" customHeight="1">
      <c r="A11479" s="10" t="s">
        <v>5053</v>
      </c>
      <c r="B11479" s="10" t="s">
        <v>42</v>
      </c>
      <c r="C11479" s="10" t="s">
        <v>43</v>
      </c>
      <c r="D11479" s="10" t="s">
        <v>5054</v>
      </c>
      <c r="E11479" s="14">
        <v>0.05</v>
      </c>
      <c r="F11479" s="15">
        <f>ROUND(41.28,3)</f>
        <v>41.28</v>
      </c>
      <c r="G11479" s="12">
        <f t="shared" ref="G11479:G11485" si="1741">ROUND(E11479*F11479,2)</f>
        <v>2.06</v>
      </c>
    </row>
    <row r="11480" ht="48.75" customHeight="1">
      <c r="A11480" s="10" t="s">
        <v>5055</v>
      </c>
      <c r="B11480" s="10" t="s">
        <v>42</v>
      </c>
      <c r="C11480" s="10" t="s">
        <v>276</v>
      </c>
      <c r="D11480" s="10" t="s">
        <v>5056</v>
      </c>
      <c r="E11480" s="14">
        <v>0.024</v>
      </c>
      <c r="F11480" s="15">
        <f>ROUND(139.42,3)</f>
        <v>139.42</v>
      </c>
      <c r="G11480" s="12">
        <f t="shared" si="1741"/>
        <v>3.35</v>
      </c>
    </row>
    <row r="11481" ht="24.0" customHeight="1">
      <c r="A11481" s="10" t="s">
        <v>286</v>
      </c>
      <c r="B11481" s="10" t="s">
        <v>18</v>
      </c>
      <c r="C11481" s="10" t="s">
        <v>23</v>
      </c>
      <c r="D11481" s="10" t="s">
        <v>287</v>
      </c>
      <c r="E11481" s="14">
        <v>0.375</v>
      </c>
      <c r="F11481" s="15">
        <f>F11485</f>
        <v>49.5</v>
      </c>
      <c r="G11481" s="12">
        <f t="shared" si="1741"/>
        <v>18.56</v>
      </c>
    </row>
    <row r="11482" ht="24.0" customHeight="1">
      <c r="A11482" s="10" t="s">
        <v>288</v>
      </c>
      <c r="B11482" s="10" t="s">
        <v>26</v>
      </c>
      <c r="C11482" s="10" t="s">
        <v>23</v>
      </c>
      <c r="D11482" s="10" t="s">
        <v>289</v>
      </c>
      <c r="E11482" s="14">
        <v>1.0</v>
      </c>
      <c r="F11482" s="15">
        <f>ROUND(21,3)</f>
        <v>21</v>
      </c>
      <c r="G11482" s="12">
        <f t="shared" si="1741"/>
        <v>21</v>
      </c>
    </row>
    <row r="11483" ht="24.0" customHeight="1">
      <c r="A11483" s="10" t="s">
        <v>290</v>
      </c>
      <c r="B11483" s="10" t="s">
        <v>26</v>
      </c>
      <c r="C11483" s="10" t="s">
        <v>23</v>
      </c>
      <c r="D11483" s="10" t="s">
        <v>291</v>
      </c>
      <c r="E11483" s="14">
        <v>1.0</v>
      </c>
      <c r="F11483" s="15">
        <f t="shared" ref="F11483:F11484" si="1742">ROUND(19,3)</f>
        <v>19</v>
      </c>
      <c r="G11483" s="12">
        <f t="shared" si="1741"/>
        <v>19</v>
      </c>
    </row>
    <row r="11484" ht="24.0" customHeight="1">
      <c r="A11484" s="10" t="s">
        <v>292</v>
      </c>
      <c r="B11484" s="10" t="s">
        <v>26</v>
      </c>
      <c r="C11484" s="10" t="s">
        <v>23</v>
      </c>
      <c r="D11484" s="10" t="s">
        <v>293</v>
      </c>
      <c r="E11484" s="14">
        <v>0.5</v>
      </c>
      <c r="F11484" s="15">
        <f t="shared" si="1742"/>
        <v>19</v>
      </c>
      <c r="G11484" s="12">
        <f t="shared" si="1741"/>
        <v>9.5</v>
      </c>
    </row>
    <row r="11485" ht="15.0" customHeight="1">
      <c r="A11485" s="11"/>
      <c r="B11485" s="11"/>
      <c r="C11485" s="11"/>
      <c r="D11485" s="10" t="s">
        <v>286</v>
      </c>
      <c r="E11485" s="14">
        <v>0.375</v>
      </c>
      <c r="F11485" s="15">
        <f>ROUND((G11482+G11483+G11484),3)</f>
        <v>49.5</v>
      </c>
      <c r="G11485" s="12">
        <f t="shared" si="1741"/>
        <v>18.56</v>
      </c>
    </row>
    <row r="11486" ht="15.0" customHeight="1">
      <c r="A11486" s="10" t="s">
        <v>32</v>
      </c>
      <c r="B11486" s="10"/>
      <c r="C11486" s="10" t="s">
        <v>33</v>
      </c>
      <c r="D11486" s="10" t="s">
        <v>34</v>
      </c>
      <c r="E11486" s="14">
        <v>3.0</v>
      </c>
      <c r="F11486" s="15">
        <f>ROUND(18.56,3)</f>
        <v>18.56</v>
      </c>
      <c r="G11486" s="12">
        <f>ROUND((E11486*F11486)/100,2)</f>
        <v>0.56</v>
      </c>
    </row>
    <row r="11487" ht="15.0" customHeight="1">
      <c r="A11487" s="16"/>
      <c r="B11487" s="16"/>
      <c r="C11487" s="16"/>
      <c r="D11487" s="17" t="s">
        <v>5057</v>
      </c>
      <c r="E11487" s="16"/>
      <c r="F11487" s="18">
        <f>ROUND((G11479+G11480+G11481+G11486)*(1+G2/100),2)</f>
        <v>24.53</v>
      </c>
      <c r="G11487" s="16"/>
    </row>
    <row r="11488" ht="21.0" customHeight="1">
      <c r="A11488" s="19" t="s">
        <v>5060</v>
      </c>
      <c r="B11488" s="20" t="s">
        <v>18</v>
      </c>
      <c r="C11488" s="20" t="s">
        <v>251</v>
      </c>
      <c r="D11488" s="20" t="s">
        <v>5061</v>
      </c>
      <c r="E11488" s="21"/>
      <c r="F11488" s="22">
        <f>F11498</f>
        <v>13.13</v>
      </c>
      <c r="G11488" s="21"/>
    </row>
    <row r="11489" ht="21.0" customHeight="1">
      <c r="A11489" s="11"/>
      <c r="B11489" s="11"/>
      <c r="C11489" s="11"/>
      <c r="D11489" s="10" t="s">
        <v>5062</v>
      </c>
    </row>
    <row r="11490" ht="39.75" customHeight="1">
      <c r="A11490" s="10" t="s">
        <v>5063</v>
      </c>
      <c r="B11490" s="10" t="s">
        <v>42</v>
      </c>
      <c r="C11490" s="10" t="s">
        <v>276</v>
      </c>
      <c r="D11490" s="10" t="s">
        <v>5064</v>
      </c>
      <c r="E11490" s="14">
        <v>0.0122</v>
      </c>
      <c r="F11490" s="15">
        <f>ROUND(70.41,3)</f>
        <v>70.41</v>
      </c>
      <c r="G11490" s="12">
        <f t="shared" ref="G11490:G11496" si="1743">ROUND(E11490*F11490,2)</f>
        <v>0.86</v>
      </c>
    </row>
    <row r="11491" ht="39.75" customHeight="1">
      <c r="A11491" s="10" t="s">
        <v>5065</v>
      </c>
      <c r="B11491" s="10" t="s">
        <v>42</v>
      </c>
      <c r="C11491" s="10" t="s">
        <v>276</v>
      </c>
      <c r="D11491" s="10" t="s">
        <v>5066</v>
      </c>
      <c r="E11491" s="14">
        <v>0.01667</v>
      </c>
      <c r="F11491" s="15">
        <f>ROUND(45.71,3)</f>
        <v>45.71</v>
      </c>
      <c r="G11491" s="12">
        <f t="shared" si="1743"/>
        <v>0.76</v>
      </c>
    </row>
    <row r="11492" ht="21.0" customHeight="1">
      <c r="A11492" s="10" t="s">
        <v>22</v>
      </c>
      <c r="B11492" s="10" t="s">
        <v>18</v>
      </c>
      <c r="C11492" s="10" t="s">
        <v>23</v>
      </c>
      <c r="D11492" s="10" t="s">
        <v>24</v>
      </c>
      <c r="E11492" s="14">
        <v>0.255</v>
      </c>
      <c r="F11492" s="15">
        <f>F11496</f>
        <v>43.8</v>
      </c>
      <c r="G11492" s="12">
        <f t="shared" si="1743"/>
        <v>11.17</v>
      </c>
    </row>
    <row r="11493" ht="24.0" customHeight="1">
      <c r="A11493" s="10" t="s">
        <v>25</v>
      </c>
      <c r="B11493" s="10" t="s">
        <v>26</v>
      </c>
      <c r="C11493" s="10" t="s">
        <v>23</v>
      </c>
      <c r="D11493" s="10" t="s">
        <v>27</v>
      </c>
      <c r="E11493" s="14">
        <v>1.0</v>
      </c>
      <c r="F11493" s="15">
        <f>ROUND(21,3)</f>
        <v>21</v>
      </c>
      <c r="G11493" s="12">
        <f t="shared" si="1743"/>
        <v>21</v>
      </c>
    </row>
    <row r="11494" ht="24.0" customHeight="1">
      <c r="A11494" s="10" t="s">
        <v>28</v>
      </c>
      <c r="B11494" s="10" t="s">
        <v>26</v>
      </c>
      <c r="C11494" s="10" t="s">
        <v>23</v>
      </c>
      <c r="D11494" s="10" t="s">
        <v>29</v>
      </c>
      <c r="E11494" s="14">
        <v>1.0</v>
      </c>
      <c r="F11494" s="15">
        <f t="shared" ref="F11494:F11495" si="1744">ROUND(19,3)</f>
        <v>19</v>
      </c>
      <c r="G11494" s="12">
        <f t="shared" si="1743"/>
        <v>19</v>
      </c>
    </row>
    <row r="11495" ht="24.0" customHeight="1">
      <c r="A11495" s="10" t="s">
        <v>30</v>
      </c>
      <c r="B11495" s="10" t="s">
        <v>26</v>
      </c>
      <c r="C11495" s="10" t="s">
        <v>23</v>
      </c>
      <c r="D11495" s="10" t="s">
        <v>31</v>
      </c>
      <c r="E11495" s="14">
        <v>0.2</v>
      </c>
      <c r="F11495" s="15">
        <f t="shared" si="1744"/>
        <v>19</v>
      </c>
      <c r="G11495" s="12">
        <f t="shared" si="1743"/>
        <v>3.8</v>
      </c>
    </row>
    <row r="11496" ht="15.0" customHeight="1">
      <c r="A11496" s="11"/>
      <c r="B11496" s="11"/>
      <c r="C11496" s="11"/>
      <c r="D11496" s="10" t="s">
        <v>22</v>
      </c>
      <c r="E11496" s="14">
        <v>0.255</v>
      </c>
      <c r="F11496" s="15">
        <f>ROUND((G11493+G11494+G11495),3)</f>
        <v>43.8</v>
      </c>
      <c r="G11496" s="12">
        <f t="shared" si="1743"/>
        <v>11.17</v>
      </c>
    </row>
    <row r="11497" ht="15.0" customHeight="1">
      <c r="A11497" s="10" t="s">
        <v>32</v>
      </c>
      <c r="B11497" s="10"/>
      <c r="C11497" s="10" t="s">
        <v>33</v>
      </c>
      <c r="D11497" s="10" t="s">
        <v>34</v>
      </c>
      <c r="E11497" s="14">
        <v>3.0</v>
      </c>
      <c r="F11497" s="15">
        <f>ROUND(11.17,3)</f>
        <v>11.17</v>
      </c>
      <c r="G11497" s="12">
        <f>ROUND((E11497*F11497)/100,2)</f>
        <v>0.34</v>
      </c>
    </row>
    <row r="11498" ht="15.0" customHeight="1">
      <c r="A11498" s="16"/>
      <c r="B11498" s="16"/>
      <c r="C11498" s="16"/>
      <c r="D11498" s="17" t="s">
        <v>5060</v>
      </c>
      <c r="E11498" s="16"/>
      <c r="F11498" s="18">
        <f>ROUND((G11490+G11491+G11492+G11497)*(1+G2/100),2)</f>
        <v>13.13</v>
      </c>
      <c r="G11498" s="16"/>
    </row>
    <row r="11499" ht="21.0" customHeight="1">
      <c r="A11499" s="19" t="s">
        <v>5067</v>
      </c>
      <c r="B11499" s="20" t="s">
        <v>18</v>
      </c>
      <c r="C11499" s="20" t="s">
        <v>251</v>
      </c>
      <c r="D11499" s="20" t="s">
        <v>5068</v>
      </c>
      <c r="E11499" s="21"/>
      <c r="F11499" s="22">
        <f>F11509</f>
        <v>16.57</v>
      </c>
      <c r="G11499" s="21"/>
    </row>
    <row r="11500" ht="21.0" customHeight="1">
      <c r="A11500" s="11"/>
      <c r="B11500" s="11"/>
      <c r="C11500" s="11"/>
      <c r="D11500" s="10" t="s">
        <v>5069</v>
      </c>
    </row>
    <row r="11501" ht="30.0" customHeight="1">
      <c r="A11501" s="10" t="s">
        <v>5070</v>
      </c>
      <c r="B11501" s="10" t="s">
        <v>42</v>
      </c>
      <c r="C11501" s="10" t="s">
        <v>276</v>
      </c>
      <c r="D11501" s="10" t="s">
        <v>5071</v>
      </c>
      <c r="E11501" s="14">
        <v>0.03</v>
      </c>
      <c r="F11501" s="15">
        <f>ROUND(128.45,3)</f>
        <v>128.45</v>
      </c>
      <c r="G11501" s="12">
        <f t="shared" ref="G11501:G11507" si="1745">ROUND(E11501*F11501,2)</f>
        <v>3.85</v>
      </c>
    </row>
    <row r="11502" ht="24.0" customHeight="1">
      <c r="A11502" s="10" t="s">
        <v>1053</v>
      </c>
      <c r="B11502" s="10" t="s">
        <v>42</v>
      </c>
      <c r="C11502" s="10" t="s">
        <v>43</v>
      </c>
      <c r="D11502" s="10" t="s">
        <v>1054</v>
      </c>
      <c r="E11502" s="14">
        <v>0.02</v>
      </c>
      <c r="F11502" s="15">
        <f>ROUND(4.63,3)</f>
        <v>4.63</v>
      </c>
      <c r="G11502" s="12">
        <f t="shared" si="1745"/>
        <v>0.09</v>
      </c>
    </row>
    <row r="11503" ht="21.0" customHeight="1">
      <c r="A11503" s="10" t="s">
        <v>22</v>
      </c>
      <c r="B11503" s="10" t="s">
        <v>18</v>
      </c>
      <c r="C11503" s="10" t="s">
        <v>23</v>
      </c>
      <c r="D11503" s="10" t="s">
        <v>24</v>
      </c>
      <c r="E11503" s="14">
        <v>0.28</v>
      </c>
      <c r="F11503" s="15">
        <f>F11507</f>
        <v>43.8</v>
      </c>
      <c r="G11503" s="12">
        <f t="shared" si="1745"/>
        <v>12.26</v>
      </c>
    </row>
    <row r="11504" ht="24.0" customHeight="1">
      <c r="A11504" s="10" t="s">
        <v>25</v>
      </c>
      <c r="B11504" s="10" t="s">
        <v>26</v>
      </c>
      <c r="C11504" s="10" t="s">
        <v>23</v>
      </c>
      <c r="D11504" s="10" t="s">
        <v>27</v>
      </c>
      <c r="E11504" s="14">
        <v>1.0</v>
      </c>
      <c r="F11504" s="15">
        <f>ROUND(21,3)</f>
        <v>21</v>
      </c>
      <c r="G11504" s="12">
        <f t="shared" si="1745"/>
        <v>21</v>
      </c>
    </row>
    <row r="11505" ht="24.0" customHeight="1">
      <c r="A11505" s="10" t="s">
        <v>28</v>
      </c>
      <c r="B11505" s="10" t="s">
        <v>26</v>
      </c>
      <c r="C11505" s="10" t="s">
        <v>23</v>
      </c>
      <c r="D11505" s="10" t="s">
        <v>29</v>
      </c>
      <c r="E11505" s="14">
        <v>1.0</v>
      </c>
      <c r="F11505" s="15">
        <f t="shared" ref="F11505:F11506" si="1746">ROUND(19,3)</f>
        <v>19</v>
      </c>
      <c r="G11505" s="12">
        <f t="shared" si="1745"/>
        <v>19</v>
      </c>
    </row>
    <row r="11506" ht="24.0" customHeight="1">
      <c r="A11506" s="10" t="s">
        <v>30</v>
      </c>
      <c r="B11506" s="10" t="s">
        <v>26</v>
      </c>
      <c r="C11506" s="10" t="s">
        <v>23</v>
      </c>
      <c r="D11506" s="10" t="s">
        <v>31</v>
      </c>
      <c r="E11506" s="14">
        <v>0.2</v>
      </c>
      <c r="F11506" s="15">
        <f t="shared" si="1746"/>
        <v>19</v>
      </c>
      <c r="G11506" s="12">
        <f t="shared" si="1745"/>
        <v>3.8</v>
      </c>
    </row>
    <row r="11507" ht="15.0" customHeight="1">
      <c r="A11507" s="11"/>
      <c r="B11507" s="11"/>
      <c r="C11507" s="11"/>
      <c r="D11507" s="10" t="s">
        <v>22</v>
      </c>
      <c r="E11507" s="14">
        <v>0.28</v>
      </c>
      <c r="F11507" s="15">
        <f>ROUND((G11504+G11505+G11506),3)</f>
        <v>43.8</v>
      </c>
      <c r="G11507" s="12">
        <f t="shared" si="1745"/>
        <v>12.26</v>
      </c>
    </row>
    <row r="11508" ht="15.0" customHeight="1">
      <c r="A11508" s="10" t="s">
        <v>32</v>
      </c>
      <c r="B11508" s="10"/>
      <c r="C11508" s="10" t="s">
        <v>33</v>
      </c>
      <c r="D11508" s="10" t="s">
        <v>34</v>
      </c>
      <c r="E11508" s="14">
        <v>3.0</v>
      </c>
      <c r="F11508" s="15">
        <f>ROUND(12.26,3)</f>
        <v>12.26</v>
      </c>
      <c r="G11508" s="12">
        <f>ROUND((E11508*F11508)/100,2)</f>
        <v>0.37</v>
      </c>
    </row>
    <row r="11509" ht="15.0" customHeight="1">
      <c r="A11509" s="16"/>
      <c r="B11509" s="16"/>
      <c r="C11509" s="16"/>
      <c r="D11509" s="17" t="s">
        <v>5067</v>
      </c>
      <c r="E11509" s="16"/>
      <c r="F11509" s="18">
        <f>ROUND((G11501+G11502+G11503+G11508)*(1+G2/100),2)</f>
        <v>16.57</v>
      </c>
      <c r="G11509" s="16"/>
    </row>
    <row r="11510" ht="21.0" customHeight="1">
      <c r="A11510" s="19" t="s">
        <v>5072</v>
      </c>
      <c r="B11510" s="20" t="s">
        <v>18</v>
      </c>
      <c r="C11510" s="20" t="s">
        <v>251</v>
      </c>
      <c r="D11510" s="20" t="s">
        <v>5073</v>
      </c>
      <c r="E11510" s="21"/>
      <c r="F11510" s="22">
        <f>F11519</f>
        <v>15.7</v>
      </c>
      <c r="G11510" s="21"/>
    </row>
    <row r="11511" ht="30.0" customHeight="1">
      <c r="A11511" s="11"/>
      <c r="B11511" s="11"/>
      <c r="C11511" s="11"/>
      <c r="D11511" s="10" t="s">
        <v>5074</v>
      </c>
    </row>
    <row r="11512" ht="39.75" customHeight="1">
      <c r="A11512" s="10" t="s">
        <v>5075</v>
      </c>
      <c r="B11512" s="10" t="s">
        <v>42</v>
      </c>
      <c r="C11512" s="10" t="s">
        <v>276</v>
      </c>
      <c r="D11512" s="10" t="s">
        <v>5076</v>
      </c>
      <c r="E11512" s="14">
        <v>0.02666</v>
      </c>
      <c r="F11512" s="15">
        <f>ROUND(115.33,3)</f>
        <v>115.33</v>
      </c>
      <c r="G11512" s="12">
        <f t="shared" ref="G11512:G11517" si="1747">ROUND(E11512*F11512,2)</f>
        <v>3.07</v>
      </c>
    </row>
    <row r="11513" ht="21.0" customHeight="1">
      <c r="A11513" s="10" t="s">
        <v>22</v>
      </c>
      <c r="B11513" s="10" t="s">
        <v>18</v>
      </c>
      <c r="C11513" s="10" t="s">
        <v>23</v>
      </c>
      <c r="D11513" s="10" t="s">
        <v>24</v>
      </c>
      <c r="E11513" s="14">
        <v>0.28</v>
      </c>
      <c r="F11513" s="15">
        <f>F11517</f>
        <v>43.8</v>
      </c>
      <c r="G11513" s="12">
        <f t="shared" si="1747"/>
        <v>12.26</v>
      </c>
    </row>
    <row r="11514" ht="24.0" customHeight="1">
      <c r="A11514" s="10" t="s">
        <v>25</v>
      </c>
      <c r="B11514" s="10" t="s">
        <v>26</v>
      </c>
      <c r="C11514" s="10" t="s">
        <v>23</v>
      </c>
      <c r="D11514" s="10" t="s">
        <v>27</v>
      </c>
      <c r="E11514" s="14">
        <v>1.0</v>
      </c>
      <c r="F11514" s="15">
        <f>ROUND(21,3)</f>
        <v>21</v>
      </c>
      <c r="G11514" s="12">
        <f t="shared" si="1747"/>
        <v>21</v>
      </c>
    </row>
    <row r="11515" ht="24.0" customHeight="1">
      <c r="A11515" s="10" t="s">
        <v>28</v>
      </c>
      <c r="B11515" s="10" t="s">
        <v>26</v>
      </c>
      <c r="C11515" s="10" t="s">
        <v>23</v>
      </c>
      <c r="D11515" s="10" t="s">
        <v>29</v>
      </c>
      <c r="E11515" s="14">
        <v>1.0</v>
      </c>
      <c r="F11515" s="15">
        <f t="shared" ref="F11515:F11516" si="1748">ROUND(19,3)</f>
        <v>19</v>
      </c>
      <c r="G11515" s="12">
        <f t="shared" si="1747"/>
        <v>19</v>
      </c>
    </row>
    <row r="11516" ht="24.0" customHeight="1">
      <c r="A11516" s="10" t="s">
        <v>30</v>
      </c>
      <c r="B11516" s="10" t="s">
        <v>26</v>
      </c>
      <c r="C11516" s="10" t="s">
        <v>23</v>
      </c>
      <c r="D11516" s="10" t="s">
        <v>31</v>
      </c>
      <c r="E11516" s="14">
        <v>0.2</v>
      </c>
      <c r="F11516" s="15">
        <f t="shared" si="1748"/>
        <v>19</v>
      </c>
      <c r="G11516" s="12">
        <f t="shared" si="1747"/>
        <v>3.8</v>
      </c>
    </row>
    <row r="11517" ht="15.0" customHeight="1">
      <c r="A11517" s="11"/>
      <c r="B11517" s="11"/>
      <c r="C11517" s="11"/>
      <c r="D11517" s="10" t="s">
        <v>22</v>
      </c>
      <c r="E11517" s="14">
        <v>0.28</v>
      </c>
      <c r="F11517" s="15">
        <f>ROUND((G11514+G11515+G11516),3)</f>
        <v>43.8</v>
      </c>
      <c r="G11517" s="12">
        <f t="shared" si="1747"/>
        <v>12.26</v>
      </c>
    </row>
    <row r="11518" ht="15.0" customHeight="1">
      <c r="A11518" s="10" t="s">
        <v>32</v>
      </c>
      <c r="B11518" s="10"/>
      <c r="C11518" s="10" t="s">
        <v>33</v>
      </c>
      <c r="D11518" s="10" t="s">
        <v>34</v>
      </c>
      <c r="E11518" s="14">
        <v>3.0</v>
      </c>
      <c r="F11518" s="15">
        <f>ROUND(12.26,3)</f>
        <v>12.26</v>
      </c>
      <c r="G11518" s="12">
        <f>ROUND((E11518*F11518)/100,2)</f>
        <v>0.37</v>
      </c>
    </row>
    <row r="11519" ht="15.0" customHeight="1">
      <c r="A11519" s="16"/>
      <c r="B11519" s="16"/>
      <c r="C11519" s="16"/>
      <c r="D11519" s="17" t="s">
        <v>5072</v>
      </c>
      <c r="E11519" s="16"/>
      <c r="F11519" s="18">
        <f>ROUND((G11512+G11513+G11518)*(1+G2/100),2)</f>
        <v>15.7</v>
      </c>
      <c r="G11519" s="16"/>
    </row>
    <row r="11520" ht="21.0" customHeight="1">
      <c r="A11520" s="19" t="s">
        <v>5077</v>
      </c>
      <c r="B11520" s="20" t="s">
        <v>18</v>
      </c>
      <c r="C11520" s="20" t="s">
        <v>251</v>
      </c>
      <c r="D11520" s="20" t="s">
        <v>5078</v>
      </c>
      <c r="E11520" s="21"/>
      <c r="F11520" s="22">
        <f>F11529</f>
        <v>24.48</v>
      </c>
      <c r="G11520" s="21"/>
    </row>
    <row r="11521" ht="30.0" customHeight="1">
      <c r="A11521" s="11"/>
      <c r="B11521" s="11"/>
      <c r="C11521" s="11"/>
      <c r="D11521" s="10" t="s">
        <v>5079</v>
      </c>
    </row>
    <row r="11522" ht="39.75" customHeight="1">
      <c r="A11522" s="10" t="s">
        <v>5075</v>
      </c>
      <c r="B11522" s="10" t="s">
        <v>42</v>
      </c>
      <c r="C11522" s="10" t="s">
        <v>276</v>
      </c>
      <c r="D11522" s="10" t="s">
        <v>5076</v>
      </c>
      <c r="E11522" s="14">
        <v>0.02666</v>
      </c>
      <c r="F11522" s="15">
        <f>ROUND(115.33,3)</f>
        <v>115.33</v>
      </c>
      <c r="G11522" s="12">
        <f t="shared" ref="G11522:G11527" si="1749">ROUND(E11522*F11522,2)</f>
        <v>3.07</v>
      </c>
    </row>
    <row r="11523" ht="24.0" customHeight="1">
      <c r="A11523" s="10" t="s">
        <v>286</v>
      </c>
      <c r="B11523" s="10" t="s">
        <v>18</v>
      </c>
      <c r="C11523" s="10" t="s">
        <v>23</v>
      </c>
      <c r="D11523" s="10" t="s">
        <v>287</v>
      </c>
      <c r="E11523" s="14">
        <v>0.42</v>
      </c>
      <c r="F11523" s="15">
        <f>F11527</f>
        <v>49.5</v>
      </c>
      <c r="G11523" s="12">
        <f t="shared" si="1749"/>
        <v>20.79</v>
      </c>
    </row>
    <row r="11524" ht="24.0" customHeight="1">
      <c r="A11524" s="10" t="s">
        <v>288</v>
      </c>
      <c r="B11524" s="10" t="s">
        <v>26</v>
      </c>
      <c r="C11524" s="10" t="s">
        <v>23</v>
      </c>
      <c r="D11524" s="10" t="s">
        <v>289</v>
      </c>
      <c r="E11524" s="14">
        <v>1.0</v>
      </c>
      <c r="F11524" s="15">
        <f>ROUND(21,3)</f>
        <v>21</v>
      </c>
      <c r="G11524" s="12">
        <f t="shared" si="1749"/>
        <v>21</v>
      </c>
    </row>
    <row r="11525" ht="24.0" customHeight="1">
      <c r="A11525" s="10" t="s">
        <v>290</v>
      </c>
      <c r="B11525" s="10" t="s">
        <v>26</v>
      </c>
      <c r="C11525" s="10" t="s">
        <v>23</v>
      </c>
      <c r="D11525" s="10" t="s">
        <v>291</v>
      </c>
      <c r="E11525" s="14">
        <v>1.0</v>
      </c>
      <c r="F11525" s="15">
        <f t="shared" ref="F11525:F11526" si="1750">ROUND(19,3)</f>
        <v>19</v>
      </c>
      <c r="G11525" s="12">
        <f t="shared" si="1749"/>
        <v>19</v>
      </c>
    </row>
    <row r="11526" ht="24.0" customHeight="1">
      <c r="A11526" s="10" t="s">
        <v>292</v>
      </c>
      <c r="B11526" s="10" t="s">
        <v>26</v>
      </c>
      <c r="C11526" s="10" t="s">
        <v>23</v>
      </c>
      <c r="D11526" s="10" t="s">
        <v>293</v>
      </c>
      <c r="E11526" s="14">
        <v>0.5</v>
      </c>
      <c r="F11526" s="15">
        <f t="shared" si="1750"/>
        <v>19</v>
      </c>
      <c r="G11526" s="12">
        <f t="shared" si="1749"/>
        <v>9.5</v>
      </c>
    </row>
    <row r="11527" ht="15.0" customHeight="1">
      <c r="A11527" s="11"/>
      <c r="B11527" s="11"/>
      <c r="C11527" s="11"/>
      <c r="D11527" s="10" t="s">
        <v>286</v>
      </c>
      <c r="E11527" s="14">
        <v>0.42</v>
      </c>
      <c r="F11527" s="15">
        <f>ROUND((G11524+G11525+G11526),3)</f>
        <v>49.5</v>
      </c>
      <c r="G11527" s="12">
        <f t="shared" si="1749"/>
        <v>20.79</v>
      </c>
    </row>
    <row r="11528" ht="15.0" customHeight="1">
      <c r="A11528" s="10" t="s">
        <v>32</v>
      </c>
      <c r="B11528" s="10"/>
      <c r="C11528" s="10" t="s">
        <v>33</v>
      </c>
      <c r="D11528" s="10" t="s">
        <v>34</v>
      </c>
      <c r="E11528" s="14">
        <v>3.0</v>
      </c>
      <c r="F11528" s="15">
        <f>ROUND(20.79,3)</f>
        <v>20.79</v>
      </c>
      <c r="G11528" s="12">
        <f>ROUND((E11528*F11528)/100,2)</f>
        <v>0.62</v>
      </c>
    </row>
    <row r="11529" ht="15.0" customHeight="1">
      <c r="A11529" s="16"/>
      <c r="B11529" s="16"/>
      <c r="C11529" s="16"/>
      <c r="D11529" s="17" t="s">
        <v>5077</v>
      </c>
      <c r="E11529" s="16"/>
      <c r="F11529" s="18">
        <f>ROUND((G11522+G11523+G11528)*(1+G2/100),2)</f>
        <v>24.48</v>
      </c>
      <c r="G11529" s="16"/>
    </row>
    <row r="11530" ht="21.0" customHeight="1">
      <c r="A11530" s="19" t="s">
        <v>5080</v>
      </c>
      <c r="B11530" s="20" t="s">
        <v>18</v>
      </c>
      <c r="C11530" s="20" t="s">
        <v>251</v>
      </c>
      <c r="D11530" s="20" t="s">
        <v>5081</v>
      </c>
      <c r="E11530" s="21"/>
      <c r="F11530" s="22">
        <f>F11539</f>
        <v>17.31</v>
      </c>
      <c r="G11530" s="21"/>
    </row>
    <row r="11531" ht="30.0" customHeight="1">
      <c r="A11531" s="11"/>
      <c r="B11531" s="11"/>
      <c r="C11531" s="11"/>
      <c r="D11531" s="10" t="s">
        <v>5082</v>
      </c>
    </row>
    <row r="11532" ht="57.75" customHeight="1">
      <c r="A11532" s="10" t="s">
        <v>5083</v>
      </c>
      <c r="B11532" s="10" t="s">
        <v>42</v>
      </c>
      <c r="C11532" s="10" t="s">
        <v>276</v>
      </c>
      <c r="D11532" s="10" t="s">
        <v>5084</v>
      </c>
      <c r="E11532" s="14">
        <v>0.027</v>
      </c>
      <c r="F11532" s="15">
        <f>ROUND(173.43,3)</f>
        <v>173.43</v>
      </c>
      <c r="G11532" s="12">
        <f t="shared" ref="G11532:G11537" si="1751">ROUND(E11532*F11532,2)</f>
        <v>4.68</v>
      </c>
    </row>
    <row r="11533" ht="21.0" customHeight="1">
      <c r="A11533" s="10" t="s">
        <v>22</v>
      </c>
      <c r="B11533" s="10" t="s">
        <v>18</v>
      </c>
      <c r="C11533" s="10" t="s">
        <v>23</v>
      </c>
      <c r="D11533" s="10" t="s">
        <v>24</v>
      </c>
      <c r="E11533" s="14">
        <v>0.28</v>
      </c>
      <c r="F11533" s="15">
        <f>F11537</f>
        <v>43.8</v>
      </c>
      <c r="G11533" s="12">
        <f t="shared" si="1751"/>
        <v>12.26</v>
      </c>
    </row>
    <row r="11534" ht="24.0" customHeight="1">
      <c r="A11534" s="10" t="s">
        <v>25</v>
      </c>
      <c r="B11534" s="10" t="s">
        <v>26</v>
      </c>
      <c r="C11534" s="10" t="s">
        <v>23</v>
      </c>
      <c r="D11534" s="10" t="s">
        <v>27</v>
      </c>
      <c r="E11534" s="14">
        <v>1.0</v>
      </c>
      <c r="F11534" s="15">
        <f>ROUND(21,3)</f>
        <v>21</v>
      </c>
      <c r="G11534" s="12">
        <f t="shared" si="1751"/>
        <v>21</v>
      </c>
    </row>
    <row r="11535" ht="24.0" customHeight="1">
      <c r="A11535" s="10" t="s">
        <v>28</v>
      </c>
      <c r="B11535" s="10" t="s">
        <v>26</v>
      </c>
      <c r="C11535" s="10" t="s">
        <v>23</v>
      </c>
      <c r="D11535" s="10" t="s">
        <v>29</v>
      </c>
      <c r="E11535" s="14">
        <v>1.0</v>
      </c>
      <c r="F11535" s="15">
        <f t="shared" ref="F11535:F11536" si="1752">ROUND(19,3)</f>
        <v>19</v>
      </c>
      <c r="G11535" s="12">
        <f t="shared" si="1751"/>
        <v>19</v>
      </c>
    </row>
    <row r="11536" ht="24.0" customHeight="1">
      <c r="A11536" s="10" t="s">
        <v>30</v>
      </c>
      <c r="B11536" s="10" t="s">
        <v>26</v>
      </c>
      <c r="C11536" s="10" t="s">
        <v>23</v>
      </c>
      <c r="D11536" s="10" t="s">
        <v>31</v>
      </c>
      <c r="E11536" s="14">
        <v>0.2</v>
      </c>
      <c r="F11536" s="15">
        <f t="shared" si="1752"/>
        <v>19</v>
      </c>
      <c r="G11536" s="12">
        <f t="shared" si="1751"/>
        <v>3.8</v>
      </c>
    </row>
    <row r="11537" ht="15.0" customHeight="1">
      <c r="A11537" s="11"/>
      <c r="B11537" s="11"/>
      <c r="C11537" s="11"/>
      <c r="D11537" s="10" t="s">
        <v>22</v>
      </c>
      <c r="E11537" s="14">
        <v>0.28</v>
      </c>
      <c r="F11537" s="15">
        <f>ROUND((G11534+G11535+G11536),3)</f>
        <v>43.8</v>
      </c>
      <c r="G11537" s="12">
        <f t="shared" si="1751"/>
        <v>12.26</v>
      </c>
    </row>
    <row r="11538" ht="15.0" customHeight="1">
      <c r="A11538" s="10" t="s">
        <v>32</v>
      </c>
      <c r="B11538" s="10"/>
      <c r="C11538" s="10" t="s">
        <v>33</v>
      </c>
      <c r="D11538" s="10" t="s">
        <v>34</v>
      </c>
      <c r="E11538" s="14">
        <v>3.0</v>
      </c>
      <c r="F11538" s="15">
        <f>ROUND(12.26,3)</f>
        <v>12.26</v>
      </c>
      <c r="G11538" s="12">
        <f>ROUND((E11538*F11538)/100,2)</f>
        <v>0.37</v>
      </c>
    </row>
    <row r="11539" ht="15.0" customHeight="1">
      <c r="A11539" s="16"/>
      <c r="B11539" s="16"/>
      <c r="C11539" s="16"/>
      <c r="D11539" s="17" t="s">
        <v>5080</v>
      </c>
      <c r="E11539" s="16"/>
      <c r="F11539" s="18">
        <f>ROUND((G11532+G11533+G11538)*(1+G2/100),2)</f>
        <v>17.31</v>
      </c>
      <c r="G11539" s="16"/>
    </row>
    <row r="11540" ht="21.0" customHeight="1">
      <c r="A11540" s="19" t="s">
        <v>5085</v>
      </c>
      <c r="B11540" s="20" t="s">
        <v>18</v>
      </c>
      <c r="C11540" s="20" t="s">
        <v>251</v>
      </c>
      <c r="D11540" s="20" t="s">
        <v>5086</v>
      </c>
      <c r="E11540" s="21"/>
      <c r="F11540" s="22">
        <f>F11553</f>
        <v>18.32</v>
      </c>
      <c r="G11540" s="21"/>
    </row>
    <row r="11541" ht="30.0" customHeight="1">
      <c r="A11541" s="11"/>
      <c r="B11541" s="11"/>
      <c r="C11541" s="11"/>
      <c r="D11541" s="10" t="s">
        <v>5087</v>
      </c>
    </row>
    <row r="11542" ht="24.0" customHeight="1">
      <c r="A11542" s="10" t="s">
        <v>5088</v>
      </c>
      <c r="B11542" s="10" t="s">
        <v>42</v>
      </c>
      <c r="C11542" s="10" t="s">
        <v>304</v>
      </c>
      <c r="D11542" s="10" t="s">
        <v>5089</v>
      </c>
      <c r="E11542" s="14">
        <v>0.032</v>
      </c>
      <c r="F11542" s="15">
        <f>ROUND(173.88,3)</f>
        <v>173.88</v>
      </c>
      <c r="G11542" s="12">
        <f t="shared" ref="G11542:G11551" si="1753">ROUND(E11542*F11542,2)</f>
        <v>5.56</v>
      </c>
    </row>
    <row r="11543" ht="24.0" customHeight="1">
      <c r="A11543" s="10" t="s">
        <v>1671</v>
      </c>
      <c r="B11543" s="10" t="s">
        <v>42</v>
      </c>
      <c r="C11543" s="10" t="s">
        <v>304</v>
      </c>
      <c r="D11543" s="10" t="s">
        <v>1672</v>
      </c>
      <c r="E11543" s="14">
        <v>0.011</v>
      </c>
      <c r="F11543" s="15">
        <f>ROUND(4.73,3)</f>
        <v>4.73</v>
      </c>
      <c r="G11543" s="12">
        <f t="shared" si="1753"/>
        <v>0.05</v>
      </c>
    </row>
    <row r="11544" ht="30.0" customHeight="1">
      <c r="A11544" s="10" t="s">
        <v>1669</v>
      </c>
      <c r="B11544" s="10" t="s">
        <v>42</v>
      </c>
      <c r="C11544" s="10" t="s">
        <v>304</v>
      </c>
      <c r="D11544" s="10" t="s">
        <v>1670</v>
      </c>
      <c r="E11544" s="14">
        <v>0.011</v>
      </c>
      <c r="F11544" s="15">
        <f>ROUND(2.52,3)</f>
        <v>2.52</v>
      </c>
      <c r="G11544" s="12">
        <f t="shared" si="1753"/>
        <v>0.03</v>
      </c>
    </row>
    <row r="11545" ht="24.0" customHeight="1">
      <c r="A11545" s="10" t="s">
        <v>1675</v>
      </c>
      <c r="B11545" s="10" t="s">
        <v>42</v>
      </c>
      <c r="C11545" s="10" t="s">
        <v>304</v>
      </c>
      <c r="D11545" s="10" t="s">
        <v>1676</v>
      </c>
      <c r="E11545" s="14">
        <v>0.011</v>
      </c>
      <c r="F11545" s="15">
        <f>ROUND(4.06,3)</f>
        <v>4.06</v>
      </c>
      <c r="G11545" s="12">
        <f t="shared" si="1753"/>
        <v>0.04</v>
      </c>
    </row>
    <row r="11546" ht="24.0" customHeight="1">
      <c r="A11546" s="10" t="s">
        <v>1673</v>
      </c>
      <c r="B11546" s="10" t="s">
        <v>42</v>
      </c>
      <c r="C11546" s="10" t="s">
        <v>304</v>
      </c>
      <c r="D11546" s="10" t="s">
        <v>1674</v>
      </c>
      <c r="E11546" s="14">
        <v>0.015</v>
      </c>
      <c r="F11546" s="15">
        <f>ROUND(0.65,3)</f>
        <v>0.65</v>
      </c>
      <c r="G11546" s="12">
        <f t="shared" si="1753"/>
        <v>0.01</v>
      </c>
    </row>
    <row r="11547" ht="21.0" customHeight="1">
      <c r="A11547" s="10" t="s">
        <v>22</v>
      </c>
      <c r="B11547" s="10" t="s">
        <v>18</v>
      </c>
      <c r="C11547" s="10" t="s">
        <v>23</v>
      </c>
      <c r="D11547" s="10" t="s">
        <v>24</v>
      </c>
      <c r="E11547" s="14">
        <v>0.28</v>
      </c>
      <c r="F11547" s="15">
        <f>F11551</f>
        <v>43.8</v>
      </c>
      <c r="G11547" s="12">
        <f t="shared" si="1753"/>
        <v>12.26</v>
      </c>
    </row>
    <row r="11548" ht="24.0" customHeight="1">
      <c r="A11548" s="10" t="s">
        <v>25</v>
      </c>
      <c r="B11548" s="10" t="s">
        <v>26</v>
      </c>
      <c r="C11548" s="10" t="s">
        <v>23</v>
      </c>
      <c r="D11548" s="10" t="s">
        <v>27</v>
      </c>
      <c r="E11548" s="14">
        <v>1.0</v>
      </c>
      <c r="F11548" s="15">
        <f>ROUND(21,3)</f>
        <v>21</v>
      </c>
      <c r="G11548" s="12">
        <f t="shared" si="1753"/>
        <v>21</v>
      </c>
    </row>
    <row r="11549" ht="24.0" customHeight="1">
      <c r="A11549" s="10" t="s">
        <v>28</v>
      </c>
      <c r="B11549" s="10" t="s">
        <v>26</v>
      </c>
      <c r="C11549" s="10" t="s">
        <v>23</v>
      </c>
      <c r="D11549" s="10" t="s">
        <v>29</v>
      </c>
      <c r="E11549" s="14">
        <v>1.0</v>
      </c>
      <c r="F11549" s="15">
        <f t="shared" ref="F11549:F11550" si="1754">ROUND(19,3)</f>
        <v>19</v>
      </c>
      <c r="G11549" s="12">
        <f t="shared" si="1753"/>
        <v>19</v>
      </c>
    </row>
    <row r="11550" ht="24.0" customHeight="1">
      <c r="A11550" s="10" t="s">
        <v>30</v>
      </c>
      <c r="B11550" s="10" t="s">
        <v>26</v>
      </c>
      <c r="C11550" s="10" t="s">
        <v>23</v>
      </c>
      <c r="D11550" s="10" t="s">
        <v>31</v>
      </c>
      <c r="E11550" s="14">
        <v>0.2</v>
      </c>
      <c r="F11550" s="15">
        <f t="shared" si="1754"/>
        <v>19</v>
      </c>
      <c r="G11550" s="12">
        <f t="shared" si="1753"/>
        <v>3.8</v>
      </c>
    </row>
    <row r="11551" ht="15.0" customHeight="1">
      <c r="A11551" s="11"/>
      <c r="B11551" s="11"/>
      <c r="C11551" s="11"/>
      <c r="D11551" s="10" t="s">
        <v>22</v>
      </c>
      <c r="E11551" s="14">
        <v>0.28</v>
      </c>
      <c r="F11551" s="15">
        <f>ROUND((G11548+G11549+G11550),3)</f>
        <v>43.8</v>
      </c>
      <c r="G11551" s="12">
        <f t="shared" si="1753"/>
        <v>12.26</v>
      </c>
    </row>
    <row r="11552" ht="15.0" customHeight="1">
      <c r="A11552" s="10" t="s">
        <v>32</v>
      </c>
      <c r="B11552" s="10"/>
      <c r="C11552" s="10" t="s">
        <v>33</v>
      </c>
      <c r="D11552" s="10" t="s">
        <v>34</v>
      </c>
      <c r="E11552" s="14">
        <v>3.0</v>
      </c>
      <c r="F11552" s="15">
        <f>ROUND(12.26,3)</f>
        <v>12.26</v>
      </c>
      <c r="G11552" s="12">
        <f>ROUND((E11552*F11552)/100,2)</f>
        <v>0.37</v>
      </c>
    </row>
    <row r="11553" ht="15.0" customHeight="1">
      <c r="A11553" s="16"/>
      <c r="B11553" s="16"/>
      <c r="C11553" s="16"/>
      <c r="D11553" s="17" t="s">
        <v>5085</v>
      </c>
      <c r="E11553" s="16"/>
      <c r="F11553" s="18">
        <f>ROUND((G11542+G11543+G11544+G11545+G11546+G11547+G11552)*(1+G2/100),2)</f>
        <v>18.32</v>
      </c>
      <c r="G11553" s="16"/>
    </row>
    <row r="11554" ht="30.0" customHeight="1">
      <c r="A11554" s="19" t="s">
        <v>5090</v>
      </c>
      <c r="B11554" s="20" t="s">
        <v>18</v>
      </c>
      <c r="C11554" s="20" t="s">
        <v>251</v>
      </c>
      <c r="D11554" s="20" t="s">
        <v>5091</v>
      </c>
      <c r="E11554" s="21"/>
      <c r="F11554" s="22">
        <f>F11567</f>
        <v>27.1</v>
      </c>
      <c r="G11554" s="21"/>
    </row>
    <row r="11555" ht="39.75" customHeight="1">
      <c r="A11555" s="11"/>
      <c r="B11555" s="11"/>
      <c r="C11555" s="11"/>
      <c r="D11555" s="10" t="s">
        <v>5092</v>
      </c>
    </row>
    <row r="11556" ht="24.0" customHeight="1">
      <c r="A11556" s="10" t="s">
        <v>5088</v>
      </c>
      <c r="B11556" s="10" t="s">
        <v>42</v>
      </c>
      <c r="C11556" s="10" t="s">
        <v>304</v>
      </c>
      <c r="D11556" s="10" t="s">
        <v>5089</v>
      </c>
      <c r="E11556" s="14">
        <v>0.032</v>
      </c>
      <c r="F11556" s="15">
        <f>ROUND(173.88,3)</f>
        <v>173.88</v>
      </c>
      <c r="G11556" s="12">
        <f t="shared" ref="G11556:G11565" si="1755">ROUND(E11556*F11556,2)</f>
        <v>5.56</v>
      </c>
    </row>
    <row r="11557" ht="24.0" customHeight="1">
      <c r="A11557" s="10" t="s">
        <v>1671</v>
      </c>
      <c r="B11557" s="10" t="s">
        <v>42</v>
      </c>
      <c r="C11557" s="10" t="s">
        <v>304</v>
      </c>
      <c r="D11557" s="10" t="s">
        <v>1672</v>
      </c>
      <c r="E11557" s="14">
        <v>0.011</v>
      </c>
      <c r="F11557" s="15">
        <f>ROUND(4.73,3)</f>
        <v>4.73</v>
      </c>
      <c r="G11557" s="12">
        <f t="shared" si="1755"/>
        <v>0.05</v>
      </c>
    </row>
    <row r="11558" ht="30.0" customHeight="1">
      <c r="A11558" s="10" t="s">
        <v>1669</v>
      </c>
      <c r="B11558" s="10" t="s">
        <v>42</v>
      </c>
      <c r="C11558" s="10" t="s">
        <v>304</v>
      </c>
      <c r="D11558" s="10" t="s">
        <v>1670</v>
      </c>
      <c r="E11558" s="14">
        <v>0.011</v>
      </c>
      <c r="F11558" s="15">
        <f>ROUND(2.52,3)</f>
        <v>2.52</v>
      </c>
      <c r="G11558" s="12">
        <f t="shared" si="1755"/>
        <v>0.03</v>
      </c>
    </row>
    <row r="11559" ht="24.0" customHeight="1">
      <c r="A11559" s="10" t="s">
        <v>1675</v>
      </c>
      <c r="B11559" s="10" t="s">
        <v>42</v>
      </c>
      <c r="C11559" s="10" t="s">
        <v>304</v>
      </c>
      <c r="D11559" s="10" t="s">
        <v>1676</v>
      </c>
      <c r="E11559" s="14">
        <v>0.011</v>
      </c>
      <c r="F11559" s="15">
        <f>ROUND(4.06,3)</f>
        <v>4.06</v>
      </c>
      <c r="G11559" s="12">
        <f t="shared" si="1755"/>
        <v>0.04</v>
      </c>
    </row>
    <row r="11560" ht="24.0" customHeight="1">
      <c r="A11560" s="10" t="s">
        <v>1673</v>
      </c>
      <c r="B11560" s="10" t="s">
        <v>42</v>
      </c>
      <c r="C11560" s="10" t="s">
        <v>304</v>
      </c>
      <c r="D11560" s="10" t="s">
        <v>1674</v>
      </c>
      <c r="E11560" s="14">
        <v>0.015</v>
      </c>
      <c r="F11560" s="15">
        <f>ROUND(0.65,3)</f>
        <v>0.65</v>
      </c>
      <c r="G11560" s="12">
        <f t="shared" si="1755"/>
        <v>0.01</v>
      </c>
    </row>
    <row r="11561" ht="24.0" customHeight="1">
      <c r="A11561" s="10" t="s">
        <v>286</v>
      </c>
      <c r="B11561" s="10" t="s">
        <v>18</v>
      </c>
      <c r="C11561" s="10" t="s">
        <v>23</v>
      </c>
      <c r="D11561" s="10" t="s">
        <v>287</v>
      </c>
      <c r="E11561" s="14">
        <v>0.42</v>
      </c>
      <c r="F11561" s="15">
        <f>F11565</f>
        <v>49.5</v>
      </c>
      <c r="G11561" s="12">
        <f t="shared" si="1755"/>
        <v>20.79</v>
      </c>
    </row>
    <row r="11562" ht="24.0" customHeight="1">
      <c r="A11562" s="10" t="s">
        <v>288</v>
      </c>
      <c r="B11562" s="10" t="s">
        <v>26</v>
      </c>
      <c r="C11562" s="10" t="s">
        <v>23</v>
      </c>
      <c r="D11562" s="10" t="s">
        <v>289</v>
      </c>
      <c r="E11562" s="14">
        <v>1.0</v>
      </c>
      <c r="F11562" s="15">
        <f>ROUND(21,3)</f>
        <v>21</v>
      </c>
      <c r="G11562" s="12">
        <f t="shared" si="1755"/>
        <v>21</v>
      </c>
    </row>
    <row r="11563" ht="24.0" customHeight="1">
      <c r="A11563" s="10" t="s">
        <v>290</v>
      </c>
      <c r="B11563" s="10" t="s">
        <v>26</v>
      </c>
      <c r="C11563" s="10" t="s">
        <v>23</v>
      </c>
      <c r="D11563" s="10" t="s">
        <v>291</v>
      </c>
      <c r="E11563" s="14">
        <v>1.0</v>
      </c>
      <c r="F11563" s="15">
        <f t="shared" ref="F11563:F11564" si="1756">ROUND(19,3)</f>
        <v>19</v>
      </c>
      <c r="G11563" s="12">
        <f t="shared" si="1755"/>
        <v>19</v>
      </c>
    </row>
    <row r="11564" ht="24.0" customHeight="1">
      <c r="A11564" s="10" t="s">
        <v>292</v>
      </c>
      <c r="B11564" s="10" t="s">
        <v>26</v>
      </c>
      <c r="C11564" s="10" t="s">
        <v>23</v>
      </c>
      <c r="D11564" s="10" t="s">
        <v>293</v>
      </c>
      <c r="E11564" s="14">
        <v>0.5</v>
      </c>
      <c r="F11564" s="15">
        <f t="shared" si="1756"/>
        <v>19</v>
      </c>
      <c r="G11564" s="12">
        <f t="shared" si="1755"/>
        <v>9.5</v>
      </c>
    </row>
    <row r="11565" ht="15.0" customHeight="1">
      <c r="A11565" s="11"/>
      <c r="B11565" s="11"/>
      <c r="C11565" s="11"/>
      <c r="D11565" s="10" t="s">
        <v>286</v>
      </c>
      <c r="E11565" s="14">
        <v>0.42</v>
      </c>
      <c r="F11565" s="15">
        <f>ROUND((G11562+G11563+G11564),3)</f>
        <v>49.5</v>
      </c>
      <c r="G11565" s="12">
        <f t="shared" si="1755"/>
        <v>20.79</v>
      </c>
    </row>
    <row r="11566" ht="15.0" customHeight="1">
      <c r="A11566" s="10" t="s">
        <v>32</v>
      </c>
      <c r="B11566" s="10"/>
      <c r="C11566" s="10" t="s">
        <v>33</v>
      </c>
      <c r="D11566" s="10" t="s">
        <v>34</v>
      </c>
      <c r="E11566" s="14">
        <v>3.0</v>
      </c>
      <c r="F11566" s="15">
        <f>ROUND(20.79,3)</f>
        <v>20.79</v>
      </c>
      <c r="G11566" s="12">
        <f>ROUND((E11566*F11566)/100,2)</f>
        <v>0.62</v>
      </c>
    </row>
    <row r="11567" ht="15.0" customHeight="1">
      <c r="A11567" s="16"/>
      <c r="B11567" s="16"/>
      <c r="C11567" s="16"/>
      <c r="D11567" s="17" t="s">
        <v>5090</v>
      </c>
      <c r="E11567" s="16"/>
      <c r="F11567" s="18">
        <f>ROUND((G11556+G11557+G11558+G11559+G11560+G11561+G11566)*(1+G2/100),2)</f>
        <v>27.1</v>
      </c>
      <c r="G11567" s="16"/>
    </row>
    <row r="11568" ht="15.0" customHeight="1">
      <c r="A11568" s="19" t="s">
        <v>5093</v>
      </c>
      <c r="B11568" s="20" t="s">
        <v>18</v>
      </c>
      <c r="C11568" s="20" t="s">
        <v>251</v>
      </c>
      <c r="D11568" s="20" t="s">
        <v>5094</v>
      </c>
      <c r="E11568" s="21"/>
      <c r="F11568" s="22">
        <f>F11578</f>
        <v>18.86</v>
      </c>
      <c r="G11568" s="21"/>
    </row>
    <row r="11569" ht="39.75" customHeight="1">
      <c r="A11569" s="11"/>
      <c r="B11569" s="11"/>
      <c r="C11569" s="11"/>
      <c r="D11569" s="10" t="s">
        <v>5095</v>
      </c>
    </row>
    <row r="11570" ht="15.0" customHeight="1">
      <c r="A11570" s="10" t="s">
        <v>5096</v>
      </c>
      <c r="B11570" s="10" t="s">
        <v>42</v>
      </c>
      <c r="C11570" s="10" t="s">
        <v>521</v>
      </c>
      <c r="D11570" s="10" t="s">
        <v>5097</v>
      </c>
      <c r="E11570" s="14">
        <v>0.175</v>
      </c>
      <c r="F11570" s="15">
        <f>ROUND(6.66,3)</f>
        <v>6.66</v>
      </c>
      <c r="G11570" s="12">
        <f t="shared" ref="G11570:G11576" si="1757">ROUND(E11570*F11570,2)</f>
        <v>1.17</v>
      </c>
    </row>
    <row r="11571" ht="15.0" customHeight="1">
      <c r="A11571" s="10" t="s">
        <v>5098</v>
      </c>
      <c r="B11571" s="10" t="s">
        <v>42</v>
      </c>
      <c r="C11571" s="10" t="s">
        <v>521</v>
      </c>
      <c r="D11571" s="10" t="s">
        <v>5099</v>
      </c>
      <c r="E11571" s="14">
        <v>0.58</v>
      </c>
      <c r="F11571" s="15">
        <f>ROUND(16.5,3)</f>
        <v>16.5</v>
      </c>
      <c r="G11571" s="12">
        <f t="shared" si="1757"/>
        <v>9.57</v>
      </c>
    </row>
    <row r="11572" ht="21.0" customHeight="1">
      <c r="A11572" s="10" t="s">
        <v>22</v>
      </c>
      <c r="B11572" s="10" t="s">
        <v>18</v>
      </c>
      <c r="C11572" s="10" t="s">
        <v>23</v>
      </c>
      <c r="D11572" s="10" t="s">
        <v>24</v>
      </c>
      <c r="E11572" s="14">
        <v>0.18</v>
      </c>
      <c r="F11572" s="15">
        <f>F11576</f>
        <v>43.8</v>
      </c>
      <c r="G11572" s="12">
        <f t="shared" si="1757"/>
        <v>7.88</v>
      </c>
    </row>
    <row r="11573" ht="24.0" customHeight="1">
      <c r="A11573" s="10" t="s">
        <v>25</v>
      </c>
      <c r="B11573" s="10" t="s">
        <v>26</v>
      </c>
      <c r="C11573" s="10" t="s">
        <v>23</v>
      </c>
      <c r="D11573" s="10" t="s">
        <v>27</v>
      </c>
      <c r="E11573" s="14">
        <v>1.0</v>
      </c>
      <c r="F11573" s="15">
        <f>ROUND(21,3)</f>
        <v>21</v>
      </c>
      <c r="G11573" s="12">
        <f t="shared" si="1757"/>
        <v>21</v>
      </c>
    </row>
    <row r="11574" ht="24.0" customHeight="1">
      <c r="A11574" s="10" t="s">
        <v>28</v>
      </c>
      <c r="B11574" s="10" t="s">
        <v>26</v>
      </c>
      <c r="C11574" s="10" t="s">
        <v>23</v>
      </c>
      <c r="D11574" s="10" t="s">
        <v>29</v>
      </c>
      <c r="E11574" s="14">
        <v>1.0</v>
      </c>
      <c r="F11574" s="15">
        <f t="shared" ref="F11574:F11575" si="1758">ROUND(19,3)</f>
        <v>19</v>
      </c>
      <c r="G11574" s="12">
        <f t="shared" si="1757"/>
        <v>19</v>
      </c>
    </row>
    <row r="11575" ht="24.0" customHeight="1">
      <c r="A11575" s="10" t="s">
        <v>30</v>
      </c>
      <c r="B11575" s="10" t="s">
        <v>26</v>
      </c>
      <c r="C11575" s="10" t="s">
        <v>23</v>
      </c>
      <c r="D11575" s="10" t="s">
        <v>31</v>
      </c>
      <c r="E11575" s="14">
        <v>0.2</v>
      </c>
      <c r="F11575" s="15">
        <f t="shared" si="1758"/>
        <v>19</v>
      </c>
      <c r="G11575" s="12">
        <f t="shared" si="1757"/>
        <v>3.8</v>
      </c>
    </row>
    <row r="11576" ht="15.0" customHeight="1">
      <c r="A11576" s="11"/>
      <c r="B11576" s="11"/>
      <c r="C11576" s="11"/>
      <c r="D11576" s="10" t="s">
        <v>22</v>
      </c>
      <c r="E11576" s="14">
        <v>0.18</v>
      </c>
      <c r="F11576" s="15">
        <f>ROUND((G11573+G11574+G11575),3)</f>
        <v>43.8</v>
      </c>
      <c r="G11576" s="12">
        <f t="shared" si="1757"/>
        <v>7.88</v>
      </c>
    </row>
    <row r="11577" ht="15.0" customHeight="1">
      <c r="A11577" s="10" t="s">
        <v>32</v>
      </c>
      <c r="B11577" s="10"/>
      <c r="C11577" s="10" t="s">
        <v>33</v>
      </c>
      <c r="D11577" s="10" t="s">
        <v>34</v>
      </c>
      <c r="E11577" s="14">
        <v>3.0</v>
      </c>
      <c r="F11577" s="15">
        <f>ROUND(7.88,3)</f>
        <v>7.88</v>
      </c>
      <c r="G11577" s="12">
        <f>ROUND((E11577*F11577)/100,2)</f>
        <v>0.24</v>
      </c>
    </row>
    <row r="11578" ht="15.0" customHeight="1">
      <c r="A11578" s="16"/>
      <c r="B11578" s="16"/>
      <c r="C11578" s="16"/>
      <c r="D11578" s="17" t="s">
        <v>5093</v>
      </c>
      <c r="E11578" s="16"/>
      <c r="F11578" s="18">
        <f>ROUND((G11570+G11571+G11572+G11577)*(1+G2/100),2)</f>
        <v>18.86</v>
      </c>
      <c r="G11578" s="16"/>
    </row>
    <row r="11579" ht="21.0" customHeight="1">
      <c r="A11579" s="19" t="s">
        <v>5100</v>
      </c>
      <c r="B11579" s="20" t="s">
        <v>18</v>
      </c>
      <c r="C11579" s="20" t="s">
        <v>251</v>
      </c>
      <c r="D11579" s="20" t="s">
        <v>5101</v>
      </c>
      <c r="E11579" s="21"/>
      <c r="F11579" s="22">
        <f>F11589</f>
        <v>31.13</v>
      </c>
      <c r="G11579" s="21"/>
    </row>
    <row r="11580" ht="39.75" customHeight="1">
      <c r="A11580" s="11"/>
      <c r="B11580" s="11"/>
      <c r="C11580" s="11"/>
      <c r="D11580" s="10" t="s">
        <v>5102</v>
      </c>
    </row>
    <row r="11581" ht="15.0" customHeight="1">
      <c r="A11581" s="10" t="s">
        <v>5098</v>
      </c>
      <c r="B11581" s="10" t="s">
        <v>42</v>
      </c>
      <c r="C11581" s="10" t="s">
        <v>521</v>
      </c>
      <c r="D11581" s="10" t="s">
        <v>5099</v>
      </c>
      <c r="E11581" s="14">
        <v>0.58</v>
      </c>
      <c r="F11581" s="15">
        <f>ROUND(16.5,3)</f>
        <v>16.5</v>
      </c>
      <c r="G11581" s="12">
        <f t="shared" ref="G11581:G11587" si="1759">ROUND(E11581*F11581,2)</f>
        <v>9.57</v>
      </c>
    </row>
    <row r="11582" ht="15.0" customHeight="1">
      <c r="A11582" s="10" t="s">
        <v>5096</v>
      </c>
      <c r="B11582" s="10" t="s">
        <v>42</v>
      </c>
      <c r="C11582" s="10" t="s">
        <v>521</v>
      </c>
      <c r="D11582" s="10" t="s">
        <v>5097</v>
      </c>
      <c r="E11582" s="14">
        <v>0.175</v>
      </c>
      <c r="F11582" s="15">
        <f>ROUND(6.66,3)</f>
        <v>6.66</v>
      </c>
      <c r="G11582" s="12">
        <f t="shared" si="1759"/>
        <v>1.17</v>
      </c>
    </row>
    <row r="11583" ht="24.0" customHeight="1">
      <c r="A11583" s="10" t="s">
        <v>286</v>
      </c>
      <c r="B11583" s="10" t="s">
        <v>18</v>
      </c>
      <c r="C11583" s="10" t="s">
        <v>23</v>
      </c>
      <c r="D11583" s="10" t="s">
        <v>287</v>
      </c>
      <c r="E11583" s="14">
        <v>0.4</v>
      </c>
      <c r="F11583" s="15">
        <f>F11587</f>
        <v>49.5</v>
      </c>
      <c r="G11583" s="12">
        <f t="shared" si="1759"/>
        <v>19.8</v>
      </c>
    </row>
    <row r="11584" ht="24.0" customHeight="1">
      <c r="A11584" s="10" t="s">
        <v>288</v>
      </c>
      <c r="B11584" s="10" t="s">
        <v>26</v>
      </c>
      <c r="C11584" s="10" t="s">
        <v>23</v>
      </c>
      <c r="D11584" s="10" t="s">
        <v>289</v>
      </c>
      <c r="E11584" s="14">
        <v>1.0</v>
      </c>
      <c r="F11584" s="15">
        <f>ROUND(21,3)</f>
        <v>21</v>
      </c>
      <c r="G11584" s="12">
        <f t="shared" si="1759"/>
        <v>21</v>
      </c>
    </row>
    <row r="11585" ht="24.0" customHeight="1">
      <c r="A11585" s="10" t="s">
        <v>290</v>
      </c>
      <c r="B11585" s="10" t="s">
        <v>26</v>
      </c>
      <c r="C11585" s="10" t="s">
        <v>23</v>
      </c>
      <c r="D11585" s="10" t="s">
        <v>291</v>
      </c>
      <c r="E11585" s="14">
        <v>1.0</v>
      </c>
      <c r="F11585" s="15">
        <f t="shared" ref="F11585:F11586" si="1760">ROUND(19,3)</f>
        <v>19</v>
      </c>
      <c r="G11585" s="12">
        <f t="shared" si="1759"/>
        <v>19</v>
      </c>
    </row>
    <row r="11586" ht="24.0" customHeight="1">
      <c r="A11586" s="10" t="s">
        <v>292</v>
      </c>
      <c r="B11586" s="10" t="s">
        <v>26</v>
      </c>
      <c r="C11586" s="10" t="s">
        <v>23</v>
      </c>
      <c r="D11586" s="10" t="s">
        <v>293</v>
      </c>
      <c r="E11586" s="14">
        <v>0.5</v>
      </c>
      <c r="F11586" s="15">
        <f t="shared" si="1760"/>
        <v>19</v>
      </c>
      <c r="G11586" s="12">
        <f t="shared" si="1759"/>
        <v>9.5</v>
      </c>
    </row>
    <row r="11587" ht="15.0" customHeight="1">
      <c r="A11587" s="11"/>
      <c r="B11587" s="11"/>
      <c r="C11587" s="11"/>
      <c r="D11587" s="10" t="s">
        <v>286</v>
      </c>
      <c r="E11587" s="14">
        <v>0.4</v>
      </c>
      <c r="F11587" s="15">
        <f>ROUND((G11584+G11585+G11586),3)</f>
        <v>49.5</v>
      </c>
      <c r="G11587" s="12">
        <f t="shared" si="1759"/>
        <v>19.8</v>
      </c>
    </row>
    <row r="11588" ht="15.0" customHeight="1">
      <c r="A11588" s="10" t="s">
        <v>32</v>
      </c>
      <c r="B11588" s="10"/>
      <c r="C11588" s="10" t="s">
        <v>33</v>
      </c>
      <c r="D11588" s="10" t="s">
        <v>34</v>
      </c>
      <c r="E11588" s="14">
        <v>3.0</v>
      </c>
      <c r="F11588" s="15">
        <f>ROUND(19.8,3)</f>
        <v>19.8</v>
      </c>
      <c r="G11588" s="12">
        <f>ROUND((E11588*F11588)/100,2)</f>
        <v>0.59</v>
      </c>
    </row>
    <row r="11589" ht="15.0" customHeight="1">
      <c r="A11589" s="16"/>
      <c r="B11589" s="16"/>
      <c r="C11589" s="16"/>
      <c r="D11589" s="17" t="s">
        <v>5100</v>
      </c>
      <c r="E11589" s="16"/>
      <c r="F11589" s="18">
        <f>ROUND((G11581+G11582+G11583+G11588)*(1+G2/100),2)</f>
        <v>31.13</v>
      </c>
      <c r="G11589" s="16"/>
    </row>
    <row r="11590" ht="21.0" customHeight="1">
      <c r="A11590" s="19" t="s">
        <v>5103</v>
      </c>
      <c r="B11590" s="20" t="s">
        <v>18</v>
      </c>
      <c r="C11590" s="20" t="s">
        <v>251</v>
      </c>
      <c r="D11590" s="20" t="s">
        <v>5104</v>
      </c>
      <c r="E11590" s="21"/>
      <c r="F11590" s="22">
        <f>F11600</f>
        <v>19.63</v>
      </c>
      <c r="G11590" s="21"/>
    </row>
    <row r="11591" ht="21.0" customHeight="1">
      <c r="A11591" s="11"/>
      <c r="B11591" s="11"/>
      <c r="C11591" s="11"/>
      <c r="D11591" s="10" t="s">
        <v>5105</v>
      </c>
    </row>
    <row r="11592" ht="30.0" customHeight="1">
      <c r="A11592" s="10" t="s">
        <v>5106</v>
      </c>
      <c r="B11592" s="10" t="s">
        <v>42</v>
      </c>
      <c r="C11592" s="10" t="s">
        <v>43</v>
      </c>
      <c r="D11592" s="10" t="s">
        <v>5107</v>
      </c>
      <c r="E11592" s="14">
        <v>0.05</v>
      </c>
      <c r="F11592" s="15">
        <f>ROUND(32.22,3)</f>
        <v>32.22</v>
      </c>
      <c r="G11592" s="12">
        <f t="shared" ref="G11592:G11598" si="1761">ROUND(E11592*F11592,2)</f>
        <v>1.61</v>
      </c>
    </row>
    <row r="11593" ht="39.75" customHeight="1">
      <c r="A11593" s="10" t="s">
        <v>5108</v>
      </c>
      <c r="B11593" s="10" t="s">
        <v>42</v>
      </c>
      <c r="C11593" s="10" t="s">
        <v>43</v>
      </c>
      <c r="D11593" s="10" t="s">
        <v>5109</v>
      </c>
      <c r="E11593" s="14">
        <v>0.136</v>
      </c>
      <c r="F11593" s="15">
        <f>ROUND(33.05,3)</f>
        <v>33.05</v>
      </c>
      <c r="G11593" s="12">
        <f t="shared" si="1761"/>
        <v>4.49</v>
      </c>
    </row>
    <row r="11594" ht="21.0" customHeight="1">
      <c r="A11594" s="10" t="s">
        <v>22</v>
      </c>
      <c r="B11594" s="10" t="s">
        <v>18</v>
      </c>
      <c r="C11594" s="10" t="s">
        <v>23</v>
      </c>
      <c r="D11594" s="10" t="s">
        <v>24</v>
      </c>
      <c r="E11594" s="14">
        <v>0.3</v>
      </c>
      <c r="F11594" s="15">
        <f>F11598</f>
        <v>43.8</v>
      </c>
      <c r="G11594" s="12">
        <f t="shared" si="1761"/>
        <v>13.14</v>
      </c>
    </row>
    <row r="11595" ht="24.0" customHeight="1">
      <c r="A11595" s="10" t="s">
        <v>25</v>
      </c>
      <c r="B11595" s="10" t="s">
        <v>26</v>
      </c>
      <c r="C11595" s="10" t="s">
        <v>23</v>
      </c>
      <c r="D11595" s="10" t="s">
        <v>27</v>
      </c>
      <c r="E11595" s="14">
        <v>1.0</v>
      </c>
      <c r="F11595" s="15">
        <f>ROUND(21,3)</f>
        <v>21</v>
      </c>
      <c r="G11595" s="12">
        <f t="shared" si="1761"/>
        <v>21</v>
      </c>
    </row>
    <row r="11596" ht="24.0" customHeight="1">
      <c r="A11596" s="10" t="s">
        <v>28</v>
      </c>
      <c r="B11596" s="10" t="s">
        <v>26</v>
      </c>
      <c r="C11596" s="10" t="s">
        <v>23</v>
      </c>
      <c r="D11596" s="10" t="s">
        <v>29</v>
      </c>
      <c r="E11596" s="14">
        <v>1.0</v>
      </c>
      <c r="F11596" s="15">
        <f t="shared" ref="F11596:F11597" si="1762">ROUND(19,3)</f>
        <v>19</v>
      </c>
      <c r="G11596" s="12">
        <f t="shared" si="1761"/>
        <v>19</v>
      </c>
    </row>
    <row r="11597" ht="24.0" customHeight="1">
      <c r="A11597" s="10" t="s">
        <v>30</v>
      </c>
      <c r="B11597" s="10" t="s">
        <v>26</v>
      </c>
      <c r="C11597" s="10" t="s">
        <v>23</v>
      </c>
      <c r="D11597" s="10" t="s">
        <v>31</v>
      </c>
      <c r="E11597" s="14">
        <v>0.2</v>
      </c>
      <c r="F11597" s="15">
        <f t="shared" si="1762"/>
        <v>19</v>
      </c>
      <c r="G11597" s="12">
        <f t="shared" si="1761"/>
        <v>3.8</v>
      </c>
    </row>
    <row r="11598" ht="15.0" customHeight="1">
      <c r="A11598" s="11"/>
      <c r="B11598" s="11"/>
      <c r="C11598" s="11"/>
      <c r="D11598" s="10" t="s">
        <v>22</v>
      </c>
      <c r="E11598" s="14">
        <v>0.3</v>
      </c>
      <c r="F11598" s="15">
        <f>ROUND((G11595+G11596+G11597),3)</f>
        <v>43.8</v>
      </c>
      <c r="G11598" s="12">
        <f t="shared" si="1761"/>
        <v>13.14</v>
      </c>
    </row>
    <row r="11599" ht="15.0" customHeight="1">
      <c r="A11599" s="10" t="s">
        <v>32</v>
      </c>
      <c r="B11599" s="10"/>
      <c r="C11599" s="10" t="s">
        <v>33</v>
      </c>
      <c r="D11599" s="10" t="s">
        <v>34</v>
      </c>
      <c r="E11599" s="14">
        <v>3.0</v>
      </c>
      <c r="F11599" s="15">
        <f>ROUND(13.14,3)</f>
        <v>13.14</v>
      </c>
      <c r="G11599" s="12">
        <f>ROUND((E11599*F11599)/100,2)</f>
        <v>0.39</v>
      </c>
    </row>
    <row r="11600" ht="15.0" customHeight="1">
      <c r="A11600" s="16"/>
      <c r="B11600" s="16"/>
      <c r="C11600" s="16"/>
      <c r="D11600" s="17" t="s">
        <v>5103</v>
      </c>
      <c r="E11600" s="16"/>
      <c r="F11600" s="18">
        <f>ROUND((G11592+G11593+G11594+G11599)*(1+G2/100),2)</f>
        <v>19.63</v>
      </c>
      <c r="G11600" s="16"/>
    </row>
    <row r="11601" ht="30.0" customHeight="1">
      <c r="A11601" s="19" t="s">
        <v>5110</v>
      </c>
      <c r="B11601" s="20" t="s">
        <v>18</v>
      </c>
      <c r="C11601" s="20" t="s">
        <v>251</v>
      </c>
      <c r="D11601" s="20" t="s">
        <v>5111</v>
      </c>
      <c r="E11601" s="21"/>
      <c r="F11601" s="22">
        <f>F11611</f>
        <v>13.18</v>
      </c>
      <c r="G11601" s="21"/>
    </row>
    <row r="11602" ht="39.75" customHeight="1">
      <c r="A11602" s="11"/>
      <c r="B11602" s="11"/>
      <c r="C11602" s="11"/>
      <c r="D11602" s="10" t="s">
        <v>5112</v>
      </c>
    </row>
    <row r="11603" ht="39.75" customHeight="1">
      <c r="A11603" s="10" t="s">
        <v>5113</v>
      </c>
      <c r="B11603" s="10" t="s">
        <v>42</v>
      </c>
      <c r="C11603" s="10" t="s">
        <v>43</v>
      </c>
      <c r="D11603" s="10" t="s">
        <v>5114</v>
      </c>
      <c r="E11603" s="14">
        <v>0.075</v>
      </c>
      <c r="F11603" s="15">
        <f>ROUND(29.78,3)</f>
        <v>29.78</v>
      </c>
      <c r="G11603" s="12">
        <f t="shared" ref="G11603:G11609" si="1763">ROUND(E11603*F11603,2)</f>
        <v>2.23</v>
      </c>
    </row>
    <row r="11604" ht="30.0" customHeight="1">
      <c r="A11604" s="10" t="s">
        <v>5115</v>
      </c>
      <c r="B11604" s="10" t="s">
        <v>42</v>
      </c>
      <c r="C11604" s="10" t="s">
        <v>43</v>
      </c>
      <c r="D11604" s="10" t="s">
        <v>5116</v>
      </c>
      <c r="E11604" s="14">
        <v>0.1</v>
      </c>
      <c r="F11604" s="15">
        <f>ROUND(5.82,3)</f>
        <v>5.82</v>
      </c>
      <c r="G11604" s="12">
        <f t="shared" si="1763"/>
        <v>0.58</v>
      </c>
    </row>
    <row r="11605" ht="21.0" customHeight="1">
      <c r="A11605" s="10" t="s">
        <v>22</v>
      </c>
      <c r="B11605" s="10" t="s">
        <v>18</v>
      </c>
      <c r="C11605" s="10" t="s">
        <v>23</v>
      </c>
      <c r="D11605" s="10" t="s">
        <v>24</v>
      </c>
      <c r="E11605" s="14">
        <v>0.23</v>
      </c>
      <c r="F11605" s="15">
        <f>F11609</f>
        <v>43.8</v>
      </c>
      <c r="G11605" s="12">
        <f t="shared" si="1763"/>
        <v>10.07</v>
      </c>
    </row>
    <row r="11606" ht="24.0" customHeight="1">
      <c r="A11606" s="10" t="s">
        <v>25</v>
      </c>
      <c r="B11606" s="10" t="s">
        <v>26</v>
      </c>
      <c r="C11606" s="10" t="s">
        <v>23</v>
      </c>
      <c r="D11606" s="10" t="s">
        <v>27</v>
      </c>
      <c r="E11606" s="14">
        <v>1.0</v>
      </c>
      <c r="F11606" s="15">
        <f>ROUND(21,3)</f>
        <v>21</v>
      </c>
      <c r="G11606" s="12">
        <f t="shared" si="1763"/>
        <v>21</v>
      </c>
    </row>
    <row r="11607" ht="24.0" customHeight="1">
      <c r="A11607" s="10" t="s">
        <v>28</v>
      </c>
      <c r="B11607" s="10" t="s">
        <v>26</v>
      </c>
      <c r="C11607" s="10" t="s">
        <v>23</v>
      </c>
      <c r="D11607" s="10" t="s">
        <v>29</v>
      </c>
      <c r="E11607" s="14">
        <v>1.0</v>
      </c>
      <c r="F11607" s="15">
        <f t="shared" ref="F11607:F11608" si="1764">ROUND(19,3)</f>
        <v>19</v>
      </c>
      <c r="G11607" s="12">
        <f t="shared" si="1763"/>
        <v>19</v>
      </c>
    </row>
    <row r="11608" ht="24.0" customHeight="1">
      <c r="A11608" s="10" t="s">
        <v>30</v>
      </c>
      <c r="B11608" s="10" t="s">
        <v>26</v>
      </c>
      <c r="C11608" s="10" t="s">
        <v>23</v>
      </c>
      <c r="D11608" s="10" t="s">
        <v>31</v>
      </c>
      <c r="E11608" s="14">
        <v>0.2</v>
      </c>
      <c r="F11608" s="15">
        <f t="shared" si="1764"/>
        <v>19</v>
      </c>
      <c r="G11608" s="12">
        <f t="shared" si="1763"/>
        <v>3.8</v>
      </c>
    </row>
    <row r="11609" ht="15.0" customHeight="1">
      <c r="A11609" s="11"/>
      <c r="B11609" s="11"/>
      <c r="C11609" s="11"/>
      <c r="D11609" s="10" t="s">
        <v>22</v>
      </c>
      <c r="E11609" s="14">
        <v>0.23</v>
      </c>
      <c r="F11609" s="15">
        <f>ROUND((G11606+G11607+G11608),3)</f>
        <v>43.8</v>
      </c>
      <c r="G11609" s="12">
        <f t="shared" si="1763"/>
        <v>10.07</v>
      </c>
    </row>
    <row r="11610" ht="15.0" customHeight="1">
      <c r="A11610" s="10" t="s">
        <v>32</v>
      </c>
      <c r="B11610" s="10"/>
      <c r="C11610" s="10" t="s">
        <v>33</v>
      </c>
      <c r="D11610" s="10" t="s">
        <v>34</v>
      </c>
      <c r="E11610" s="14">
        <v>3.0</v>
      </c>
      <c r="F11610" s="15">
        <f>ROUND(10.07,3)</f>
        <v>10.07</v>
      </c>
      <c r="G11610" s="12">
        <f>ROUND((E11610*F11610)/100,2)</f>
        <v>0.3</v>
      </c>
    </row>
    <row r="11611" ht="15.0" customHeight="1">
      <c r="A11611" s="16"/>
      <c r="B11611" s="16"/>
      <c r="C11611" s="16"/>
      <c r="D11611" s="17" t="s">
        <v>5110</v>
      </c>
      <c r="E11611" s="16"/>
      <c r="F11611" s="18">
        <f>ROUND((G11603+G11604+G11605+G11610)*(1+G2/100),2)</f>
        <v>13.18</v>
      </c>
      <c r="G11611" s="16"/>
    </row>
    <row r="11612" ht="30.0" customHeight="1">
      <c r="A11612" s="19" t="s">
        <v>5117</v>
      </c>
      <c r="B11612" s="20" t="s">
        <v>18</v>
      </c>
      <c r="C11612" s="20" t="s">
        <v>251</v>
      </c>
      <c r="D11612" s="20" t="s">
        <v>5118</v>
      </c>
      <c r="E11612" s="21"/>
      <c r="F11612" s="22">
        <f>F11622</f>
        <v>15.31</v>
      </c>
      <c r="G11612" s="21"/>
    </row>
    <row r="11613" ht="48.75" customHeight="1">
      <c r="A11613" s="11"/>
      <c r="B11613" s="11"/>
      <c r="C11613" s="11"/>
      <c r="D11613" s="10" t="s">
        <v>5119</v>
      </c>
    </row>
    <row r="11614" ht="21.0" customHeight="1">
      <c r="A11614" s="10" t="s">
        <v>5120</v>
      </c>
      <c r="B11614" s="10" t="s">
        <v>42</v>
      </c>
      <c r="C11614" s="10" t="s">
        <v>304</v>
      </c>
      <c r="D11614" s="10" t="s">
        <v>5121</v>
      </c>
      <c r="E11614" s="14">
        <v>0.075</v>
      </c>
      <c r="F11614" s="15">
        <f>ROUND(53.5,3)</f>
        <v>53.5</v>
      </c>
      <c r="G11614" s="12">
        <f t="shared" ref="G11614:G11620" si="1765">ROUND(E11614*F11614,2)</f>
        <v>4.01</v>
      </c>
    </row>
    <row r="11615" ht="15.0" customHeight="1">
      <c r="A11615" s="10" t="s">
        <v>5122</v>
      </c>
      <c r="B11615" s="10" t="s">
        <v>42</v>
      </c>
      <c r="C11615" s="10" t="s">
        <v>304</v>
      </c>
      <c r="D11615" s="10" t="s">
        <v>5123</v>
      </c>
      <c r="E11615" s="14">
        <v>0.1</v>
      </c>
      <c r="F11615" s="15">
        <f>ROUND(9.27,3)</f>
        <v>9.27</v>
      </c>
      <c r="G11615" s="12">
        <f t="shared" si="1765"/>
        <v>0.93</v>
      </c>
    </row>
    <row r="11616" ht="21.0" customHeight="1">
      <c r="A11616" s="10" t="s">
        <v>22</v>
      </c>
      <c r="B11616" s="10" t="s">
        <v>18</v>
      </c>
      <c r="C11616" s="10" t="s">
        <v>23</v>
      </c>
      <c r="D11616" s="10" t="s">
        <v>24</v>
      </c>
      <c r="E11616" s="14">
        <v>0.23</v>
      </c>
      <c r="F11616" s="15">
        <f>F11620</f>
        <v>43.8</v>
      </c>
      <c r="G11616" s="12">
        <f t="shared" si="1765"/>
        <v>10.07</v>
      </c>
    </row>
    <row r="11617" ht="24.0" customHeight="1">
      <c r="A11617" s="10" t="s">
        <v>25</v>
      </c>
      <c r="B11617" s="10" t="s">
        <v>26</v>
      </c>
      <c r="C11617" s="10" t="s">
        <v>23</v>
      </c>
      <c r="D11617" s="10" t="s">
        <v>27</v>
      </c>
      <c r="E11617" s="14">
        <v>1.0</v>
      </c>
      <c r="F11617" s="15">
        <f>ROUND(21,3)</f>
        <v>21</v>
      </c>
      <c r="G11617" s="12">
        <f t="shared" si="1765"/>
        <v>21</v>
      </c>
    </row>
    <row r="11618" ht="24.0" customHeight="1">
      <c r="A11618" s="10" t="s">
        <v>28</v>
      </c>
      <c r="B11618" s="10" t="s">
        <v>26</v>
      </c>
      <c r="C11618" s="10" t="s">
        <v>23</v>
      </c>
      <c r="D11618" s="10" t="s">
        <v>29</v>
      </c>
      <c r="E11618" s="14">
        <v>1.0</v>
      </c>
      <c r="F11618" s="15">
        <f t="shared" ref="F11618:F11619" si="1766">ROUND(19,3)</f>
        <v>19</v>
      </c>
      <c r="G11618" s="12">
        <f t="shared" si="1765"/>
        <v>19</v>
      </c>
    </row>
    <row r="11619" ht="24.0" customHeight="1">
      <c r="A11619" s="10" t="s">
        <v>30</v>
      </c>
      <c r="B11619" s="10" t="s">
        <v>26</v>
      </c>
      <c r="C11619" s="10" t="s">
        <v>23</v>
      </c>
      <c r="D11619" s="10" t="s">
        <v>31</v>
      </c>
      <c r="E11619" s="14">
        <v>0.2</v>
      </c>
      <c r="F11619" s="15">
        <f t="shared" si="1766"/>
        <v>19</v>
      </c>
      <c r="G11619" s="12">
        <f t="shared" si="1765"/>
        <v>3.8</v>
      </c>
    </row>
    <row r="11620" ht="15.0" customHeight="1">
      <c r="A11620" s="11"/>
      <c r="B11620" s="11"/>
      <c r="C11620" s="11"/>
      <c r="D11620" s="10" t="s">
        <v>22</v>
      </c>
      <c r="E11620" s="14">
        <v>0.23</v>
      </c>
      <c r="F11620" s="15">
        <f>ROUND((G11617+G11618+G11619),3)</f>
        <v>43.8</v>
      </c>
      <c r="G11620" s="12">
        <f t="shared" si="1765"/>
        <v>10.07</v>
      </c>
    </row>
    <row r="11621" ht="15.0" customHeight="1">
      <c r="A11621" s="10" t="s">
        <v>32</v>
      </c>
      <c r="B11621" s="10"/>
      <c r="C11621" s="10" t="s">
        <v>33</v>
      </c>
      <c r="D11621" s="10" t="s">
        <v>34</v>
      </c>
      <c r="E11621" s="14">
        <v>3.0</v>
      </c>
      <c r="F11621" s="15">
        <f>ROUND(10.07,3)</f>
        <v>10.07</v>
      </c>
      <c r="G11621" s="12">
        <f>ROUND((E11621*F11621)/100,2)</f>
        <v>0.3</v>
      </c>
    </row>
    <row r="11622" ht="15.0" customHeight="1">
      <c r="A11622" s="16"/>
      <c r="B11622" s="16"/>
      <c r="C11622" s="16"/>
      <c r="D11622" s="17" t="s">
        <v>5117</v>
      </c>
      <c r="E11622" s="16"/>
      <c r="F11622" s="18">
        <f>ROUND((G11614+G11615+G11616+G11621)*(1+G2/100),2)</f>
        <v>15.31</v>
      </c>
      <c r="G11622" s="16"/>
    </row>
    <row r="11623" ht="21.0" customHeight="1">
      <c r="A11623" s="19" t="s">
        <v>5124</v>
      </c>
      <c r="B11623" s="20" t="s">
        <v>18</v>
      </c>
      <c r="C11623" s="20" t="s">
        <v>251</v>
      </c>
      <c r="D11623" s="20" t="s">
        <v>5125</v>
      </c>
      <c r="E11623" s="21"/>
      <c r="F11623" s="22">
        <f>F11633</f>
        <v>11.57</v>
      </c>
      <c r="G11623" s="21"/>
    </row>
    <row r="11624" ht="67.5" customHeight="1">
      <c r="A11624" s="11"/>
      <c r="B11624" s="11"/>
      <c r="C11624" s="11"/>
      <c r="D11624" s="10" t="s">
        <v>5126</v>
      </c>
    </row>
    <row r="11625" ht="15.0" customHeight="1">
      <c r="A11625" s="10" t="s">
        <v>5127</v>
      </c>
      <c r="B11625" s="10" t="s">
        <v>42</v>
      </c>
      <c r="C11625" s="10" t="s">
        <v>304</v>
      </c>
      <c r="D11625" s="10" t="s">
        <v>5128</v>
      </c>
      <c r="E11625" s="14">
        <v>0.03</v>
      </c>
      <c r="F11625" s="15">
        <f>ROUND(84.11,3)</f>
        <v>84.11</v>
      </c>
      <c r="G11625" s="12">
        <f t="shared" ref="G11625:G11631" si="1767">ROUND(E11625*F11625,2)</f>
        <v>2.52</v>
      </c>
    </row>
    <row r="11626" ht="15.0" customHeight="1">
      <c r="A11626" s="10" t="s">
        <v>5122</v>
      </c>
      <c r="B11626" s="10" t="s">
        <v>42</v>
      </c>
      <c r="C11626" s="10" t="s">
        <v>304</v>
      </c>
      <c r="D11626" s="10" t="s">
        <v>5123</v>
      </c>
      <c r="E11626" s="14">
        <v>0.1</v>
      </c>
      <c r="F11626" s="15">
        <f>ROUND(9.27,3)</f>
        <v>9.27</v>
      </c>
      <c r="G11626" s="12">
        <f t="shared" si="1767"/>
        <v>0.93</v>
      </c>
    </row>
    <row r="11627" ht="21.0" customHeight="1">
      <c r="A11627" s="10" t="s">
        <v>22</v>
      </c>
      <c r="B11627" s="10" t="s">
        <v>18</v>
      </c>
      <c r="C11627" s="10" t="s">
        <v>23</v>
      </c>
      <c r="D11627" s="10" t="s">
        <v>24</v>
      </c>
      <c r="E11627" s="14">
        <v>0.18</v>
      </c>
      <c r="F11627" s="15">
        <f>F11631</f>
        <v>43.8</v>
      </c>
      <c r="G11627" s="12">
        <f t="shared" si="1767"/>
        <v>7.88</v>
      </c>
    </row>
    <row r="11628" ht="24.0" customHeight="1">
      <c r="A11628" s="10" t="s">
        <v>25</v>
      </c>
      <c r="B11628" s="10" t="s">
        <v>26</v>
      </c>
      <c r="C11628" s="10" t="s">
        <v>23</v>
      </c>
      <c r="D11628" s="10" t="s">
        <v>27</v>
      </c>
      <c r="E11628" s="14">
        <v>1.0</v>
      </c>
      <c r="F11628" s="15">
        <f>ROUND(21,3)</f>
        <v>21</v>
      </c>
      <c r="G11628" s="12">
        <f t="shared" si="1767"/>
        <v>21</v>
      </c>
    </row>
    <row r="11629" ht="24.0" customHeight="1">
      <c r="A11629" s="10" t="s">
        <v>28</v>
      </c>
      <c r="B11629" s="10" t="s">
        <v>26</v>
      </c>
      <c r="C11629" s="10" t="s">
        <v>23</v>
      </c>
      <c r="D11629" s="10" t="s">
        <v>29</v>
      </c>
      <c r="E11629" s="14">
        <v>1.0</v>
      </c>
      <c r="F11629" s="15">
        <f t="shared" ref="F11629:F11630" si="1768">ROUND(19,3)</f>
        <v>19</v>
      </c>
      <c r="G11629" s="12">
        <f t="shared" si="1767"/>
        <v>19</v>
      </c>
    </row>
    <row r="11630" ht="24.0" customHeight="1">
      <c r="A11630" s="10" t="s">
        <v>30</v>
      </c>
      <c r="B11630" s="10" t="s">
        <v>26</v>
      </c>
      <c r="C11630" s="10" t="s">
        <v>23</v>
      </c>
      <c r="D11630" s="10" t="s">
        <v>31</v>
      </c>
      <c r="E11630" s="14">
        <v>0.2</v>
      </c>
      <c r="F11630" s="15">
        <f t="shared" si="1768"/>
        <v>19</v>
      </c>
      <c r="G11630" s="12">
        <f t="shared" si="1767"/>
        <v>3.8</v>
      </c>
    </row>
    <row r="11631" ht="15.0" customHeight="1">
      <c r="A11631" s="11"/>
      <c r="B11631" s="11"/>
      <c r="C11631" s="11"/>
      <c r="D11631" s="10" t="s">
        <v>22</v>
      </c>
      <c r="E11631" s="14">
        <v>0.18</v>
      </c>
      <c r="F11631" s="15">
        <f>ROUND((G11628+G11629+G11630),3)</f>
        <v>43.8</v>
      </c>
      <c r="G11631" s="12">
        <f t="shared" si="1767"/>
        <v>7.88</v>
      </c>
    </row>
    <row r="11632" ht="15.0" customHeight="1">
      <c r="A11632" s="10" t="s">
        <v>32</v>
      </c>
      <c r="B11632" s="10"/>
      <c r="C11632" s="10" t="s">
        <v>33</v>
      </c>
      <c r="D11632" s="10" t="s">
        <v>34</v>
      </c>
      <c r="E11632" s="14">
        <v>3.0</v>
      </c>
      <c r="F11632" s="15">
        <f>ROUND(7.88,3)</f>
        <v>7.88</v>
      </c>
      <c r="G11632" s="12">
        <f>ROUND((E11632*F11632)/100,2)</f>
        <v>0.24</v>
      </c>
    </row>
    <row r="11633" ht="15.0" customHeight="1">
      <c r="A11633" s="16"/>
      <c r="B11633" s="16"/>
      <c r="C11633" s="16"/>
      <c r="D11633" s="17" t="s">
        <v>5124</v>
      </c>
      <c r="E11633" s="16"/>
      <c r="F11633" s="18">
        <f>ROUND((G11625+G11626+G11627+G11632)*(1+G2/100),2)</f>
        <v>11.57</v>
      </c>
      <c r="G11633" s="16"/>
    </row>
    <row r="11634" ht="21.0" customHeight="1">
      <c r="A11634" s="19" t="s">
        <v>5129</v>
      </c>
      <c r="B11634" s="20" t="s">
        <v>18</v>
      </c>
      <c r="C11634" s="20" t="s">
        <v>251</v>
      </c>
      <c r="D11634" s="20" t="s">
        <v>5130</v>
      </c>
      <c r="E11634" s="21"/>
      <c r="F11634" s="22">
        <f>F11648</f>
        <v>38</v>
      </c>
      <c r="G11634" s="21"/>
    </row>
    <row r="11635" ht="48.75" customHeight="1">
      <c r="A11635" s="11"/>
      <c r="B11635" s="11"/>
      <c r="C11635" s="11"/>
      <c r="D11635" s="10" t="s">
        <v>5131</v>
      </c>
    </row>
    <row r="11636" ht="24.0" customHeight="1">
      <c r="A11636" s="10" t="s">
        <v>4770</v>
      </c>
      <c r="B11636" s="10" t="s">
        <v>42</v>
      </c>
      <c r="C11636" s="10" t="s">
        <v>295</v>
      </c>
      <c r="D11636" s="10" t="s">
        <v>4771</v>
      </c>
      <c r="E11636" s="14">
        <v>0.0857</v>
      </c>
      <c r="F11636" s="15">
        <f>ROUND(42.7,3)</f>
        <v>42.7</v>
      </c>
      <c r="G11636" s="12">
        <f t="shared" ref="G11636:G11646" si="1769">ROUND(E11636*F11636,2)</f>
        <v>3.66</v>
      </c>
    </row>
    <row r="11637" ht="24.0" customHeight="1">
      <c r="A11637" s="10" t="s">
        <v>1667</v>
      </c>
      <c r="B11637" s="10" t="s">
        <v>42</v>
      </c>
      <c r="C11637" s="10" t="s">
        <v>295</v>
      </c>
      <c r="D11637" s="10" t="s">
        <v>1668</v>
      </c>
      <c r="E11637" s="14">
        <v>0.0333</v>
      </c>
      <c r="F11637" s="15">
        <f>ROUND(85.93,3)</f>
        <v>85.93</v>
      </c>
      <c r="G11637" s="12">
        <f t="shared" si="1769"/>
        <v>2.86</v>
      </c>
    </row>
    <row r="11638" ht="30.0" customHeight="1">
      <c r="A11638" s="10" t="s">
        <v>1669</v>
      </c>
      <c r="B11638" s="10" t="s">
        <v>42</v>
      </c>
      <c r="C11638" s="10" t="s">
        <v>304</v>
      </c>
      <c r="D11638" s="10" t="s">
        <v>1670</v>
      </c>
      <c r="E11638" s="14">
        <v>0.011</v>
      </c>
      <c r="F11638" s="15">
        <f>ROUND(2.52,3)</f>
        <v>2.52</v>
      </c>
      <c r="G11638" s="12">
        <f t="shared" si="1769"/>
        <v>0.03</v>
      </c>
    </row>
    <row r="11639" ht="24.0" customHeight="1">
      <c r="A11639" s="10" t="s">
        <v>1671</v>
      </c>
      <c r="B11639" s="10" t="s">
        <v>42</v>
      </c>
      <c r="C11639" s="10" t="s">
        <v>304</v>
      </c>
      <c r="D11639" s="10" t="s">
        <v>1672</v>
      </c>
      <c r="E11639" s="14">
        <v>0.011</v>
      </c>
      <c r="F11639" s="15">
        <f>ROUND(4.73,3)</f>
        <v>4.73</v>
      </c>
      <c r="G11639" s="12">
        <f t="shared" si="1769"/>
        <v>0.05</v>
      </c>
    </row>
    <row r="11640" ht="24.0" customHeight="1">
      <c r="A11640" s="10" t="s">
        <v>1673</v>
      </c>
      <c r="B11640" s="10" t="s">
        <v>42</v>
      </c>
      <c r="C11640" s="10" t="s">
        <v>304</v>
      </c>
      <c r="D11640" s="10" t="s">
        <v>1674</v>
      </c>
      <c r="E11640" s="14">
        <v>0.015</v>
      </c>
      <c r="F11640" s="15">
        <f>ROUND(0.65,3)</f>
        <v>0.65</v>
      </c>
      <c r="G11640" s="12">
        <f t="shared" si="1769"/>
        <v>0.01</v>
      </c>
    </row>
    <row r="11641" ht="24.0" customHeight="1">
      <c r="A11641" s="10" t="s">
        <v>1675</v>
      </c>
      <c r="B11641" s="10" t="s">
        <v>42</v>
      </c>
      <c r="C11641" s="10" t="s">
        <v>304</v>
      </c>
      <c r="D11641" s="10" t="s">
        <v>1676</v>
      </c>
      <c r="E11641" s="14">
        <v>0.011</v>
      </c>
      <c r="F11641" s="15">
        <f>ROUND(4.06,3)</f>
        <v>4.06</v>
      </c>
      <c r="G11641" s="12">
        <f t="shared" si="1769"/>
        <v>0.04</v>
      </c>
    </row>
    <row r="11642" ht="21.0" customHeight="1">
      <c r="A11642" s="10" t="s">
        <v>22</v>
      </c>
      <c r="B11642" s="10" t="s">
        <v>18</v>
      </c>
      <c r="C11642" s="10" t="s">
        <v>23</v>
      </c>
      <c r="D11642" s="10" t="s">
        <v>24</v>
      </c>
      <c r="E11642" s="14">
        <v>0.695</v>
      </c>
      <c r="F11642" s="15">
        <f>F11646</f>
        <v>43.8</v>
      </c>
      <c r="G11642" s="12">
        <f t="shared" si="1769"/>
        <v>30.44</v>
      </c>
    </row>
    <row r="11643" ht="24.0" customHeight="1">
      <c r="A11643" s="10" t="s">
        <v>25</v>
      </c>
      <c r="B11643" s="10" t="s">
        <v>26</v>
      </c>
      <c r="C11643" s="10" t="s">
        <v>23</v>
      </c>
      <c r="D11643" s="10" t="s">
        <v>27</v>
      </c>
      <c r="E11643" s="14">
        <v>1.0</v>
      </c>
      <c r="F11643" s="15">
        <f>ROUND(21,3)</f>
        <v>21</v>
      </c>
      <c r="G11643" s="12">
        <f t="shared" si="1769"/>
        <v>21</v>
      </c>
    </row>
    <row r="11644" ht="24.0" customHeight="1">
      <c r="A11644" s="10" t="s">
        <v>28</v>
      </c>
      <c r="B11644" s="10" t="s">
        <v>26</v>
      </c>
      <c r="C11644" s="10" t="s">
        <v>23</v>
      </c>
      <c r="D11644" s="10" t="s">
        <v>29</v>
      </c>
      <c r="E11644" s="14">
        <v>1.0</v>
      </c>
      <c r="F11644" s="15">
        <f t="shared" ref="F11644:F11645" si="1770">ROUND(19,3)</f>
        <v>19</v>
      </c>
      <c r="G11644" s="12">
        <f t="shared" si="1769"/>
        <v>19</v>
      </c>
    </row>
    <row r="11645" ht="24.0" customHeight="1">
      <c r="A11645" s="10" t="s">
        <v>30</v>
      </c>
      <c r="B11645" s="10" t="s">
        <v>26</v>
      </c>
      <c r="C11645" s="10" t="s">
        <v>23</v>
      </c>
      <c r="D11645" s="10" t="s">
        <v>31</v>
      </c>
      <c r="E11645" s="14">
        <v>0.2</v>
      </c>
      <c r="F11645" s="15">
        <f t="shared" si="1770"/>
        <v>19</v>
      </c>
      <c r="G11645" s="12">
        <f t="shared" si="1769"/>
        <v>3.8</v>
      </c>
    </row>
    <row r="11646" ht="15.0" customHeight="1">
      <c r="A11646" s="11"/>
      <c r="B11646" s="11"/>
      <c r="C11646" s="11"/>
      <c r="D11646" s="10" t="s">
        <v>22</v>
      </c>
      <c r="E11646" s="14">
        <v>0.695</v>
      </c>
      <c r="F11646" s="15">
        <f>ROUND((G11643+G11644+G11645),3)</f>
        <v>43.8</v>
      </c>
      <c r="G11646" s="12">
        <f t="shared" si="1769"/>
        <v>30.44</v>
      </c>
    </row>
    <row r="11647" ht="15.0" customHeight="1">
      <c r="A11647" s="10" t="s">
        <v>32</v>
      </c>
      <c r="B11647" s="10"/>
      <c r="C11647" s="10" t="s">
        <v>33</v>
      </c>
      <c r="D11647" s="10" t="s">
        <v>34</v>
      </c>
      <c r="E11647" s="14">
        <v>3.0</v>
      </c>
      <c r="F11647" s="15">
        <f>ROUND(30.44,3)</f>
        <v>30.44</v>
      </c>
      <c r="G11647" s="12">
        <f>ROUND((E11647*F11647)/100,2)</f>
        <v>0.91</v>
      </c>
    </row>
    <row r="11648" ht="15.0" customHeight="1">
      <c r="A11648" s="16"/>
      <c r="B11648" s="16"/>
      <c r="C11648" s="16"/>
      <c r="D11648" s="17" t="s">
        <v>5129</v>
      </c>
      <c r="E11648" s="16"/>
      <c r="F11648" s="18">
        <f>ROUND((G11636+G11637+G11638+G11639+G11640+G11641+G11642+G11647)*(1+G2/100),2)</f>
        <v>38</v>
      </c>
      <c r="G11648" s="16"/>
    </row>
    <row r="11649" ht="21.0" customHeight="1">
      <c r="A11649" s="19" t="s">
        <v>5132</v>
      </c>
      <c r="B11649" s="20" t="s">
        <v>18</v>
      </c>
      <c r="C11649" s="20" t="s">
        <v>251</v>
      </c>
      <c r="D11649" s="20" t="s">
        <v>5133</v>
      </c>
      <c r="E11649" s="21"/>
      <c r="F11649" s="22">
        <f>F11658</f>
        <v>7.24</v>
      </c>
      <c r="G11649" s="21"/>
    </row>
    <row r="11650" ht="30.0" customHeight="1">
      <c r="A11650" s="11"/>
      <c r="B11650" s="11"/>
      <c r="C11650" s="11"/>
      <c r="D11650" s="10" t="s">
        <v>5134</v>
      </c>
    </row>
    <row r="11651" ht="39.75" customHeight="1">
      <c r="A11651" s="10" t="s">
        <v>4802</v>
      </c>
      <c r="B11651" s="10" t="s">
        <v>42</v>
      </c>
      <c r="C11651" s="10" t="s">
        <v>43</v>
      </c>
      <c r="D11651" s="10" t="s">
        <v>4803</v>
      </c>
      <c r="E11651" s="14">
        <v>0.02</v>
      </c>
      <c r="F11651" s="15">
        <f>ROUND(23.66,3)</f>
        <v>23.66</v>
      </c>
      <c r="G11651" s="12">
        <f t="shared" ref="G11651:G11656" si="1771">ROUND(E11651*F11651,2)</f>
        <v>0.47</v>
      </c>
    </row>
    <row r="11652" ht="21.0" customHeight="1">
      <c r="A11652" s="10" t="s">
        <v>22</v>
      </c>
      <c r="B11652" s="10" t="s">
        <v>18</v>
      </c>
      <c r="C11652" s="10" t="s">
        <v>23</v>
      </c>
      <c r="D11652" s="10" t="s">
        <v>24</v>
      </c>
      <c r="E11652" s="14">
        <v>0.15</v>
      </c>
      <c r="F11652" s="15">
        <f>F11656</f>
        <v>43.8</v>
      </c>
      <c r="G11652" s="12">
        <f t="shared" si="1771"/>
        <v>6.57</v>
      </c>
    </row>
    <row r="11653" ht="24.0" customHeight="1">
      <c r="A11653" s="10" t="s">
        <v>25</v>
      </c>
      <c r="B11653" s="10" t="s">
        <v>26</v>
      </c>
      <c r="C11653" s="10" t="s">
        <v>23</v>
      </c>
      <c r="D11653" s="10" t="s">
        <v>27</v>
      </c>
      <c r="E11653" s="14">
        <v>1.0</v>
      </c>
      <c r="F11653" s="15">
        <f>ROUND(21,3)</f>
        <v>21</v>
      </c>
      <c r="G11653" s="12">
        <f t="shared" si="1771"/>
        <v>21</v>
      </c>
    </row>
    <row r="11654" ht="24.0" customHeight="1">
      <c r="A11654" s="10" t="s">
        <v>28</v>
      </c>
      <c r="B11654" s="10" t="s">
        <v>26</v>
      </c>
      <c r="C11654" s="10" t="s">
        <v>23</v>
      </c>
      <c r="D11654" s="10" t="s">
        <v>29</v>
      </c>
      <c r="E11654" s="14">
        <v>1.0</v>
      </c>
      <c r="F11654" s="15">
        <f t="shared" ref="F11654:F11655" si="1772">ROUND(19,3)</f>
        <v>19</v>
      </c>
      <c r="G11654" s="12">
        <f t="shared" si="1771"/>
        <v>19</v>
      </c>
    </row>
    <row r="11655" ht="24.0" customHeight="1">
      <c r="A11655" s="10" t="s">
        <v>30</v>
      </c>
      <c r="B11655" s="10" t="s">
        <v>26</v>
      </c>
      <c r="C11655" s="10" t="s">
        <v>23</v>
      </c>
      <c r="D11655" s="10" t="s">
        <v>31</v>
      </c>
      <c r="E11655" s="14">
        <v>0.2</v>
      </c>
      <c r="F11655" s="15">
        <f t="shared" si="1772"/>
        <v>19</v>
      </c>
      <c r="G11655" s="12">
        <f t="shared" si="1771"/>
        <v>3.8</v>
      </c>
    </row>
    <row r="11656" ht="15.0" customHeight="1">
      <c r="A11656" s="11"/>
      <c r="B11656" s="11"/>
      <c r="C11656" s="11"/>
      <c r="D11656" s="10" t="s">
        <v>22</v>
      </c>
      <c r="E11656" s="14">
        <v>0.15</v>
      </c>
      <c r="F11656" s="15">
        <f>ROUND((G11653+G11654+G11655),3)</f>
        <v>43.8</v>
      </c>
      <c r="G11656" s="12">
        <f t="shared" si="1771"/>
        <v>6.57</v>
      </c>
    </row>
    <row r="11657" ht="15.0" customHeight="1">
      <c r="A11657" s="10" t="s">
        <v>32</v>
      </c>
      <c r="B11657" s="10"/>
      <c r="C11657" s="10" t="s">
        <v>33</v>
      </c>
      <c r="D11657" s="10" t="s">
        <v>34</v>
      </c>
      <c r="E11657" s="14">
        <v>3.0</v>
      </c>
      <c r="F11657" s="15">
        <f>ROUND(6.57,3)</f>
        <v>6.57</v>
      </c>
      <c r="G11657" s="12">
        <f>ROUND((E11657*F11657)/100,2)</f>
        <v>0.2</v>
      </c>
    </row>
    <row r="11658" ht="15.0" customHeight="1">
      <c r="A11658" s="16"/>
      <c r="B11658" s="16"/>
      <c r="C11658" s="16"/>
      <c r="D11658" s="17" t="s">
        <v>5132</v>
      </c>
      <c r="E11658" s="16"/>
      <c r="F11658" s="18">
        <f>ROUND((G11651+G11652+G11657)*(1+G2/100),2)</f>
        <v>7.24</v>
      </c>
      <c r="G11658" s="16"/>
    </row>
    <row r="11659" ht="21.0" customHeight="1">
      <c r="A11659" s="19" t="s">
        <v>5135</v>
      </c>
      <c r="B11659" s="20" t="s">
        <v>18</v>
      </c>
      <c r="C11659" s="20" t="s">
        <v>251</v>
      </c>
      <c r="D11659" s="20" t="s">
        <v>5136</v>
      </c>
      <c r="E11659" s="21"/>
      <c r="F11659" s="22">
        <f>F11668</f>
        <v>8.37</v>
      </c>
      <c r="G11659" s="21"/>
    </row>
    <row r="11660" ht="30.0" customHeight="1">
      <c r="A11660" s="11"/>
      <c r="B11660" s="11"/>
      <c r="C11660" s="11"/>
      <c r="D11660" s="10" t="s">
        <v>5137</v>
      </c>
    </row>
    <row r="11661" ht="39.75" customHeight="1">
      <c r="A11661" s="10" t="s">
        <v>5138</v>
      </c>
      <c r="B11661" s="10" t="s">
        <v>42</v>
      </c>
      <c r="C11661" s="10" t="s">
        <v>43</v>
      </c>
      <c r="D11661" s="10" t="s">
        <v>5139</v>
      </c>
      <c r="E11661" s="14">
        <v>0.025</v>
      </c>
      <c r="F11661" s="15">
        <f>ROUND(64.06,3)</f>
        <v>64.06</v>
      </c>
      <c r="G11661" s="12">
        <f t="shared" ref="G11661:G11666" si="1773">ROUND(E11661*F11661,2)</f>
        <v>1.6</v>
      </c>
    </row>
    <row r="11662" ht="21.0" customHeight="1">
      <c r="A11662" s="10" t="s">
        <v>22</v>
      </c>
      <c r="B11662" s="10" t="s">
        <v>18</v>
      </c>
      <c r="C11662" s="10" t="s">
        <v>23</v>
      </c>
      <c r="D11662" s="10" t="s">
        <v>24</v>
      </c>
      <c r="E11662" s="14">
        <v>0.15</v>
      </c>
      <c r="F11662" s="15">
        <f>F11666</f>
        <v>43.8</v>
      </c>
      <c r="G11662" s="12">
        <f t="shared" si="1773"/>
        <v>6.57</v>
      </c>
    </row>
    <row r="11663" ht="24.0" customHeight="1">
      <c r="A11663" s="10" t="s">
        <v>25</v>
      </c>
      <c r="B11663" s="10" t="s">
        <v>26</v>
      </c>
      <c r="C11663" s="10" t="s">
        <v>23</v>
      </c>
      <c r="D11663" s="10" t="s">
        <v>27</v>
      </c>
      <c r="E11663" s="14">
        <v>1.0</v>
      </c>
      <c r="F11663" s="15">
        <f>ROUND(21,3)</f>
        <v>21</v>
      </c>
      <c r="G11663" s="12">
        <f t="shared" si="1773"/>
        <v>21</v>
      </c>
    </row>
    <row r="11664" ht="24.0" customHeight="1">
      <c r="A11664" s="10" t="s">
        <v>28</v>
      </c>
      <c r="B11664" s="10" t="s">
        <v>26</v>
      </c>
      <c r="C11664" s="10" t="s">
        <v>23</v>
      </c>
      <c r="D11664" s="10" t="s">
        <v>29</v>
      </c>
      <c r="E11664" s="14">
        <v>1.0</v>
      </c>
      <c r="F11664" s="15">
        <f t="shared" ref="F11664:F11665" si="1774">ROUND(19,3)</f>
        <v>19</v>
      </c>
      <c r="G11664" s="12">
        <f t="shared" si="1773"/>
        <v>19</v>
      </c>
    </row>
    <row r="11665" ht="24.0" customHeight="1">
      <c r="A11665" s="10" t="s">
        <v>30</v>
      </c>
      <c r="B11665" s="10" t="s">
        <v>26</v>
      </c>
      <c r="C11665" s="10" t="s">
        <v>23</v>
      </c>
      <c r="D11665" s="10" t="s">
        <v>31</v>
      </c>
      <c r="E11665" s="14">
        <v>0.2</v>
      </c>
      <c r="F11665" s="15">
        <f t="shared" si="1774"/>
        <v>19</v>
      </c>
      <c r="G11665" s="12">
        <f t="shared" si="1773"/>
        <v>3.8</v>
      </c>
    </row>
    <row r="11666" ht="15.0" customHeight="1">
      <c r="A11666" s="11"/>
      <c r="B11666" s="11"/>
      <c r="C11666" s="11"/>
      <c r="D11666" s="10" t="s">
        <v>22</v>
      </c>
      <c r="E11666" s="14">
        <v>0.15</v>
      </c>
      <c r="F11666" s="15">
        <f>ROUND((G11663+G11664+G11665),3)</f>
        <v>43.8</v>
      </c>
      <c r="G11666" s="12">
        <f t="shared" si="1773"/>
        <v>6.57</v>
      </c>
    </row>
    <row r="11667" ht="15.0" customHeight="1">
      <c r="A11667" s="10" t="s">
        <v>32</v>
      </c>
      <c r="B11667" s="10"/>
      <c r="C11667" s="10" t="s">
        <v>33</v>
      </c>
      <c r="D11667" s="10" t="s">
        <v>34</v>
      </c>
      <c r="E11667" s="14">
        <v>3.0</v>
      </c>
      <c r="F11667" s="15">
        <f>ROUND(6.57,3)</f>
        <v>6.57</v>
      </c>
      <c r="G11667" s="12">
        <f>ROUND((E11667*F11667)/100,2)</f>
        <v>0.2</v>
      </c>
    </row>
    <row r="11668" ht="15.0" customHeight="1">
      <c r="A11668" s="16"/>
      <c r="B11668" s="16"/>
      <c r="C11668" s="16"/>
      <c r="D11668" s="17" t="s">
        <v>5135</v>
      </c>
      <c r="E11668" s="16"/>
      <c r="F11668" s="18">
        <f>ROUND((G11661+G11662+G11667)*(1+G2/100),2)</f>
        <v>8.37</v>
      </c>
      <c r="G11668" s="16"/>
    </row>
    <row r="11669" ht="21.0" customHeight="1">
      <c r="A11669" s="19" t="s">
        <v>4079</v>
      </c>
      <c r="B11669" s="20" t="s">
        <v>18</v>
      </c>
      <c r="C11669" s="20" t="s">
        <v>251</v>
      </c>
      <c r="D11669" s="20" t="s">
        <v>4080</v>
      </c>
      <c r="E11669" s="21"/>
      <c r="F11669" s="22">
        <f>F11678</f>
        <v>12.9</v>
      </c>
      <c r="G11669" s="21"/>
    </row>
    <row r="11670" ht="39.75" customHeight="1">
      <c r="A11670" s="11"/>
      <c r="B11670" s="11"/>
      <c r="C11670" s="11"/>
      <c r="D11670" s="10" t="s">
        <v>4081</v>
      </c>
    </row>
    <row r="11671" ht="24.0" customHeight="1">
      <c r="A11671" s="10" t="s">
        <v>4082</v>
      </c>
      <c r="B11671" s="10" t="s">
        <v>42</v>
      </c>
      <c r="C11671" s="10" t="s">
        <v>255</v>
      </c>
      <c r="D11671" s="10" t="s">
        <v>4083</v>
      </c>
      <c r="E11671" s="14">
        <v>0.1</v>
      </c>
      <c r="F11671" s="15">
        <f>ROUND(38.75,3)</f>
        <v>38.75</v>
      </c>
      <c r="G11671" s="12">
        <f t="shared" ref="G11671:G11676" si="1775">ROUND(E11671*F11671,2)</f>
        <v>3.88</v>
      </c>
    </row>
    <row r="11672" ht="21.0" customHeight="1">
      <c r="A11672" s="10" t="s">
        <v>22</v>
      </c>
      <c r="B11672" s="10" t="s">
        <v>18</v>
      </c>
      <c r="C11672" s="10" t="s">
        <v>23</v>
      </c>
      <c r="D11672" s="10" t="s">
        <v>24</v>
      </c>
      <c r="E11672" s="14">
        <v>0.2</v>
      </c>
      <c r="F11672" s="15">
        <f>F11676</f>
        <v>43.8</v>
      </c>
      <c r="G11672" s="12">
        <f t="shared" si="1775"/>
        <v>8.76</v>
      </c>
    </row>
    <row r="11673" ht="24.0" customHeight="1">
      <c r="A11673" s="10" t="s">
        <v>25</v>
      </c>
      <c r="B11673" s="10" t="s">
        <v>26</v>
      </c>
      <c r="C11673" s="10" t="s">
        <v>23</v>
      </c>
      <c r="D11673" s="10" t="s">
        <v>27</v>
      </c>
      <c r="E11673" s="14">
        <v>1.0</v>
      </c>
      <c r="F11673" s="15">
        <f>ROUND(21,3)</f>
        <v>21</v>
      </c>
      <c r="G11673" s="12">
        <f t="shared" si="1775"/>
        <v>21</v>
      </c>
    </row>
    <row r="11674" ht="24.0" customHeight="1">
      <c r="A11674" s="10" t="s">
        <v>28</v>
      </c>
      <c r="B11674" s="10" t="s">
        <v>26</v>
      </c>
      <c r="C11674" s="10" t="s">
        <v>23</v>
      </c>
      <c r="D11674" s="10" t="s">
        <v>29</v>
      </c>
      <c r="E11674" s="14">
        <v>1.0</v>
      </c>
      <c r="F11674" s="15">
        <f t="shared" ref="F11674:F11675" si="1776">ROUND(19,3)</f>
        <v>19</v>
      </c>
      <c r="G11674" s="12">
        <f t="shared" si="1775"/>
        <v>19</v>
      </c>
    </row>
    <row r="11675" ht="24.0" customHeight="1">
      <c r="A11675" s="10" t="s">
        <v>30</v>
      </c>
      <c r="B11675" s="10" t="s">
        <v>26</v>
      </c>
      <c r="C11675" s="10" t="s">
        <v>23</v>
      </c>
      <c r="D11675" s="10" t="s">
        <v>31</v>
      </c>
      <c r="E11675" s="14">
        <v>0.2</v>
      </c>
      <c r="F11675" s="15">
        <f t="shared" si="1776"/>
        <v>19</v>
      </c>
      <c r="G11675" s="12">
        <f t="shared" si="1775"/>
        <v>3.8</v>
      </c>
    </row>
    <row r="11676" ht="15.0" customHeight="1">
      <c r="A11676" s="11"/>
      <c r="B11676" s="11"/>
      <c r="C11676" s="11"/>
      <c r="D11676" s="10" t="s">
        <v>22</v>
      </c>
      <c r="E11676" s="14">
        <v>0.2</v>
      </c>
      <c r="F11676" s="15">
        <f>ROUND((G11673+G11674+G11675),3)</f>
        <v>43.8</v>
      </c>
      <c r="G11676" s="12">
        <f t="shared" si="1775"/>
        <v>8.76</v>
      </c>
    </row>
    <row r="11677" ht="15.0" customHeight="1">
      <c r="A11677" s="10" t="s">
        <v>32</v>
      </c>
      <c r="B11677" s="10"/>
      <c r="C11677" s="10" t="s">
        <v>33</v>
      </c>
      <c r="D11677" s="10" t="s">
        <v>34</v>
      </c>
      <c r="E11677" s="14">
        <v>3.0</v>
      </c>
      <c r="F11677" s="15">
        <f>ROUND(8.76,3)</f>
        <v>8.76</v>
      </c>
      <c r="G11677" s="12">
        <f>ROUND((E11677*F11677)/100,2)</f>
        <v>0.26</v>
      </c>
    </row>
    <row r="11678" ht="15.0" customHeight="1">
      <c r="A11678" s="16"/>
      <c r="B11678" s="16"/>
      <c r="C11678" s="16"/>
      <c r="D11678" s="17" t="s">
        <v>4079</v>
      </c>
      <c r="E11678" s="16"/>
      <c r="F11678" s="18">
        <f>ROUND((G11671+G11672+G11677)*(1+G2/100),2)</f>
        <v>12.9</v>
      </c>
      <c r="G11678" s="16"/>
    </row>
    <row r="11679" ht="21.0" customHeight="1">
      <c r="A11679" s="19" t="s">
        <v>5140</v>
      </c>
      <c r="B11679" s="20" t="s">
        <v>18</v>
      </c>
      <c r="C11679" s="20" t="s">
        <v>251</v>
      </c>
      <c r="D11679" s="20" t="s">
        <v>5141</v>
      </c>
      <c r="E11679" s="21"/>
      <c r="F11679" s="22">
        <f>F11688</f>
        <v>30.02</v>
      </c>
      <c r="G11679" s="21"/>
    </row>
    <row r="11680" ht="12.0" customHeight="1">
      <c r="A11680" s="11"/>
      <c r="B11680" s="11"/>
      <c r="C11680" s="11"/>
      <c r="D11680" s="10" t="s">
        <v>5142</v>
      </c>
    </row>
    <row r="11681" ht="15.0" customHeight="1">
      <c r="A11681" s="10" t="s">
        <v>5143</v>
      </c>
      <c r="B11681" s="10" t="s">
        <v>42</v>
      </c>
      <c r="C11681" s="10" t="s">
        <v>304</v>
      </c>
      <c r="D11681" s="10" t="s">
        <v>5144</v>
      </c>
      <c r="E11681" s="14">
        <v>0.2</v>
      </c>
      <c r="F11681" s="15">
        <f>ROUND(105,3)</f>
        <v>105</v>
      </c>
      <c r="G11681" s="12">
        <f t="shared" ref="G11681:G11686" si="1777">ROUND(E11681*F11681,2)</f>
        <v>21</v>
      </c>
    </row>
    <row r="11682" ht="21.0" customHeight="1">
      <c r="A11682" s="10" t="s">
        <v>22</v>
      </c>
      <c r="B11682" s="10" t="s">
        <v>18</v>
      </c>
      <c r="C11682" s="10" t="s">
        <v>23</v>
      </c>
      <c r="D11682" s="10" t="s">
        <v>24</v>
      </c>
      <c r="E11682" s="14">
        <v>0.2</v>
      </c>
      <c r="F11682" s="15">
        <f>F11686</f>
        <v>43.8</v>
      </c>
      <c r="G11682" s="12">
        <f t="shared" si="1777"/>
        <v>8.76</v>
      </c>
    </row>
    <row r="11683" ht="24.0" customHeight="1">
      <c r="A11683" s="10" t="s">
        <v>25</v>
      </c>
      <c r="B11683" s="10" t="s">
        <v>26</v>
      </c>
      <c r="C11683" s="10" t="s">
        <v>23</v>
      </c>
      <c r="D11683" s="10" t="s">
        <v>27</v>
      </c>
      <c r="E11683" s="14">
        <v>1.0</v>
      </c>
      <c r="F11683" s="15">
        <f>ROUND(21,3)</f>
        <v>21</v>
      </c>
      <c r="G11683" s="12">
        <f t="shared" si="1777"/>
        <v>21</v>
      </c>
    </row>
    <row r="11684" ht="24.0" customHeight="1">
      <c r="A11684" s="10" t="s">
        <v>28</v>
      </c>
      <c r="B11684" s="10" t="s">
        <v>26</v>
      </c>
      <c r="C11684" s="10" t="s">
        <v>23</v>
      </c>
      <c r="D11684" s="10" t="s">
        <v>29</v>
      </c>
      <c r="E11684" s="14">
        <v>1.0</v>
      </c>
      <c r="F11684" s="15">
        <f t="shared" ref="F11684:F11685" si="1778">ROUND(19,3)</f>
        <v>19</v>
      </c>
      <c r="G11684" s="12">
        <f t="shared" si="1777"/>
        <v>19</v>
      </c>
    </row>
    <row r="11685" ht="24.0" customHeight="1">
      <c r="A11685" s="10" t="s">
        <v>30</v>
      </c>
      <c r="B11685" s="10" t="s">
        <v>26</v>
      </c>
      <c r="C11685" s="10" t="s">
        <v>23</v>
      </c>
      <c r="D11685" s="10" t="s">
        <v>31</v>
      </c>
      <c r="E11685" s="14">
        <v>0.2</v>
      </c>
      <c r="F11685" s="15">
        <f t="shared" si="1778"/>
        <v>19</v>
      </c>
      <c r="G11685" s="12">
        <f t="shared" si="1777"/>
        <v>3.8</v>
      </c>
    </row>
    <row r="11686" ht="15.0" customHeight="1">
      <c r="A11686" s="11"/>
      <c r="B11686" s="11"/>
      <c r="C11686" s="11"/>
      <c r="D11686" s="10" t="s">
        <v>22</v>
      </c>
      <c r="E11686" s="14">
        <v>0.2</v>
      </c>
      <c r="F11686" s="15">
        <f>ROUND((G11683+G11684+G11685),3)</f>
        <v>43.8</v>
      </c>
      <c r="G11686" s="12">
        <f t="shared" si="1777"/>
        <v>8.76</v>
      </c>
    </row>
    <row r="11687" ht="15.0" customHeight="1">
      <c r="A11687" s="10" t="s">
        <v>32</v>
      </c>
      <c r="B11687" s="10"/>
      <c r="C11687" s="10" t="s">
        <v>33</v>
      </c>
      <c r="D11687" s="10" t="s">
        <v>34</v>
      </c>
      <c r="E11687" s="14">
        <v>3.0</v>
      </c>
      <c r="F11687" s="15">
        <f>ROUND(8.76,3)</f>
        <v>8.76</v>
      </c>
      <c r="G11687" s="12">
        <f>ROUND((E11687*F11687)/100,2)</f>
        <v>0.26</v>
      </c>
    </row>
    <row r="11688" ht="15.0" customHeight="1">
      <c r="A11688" s="16"/>
      <c r="B11688" s="16"/>
      <c r="C11688" s="16"/>
      <c r="D11688" s="17" t="s">
        <v>5140</v>
      </c>
      <c r="E11688" s="16"/>
      <c r="F11688" s="18">
        <f>ROUND((G11681+G11682+G11687)*(1+G2/100),2)</f>
        <v>30.02</v>
      </c>
      <c r="G11688" s="16"/>
    </row>
    <row r="11689" ht="21.0" customHeight="1">
      <c r="A11689" s="19" t="s">
        <v>5145</v>
      </c>
      <c r="B11689" s="20" t="s">
        <v>18</v>
      </c>
      <c r="C11689" s="20" t="s">
        <v>251</v>
      </c>
      <c r="D11689" s="20" t="s">
        <v>5146</v>
      </c>
      <c r="E11689" s="21"/>
      <c r="F11689" s="22">
        <f>F11698</f>
        <v>12.19</v>
      </c>
      <c r="G11689" s="21"/>
    </row>
    <row r="11690" ht="57.75" customHeight="1">
      <c r="A11690" s="11"/>
      <c r="B11690" s="11"/>
      <c r="C11690" s="11"/>
      <c r="D11690" s="10" t="s">
        <v>5147</v>
      </c>
    </row>
    <row r="11691" ht="39.75" customHeight="1">
      <c r="A11691" s="10" t="s">
        <v>5148</v>
      </c>
      <c r="B11691" s="10" t="s">
        <v>42</v>
      </c>
      <c r="C11691" s="10" t="s">
        <v>43</v>
      </c>
      <c r="D11691" s="10" t="s">
        <v>5149</v>
      </c>
      <c r="E11691" s="14">
        <v>0.05</v>
      </c>
      <c r="F11691" s="15">
        <f>ROUND(63.34,3)</f>
        <v>63.34</v>
      </c>
      <c r="G11691" s="12">
        <f t="shared" ref="G11691:G11696" si="1779">ROUND(E11691*F11691,2)</f>
        <v>3.17</v>
      </c>
    </row>
    <row r="11692" ht="21.0" customHeight="1">
      <c r="A11692" s="10" t="s">
        <v>22</v>
      </c>
      <c r="B11692" s="10" t="s">
        <v>18</v>
      </c>
      <c r="C11692" s="10" t="s">
        <v>23</v>
      </c>
      <c r="D11692" s="10" t="s">
        <v>24</v>
      </c>
      <c r="E11692" s="14">
        <v>0.2</v>
      </c>
      <c r="F11692" s="15">
        <f>F11696</f>
        <v>43.8</v>
      </c>
      <c r="G11692" s="12">
        <f t="shared" si="1779"/>
        <v>8.76</v>
      </c>
    </row>
    <row r="11693" ht="24.0" customHeight="1">
      <c r="A11693" s="10" t="s">
        <v>25</v>
      </c>
      <c r="B11693" s="10" t="s">
        <v>26</v>
      </c>
      <c r="C11693" s="10" t="s">
        <v>23</v>
      </c>
      <c r="D11693" s="10" t="s">
        <v>27</v>
      </c>
      <c r="E11693" s="14">
        <v>1.0</v>
      </c>
      <c r="F11693" s="15">
        <f>ROUND(21,3)</f>
        <v>21</v>
      </c>
      <c r="G11693" s="12">
        <f t="shared" si="1779"/>
        <v>21</v>
      </c>
    </row>
    <row r="11694" ht="24.0" customHeight="1">
      <c r="A11694" s="10" t="s">
        <v>28</v>
      </c>
      <c r="B11694" s="10" t="s">
        <v>26</v>
      </c>
      <c r="C11694" s="10" t="s">
        <v>23</v>
      </c>
      <c r="D11694" s="10" t="s">
        <v>29</v>
      </c>
      <c r="E11694" s="14">
        <v>1.0</v>
      </c>
      <c r="F11694" s="15">
        <f t="shared" ref="F11694:F11695" si="1780">ROUND(19,3)</f>
        <v>19</v>
      </c>
      <c r="G11694" s="12">
        <f t="shared" si="1779"/>
        <v>19</v>
      </c>
    </row>
    <row r="11695" ht="24.0" customHeight="1">
      <c r="A11695" s="10" t="s">
        <v>30</v>
      </c>
      <c r="B11695" s="10" t="s">
        <v>26</v>
      </c>
      <c r="C11695" s="10" t="s">
        <v>23</v>
      </c>
      <c r="D11695" s="10" t="s">
        <v>31</v>
      </c>
      <c r="E11695" s="14">
        <v>0.2</v>
      </c>
      <c r="F11695" s="15">
        <f t="shared" si="1780"/>
        <v>19</v>
      </c>
      <c r="G11695" s="12">
        <f t="shared" si="1779"/>
        <v>3.8</v>
      </c>
    </row>
    <row r="11696" ht="15.0" customHeight="1">
      <c r="A11696" s="11"/>
      <c r="B11696" s="11"/>
      <c r="C11696" s="11"/>
      <c r="D11696" s="10" t="s">
        <v>22</v>
      </c>
      <c r="E11696" s="14">
        <v>0.2</v>
      </c>
      <c r="F11696" s="15">
        <f>ROUND((G11693+G11694+G11695),3)</f>
        <v>43.8</v>
      </c>
      <c r="G11696" s="12">
        <f t="shared" si="1779"/>
        <v>8.76</v>
      </c>
    </row>
    <row r="11697" ht="15.0" customHeight="1">
      <c r="A11697" s="10" t="s">
        <v>32</v>
      </c>
      <c r="B11697" s="10"/>
      <c r="C11697" s="10" t="s">
        <v>33</v>
      </c>
      <c r="D11697" s="10" t="s">
        <v>34</v>
      </c>
      <c r="E11697" s="14">
        <v>3.0</v>
      </c>
      <c r="F11697" s="15">
        <f>ROUND(8.76,3)</f>
        <v>8.76</v>
      </c>
      <c r="G11697" s="12">
        <f>ROUND((E11697*F11697)/100,2)</f>
        <v>0.26</v>
      </c>
    </row>
    <row r="11698" ht="15.0" customHeight="1">
      <c r="A11698" s="16"/>
      <c r="B11698" s="16"/>
      <c r="C11698" s="16"/>
      <c r="D11698" s="17" t="s">
        <v>5145</v>
      </c>
      <c r="E11698" s="16"/>
      <c r="F11698" s="18">
        <f>ROUND((G11691+G11692+G11697)*(1+G2/100),2)</f>
        <v>12.19</v>
      </c>
      <c r="G11698" s="16"/>
    </row>
    <row r="11699" ht="30.0" customHeight="1">
      <c r="A11699" s="19" t="s">
        <v>5150</v>
      </c>
      <c r="B11699" s="20" t="s">
        <v>18</v>
      </c>
      <c r="C11699" s="20" t="s">
        <v>251</v>
      </c>
      <c r="D11699" s="20" t="s">
        <v>5151</v>
      </c>
      <c r="E11699" s="21"/>
      <c r="F11699" s="22">
        <f>F11708</f>
        <v>18.47</v>
      </c>
      <c r="G11699" s="21"/>
    </row>
    <row r="11700" ht="57.75" customHeight="1">
      <c r="A11700" s="11"/>
      <c r="B11700" s="11"/>
      <c r="C11700" s="11"/>
      <c r="D11700" s="10" t="s">
        <v>5152</v>
      </c>
    </row>
    <row r="11701" ht="39.75" customHeight="1">
      <c r="A11701" s="10" t="s">
        <v>5148</v>
      </c>
      <c r="B11701" s="10" t="s">
        <v>42</v>
      </c>
      <c r="C11701" s="10" t="s">
        <v>43</v>
      </c>
      <c r="D11701" s="10" t="s">
        <v>5149</v>
      </c>
      <c r="E11701" s="14">
        <v>0.05</v>
      </c>
      <c r="F11701" s="15">
        <f>ROUND(63.34,3)</f>
        <v>63.34</v>
      </c>
      <c r="G11701" s="12">
        <f t="shared" ref="G11701:G11706" si="1781">ROUND(E11701*F11701,2)</f>
        <v>3.17</v>
      </c>
    </row>
    <row r="11702" ht="24.0" customHeight="1">
      <c r="A11702" s="10" t="s">
        <v>286</v>
      </c>
      <c r="B11702" s="10" t="s">
        <v>18</v>
      </c>
      <c r="C11702" s="10" t="s">
        <v>23</v>
      </c>
      <c r="D11702" s="10" t="s">
        <v>287</v>
      </c>
      <c r="E11702" s="14">
        <v>0.3</v>
      </c>
      <c r="F11702" s="15">
        <f>F11706</f>
        <v>49.5</v>
      </c>
      <c r="G11702" s="12">
        <f t="shared" si="1781"/>
        <v>14.85</v>
      </c>
    </row>
    <row r="11703" ht="24.0" customHeight="1">
      <c r="A11703" s="10" t="s">
        <v>288</v>
      </c>
      <c r="B11703" s="10" t="s">
        <v>26</v>
      </c>
      <c r="C11703" s="10" t="s">
        <v>23</v>
      </c>
      <c r="D11703" s="10" t="s">
        <v>289</v>
      </c>
      <c r="E11703" s="14">
        <v>1.0</v>
      </c>
      <c r="F11703" s="15">
        <f>ROUND(21,3)</f>
        <v>21</v>
      </c>
      <c r="G11703" s="12">
        <f t="shared" si="1781"/>
        <v>21</v>
      </c>
    </row>
    <row r="11704" ht="24.0" customHeight="1">
      <c r="A11704" s="10" t="s">
        <v>290</v>
      </c>
      <c r="B11704" s="10" t="s">
        <v>26</v>
      </c>
      <c r="C11704" s="10" t="s">
        <v>23</v>
      </c>
      <c r="D11704" s="10" t="s">
        <v>291</v>
      </c>
      <c r="E11704" s="14">
        <v>1.0</v>
      </c>
      <c r="F11704" s="15">
        <f t="shared" ref="F11704:F11705" si="1782">ROUND(19,3)</f>
        <v>19</v>
      </c>
      <c r="G11704" s="12">
        <f t="shared" si="1781"/>
        <v>19</v>
      </c>
    </row>
    <row r="11705" ht="24.0" customHeight="1">
      <c r="A11705" s="10" t="s">
        <v>292</v>
      </c>
      <c r="B11705" s="10" t="s">
        <v>26</v>
      </c>
      <c r="C11705" s="10" t="s">
        <v>23</v>
      </c>
      <c r="D11705" s="10" t="s">
        <v>293</v>
      </c>
      <c r="E11705" s="14">
        <v>0.5</v>
      </c>
      <c r="F11705" s="15">
        <f t="shared" si="1782"/>
        <v>19</v>
      </c>
      <c r="G11705" s="12">
        <f t="shared" si="1781"/>
        <v>9.5</v>
      </c>
    </row>
    <row r="11706" ht="15.0" customHeight="1">
      <c r="A11706" s="11"/>
      <c r="B11706" s="11"/>
      <c r="C11706" s="11"/>
      <c r="D11706" s="10" t="s">
        <v>286</v>
      </c>
      <c r="E11706" s="14">
        <v>0.3</v>
      </c>
      <c r="F11706" s="15">
        <f>ROUND((G11703+G11704+G11705),3)</f>
        <v>49.5</v>
      </c>
      <c r="G11706" s="12">
        <f t="shared" si="1781"/>
        <v>14.85</v>
      </c>
    </row>
    <row r="11707" ht="15.0" customHeight="1">
      <c r="A11707" s="10" t="s">
        <v>32</v>
      </c>
      <c r="B11707" s="10"/>
      <c r="C11707" s="10" t="s">
        <v>33</v>
      </c>
      <c r="D11707" s="10" t="s">
        <v>34</v>
      </c>
      <c r="E11707" s="14">
        <v>3.0</v>
      </c>
      <c r="F11707" s="15">
        <f>ROUND(14.85,3)</f>
        <v>14.85</v>
      </c>
      <c r="G11707" s="12">
        <f>ROUND((E11707*F11707)/100,2)</f>
        <v>0.45</v>
      </c>
    </row>
    <row r="11708" ht="15.0" customHeight="1">
      <c r="A11708" s="16"/>
      <c r="B11708" s="16"/>
      <c r="C11708" s="16"/>
      <c r="D11708" s="17" t="s">
        <v>5150</v>
      </c>
      <c r="E11708" s="16"/>
      <c r="F11708" s="18">
        <f>ROUND((G11701+G11702+G11707)*(1+G2/100),2)</f>
        <v>18.47</v>
      </c>
      <c r="G11708" s="16"/>
    </row>
    <row r="11709" ht="15.0" customHeight="1">
      <c r="A11709" s="19" t="s">
        <v>5153</v>
      </c>
      <c r="B11709" s="20" t="s">
        <v>18</v>
      </c>
      <c r="C11709" s="20" t="s">
        <v>251</v>
      </c>
      <c r="D11709" s="20" t="s">
        <v>5154</v>
      </c>
      <c r="E11709" s="21"/>
      <c r="F11709" s="22">
        <f>F11718</f>
        <v>12.49</v>
      </c>
      <c r="G11709" s="21"/>
    </row>
    <row r="11710" ht="21.0" customHeight="1">
      <c r="A11710" s="11"/>
      <c r="B11710" s="11"/>
      <c r="C11710" s="11"/>
      <c r="D11710" s="10" t="s">
        <v>4055</v>
      </c>
    </row>
    <row r="11711" ht="39.75" customHeight="1">
      <c r="A11711" s="10" t="s">
        <v>5155</v>
      </c>
      <c r="B11711" s="10" t="s">
        <v>42</v>
      </c>
      <c r="C11711" s="10" t="s">
        <v>43</v>
      </c>
      <c r="D11711" s="10" t="s">
        <v>5156</v>
      </c>
      <c r="E11711" s="14">
        <v>0.1</v>
      </c>
      <c r="F11711" s="15">
        <f>ROUND(34.71,3)</f>
        <v>34.71</v>
      </c>
      <c r="G11711" s="12">
        <f t="shared" ref="G11711:G11716" si="1783">ROUND(E11711*F11711,2)</f>
        <v>3.47</v>
      </c>
    </row>
    <row r="11712" ht="21.0" customHeight="1">
      <c r="A11712" s="10" t="s">
        <v>22</v>
      </c>
      <c r="B11712" s="10" t="s">
        <v>18</v>
      </c>
      <c r="C11712" s="10" t="s">
        <v>23</v>
      </c>
      <c r="D11712" s="10" t="s">
        <v>24</v>
      </c>
      <c r="E11712" s="14">
        <v>0.2</v>
      </c>
      <c r="F11712" s="15">
        <f>F11716</f>
        <v>43.8</v>
      </c>
      <c r="G11712" s="12">
        <f t="shared" si="1783"/>
        <v>8.76</v>
      </c>
    </row>
    <row r="11713" ht="24.0" customHeight="1">
      <c r="A11713" s="10" t="s">
        <v>25</v>
      </c>
      <c r="B11713" s="10" t="s">
        <v>26</v>
      </c>
      <c r="C11713" s="10" t="s">
        <v>23</v>
      </c>
      <c r="D11713" s="10" t="s">
        <v>27</v>
      </c>
      <c r="E11713" s="14">
        <v>1.0</v>
      </c>
      <c r="F11713" s="15">
        <f>ROUND(21,3)</f>
        <v>21</v>
      </c>
      <c r="G11713" s="12">
        <f t="shared" si="1783"/>
        <v>21</v>
      </c>
    </row>
    <row r="11714" ht="24.0" customHeight="1">
      <c r="A11714" s="10" t="s">
        <v>28</v>
      </c>
      <c r="B11714" s="10" t="s">
        <v>26</v>
      </c>
      <c r="C11714" s="10" t="s">
        <v>23</v>
      </c>
      <c r="D11714" s="10" t="s">
        <v>29</v>
      </c>
      <c r="E11714" s="14">
        <v>1.0</v>
      </c>
      <c r="F11714" s="15">
        <f t="shared" ref="F11714:F11715" si="1784">ROUND(19,3)</f>
        <v>19</v>
      </c>
      <c r="G11714" s="12">
        <f t="shared" si="1783"/>
        <v>19</v>
      </c>
    </row>
    <row r="11715" ht="24.0" customHeight="1">
      <c r="A11715" s="10" t="s">
        <v>30</v>
      </c>
      <c r="B11715" s="10" t="s">
        <v>26</v>
      </c>
      <c r="C11715" s="10" t="s">
        <v>23</v>
      </c>
      <c r="D11715" s="10" t="s">
        <v>31</v>
      </c>
      <c r="E11715" s="14">
        <v>0.2</v>
      </c>
      <c r="F11715" s="15">
        <f t="shared" si="1784"/>
        <v>19</v>
      </c>
      <c r="G11715" s="12">
        <f t="shared" si="1783"/>
        <v>3.8</v>
      </c>
    </row>
    <row r="11716" ht="15.0" customHeight="1">
      <c r="A11716" s="11"/>
      <c r="B11716" s="11"/>
      <c r="C11716" s="11"/>
      <c r="D11716" s="10" t="s">
        <v>22</v>
      </c>
      <c r="E11716" s="14">
        <v>0.2</v>
      </c>
      <c r="F11716" s="15">
        <f>ROUND((G11713+G11714+G11715),3)</f>
        <v>43.8</v>
      </c>
      <c r="G11716" s="12">
        <f t="shared" si="1783"/>
        <v>8.76</v>
      </c>
    </row>
    <row r="11717" ht="15.0" customHeight="1">
      <c r="A11717" s="10" t="s">
        <v>32</v>
      </c>
      <c r="B11717" s="10"/>
      <c r="C11717" s="10" t="s">
        <v>33</v>
      </c>
      <c r="D11717" s="10" t="s">
        <v>34</v>
      </c>
      <c r="E11717" s="14">
        <v>3.0</v>
      </c>
      <c r="F11717" s="15">
        <f>ROUND(8.76,3)</f>
        <v>8.76</v>
      </c>
      <c r="G11717" s="12">
        <f>ROUND((E11717*F11717)/100,2)</f>
        <v>0.26</v>
      </c>
    </row>
    <row r="11718" ht="15.0" customHeight="1">
      <c r="A11718" s="16"/>
      <c r="B11718" s="16"/>
      <c r="C11718" s="16"/>
      <c r="D11718" s="17" t="s">
        <v>5153</v>
      </c>
      <c r="E11718" s="16"/>
      <c r="F11718" s="18">
        <f>ROUND((G11711+G11712+G11717)*(1+G2/100),2)</f>
        <v>12.49</v>
      </c>
      <c r="G11718" s="16"/>
    </row>
    <row r="11719" ht="21.0" customHeight="1">
      <c r="A11719" s="19" t="s">
        <v>4019</v>
      </c>
      <c r="B11719" s="20" t="s">
        <v>18</v>
      </c>
      <c r="C11719" s="20" t="s">
        <v>251</v>
      </c>
      <c r="D11719" s="20" t="s">
        <v>4020</v>
      </c>
      <c r="E11719" s="21"/>
      <c r="F11719" s="22">
        <f>F11728</f>
        <v>23.47</v>
      </c>
      <c r="G11719" s="21"/>
    </row>
    <row r="11720" ht="30.0" customHeight="1">
      <c r="A11720" s="11"/>
      <c r="B11720" s="11"/>
      <c r="C11720" s="11"/>
      <c r="D11720" s="10" t="s">
        <v>4021</v>
      </c>
    </row>
    <row r="11721" ht="24.0" customHeight="1">
      <c r="A11721" s="10" t="s">
        <v>4022</v>
      </c>
      <c r="B11721" s="10" t="s">
        <v>42</v>
      </c>
      <c r="C11721" s="10" t="s">
        <v>304</v>
      </c>
      <c r="D11721" s="10" t="s">
        <v>4023</v>
      </c>
      <c r="E11721" s="14">
        <v>0.13</v>
      </c>
      <c r="F11721" s="15">
        <f>ROUND(104.13,3)</f>
        <v>104.13</v>
      </c>
      <c r="G11721" s="12">
        <f t="shared" ref="G11721:G11726" si="1785">ROUND(E11721*F11721,2)</f>
        <v>13.54</v>
      </c>
    </row>
    <row r="11722" ht="21.0" customHeight="1">
      <c r="A11722" s="10" t="s">
        <v>22</v>
      </c>
      <c r="B11722" s="10" t="s">
        <v>18</v>
      </c>
      <c r="C11722" s="10" t="s">
        <v>23</v>
      </c>
      <c r="D11722" s="10" t="s">
        <v>24</v>
      </c>
      <c r="E11722" s="14">
        <v>0.22</v>
      </c>
      <c r="F11722" s="15">
        <f>F11726</f>
        <v>43.8</v>
      </c>
      <c r="G11722" s="12">
        <f t="shared" si="1785"/>
        <v>9.64</v>
      </c>
    </row>
    <row r="11723" ht="24.0" customHeight="1">
      <c r="A11723" s="10" t="s">
        <v>25</v>
      </c>
      <c r="B11723" s="10" t="s">
        <v>26</v>
      </c>
      <c r="C11723" s="10" t="s">
        <v>23</v>
      </c>
      <c r="D11723" s="10" t="s">
        <v>27</v>
      </c>
      <c r="E11723" s="14">
        <v>1.0</v>
      </c>
      <c r="F11723" s="15">
        <f>ROUND(21,3)</f>
        <v>21</v>
      </c>
      <c r="G11723" s="12">
        <f t="shared" si="1785"/>
        <v>21</v>
      </c>
    </row>
    <row r="11724" ht="24.0" customHeight="1">
      <c r="A11724" s="10" t="s">
        <v>28</v>
      </c>
      <c r="B11724" s="10" t="s">
        <v>26</v>
      </c>
      <c r="C11724" s="10" t="s">
        <v>23</v>
      </c>
      <c r="D11724" s="10" t="s">
        <v>29</v>
      </c>
      <c r="E11724" s="14">
        <v>1.0</v>
      </c>
      <c r="F11724" s="15">
        <f t="shared" ref="F11724:F11725" si="1786">ROUND(19,3)</f>
        <v>19</v>
      </c>
      <c r="G11724" s="12">
        <f t="shared" si="1785"/>
        <v>19</v>
      </c>
    </row>
    <row r="11725" ht="24.0" customHeight="1">
      <c r="A11725" s="10" t="s">
        <v>30</v>
      </c>
      <c r="B11725" s="10" t="s">
        <v>26</v>
      </c>
      <c r="C11725" s="10" t="s">
        <v>23</v>
      </c>
      <c r="D11725" s="10" t="s">
        <v>31</v>
      </c>
      <c r="E11725" s="14">
        <v>0.2</v>
      </c>
      <c r="F11725" s="15">
        <f t="shared" si="1786"/>
        <v>19</v>
      </c>
      <c r="G11725" s="12">
        <f t="shared" si="1785"/>
        <v>3.8</v>
      </c>
    </row>
    <row r="11726" ht="15.0" customHeight="1">
      <c r="A11726" s="11"/>
      <c r="B11726" s="11"/>
      <c r="C11726" s="11"/>
      <c r="D11726" s="10" t="s">
        <v>22</v>
      </c>
      <c r="E11726" s="14">
        <v>0.22</v>
      </c>
      <c r="F11726" s="15">
        <f>ROUND((G11723+G11724+G11725),3)</f>
        <v>43.8</v>
      </c>
      <c r="G11726" s="12">
        <f t="shared" si="1785"/>
        <v>9.64</v>
      </c>
    </row>
    <row r="11727" ht="15.0" customHeight="1">
      <c r="A11727" s="10" t="s">
        <v>32</v>
      </c>
      <c r="B11727" s="10"/>
      <c r="C11727" s="10" t="s">
        <v>33</v>
      </c>
      <c r="D11727" s="10" t="s">
        <v>34</v>
      </c>
      <c r="E11727" s="14">
        <v>3.0</v>
      </c>
      <c r="F11727" s="15">
        <f>ROUND(9.64,3)</f>
        <v>9.64</v>
      </c>
      <c r="G11727" s="12">
        <f>ROUND((E11727*F11727)/100,2)</f>
        <v>0.29</v>
      </c>
    </row>
    <row r="11728" ht="15.0" customHeight="1">
      <c r="A11728" s="16"/>
      <c r="B11728" s="16"/>
      <c r="C11728" s="16"/>
      <c r="D11728" s="17" t="s">
        <v>4019</v>
      </c>
      <c r="E11728" s="16"/>
      <c r="F11728" s="18">
        <f>ROUND((G11721+G11722+G11727)*(1+G2/100),2)</f>
        <v>23.47</v>
      </c>
      <c r="G11728" s="16"/>
    </row>
    <row r="11729" ht="21.0" customHeight="1">
      <c r="A11729" s="19" t="s">
        <v>5157</v>
      </c>
      <c r="B11729" s="20" t="s">
        <v>18</v>
      </c>
      <c r="C11729" s="20" t="s">
        <v>251</v>
      </c>
      <c r="D11729" s="20" t="s">
        <v>5158</v>
      </c>
      <c r="E11729" s="21"/>
      <c r="F11729" s="22">
        <f>F11738</f>
        <v>15.13</v>
      </c>
      <c r="G11729" s="21"/>
    </row>
    <row r="11730" ht="12.0" customHeight="1">
      <c r="A11730" s="11"/>
      <c r="B11730" s="11"/>
      <c r="C11730" s="11"/>
      <c r="D11730" s="10" t="s">
        <v>5159</v>
      </c>
    </row>
    <row r="11731" ht="15.0" customHeight="1">
      <c r="A11731" s="10" t="s">
        <v>5160</v>
      </c>
      <c r="B11731" s="10" t="s">
        <v>42</v>
      </c>
      <c r="C11731" s="10" t="s">
        <v>521</v>
      </c>
      <c r="D11731" s="10" t="s">
        <v>5161</v>
      </c>
      <c r="E11731" s="14">
        <v>0.13</v>
      </c>
      <c r="F11731" s="15">
        <f>ROUND(40,3)</f>
        <v>40</v>
      </c>
      <c r="G11731" s="12">
        <f t="shared" ref="G11731:G11736" si="1787">ROUND(E11731*F11731,2)</f>
        <v>5.2</v>
      </c>
    </row>
    <row r="11732" ht="21.0" customHeight="1">
      <c r="A11732" s="10" t="s">
        <v>22</v>
      </c>
      <c r="B11732" s="10" t="s">
        <v>18</v>
      </c>
      <c r="C11732" s="10" t="s">
        <v>23</v>
      </c>
      <c r="D11732" s="10" t="s">
        <v>24</v>
      </c>
      <c r="E11732" s="14">
        <v>0.22</v>
      </c>
      <c r="F11732" s="15">
        <f>F11736</f>
        <v>43.8</v>
      </c>
      <c r="G11732" s="12">
        <f t="shared" si="1787"/>
        <v>9.64</v>
      </c>
    </row>
    <row r="11733" ht="24.0" customHeight="1">
      <c r="A11733" s="10" t="s">
        <v>25</v>
      </c>
      <c r="B11733" s="10" t="s">
        <v>26</v>
      </c>
      <c r="C11733" s="10" t="s">
        <v>23</v>
      </c>
      <c r="D11733" s="10" t="s">
        <v>27</v>
      </c>
      <c r="E11733" s="14">
        <v>1.0</v>
      </c>
      <c r="F11733" s="15">
        <f>ROUND(21,3)</f>
        <v>21</v>
      </c>
      <c r="G11733" s="12">
        <f t="shared" si="1787"/>
        <v>21</v>
      </c>
    </row>
    <row r="11734" ht="24.0" customHeight="1">
      <c r="A11734" s="10" t="s">
        <v>28</v>
      </c>
      <c r="B11734" s="10" t="s">
        <v>26</v>
      </c>
      <c r="C11734" s="10" t="s">
        <v>23</v>
      </c>
      <c r="D11734" s="10" t="s">
        <v>29</v>
      </c>
      <c r="E11734" s="14">
        <v>1.0</v>
      </c>
      <c r="F11734" s="15">
        <f t="shared" ref="F11734:F11735" si="1788">ROUND(19,3)</f>
        <v>19</v>
      </c>
      <c r="G11734" s="12">
        <f t="shared" si="1787"/>
        <v>19</v>
      </c>
    </row>
    <row r="11735" ht="24.0" customHeight="1">
      <c r="A11735" s="10" t="s">
        <v>30</v>
      </c>
      <c r="B11735" s="10" t="s">
        <v>26</v>
      </c>
      <c r="C11735" s="10" t="s">
        <v>23</v>
      </c>
      <c r="D11735" s="10" t="s">
        <v>31</v>
      </c>
      <c r="E11735" s="14">
        <v>0.2</v>
      </c>
      <c r="F11735" s="15">
        <f t="shared" si="1788"/>
        <v>19</v>
      </c>
      <c r="G11735" s="12">
        <f t="shared" si="1787"/>
        <v>3.8</v>
      </c>
    </row>
    <row r="11736" ht="15.0" customHeight="1">
      <c r="A11736" s="11"/>
      <c r="B11736" s="11"/>
      <c r="C11736" s="11"/>
      <c r="D11736" s="10" t="s">
        <v>22</v>
      </c>
      <c r="E11736" s="14">
        <v>0.22</v>
      </c>
      <c r="F11736" s="15">
        <f>ROUND((G11733+G11734+G11735),3)</f>
        <v>43.8</v>
      </c>
      <c r="G11736" s="12">
        <f t="shared" si="1787"/>
        <v>9.64</v>
      </c>
    </row>
    <row r="11737" ht="15.0" customHeight="1">
      <c r="A11737" s="10" t="s">
        <v>32</v>
      </c>
      <c r="B11737" s="10"/>
      <c r="C11737" s="10" t="s">
        <v>33</v>
      </c>
      <c r="D11737" s="10" t="s">
        <v>34</v>
      </c>
      <c r="E11737" s="14">
        <v>3.0</v>
      </c>
      <c r="F11737" s="15">
        <f>ROUND(9.64,3)</f>
        <v>9.64</v>
      </c>
      <c r="G11737" s="12">
        <f>ROUND((E11737*F11737)/100,2)</f>
        <v>0.29</v>
      </c>
    </row>
    <row r="11738" ht="15.0" customHeight="1">
      <c r="A11738" s="16"/>
      <c r="B11738" s="16"/>
      <c r="C11738" s="16"/>
      <c r="D11738" s="17" t="s">
        <v>5157</v>
      </c>
      <c r="E11738" s="16"/>
      <c r="F11738" s="18">
        <f>ROUND((G11731+G11732+G11737)*(1+G2/100),2)</f>
        <v>15.13</v>
      </c>
      <c r="G11738" s="16"/>
    </row>
    <row r="11739" ht="21.0" customHeight="1">
      <c r="A11739" s="19" t="s">
        <v>5162</v>
      </c>
      <c r="B11739" s="20" t="s">
        <v>18</v>
      </c>
      <c r="C11739" s="20" t="s">
        <v>251</v>
      </c>
      <c r="D11739" s="20" t="s">
        <v>5163</v>
      </c>
      <c r="E11739" s="21"/>
      <c r="F11739" s="22">
        <f>F11748</f>
        <v>10.82</v>
      </c>
      <c r="G11739" s="21"/>
    </row>
    <row r="11740" ht="123.0" customHeight="1">
      <c r="A11740" s="11"/>
      <c r="B11740" s="11"/>
      <c r="C11740" s="11"/>
      <c r="D11740" s="10" t="s">
        <v>5164</v>
      </c>
    </row>
    <row r="11741" ht="39.75" customHeight="1">
      <c r="A11741" s="10" t="s">
        <v>4297</v>
      </c>
      <c r="B11741" s="10" t="s">
        <v>42</v>
      </c>
      <c r="C11741" s="10" t="s">
        <v>1939</v>
      </c>
      <c r="D11741" s="10" t="s">
        <v>4298</v>
      </c>
      <c r="E11741" s="14">
        <v>0.05</v>
      </c>
      <c r="F11741" s="15">
        <f>ROUND(36.06,3)</f>
        <v>36.06</v>
      </c>
      <c r="G11741" s="12">
        <f t="shared" ref="G11741:G11746" si="1789">ROUND(E11741*F11741,2)</f>
        <v>1.8</v>
      </c>
    </row>
    <row r="11742" ht="21.0" customHeight="1">
      <c r="A11742" s="10" t="s">
        <v>22</v>
      </c>
      <c r="B11742" s="10" t="s">
        <v>18</v>
      </c>
      <c r="C11742" s="10" t="s">
        <v>23</v>
      </c>
      <c r="D11742" s="10" t="s">
        <v>24</v>
      </c>
      <c r="E11742" s="14">
        <v>0.2</v>
      </c>
      <c r="F11742" s="15">
        <f>F11746</f>
        <v>43.8</v>
      </c>
      <c r="G11742" s="12">
        <f t="shared" si="1789"/>
        <v>8.76</v>
      </c>
    </row>
    <row r="11743" ht="24.0" customHeight="1">
      <c r="A11743" s="10" t="s">
        <v>25</v>
      </c>
      <c r="B11743" s="10" t="s">
        <v>26</v>
      </c>
      <c r="C11743" s="10" t="s">
        <v>23</v>
      </c>
      <c r="D11743" s="10" t="s">
        <v>27</v>
      </c>
      <c r="E11743" s="14">
        <v>1.0</v>
      </c>
      <c r="F11743" s="15">
        <f>ROUND(21,3)</f>
        <v>21</v>
      </c>
      <c r="G11743" s="12">
        <f t="shared" si="1789"/>
        <v>21</v>
      </c>
    </row>
    <row r="11744" ht="24.0" customHeight="1">
      <c r="A11744" s="10" t="s">
        <v>28</v>
      </c>
      <c r="B11744" s="10" t="s">
        <v>26</v>
      </c>
      <c r="C11744" s="10" t="s">
        <v>23</v>
      </c>
      <c r="D11744" s="10" t="s">
        <v>29</v>
      </c>
      <c r="E11744" s="14">
        <v>1.0</v>
      </c>
      <c r="F11744" s="15">
        <f t="shared" ref="F11744:F11745" si="1790">ROUND(19,3)</f>
        <v>19</v>
      </c>
      <c r="G11744" s="12">
        <f t="shared" si="1789"/>
        <v>19</v>
      </c>
    </row>
    <row r="11745" ht="24.0" customHeight="1">
      <c r="A11745" s="10" t="s">
        <v>30</v>
      </c>
      <c r="B11745" s="10" t="s">
        <v>26</v>
      </c>
      <c r="C11745" s="10" t="s">
        <v>23</v>
      </c>
      <c r="D11745" s="10" t="s">
        <v>31</v>
      </c>
      <c r="E11745" s="14">
        <v>0.2</v>
      </c>
      <c r="F11745" s="15">
        <f t="shared" si="1790"/>
        <v>19</v>
      </c>
      <c r="G11745" s="12">
        <f t="shared" si="1789"/>
        <v>3.8</v>
      </c>
    </row>
    <row r="11746" ht="15.0" customHeight="1">
      <c r="A11746" s="11"/>
      <c r="B11746" s="11"/>
      <c r="C11746" s="11"/>
      <c r="D11746" s="10" t="s">
        <v>22</v>
      </c>
      <c r="E11746" s="14">
        <v>0.2</v>
      </c>
      <c r="F11746" s="15">
        <f>ROUND((G11743+G11744+G11745),3)</f>
        <v>43.8</v>
      </c>
      <c r="G11746" s="12">
        <f t="shared" si="1789"/>
        <v>8.76</v>
      </c>
    </row>
    <row r="11747" ht="15.0" customHeight="1">
      <c r="A11747" s="10" t="s">
        <v>32</v>
      </c>
      <c r="B11747" s="10"/>
      <c r="C11747" s="10" t="s">
        <v>33</v>
      </c>
      <c r="D11747" s="10" t="s">
        <v>34</v>
      </c>
      <c r="E11747" s="14">
        <v>3.0</v>
      </c>
      <c r="F11747" s="15">
        <f>ROUND(8.76,3)</f>
        <v>8.76</v>
      </c>
      <c r="G11747" s="12">
        <f>ROUND((E11747*F11747)/100,2)</f>
        <v>0.26</v>
      </c>
    </row>
    <row r="11748" ht="15.0" customHeight="1">
      <c r="A11748" s="16"/>
      <c r="B11748" s="16"/>
      <c r="C11748" s="16"/>
      <c r="D11748" s="17" t="s">
        <v>5162</v>
      </c>
      <c r="E11748" s="16"/>
      <c r="F11748" s="18">
        <f>ROUND((G11741+G11742+G11747)*(1+G2/100),2)</f>
        <v>10.82</v>
      </c>
      <c r="G11748" s="16"/>
    </row>
    <row r="11749" ht="21.0" customHeight="1">
      <c r="A11749" s="19" t="s">
        <v>5165</v>
      </c>
      <c r="B11749" s="20" t="s">
        <v>18</v>
      </c>
      <c r="C11749" s="20" t="s">
        <v>251</v>
      </c>
      <c r="D11749" s="20" t="s">
        <v>5166</v>
      </c>
      <c r="E11749" s="21"/>
      <c r="F11749" s="22">
        <f>F11758</f>
        <v>17.1</v>
      </c>
      <c r="G11749" s="21"/>
    </row>
    <row r="11750" ht="132.0" customHeight="1">
      <c r="A11750" s="11"/>
      <c r="B11750" s="11"/>
      <c r="C11750" s="11"/>
      <c r="D11750" s="10" t="s">
        <v>5167</v>
      </c>
    </row>
    <row r="11751" ht="39.75" customHeight="1">
      <c r="A11751" s="10" t="s">
        <v>4297</v>
      </c>
      <c r="B11751" s="10" t="s">
        <v>42</v>
      </c>
      <c r="C11751" s="10" t="s">
        <v>1939</v>
      </c>
      <c r="D11751" s="10" t="s">
        <v>4298</v>
      </c>
      <c r="E11751" s="14">
        <v>0.05</v>
      </c>
      <c r="F11751" s="15">
        <f>ROUND(36.06,3)</f>
        <v>36.06</v>
      </c>
      <c r="G11751" s="12">
        <f t="shared" ref="G11751:G11756" si="1791">ROUND(E11751*F11751,2)</f>
        <v>1.8</v>
      </c>
    </row>
    <row r="11752" ht="24.0" customHeight="1">
      <c r="A11752" s="10" t="s">
        <v>286</v>
      </c>
      <c r="B11752" s="10" t="s">
        <v>18</v>
      </c>
      <c r="C11752" s="10" t="s">
        <v>23</v>
      </c>
      <c r="D11752" s="10" t="s">
        <v>287</v>
      </c>
      <c r="E11752" s="14">
        <v>0.3</v>
      </c>
      <c r="F11752" s="15">
        <f>F11756</f>
        <v>49.5</v>
      </c>
      <c r="G11752" s="12">
        <f t="shared" si="1791"/>
        <v>14.85</v>
      </c>
    </row>
    <row r="11753" ht="24.0" customHeight="1">
      <c r="A11753" s="10" t="s">
        <v>288</v>
      </c>
      <c r="B11753" s="10" t="s">
        <v>26</v>
      </c>
      <c r="C11753" s="10" t="s">
        <v>23</v>
      </c>
      <c r="D11753" s="10" t="s">
        <v>289</v>
      </c>
      <c r="E11753" s="14">
        <v>1.0</v>
      </c>
      <c r="F11753" s="15">
        <f>ROUND(21,3)</f>
        <v>21</v>
      </c>
      <c r="G11753" s="12">
        <f t="shared" si="1791"/>
        <v>21</v>
      </c>
    </row>
    <row r="11754" ht="24.0" customHeight="1">
      <c r="A11754" s="10" t="s">
        <v>290</v>
      </c>
      <c r="B11754" s="10" t="s">
        <v>26</v>
      </c>
      <c r="C11754" s="10" t="s">
        <v>23</v>
      </c>
      <c r="D11754" s="10" t="s">
        <v>291</v>
      </c>
      <c r="E11754" s="14">
        <v>1.0</v>
      </c>
      <c r="F11754" s="15">
        <f t="shared" ref="F11754:F11755" si="1792">ROUND(19,3)</f>
        <v>19</v>
      </c>
      <c r="G11754" s="12">
        <f t="shared" si="1791"/>
        <v>19</v>
      </c>
    </row>
    <row r="11755" ht="24.0" customHeight="1">
      <c r="A11755" s="10" t="s">
        <v>292</v>
      </c>
      <c r="B11755" s="10" t="s">
        <v>26</v>
      </c>
      <c r="C11755" s="10" t="s">
        <v>23</v>
      </c>
      <c r="D11755" s="10" t="s">
        <v>293</v>
      </c>
      <c r="E11755" s="14">
        <v>0.5</v>
      </c>
      <c r="F11755" s="15">
        <f t="shared" si="1792"/>
        <v>19</v>
      </c>
      <c r="G11755" s="12">
        <f t="shared" si="1791"/>
        <v>9.5</v>
      </c>
    </row>
    <row r="11756" ht="15.0" customHeight="1">
      <c r="A11756" s="11"/>
      <c r="B11756" s="11"/>
      <c r="C11756" s="11"/>
      <c r="D11756" s="10" t="s">
        <v>286</v>
      </c>
      <c r="E11756" s="14">
        <v>0.3</v>
      </c>
      <c r="F11756" s="15">
        <f>ROUND((G11753+G11754+G11755),3)</f>
        <v>49.5</v>
      </c>
      <c r="G11756" s="12">
        <f t="shared" si="1791"/>
        <v>14.85</v>
      </c>
    </row>
    <row r="11757" ht="15.0" customHeight="1">
      <c r="A11757" s="10" t="s">
        <v>32</v>
      </c>
      <c r="B11757" s="10"/>
      <c r="C11757" s="10" t="s">
        <v>33</v>
      </c>
      <c r="D11757" s="10" t="s">
        <v>34</v>
      </c>
      <c r="E11757" s="14">
        <v>3.0</v>
      </c>
      <c r="F11757" s="15">
        <f>ROUND(14.85,3)</f>
        <v>14.85</v>
      </c>
      <c r="G11757" s="12">
        <f>ROUND((E11757*F11757)/100,2)</f>
        <v>0.45</v>
      </c>
    </row>
    <row r="11758" ht="15.0" customHeight="1">
      <c r="A11758" s="16"/>
      <c r="B11758" s="16"/>
      <c r="C11758" s="16"/>
      <c r="D11758" s="17" t="s">
        <v>5165</v>
      </c>
      <c r="E11758" s="16"/>
      <c r="F11758" s="18">
        <f>ROUND((G11751+G11752+G11757)*(1+G2/100),2)</f>
        <v>17.1</v>
      </c>
      <c r="G11758" s="16"/>
    </row>
    <row r="11759" ht="21.0" customHeight="1">
      <c r="A11759" s="19" t="s">
        <v>5168</v>
      </c>
      <c r="B11759" s="20" t="s">
        <v>18</v>
      </c>
      <c r="C11759" s="20" t="s">
        <v>251</v>
      </c>
      <c r="D11759" s="20" t="s">
        <v>5169</v>
      </c>
      <c r="E11759" s="21"/>
      <c r="F11759" s="22">
        <f>F11768</f>
        <v>10.49</v>
      </c>
      <c r="G11759" s="21"/>
    </row>
    <row r="11760" ht="67.5" customHeight="1">
      <c r="A11760" s="11"/>
      <c r="B11760" s="11"/>
      <c r="C11760" s="11"/>
      <c r="D11760" s="10" t="s">
        <v>5170</v>
      </c>
    </row>
    <row r="11761" ht="21.0" customHeight="1">
      <c r="A11761" s="10" t="s">
        <v>5171</v>
      </c>
      <c r="B11761" s="10" t="s">
        <v>42</v>
      </c>
      <c r="C11761" s="10" t="s">
        <v>304</v>
      </c>
      <c r="D11761" s="10" t="s">
        <v>5172</v>
      </c>
      <c r="E11761" s="14">
        <v>0.05</v>
      </c>
      <c r="F11761" s="15">
        <f>ROUND(29.3,3)</f>
        <v>29.3</v>
      </c>
      <c r="G11761" s="12">
        <f t="shared" ref="G11761:G11766" si="1793">ROUND(E11761*F11761,2)</f>
        <v>1.47</v>
      </c>
    </row>
    <row r="11762" ht="21.0" customHeight="1">
      <c r="A11762" s="10" t="s">
        <v>22</v>
      </c>
      <c r="B11762" s="10" t="s">
        <v>18</v>
      </c>
      <c r="C11762" s="10" t="s">
        <v>23</v>
      </c>
      <c r="D11762" s="10" t="s">
        <v>24</v>
      </c>
      <c r="E11762" s="14">
        <v>0.2</v>
      </c>
      <c r="F11762" s="15">
        <f>F11766</f>
        <v>43.8</v>
      </c>
      <c r="G11762" s="12">
        <f t="shared" si="1793"/>
        <v>8.76</v>
      </c>
    </row>
    <row r="11763" ht="24.0" customHeight="1">
      <c r="A11763" s="10" t="s">
        <v>25</v>
      </c>
      <c r="B11763" s="10" t="s">
        <v>26</v>
      </c>
      <c r="C11763" s="10" t="s">
        <v>23</v>
      </c>
      <c r="D11763" s="10" t="s">
        <v>27</v>
      </c>
      <c r="E11763" s="14">
        <v>1.0</v>
      </c>
      <c r="F11763" s="15">
        <f>ROUND(21,3)</f>
        <v>21</v>
      </c>
      <c r="G11763" s="12">
        <f t="shared" si="1793"/>
        <v>21</v>
      </c>
    </row>
    <row r="11764" ht="24.0" customHeight="1">
      <c r="A11764" s="10" t="s">
        <v>28</v>
      </c>
      <c r="B11764" s="10" t="s">
        <v>26</v>
      </c>
      <c r="C11764" s="10" t="s">
        <v>23</v>
      </c>
      <c r="D11764" s="10" t="s">
        <v>29</v>
      </c>
      <c r="E11764" s="14">
        <v>1.0</v>
      </c>
      <c r="F11764" s="15">
        <f t="shared" ref="F11764:F11765" si="1794">ROUND(19,3)</f>
        <v>19</v>
      </c>
      <c r="G11764" s="12">
        <f t="shared" si="1793"/>
        <v>19</v>
      </c>
    </row>
    <row r="11765" ht="24.0" customHeight="1">
      <c r="A11765" s="10" t="s">
        <v>30</v>
      </c>
      <c r="B11765" s="10" t="s">
        <v>26</v>
      </c>
      <c r="C11765" s="10" t="s">
        <v>23</v>
      </c>
      <c r="D11765" s="10" t="s">
        <v>31</v>
      </c>
      <c r="E11765" s="14">
        <v>0.2</v>
      </c>
      <c r="F11765" s="15">
        <f t="shared" si="1794"/>
        <v>19</v>
      </c>
      <c r="G11765" s="12">
        <f t="shared" si="1793"/>
        <v>3.8</v>
      </c>
    </row>
    <row r="11766" ht="15.0" customHeight="1">
      <c r="A11766" s="11"/>
      <c r="B11766" s="11"/>
      <c r="C11766" s="11"/>
      <c r="D11766" s="10" t="s">
        <v>22</v>
      </c>
      <c r="E11766" s="14">
        <v>0.2</v>
      </c>
      <c r="F11766" s="15">
        <f>ROUND((G11763+G11764+G11765),3)</f>
        <v>43.8</v>
      </c>
      <c r="G11766" s="12">
        <f t="shared" si="1793"/>
        <v>8.76</v>
      </c>
    </row>
    <row r="11767" ht="15.0" customHeight="1">
      <c r="A11767" s="10" t="s">
        <v>32</v>
      </c>
      <c r="B11767" s="10"/>
      <c r="C11767" s="10" t="s">
        <v>33</v>
      </c>
      <c r="D11767" s="10" t="s">
        <v>34</v>
      </c>
      <c r="E11767" s="14">
        <v>3.0</v>
      </c>
      <c r="F11767" s="15">
        <f>ROUND(8.76,3)</f>
        <v>8.76</v>
      </c>
      <c r="G11767" s="12">
        <f>ROUND((E11767*F11767)/100,2)</f>
        <v>0.26</v>
      </c>
    </row>
    <row r="11768" ht="15.0" customHeight="1">
      <c r="A11768" s="16"/>
      <c r="B11768" s="16"/>
      <c r="C11768" s="16"/>
      <c r="D11768" s="17" t="s">
        <v>5168</v>
      </c>
      <c r="E11768" s="16"/>
      <c r="F11768" s="18">
        <f>ROUND((G11761+G11762+G11767)*(1+G2/100),2)</f>
        <v>10.49</v>
      </c>
      <c r="G11768" s="16"/>
    </row>
    <row r="11769" ht="21.0" customHeight="1">
      <c r="A11769" s="19" t="s">
        <v>5173</v>
      </c>
      <c r="B11769" s="20" t="s">
        <v>18</v>
      </c>
      <c r="C11769" s="20" t="s">
        <v>251</v>
      </c>
      <c r="D11769" s="20" t="s">
        <v>5174</v>
      </c>
      <c r="E11769" s="21"/>
      <c r="F11769" s="22">
        <f>F11778</f>
        <v>10.34</v>
      </c>
      <c r="G11769" s="21"/>
    </row>
    <row r="11770" ht="30.0" customHeight="1">
      <c r="A11770" s="11"/>
      <c r="B11770" s="11"/>
      <c r="C11770" s="11"/>
      <c r="D11770" s="10" t="s">
        <v>5175</v>
      </c>
    </row>
    <row r="11771" ht="24.0" customHeight="1">
      <c r="A11771" s="10" t="s">
        <v>2437</v>
      </c>
      <c r="B11771" s="10" t="s">
        <v>42</v>
      </c>
      <c r="C11771" s="10" t="s">
        <v>43</v>
      </c>
      <c r="D11771" s="10" t="s">
        <v>2438</v>
      </c>
      <c r="E11771" s="14">
        <v>0.0375</v>
      </c>
      <c r="F11771" s="15">
        <f>ROUND(35.3,3)</f>
        <v>35.3</v>
      </c>
      <c r="G11771" s="12">
        <f t="shared" ref="G11771:G11776" si="1795">ROUND(E11771*F11771,2)</f>
        <v>1.32</v>
      </c>
    </row>
    <row r="11772" ht="21.0" customHeight="1">
      <c r="A11772" s="10" t="s">
        <v>22</v>
      </c>
      <c r="B11772" s="10" t="s">
        <v>18</v>
      </c>
      <c r="C11772" s="10" t="s">
        <v>23</v>
      </c>
      <c r="D11772" s="10" t="s">
        <v>24</v>
      </c>
      <c r="E11772" s="14">
        <v>0.2</v>
      </c>
      <c r="F11772" s="15">
        <f>F11776</f>
        <v>43.8</v>
      </c>
      <c r="G11772" s="12">
        <f t="shared" si="1795"/>
        <v>8.76</v>
      </c>
    </row>
    <row r="11773" ht="24.0" customHeight="1">
      <c r="A11773" s="10" t="s">
        <v>25</v>
      </c>
      <c r="B11773" s="10" t="s">
        <v>26</v>
      </c>
      <c r="C11773" s="10" t="s">
        <v>23</v>
      </c>
      <c r="D11773" s="10" t="s">
        <v>27</v>
      </c>
      <c r="E11773" s="14">
        <v>1.0</v>
      </c>
      <c r="F11773" s="15">
        <f>ROUND(21,3)</f>
        <v>21</v>
      </c>
      <c r="G11773" s="12">
        <f t="shared" si="1795"/>
        <v>21</v>
      </c>
    </row>
    <row r="11774" ht="24.0" customHeight="1">
      <c r="A11774" s="10" t="s">
        <v>28</v>
      </c>
      <c r="B11774" s="10" t="s">
        <v>26</v>
      </c>
      <c r="C11774" s="10" t="s">
        <v>23</v>
      </c>
      <c r="D11774" s="10" t="s">
        <v>29</v>
      </c>
      <c r="E11774" s="14">
        <v>1.0</v>
      </c>
      <c r="F11774" s="15">
        <f t="shared" ref="F11774:F11775" si="1796">ROUND(19,3)</f>
        <v>19</v>
      </c>
      <c r="G11774" s="12">
        <f t="shared" si="1795"/>
        <v>19</v>
      </c>
    </row>
    <row r="11775" ht="24.0" customHeight="1">
      <c r="A11775" s="10" t="s">
        <v>30</v>
      </c>
      <c r="B11775" s="10" t="s">
        <v>26</v>
      </c>
      <c r="C11775" s="10" t="s">
        <v>23</v>
      </c>
      <c r="D11775" s="10" t="s">
        <v>31</v>
      </c>
      <c r="E11775" s="14">
        <v>0.2</v>
      </c>
      <c r="F11775" s="15">
        <f t="shared" si="1796"/>
        <v>19</v>
      </c>
      <c r="G11775" s="12">
        <f t="shared" si="1795"/>
        <v>3.8</v>
      </c>
    </row>
    <row r="11776" ht="15.0" customHeight="1">
      <c r="A11776" s="11"/>
      <c r="B11776" s="11"/>
      <c r="C11776" s="11"/>
      <c r="D11776" s="10" t="s">
        <v>22</v>
      </c>
      <c r="E11776" s="14">
        <v>0.2</v>
      </c>
      <c r="F11776" s="15">
        <f>ROUND((G11773+G11774+G11775),3)</f>
        <v>43.8</v>
      </c>
      <c r="G11776" s="12">
        <f t="shared" si="1795"/>
        <v>8.76</v>
      </c>
    </row>
    <row r="11777" ht="15.0" customHeight="1">
      <c r="A11777" s="10" t="s">
        <v>32</v>
      </c>
      <c r="B11777" s="10"/>
      <c r="C11777" s="10" t="s">
        <v>33</v>
      </c>
      <c r="D11777" s="10" t="s">
        <v>34</v>
      </c>
      <c r="E11777" s="14">
        <v>3.0</v>
      </c>
      <c r="F11777" s="15">
        <f>ROUND(8.76,3)</f>
        <v>8.76</v>
      </c>
      <c r="G11777" s="12">
        <f>ROUND((E11777*F11777)/100,2)</f>
        <v>0.26</v>
      </c>
    </row>
    <row r="11778" ht="15.0" customHeight="1">
      <c r="A11778" s="16"/>
      <c r="B11778" s="16"/>
      <c r="C11778" s="16"/>
      <c r="D11778" s="17" t="s">
        <v>5173</v>
      </c>
      <c r="E11778" s="16"/>
      <c r="F11778" s="18">
        <f>ROUND((G11771+G11772+G11777)*(1+G2/100),2)</f>
        <v>10.34</v>
      </c>
      <c r="G11778" s="16"/>
    </row>
    <row r="11779" ht="21.0" customHeight="1">
      <c r="A11779" s="19" t="s">
        <v>5176</v>
      </c>
      <c r="B11779" s="20" t="s">
        <v>18</v>
      </c>
      <c r="C11779" s="20" t="s">
        <v>251</v>
      </c>
      <c r="D11779" s="20" t="s">
        <v>5177</v>
      </c>
      <c r="E11779" s="21"/>
      <c r="F11779" s="22">
        <f>F11790</f>
        <v>25.65</v>
      </c>
      <c r="G11779" s="21"/>
    </row>
    <row r="11780" ht="39.75" customHeight="1">
      <c r="A11780" s="11"/>
      <c r="B11780" s="11"/>
      <c r="C11780" s="11"/>
      <c r="D11780" s="10" t="s">
        <v>5178</v>
      </c>
    </row>
    <row r="11781" ht="24.0" customHeight="1">
      <c r="A11781" s="10" t="s">
        <v>2437</v>
      </c>
      <c r="B11781" s="10" t="s">
        <v>42</v>
      </c>
      <c r="C11781" s="10" t="s">
        <v>43</v>
      </c>
      <c r="D11781" s="10" t="s">
        <v>2438</v>
      </c>
      <c r="E11781" s="14">
        <v>0.03</v>
      </c>
      <c r="F11781" s="15">
        <f>ROUND(35.3,3)</f>
        <v>35.3</v>
      </c>
      <c r="G11781" s="12">
        <f t="shared" ref="G11781:G11788" si="1797">ROUND(E11781*F11781,2)</f>
        <v>1.06</v>
      </c>
    </row>
    <row r="11782" ht="39.75" customHeight="1">
      <c r="A11782" s="10" t="s">
        <v>3077</v>
      </c>
      <c r="B11782" s="10" t="s">
        <v>42</v>
      </c>
      <c r="C11782" s="10" t="s">
        <v>43</v>
      </c>
      <c r="D11782" s="10" t="s">
        <v>3078</v>
      </c>
      <c r="E11782" s="14">
        <v>0.058</v>
      </c>
      <c r="F11782" s="15">
        <f>ROUND(53.44,3)</f>
        <v>53.44</v>
      </c>
      <c r="G11782" s="12">
        <f t="shared" si="1797"/>
        <v>3.1</v>
      </c>
    </row>
    <row r="11783" ht="24.0" customHeight="1">
      <c r="A11783" s="10" t="s">
        <v>1053</v>
      </c>
      <c r="B11783" s="10" t="s">
        <v>42</v>
      </c>
      <c r="C11783" s="10" t="s">
        <v>43</v>
      </c>
      <c r="D11783" s="10" t="s">
        <v>1054</v>
      </c>
      <c r="E11783" s="14">
        <v>0.0135</v>
      </c>
      <c r="F11783" s="15">
        <f>ROUND(4.63,3)</f>
        <v>4.63</v>
      </c>
      <c r="G11783" s="12">
        <f t="shared" si="1797"/>
        <v>0.06</v>
      </c>
    </row>
    <row r="11784" ht="21.0" customHeight="1">
      <c r="A11784" s="10" t="s">
        <v>22</v>
      </c>
      <c r="B11784" s="10" t="s">
        <v>18</v>
      </c>
      <c r="C11784" s="10" t="s">
        <v>23</v>
      </c>
      <c r="D11784" s="10" t="s">
        <v>24</v>
      </c>
      <c r="E11784" s="14">
        <v>0.475</v>
      </c>
      <c r="F11784" s="15">
        <f>F11788</f>
        <v>43.8</v>
      </c>
      <c r="G11784" s="12">
        <f t="shared" si="1797"/>
        <v>20.81</v>
      </c>
    </row>
    <row r="11785" ht="24.0" customHeight="1">
      <c r="A11785" s="10" t="s">
        <v>25</v>
      </c>
      <c r="B11785" s="10" t="s">
        <v>26</v>
      </c>
      <c r="C11785" s="10" t="s">
        <v>23</v>
      </c>
      <c r="D11785" s="10" t="s">
        <v>27</v>
      </c>
      <c r="E11785" s="14">
        <v>1.0</v>
      </c>
      <c r="F11785" s="15">
        <f>ROUND(21,3)</f>
        <v>21</v>
      </c>
      <c r="G11785" s="12">
        <f t="shared" si="1797"/>
        <v>21</v>
      </c>
    </row>
    <row r="11786" ht="24.0" customHeight="1">
      <c r="A11786" s="10" t="s">
        <v>28</v>
      </c>
      <c r="B11786" s="10" t="s">
        <v>26</v>
      </c>
      <c r="C11786" s="10" t="s">
        <v>23</v>
      </c>
      <c r="D11786" s="10" t="s">
        <v>29</v>
      </c>
      <c r="E11786" s="14">
        <v>1.0</v>
      </c>
      <c r="F11786" s="15">
        <f t="shared" ref="F11786:F11787" si="1798">ROUND(19,3)</f>
        <v>19</v>
      </c>
      <c r="G11786" s="12">
        <f t="shared" si="1797"/>
        <v>19</v>
      </c>
    </row>
    <row r="11787" ht="24.0" customHeight="1">
      <c r="A11787" s="10" t="s">
        <v>30</v>
      </c>
      <c r="B11787" s="10" t="s">
        <v>26</v>
      </c>
      <c r="C11787" s="10" t="s">
        <v>23</v>
      </c>
      <c r="D11787" s="10" t="s">
        <v>31</v>
      </c>
      <c r="E11787" s="14">
        <v>0.2</v>
      </c>
      <c r="F11787" s="15">
        <f t="shared" si="1798"/>
        <v>19</v>
      </c>
      <c r="G11787" s="12">
        <f t="shared" si="1797"/>
        <v>3.8</v>
      </c>
    </row>
    <row r="11788" ht="15.0" customHeight="1">
      <c r="A11788" s="11"/>
      <c r="B11788" s="11"/>
      <c r="C11788" s="11"/>
      <c r="D11788" s="10" t="s">
        <v>22</v>
      </c>
      <c r="E11788" s="14">
        <v>0.475</v>
      </c>
      <c r="F11788" s="15">
        <f>ROUND((G11785+G11786+G11787),3)</f>
        <v>43.8</v>
      </c>
      <c r="G11788" s="12">
        <f t="shared" si="1797"/>
        <v>20.81</v>
      </c>
    </row>
    <row r="11789" ht="15.0" customHeight="1">
      <c r="A11789" s="10" t="s">
        <v>32</v>
      </c>
      <c r="B11789" s="10"/>
      <c r="C11789" s="10" t="s">
        <v>33</v>
      </c>
      <c r="D11789" s="10" t="s">
        <v>34</v>
      </c>
      <c r="E11789" s="14">
        <v>3.0</v>
      </c>
      <c r="F11789" s="15">
        <f>ROUND(20.81,3)</f>
        <v>20.81</v>
      </c>
      <c r="G11789" s="12">
        <f>ROUND((E11789*F11789)/100,2)</f>
        <v>0.62</v>
      </c>
    </row>
    <row r="11790" ht="15.0" customHeight="1">
      <c r="A11790" s="16"/>
      <c r="B11790" s="16"/>
      <c r="C11790" s="16"/>
      <c r="D11790" s="17" t="s">
        <v>5176</v>
      </c>
      <c r="E11790" s="16"/>
      <c r="F11790" s="18">
        <f>ROUND((G11781+G11782+G11783+G11784+G11789)*(1+G2/100),2)</f>
        <v>25.65</v>
      </c>
      <c r="G11790" s="16"/>
    </row>
    <row r="11791" ht="30.0" customHeight="1">
      <c r="A11791" s="19" t="s">
        <v>5179</v>
      </c>
      <c r="B11791" s="20" t="s">
        <v>18</v>
      </c>
      <c r="C11791" s="20" t="s">
        <v>251</v>
      </c>
      <c r="D11791" s="20" t="s">
        <v>5180</v>
      </c>
      <c r="E11791" s="21"/>
      <c r="F11791" s="22">
        <f>F11802</f>
        <v>40.52</v>
      </c>
      <c r="G11791" s="21"/>
    </row>
    <row r="11792" ht="39.75" customHeight="1">
      <c r="A11792" s="11"/>
      <c r="B11792" s="11"/>
      <c r="C11792" s="11"/>
      <c r="D11792" s="10" t="s">
        <v>5181</v>
      </c>
    </row>
    <row r="11793" ht="24.0" customHeight="1">
      <c r="A11793" s="10" t="s">
        <v>2437</v>
      </c>
      <c r="B11793" s="10" t="s">
        <v>42</v>
      </c>
      <c r="C11793" s="10" t="s">
        <v>43</v>
      </c>
      <c r="D11793" s="10" t="s">
        <v>2438</v>
      </c>
      <c r="E11793" s="14">
        <v>0.03</v>
      </c>
      <c r="F11793" s="15">
        <f>ROUND(35.3,3)</f>
        <v>35.3</v>
      </c>
      <c r="G11793" s="12">
        <f t="shared" ref="G11793:G11800" si="1799">ROUND(E11793*F11793,2)</f>
        <v>1.06</v>
      </c>
    </row>
    <row r="11794" ht="39.75" customHeight="1">
      <c r="A11794" s="10" t="s">
        <v>3077</v>
      </c>
      <c r="B11794" s="10" t="s">
        <v>42</v>
      </c>
      <c r="C11794" s="10" t="s">
        <v>43</v>
      </c>
      <c r="D11794" s="10" t="s">
        <v>3078</v>
      </c>
      <c r="E11794" s="14">
        <v>0.058</v>
      </c>
      <c r="F11794" s="15">
        <f>ROUND(53.44,3)</f>
        <v>53.44</v>
      </c>
      <c r="G11794" s="12">
        <f t="shared" si="1799"/>
        <v>3.1</v>
      </c>
    </row>
    <row r="11795" ht="24.0" customHeight="1">
      <c r="A11795" s="10" t="s">
        <v>1053</v>
      </c>
      <c r="B11795" s="10" t="s">
        <v>42</v>
      </c>
      <c r="C11795" s="10" t="s">
        <v>43</v>
      </c>
      <c r="D11795" s="10" t="s">
        <v>1054</v>
      </c>
      <c r="E11795" s="14">
        <v>0.0135</v>
      </c>
      <c r="F11795" s="15">
        <f>ROUND(4.63,3)</f>
        <v>4.63</v>
      </c>
      <c r="G11795" s="12">
        <f t="shared" si="1799"/>
        <v>0.06</v>
      </c>
    </row>
    <row r="11796" ht="24.0" customHeight="1">
      <c r="A11796" s="10" t="s">
        <v>286</v>
      </c>
      <c r="B11796" s="10" t="s">
        <v>18</v>
      </c>
      <c r="C11796" s="10" t="s">
        <v>23</v>
      </c>
      <c r="D11796" s="10" t="s">
        <v>287</v>
      </c>
      <c r="E11796" s="14">
        <v>0.712</v>
      </c>
      <c r="F11796" s="15">
        <f>F11800</f>
        <v>49.5</v>
      </c>
      <c r="G11796" s="12">
        <f t="shared" si="1799"/>
        <v>35.24</v>
      </c>
    </row>
    <row r="11797" ht="24.0" customHeight="1">
      <c r="A11797" s="10" t="s">
        <v>288</v>
      </c>
      <c r="B11797" s="10" t="s">
        <v>26</v>
      </c>
      <c r="C11797" s="10" t="s">
        <v>23</v>
      </c>
      <c r="D11797" s="10" t="s">
        <v>289</v>
      </c>
      <c r="E11797" s="14">
        <v>1.0</v>
      </c>
      <c r="F11797" s="15">
        <f>ROUND(21,3)</f>
        <v>21</v>
      </c>
      <c r="G11797" s="12">
        <f t="shared" si="1799"/>
        <v>21</v>
      </c>
    </row>
    <row r="11798" ht="24.0" customHeight="1">
      <c r="A11798" s="10" t="s">
        <v>290</v>
      </c>
      <c r="B11798" s="10" t="s">
        <v>26</v>
      </c>
      <c r="C11798" s="10" t="s">
        <v>23</v>
      </c>
      <c r="D11798" s="10" t="s">
        <v>291</v>
      </c>
      <c r="E11798" s="14">
        <v>1.0</v>
      </c>
      <c r="F11798" s="15">
        <f t="shared" ref="F11798:F11799" si="1800">ROUND(19,3)</f>
        <v>19</v>
      </c>
      <c r="G11798" s="12">
        <f t="shared" si="1799"/>
        <v>19</v>
      </c>
    </row>
    <row r="11799" ht="24.0" customHeight="1">
      <c r="A11799" s="10" t="s">
        <v>292</v>
      </c>
      <c r="B11799" s="10" t="s">
        <v>26</v>
      </c>
      <c r="C11799" s="10" t="s">
        <v>23</v>
      </c>
      <c r="D11799" s="10" t="s">
        <v>293</v>
      </c>
      <c r="E11799" s="14">
        <v>0.5</v>
      </c>
      <c r="F11799" s="15">
        <f t="shared" si="1800"/>
        <v>19</v>
      </c>
      <c r="G11799" s="12">
        <f t="shared" si="1799"/>
        <v>9.5</v>
      </c>
    </row>
    <row r="11800" ht="15.0" customHeight="1">
      <c r="A11800" s="11"/>
      <c r="B11800" s="11"/>
      <c r="C11800" s="11"/>
      <c r="D11800" s="10" t="s">
        <v>286</v>
      </c>
      <c r="E11800" s="14">
        <v>0.712</v>
      </c>
      <c r="F11800" s="15">
        <f>ROUND((G11797+G11798+G11799),3)</f>
        <v>49.5</v>
      </c>
      <c r="G11800" s="12">
        <f t="shared" si="1799"/>
        <v>35.24</v>
      </c>
    </row>
    <row r="11801" ht="15.0" customHeight="1">
      <c r="A11801" s="10" t="s">
        <v>32</v>
      </c>
      <c r="B11801" s="10"/>
      <c r="C11801" s="10" t="s">
        <v>33</v>
      </c>
      <c r="D11801" s="10" t="s">
        <v>34</v>
      </c>
      <c r="E11801" s="14">
        <v>3.0</v>
      </c>
      <c r="F11801" s="15">
        <f>ROUND(35.24,3)</f>
        <v>35.24</v>
      </c>
      <c r="G11801" s="12">
        <f>ROUND((E11801*F11801)/100,2)</f>
        <v>1.06</v>
      </c>
    </row>
    <row r="11802" ht="15.0" customHeight="1">
      <c r="A11802" s="16"/>
      <c r="B11802" s="16"/>
      <c r="C11802" s="16"/>
      <c r="D11802" s="17" t="s">
        <v>5179</v>
      </c>
      <c r="E11802" s="16"/>
      <c r="F11802" s="18">
        <f>ROUND((G11793+G11794+G11795+G11796+G11801)*(1+G2/100),2)</f>
        <v>40.52</v>
      </c>
      <c r="G11802" s="16"/>
    </row>
    <row r="11803" ht="21.0" customHeight="1">
      <c r="A11803" s="19" t="s">
        <v>5182</v>
      </c>
      <c r="B11803" s="20" t="s">
        <v>18</v>
      </c>
      <c r="C11803" s="20" t="s">
        <v>251</v>
      </c>
      <c r="D11803" s="20" t="s">
        <v>5183</v>
      </c>
      <c r="E11803" s="21"/>
      <c r="F11803" s="22">
        <f>F11813</f>
        <v>23.25</v>
      </c>
      <c r="G11803" s="21"/>
    </row>
    <row r="11804" ht="39.75" customHeight="1">
      <c r="A11804" s="11"/>
      <c r="B11804" s="11"/>
      <c r="C11804" s="11"/>
      <c r="D11804" s="10" t="s">
        <v>5184</v>
      </c>
    </row>
    <row r="11805" ht="48.75" customHeight="1">
      <c r="A11805" s="10" t="s">
        <v>5185</v>
      </c>
      <c r="B11805" s="10" t="s">
        <v>42</v>
      </c>
      <c r="C11805" s="10" t="s">
        <v>43</v>
      </c>
      <c r="D11805" s="10" t="s">
        <v>5186</v>
      </c>
      <c r="E11805" s="14">
        <v>0.08889</v>
      </c>
      <c r="F11805" s="15">
        <f>ROUND(57.85,3)</f>
        <v>57.85</v>
      </c>
      <c r="G11805" s="12">
        <f t="shared" ref="G11805:G11811" si="1801">ROUND(E11805*F11805,2)</f>
        <v>5.14</v>
      </c>
    </row>
    <row r="11806" ht="24.0" customHeight="1">
      <c r="A11806" s="10" t="s">
        <v>1053</v>
      </c>
      <c r="B11806" s="10" t="s">
        <v>42</v>
      </c>
      <c r="C11806" s="10" t="s">
        <v>43</v>
      </c>
      <c r="D11806" s="10" t="s">
        <v>1054</v>
      </c>
      <c r="E11806" s="14">
        <v>0.0135</v>
      </c>
      <c r="F11806" s="15">
        <f>ROUND(4.63,3)</f>
        <v>4.63</v>
      </c>
      <c r="G11806" s="12">
        <f t="shared" si="1801"/>
        <v>0.06</v>
      </c>
    </row>
    <row r="11807" ht="21.0" customHeight="1">
      <c r="A11807" s="10" t="s">
        <v>22</v>
      </c>
      <c r="B11807" s="10" t="s">
        <v>18</v>
      </c>
      <c r="C11807" s="10" t="s">
        <v>23</v>
      </c>
      <c r="D11807" s="10" t="s">
        <v>24</v>
      </c>
      <c r="E11807" s="14">
        <v>0.4</v>
      </c>
      <c r="F11807" s="15">
        <f>F11811</f>
        <v>43.8</v>
      </c>
      <c r="G11807" s="12">
        <f t="shared" si="1801"/>
        <v>17.52</v>
      </c>
    </row>
    <row r="11808" ht="24.0" customHeight="1">
      <c r="A11808" s="10" t="s">
        <v>25</v>
      </c>
      <c r="B11808" s="10" t="s">
        <v>26</v>
      </c>
      <c r="C11808" s="10" t="s">
        <v>23</v>
      </c>
      <c r="D11808" s="10" t="s">
        <v>27</v>
      </c>
      <c r="E11808" s="14">
        <v>1.0</v>
      </c>
      <c r="F11808" s="15">
        <f>ROUND(21,3)</f>
        <v>21</v>
      </c>
      <c r="G11808" s="12">
        <f t="shared" si="1801"/>
        <v>21</v>
      </c>
    </row>
    <row r="11809" ht="24.0" customHeight="1">
      <c r="A11809" s="10" t="s">
        <v>28</v>
      </c>
      <c r="B11809" s="10" t="s">
        <v>26</v>
      </c>
      <c r="C11809" s="10" t="s">
        <v>23</v>
      </c>
      <c r="D11809" s="10" t="s">
        <v>29</v>
      </c>
      <c r="E11809" s="14">
        <v>1.0</v>
      </c>
      <c r="F11809" s="15">
        <f t="shared" ref="F11809:F11810" si="1802">ROUND(19,3)</f>
        <v>19</v>
      </c>
      <c r="G11809" s="12">
        <f t="shared" si="1801"/>
        <v>19</v>
      </c>
    </row>
    <row r="11810" ht="24.0" customHeight="1">
      <c r="A11810" s="10" t="s">
        <v>30</v>
      </c>
      <c r="B11810" s="10" t="s">
        <v>26</v>
      </c>
      <c r="C11810" s="10" t="s">
        <v>23</v>
      </c>
      <c r="D11810" s="10" t="s">
        <v>31</v>
      </c>
      <c r="E11810" s="14">
        <v>0.2</v>
      </c>
      <c r="F11810" s="15">
        <f t="shared" si="1802"/>
        <v>19</v>
      </c>
      <c r="G11810" s="12">
        <f t="shared" si="1801"/>
        <v>3.8</v>
      </c>
    </row>
    <row r="11811" ht="15.0" customHeight="1">
      <c r="A11811" s="11"/>
      <c r="B11811" s="11"/>
      <c r="C11811" s="11"/>
      <c r="D11811" s="10" t="s">
        <v>22</v>
      </c>
      <c r="E11811" s="14">
        <v>0.4</v>
      </c>
      <c r="F11811" s="15">
        <f>ROUND((G11808+G11809+G11810),3)</f>
        <v>43.8</v>
      </c>
      <c r="G11811" s="12">
        <f t="shared" si="1801"/>
        <v>17.52</v>
      </c>
    </row>
    <row r="11812" ht="15.0" customHeight="1">
      <c r="A11812" s="10" t="s">
        <v>32</v>
      </c>
      <c r="B11812" s="10"/>
      <c r="C11812" s="10" t="s">
        <v>33</v>
      </c>
      <c r="D11812" s="10" t="s">
        <v>34</v>
      </c>
      <c r="E11812" s="14">
        <v>3.0</v>
      </c>
      <c r="F11812" s="15">
        <f>ROUND(17.52,3)</f>
        <v>17.52</v>
      </c>
      <c r="G11812" s="12">
        <f>ROUND((E11812*F11812)/100,2)</f>
        <v>0.53</v>
      </c>
    </row>
    <row r="11813" ht="15.0" customHeight="1">
      <c r="A11813" s="16"/>
      <c r="B11813" s="16"/>
      <c r="C11813" s="16"/>
      <c r="D11813" s="17" t="s">
        <v>5182</v>
      </c>
      <c r="E11813" s="16"/>
      <c r="F11813" s="18">
        <f>ROUND((G11805+G11806+G11807+G11812)*(1+G2/100),2)</f>
        <v>23.25</v>
      </c>
      <c r="G11813" s="16"/>
    </row>
    <row r="11814" ht="21.0" customHeight="1">
      <c r="A11814" s="19" t="s">
        <v>5187</v>
      </c>
      <c r="B11814" s="20" t="s">
        <v>18</v>
      </c>
      <c r="C11814" s="20" t="s">
        <v>251</v>
      </c>
      <c r="D11814" s="20" t="s">
        <v>5188</v>
      </c>
      <c r="E11814" s="21"/>
      <c r="F11814" s="22">
        <f>F11824</f>
        <v>22.41</v>
      </c>
      <c r="G11814" s="21"/>
    </row>
    <row r="11815" ht="48.75" customHeight="1">
      <c r="A11815" s="11"/>
      <c r="B11815" s="11"/>
      <c r="C11815" s="11"/>
      <c r="D11815" s="10" t="s">
        <v>5189</v>
      </c>
    </row>
    <row r="11816" ht="39.75" customHeight="1">
      <c r="A11816" s="10" t="s">
        <v>5190</v>
      </c>
      <c r="B11816" s="10" t="s">
        <v>42</v>
      </c>
      <c r="C11816" s="10" t="s">
        <v>43</v>
      </c>
      <c r="D11816" s="10" t="s">
        <v>5191</v>
      </c>
      <c r="E11816" s="14">
        <v>0.02778</v>
      </c>
      <c r="F11816" s="15">
        <f>ROUND(41.28,3)</f>
        <v>41.28</v>
      </c>
      <c r="G11816" s="12">
        <f t="shared" ref="G11816:G11822" si="1803">ROUND(E11816*F11816,2)</f>
        <v>1.15</v>
      </c>
    </row>
    <row r="11817" ht="39.75" customHeight="1">
      <c r="A11817" s="10" t="s">
        <v>5192</v>
      </c>
      <c r="B11817" s="10" t="s">
        <v>42</v>
      </c>
      <c r="C11817" s="10" t="s">
        <v>43</v>
      </c>
      <c r="D11817" s="10" t="s">
        <v>5193</v>
      </c>
      <c r="E11817" s="14">
        <v>0.05556</v>
      </c>
      <c r="F11817" s="15">
        <f>ROUND(57.84,3)</f>
        <v>57.84</v>
      </c>
      <c r="G11817" s="12">
        <f t="shared" si="1803"/>
        <v>3.21</v>
      </c>
    </row>
    <row r="11818" ht="21.0" customHeight="1">
      <c r="A11818" s="10" t="s">
        <v>22</v>
      </c>
      <c r="B11818" s="10" t="s">
        <v>18</v>
      </c>
      <c r="C11818" s="10" t="s">
        <v>23</v>
      </c>
      <c r="D11818" s="10" t="s">
        <v>24</v>
      </c>
      <c r="E11818" s="14">
        <v>0.4</v>
      </c>
      <c r="F11818" s="15">
        <f>F11822</f>
        <v>43.8</v>
      </c>
      <c r="G11818" s="12">
        <f t="shared" si="1803"/>
        <v>17.52</v>
      </c>
    </row>
    <row r="11819" ht="24.0" customHeight="1">
      <c r="A11819" s="10" t="s">
        <v>25</v>
      </c>
      <c r="B11819" s="10" t="s">
        <v>26</v>
      </c>
      <c r="C11819" s="10" t="s">
        <v>23</v>
      </c>
      <c r="D11819" s="10" t="s">
        <v>27</v>
      </c>
      <c r="E11819" s="14">
        <v>1.0</v>
      </c>
      <c r="F11819" s="15">
        <f>ROUND(21,3)</f>
        <v>21</v>
      </c>
      <c r="G11819" s="12">
        <f t="shared" si="1803"/>
        <v>21</v>
      </c>
    </row>
    <row r="11820" ht="24.0" customHeight="1">
      <c r="A11820" s="10" t="s">
        <v>28</v>
      </c>
      <c r="B11820" s="10" t="s">
        <v>26</v>
      </c>
      <c r="C11820" s="10" t="s">
        <v>23</v>
      </c>
      <c r="D11820" s="10" t="s">
        <v>29</v>
      </c>
      <c r="E11820" s="14">
        <v>1.0</v>
      </c>
      <c r="F11820" s="15">
        <f t="shared" ref="F11820:F11821" si="1804">ROUND(19,3)</f>
        <v>19</v>
      </c>
      <c r="G11820" s="12">
        <f t="shared" si="1803"/>
        <v>19</v>
      </c>
    </row>
    <row r="11821" ht="24.0" customHeight="1">
      <c r="A11821" s="10" t="s">
        <v>30</v>
      </c>
      <c r="B11821" s="10" t="s">
        <v>26</v>
      </c>
      <c r="C11821" s="10" t="s">
        <v>23</v>
      </c>
      <c r="D11821" s="10" t="s">
        <v>31</v>
      </c>
      <c r="E11821" s="14">
        <v>0.2</v>
      </c>
      <c r="F11821" s="15">
        <f t="shared" si="1804"/>
        <v>19</v>
      </c>
      <c r="G11821" s="12">
        <f t="shared" si="1803"/>
        <v>3.8</v>
      </c>
    </row>
    <row r="11822" ht="15.0" customHeight="1">
      <c r="A11822" s="11"/>
      <c r="B11822" s="11"/>
      <c r="C11822" s="11"/>
      <c r="D11822" s="10" t="s">
        <v>22</v>
      </c>
      <c r="E11822" s="14">
        <v>0.4</v>
      </c>
      <c r="F11822" s="15">
        <f>ROUND((G11819+G11820+G11821),3)</f>
        <v>43.8</v>
      </c>
      <c r="G11822" s="12">
        <f t="shared" si="1803"/>
        <v>17.52</v>
      </c>
    </row>
    <row r="11823" ht="15.0" customHeight="1">
      <c r="A11823" s="10" t="s">
        <v>32</v>
      </c>
      <c r="B11823" s="10"/>
      <c r="C11823" s="10" t="s">
        <v>33</v>
      </c>
      <c r="D11823" s="10" t="s">
        <v>34</v>
      </c>
      <c r="E11823" s="14">
        <v>3.0</v>
      </c>
      <c r="F11823" s="15">
        <f>ROUND(17.52,3)</f>
        <v>17.52</v>
      </c>
      <c r="G11823" s="12">
        <f>ROUND((E11823*F11823)/100,2)</f>
        <v>0.53</v>
      </c>
    </row>
    <row r="11824" ht="15.0" customHeight="1">
      <c r="A11824" s="16"/>
      <c r="B11824" s="16"/>
      <c r="C11824" s="16"/>
      <c r="D11824" s="17" t="s">
        <v>5187</v>
      </c>
      <c r="E11824" s="16"/>
      <c r="F11824" s="18">
        <f>ROUND((G11816+G11817+G11818+G11823)*(1+G2/100),2)</f>
        <v>22.41</v>
      </c>
      <c r="G11824" s="16"/>
    </row>
    <row r="11825" ht="21.0" customHeight="1">
      <c r="A11825" s="19" t="s">
        <v>5194</v>
      </c>
      <c r="B11825" s="20" t="s">
        <v>18</v>
      </c>
      <c r="C11825" s="20" t="s">
        <v>251</v>
      </c>
      <c r="D11825" s="20" t="s">
        <v>5195</v>
      </c>
      <c r="E11825" s="21"/>
      <c r="F11825" s="22">
        <f>F11835</f>
        <v>23.21</v>
      </c>
      <c r="G11825" s="21"/>
    </row>
    <row r="11826" ht="48.75" customHeight="1">
      <c r="A11826" s="11"/>
      <c r="B11826" s="11"/>
      <c r="C11826" s="11"/>
      <c r="D11826" s="10" t="s">
        <v>5196</v>
      </c>
    </row>
    <row r="11827" ht="39.75" customHeight="1">
      <c r="A11827" s="10" t="s">
        <v>5197</v>
      </c>
      <c r="B11827" s="10" t="s">
        <v>42</v>
      </c>
      <c r="C11827" s="10" t="s">
        <v>43</v>
      </c>
      <c r="D11827" s="10" t="s">
        <v>5198</v>
      </c>
      <c r="E11827" s="14">
        <v>0.0888</v>
      </c>
      <c r="F11827" s="15">
        <f>ROUND(57.46,3)</f>
        <v>57.46</v>
      </c>
      <c r="G11827" s="12">
        <f t="shared" ref="G11827:G11833" si="1805">ROUND(E11827*F11827,2)</f>
        <v>5.1</v>
      </c>
    </row>
    <row r="11828" ht="24.0" customHeight="1">
      <c r="A11828" s="10" t="s">
        <v>1053</v>
      </c>
      <c r="B11828" s="10" t="s">
        <v>42</v>
      </c>
      <c r="C11828" s="10" t="s">
        <v>43</v>
      </c>
      <c r="D11828" s="10" t="s">
        <v>1054</v>
      </c>
      <c r="E11828" s="14">
        <v>0.0135</v>
      </c>
      <c r="F11828" s="15">
        <f>ROUND(4.63,3)</f>
        <v>4.63</v>
      </c>
      <c r="G11828" s="12">
        <f t="shared" si="1805"/>
        <v>0.06</v>
      </c>
    </row>
    <row r="11829" ht="21.0" customHeight="1">
      <c r="A11829" s="10" t="s">
        <v>22</v>
      </c>
      <c r="B11829" s="10" t="s">
        <v>18</v>
      </c>
      <c r="C11829" s="10" t="s">
        <v>23</v>
      </c>
      <c r="D11829" s="10" t="s">
        <v>24</v>
      </c>
      <c r="E11829" s="14">
        <v>0.4</v>
      </c>
      <c r="F11829" s="15">
        <f>F11833</f>
        <v>43.8</v>
      </c>
      <c r="G11829" s="12">
        <f t="shared" si="1805"/>
        <v>17.52</v>
      </c>
    </row>
    <row r="11830" ht="24.0" customHeight="1">
      <c r="A11830" s="10" t="s">
        <v>25</v>
      </c>
      <c r="B11830" s="10" t="s">
        <v>26</v>
      </c>
      <c r="C11830" s="10" t="s">
        <v>23</v>
      </c>
      <c r="D11830" s="10" t="s">
        <v>27</v>
      </c>
      <c r="E11830" s="14">
        <v>1.0</v>
      </c>
      <c r="F11830" s="15">
        <f>ROUND(21,3)</f>
        <v>21</v>
      </c>
      <c r="G11830" s="12">
        <f t="shared" si="1805"/>
        <v>21</v>
      </c>
    </row>
    <row r="11831" ht="24.0" customHeight="1">
      <c r="A11831" s="10" t="s">
        <v>28</v>
      </c>
      <c r="B11831" s="10" t="s">
        <v>26</v>
      </c>
      <c r="C11831" s="10" t="s">
        <v>23</v>
      </c>
      <c r="D11831" s="10" t="s">
        <v>29</v>
      </c>
      <c r="E11831" s="14">
        <v>1.0</v>
      </c>
      <c r="F11831" s="15">
        <f t="shared" ref="F11831:F11832" si="1806">ROUND(19,3)</f>
        <v>19</v>
      </c>
      <c r="G11831" s="12">
        <f t="shared" si="1805"/>
        <v>19</v>
      </c>
    </row>
    <row r="11832" ht="24.0" customHeight="1">
      <c r="A11832" s="10" t="s">
        <v>30</v>
      </c>
      <c r="B11832" s="10" t="s">
        <v>26</v>
      </c>
      <c r="C11832" s="10" t="s">
        <v>23</v>
      </c>
      <c r="D11832" s="10" t="s">
        <v>31</v>
      </c>
      <c r="E11832" s="14">
        <v>0.2</v>
      </c>
      <c r="F11832" s="15">
        <f t="shared" si="1806"/>
        <v>19</v>
      </c>
      <c r="G11832" s="12">
        <f t="shared" si="1805"/>
        <v>3.8</v>
      </c>
    </row>
    <row r="11833" ht="15.0" customHeight="1">
      <c r="A11833" s="11"/>
      <c r="B11833" s="11"/>
      <c r="C11833" s="11"/>
      <c r="D11833" s="10" t="s">
        <v>22</v>
      </c>
      <c r="E11833" s="14">
        <v>0.4</v>
      </c>
      <c r="F11833" s="15">
        <f>ROUND((G11830+G11831+G11832),3)</f>
        <v>43.8</v>
      </c>
      <c r="G11833" s="12">
        <f t="shared" si="1805"/>
        <v>17.52</v>
      </c>
    </row>
    <row r="11834" ht="15.0" customHeight="1">
      <c r="A11834" s="10" t="s">
        <v>32</v>
      </c>
      <c r="B11834" s="10"/>
      <c r="C11834" s="10" t="s">
        <v>33</v>
      </c>
      <c r="D11834" s="10" t="s">
        <v>34</v>
      </c>
      <c r="E11834" s="14">
        <v>3.0</v>
      </c>
      <c r="F11834" s="15">
        <f>ROUND(17.52,3)</f>
        <v>17.52</v>
      </c>
      <c r="G11834" s="12">
        <f>ROUND((E11834*F11834)/100,2)</f>
        <v>0.53</v>
      </c>
    </row>
    <row r="11835" ht="15.0" customHeight="1">
      <c r="A11835" s="16"/>
      <c r="B11835" s="16"/>
      <c r="C11835" s="16"/>
      <c r="D11835" s="17" t="s">
        <v>5194</v>
      </c>
      <c r="E11835" s="16"/>
      <c r="F11835" s="18">
        <f>ROUND((G11827+G11828+G11829+G11834)*(1+G2/100),2)</f>
        <v>23.21</v>
      </c>
      <c r="G11835" s="16"/>
    </row>
    <row r="11836" ht="21.0" customHeight="1">
      <c r="A11836" s="19" t="s">
        <v>5199</v>
      </c>
      <c r="B11836" s="20" t="s">
        <v>18</v>
      </c>
      <c r="C11836" s="20" t="s">
        <v>321</v>
      </c>
      <c r="D11836" s="20" t="s">
        <v>5200</v>
      </c>
      <c r="E11836" s="21"/>
      <c r="F11836" s="22">
        <f>F11847</f>
        <v>9.46</v>
      </c>
      <c r="G11836" s="21"/>
    </row>
    <row r="11837" ht="39.75" customHeight="1">
      <c r="A11837" s="11"/>
      <c r="B11837" s="11"/>
      <c r="C11837" s="11"/>
      <c r="D11837" s="10" t="s">
        <v>5201</v>
      </c>
    </row>
    <row r="11838" ht="24.0" customHeight="1">
      <c r="A11838" s="10" t="s">
        <v>2437</v>
      </c>
      <c r="B11838" s="10" t="s">
        <v>42</v>
      </c>
      <c r="C11838" s="10" t="s">
        <v>43</v>
      </c>
      <c r="D11838" s="10" t="s">
        <v>2438</v>
      </c>
      <c r="E11838" s="14">
        <v>0.0125</v>
      </c>
      <c r="F11838" s="15">
        <f>ROUND(35.3,3)</f>
        <v>35.3</v>
      </c>
      <c r="G11838" s="12">
        <f t="shared" ref="G11838:G11845" si="1807">ROUND(E11838*F11838,2)</f>
        <v>0.44</v>
      </c>
    </row>
    <row r="11839" ht="39.75" customHeight="1">
      <c r="A11839" s="10" t="s">
        <v>3077</v>
      </c>
      <c r="B11839" s="10" t="s">
        <v>42</v>
      </c>
      <c r="C11839" s="10" t="s">
        <v>43</v>
      </c>
      <c r="D11839" s="10" t="s">
        <v>3078</v>
      </c>
      <c r="E11839" s="14">
        <v>0.01563</v>
      </c>
      <c r="F11839" s="15">
        <f>ROUND(53.44,3)</f>
        <v>53.44</v>
      </c>
      <c r="G11839" s="12">
        <f t="shared" si="1807"/>
        <v>0.84</v>
      </c>
    </row>
    <row r="11840" ht="24.0" customHeight="1">
      <c r="A11840" s="10" t="s">
        <v>1053</v>
      </c>
      <c r="B11840" s="10" t="s">
        <v>42</v>
      </c>
      <c r="C11840" s="10" t="s">
        <v>43</v>
      </c>
      <c r="D11840" s="10" t="s">
        <v>1054</v>
      </c>
      <c r="E11840" s="14">
        <v>0.0135</v>
      </c>
      <c r="F11840" s="15">
        <f>ROUND(4.63,3)</f>
        <v>4.63</v>
      </c>
      <c r="G11840" s="12">
        <f t="shared" si="1807"/>
        <v>0.06</v>
      </c>
    </row>
    <row r="11841" ht="21.0" customHeight="1">
      <c r="A11841" s="10" t="s">
        <v>22</v>
      </c>
      <c r="B11841" s="10" t="s">
        <v>18</v>
      </c>
      <c r="C11841" s="10" t="s">
        <v>23</v>
      </c>
      <c r="D11841" s="10" t="s">
        <v>24</v>
      </c>
      <c r="E11841" s="14">
        <v>0.18</v>
      </c>
      <c r="F11841" s="15">
        <f>F11845</f>
        <v>43.8</v>
      </c>
      <c r="G11841" s="12">
        <f t="shared" si="1807"/>
        <v>7.88</v>
      </c>
    </row>
    <row r="11842" ht="24.0" customHeight="1">
      <c r="A11842" s="10" t="s">
        <v>25</v>
      </c>
      <c r="B11842" s="10" t="s">
        <v>26</v>
      </c>
      <c r="C11842" s="10" t="s">
        <v>23</v>
      </c>
      <c r="D11842" s="10" t="s">
        <v>27</v>
      </c>
      <c r="E11842" s="14">
        <v>1.0</v>
      </c>
      <c r="F11842" s="15">
        <f>ROUND(21,3)</f>
        <v>21</v>
      </c>
      <c r="G11842" s="12">
        <f t="shared" si="1807"/>
        <v>21</v>
      </c>
    </row>
    <row r="11843" ht="24.0" customHeight="1">
      <c r="A11843" s="10" t="s">
        <v>28</v>
      </c>
      <c r="B11843" s="10" t="s">
        <v>26</v>
      </c>
      <c r="C11843" s="10" t="s">
        <v>23</v>
      </c>
      <c r="D11843" s="10" t="s">
        <v>29</v>
      </c>
      <c r="E11843" s="14">
        <v>1.0</v>
      </c>
      <c r="F11843" s="15">
        <f t="shared" ref="F11843:F11844" si="1808">ROUND(19,3)</f>
        <v>19</v>
      </c>
      <c r="G11843" s="12">
        <f t="shared" si="1807"/>
        <v>19</v>
      </c>
    </row>
    <row r="11844" ht="24.0" customHeight="1">
      <c r="A11844" s="10" t="s">
        <v>30</v>
      </c>
      <c r="B11844" s="10" t="s">
        <v>26</v>
      </c>
      <c r="C11844" s="10" t="s">
        <v>23</v>
      </c>
      <c r="D11844" s="10" t="s">
        <v>31</v>
      </c>
      <c r="E11844" s="14">
        <v>0.2</v>
      </c>
      <c r="F11844" s="15">
        <f t="shared" si="1808"/>
        <v>19</v>
      </c>
      <c r="G11844" s="12">
        <f t="shared" si="1807"/>
        <v>3.8</v>
      </c>
    </row>
    <row r="11845" ht="15.0" customHeight="1">
      <c r="A11845" s="11"/>
      <c r="B11845" s="11"/>
      <c r="C11845" s="11"/>
      <c r="D11845" s="10" t="s">
        <v>22</v>
      </c>
      <c r="E11845" s="14">
        <v>0.18</v>
      </c>
      <c r="F11845" s="15">
        <f>ROUND((G11842+G11843+G11844),3)</f>
        <v>43.8</v>
      </c>
      <c r="G11845" s="12">
        <f t="shared" si="1807"/>
        <v>7.88</v>
      </c>
    </row>
    <row r="11846" ht="15.0" customHeight="1">
      <c r="A11846" s="10" t="s">
        <v>32</v>
      </c>
      <c r="B11846" s="10"/>
      <c r="C11846" s="10" t="s">
        <v>33</v>
      </c>
      <c r="D11846" s="10" t="s">
        <v>34</v>
      </c>
      <c r="E11846" s="14">
        <v>3.0</v>
      </c>
      <c r="F11846" s="15">
        <f>ROUND(7.88,3)</f>
        <v>7.88</v>
      </c>
      <c r="G11846" s="12">
        <f>ROUND((E11846*F11846)/100,2)</f>
        <v>0.24</v>
      </c>
    </row>
    <row r="11847" ht="15.0" customHeight="1">
      <c r="A11847" s="16"/>
      <c r="B11847" s="16"/>
      <c r="C11847" s="16"/>
      <c r="D11847" s="17" t="s">
        <v>5199</v>
      </c>
      <c r="E11847" s="16"/>
      <c r="F11847" s="18">
        <f>ROUND((G11838+G11839+G11840+G11841+G11846)*(1+G2/100),2)</f>
        <v>9.46</v>
      </c>
      <c r="G11847" s="16"/>
    </row>
    <row r="11848" ht="30.0" customHeight="1">
      <c r="A11848" s="19" t="s">
        <v>5202</v>
      </c>
      <c r="B11848" s="20" t="s">
        <v>18</v>
      </c>
      <c r="C11848" s="20" t="s">
        <v>251</v>
      </c>
      <c r="D11848" s="20" t="s">
        <v>5203</v>
      </c>
      <c r="E11848" s="21"/>
      <c r="F11848" s="22">
        <f>F11858</f>
        <v>19.65</v>
      </c>
      <c r="G11848" s="21"/>
    </row>
    <row r="11849" ht="76.5" customHeight="1">
      <c r="A11849" s="11"/>
      <c r="B11849" s="11"/>
      <c r="C11849" s="11"/>
      <c r="D11849" s="10" t="s">
        <v>5204</v>
      </c>
    </row>
    <row r="11850" ht="39.75" customHeight="1">
      <c r="A11850" s="10" t="s">
        <v>5205</v>
      </c>
      <c r="B11850" s="10" t="s">
        <v>42</v>
      </c>
      <c r="C11850" s="10" t="s">
        <v>43</v>
      </c>
      <c r="D11850" s="10" t="s">
        <v>5206</v>
      </c>
      <c r="E11850" s="14">
        <v>0.04</v>
      </c>
      <c r="F11850" s="15">
        <f>ROUND(43.02,3)</f>
        <v>43.02</v>
      </c>
      <c r="G11850" s="12">
        <f t="shared" ref="G11850:G11856" si="1809">ROUND(E11850*F11850,2)</f>
        <v>1.72</v>
      </c>
    </row>
    <row r="11851" ht="39.75" customHeight="1">
      <c r="A11851" s="10" t="s">
        <v>5207</v>
      </c>
      <c r="B11851" s="10" t="s">
        <v>42</v>
      </c>
      <c r="C11851" s="10" t="s">
        <v>43</v>
      </c>
      <c r="D11851" s="10" t="s">
        <v>5208</v>
      </c>
      <c r="E11851" s="14">
        <v>0.08</v>
      </c>
      <c r="F11851" s="15">
        <f>ROUND(71.91,3)</f>
        <v>71.91</v>
      </c>
      <c r="G11851" s="12">
        <f t="shared" si="1809"/>
        <v>5.75</v>
      </c>
    </row>
    <row r="11852" ht="21.0" customHeight="1">
      <c r="A11852" s="10" t="s">
        <v>22</v>
      </c>
      <c r="B11852" s="10" t="s">
        <v>18</v>
      </c>
      <c r="C11852" s="10" t="s">
        <v>23</v>
      </c>
      <c r="D11852" s="10" t="s">
        <v>24</v>
      </c>
      <c r="E11852" s="14">
        <v>0.27</v>
      </c>
      <c r="F11852" s="15">
        <f>F11856</f>
        <v>43.8</v>
      </c>
      <c r="G11852" s="12">
        <f t="shared" si="1809"/>
        <v>11.83</v>
      </c>
    </row>
    <row r="11853" ht="24.0" customHeight="1">
      <c r="A11853" s="10" t="s">
        <v>25</v>
      </c>
      <c r="B11853" s="10" t="s">
        <v>26</v>
      </c>
      <c r="C11853" s="10" t="s">
        <v>23</v>
      </c>
      <c r="D11853" s="10" t="s">
        <v>27</v>
      </c>
      <c r="E11853" s="14">
        <v>1.0</v>
      </c>
      <c r="F11853" s="15">
        <f>ROUND(21,3)</f>
        <v>21</v>
      </c>
      <c r="G11853" s="12">
        <f t="shared" si="1809"/>
        <v>21</v>
      </c>
    </row>
    <row r="11854" ht="24.0" customHeight="1">
      <c r="A11854" s="10" t="s">
        <v>28</v>
      </c>
      <c r="B11854" s="10" t="s">
        <v>26</v>
      </c>
      <c r="C11854" s="10" t="s">
        <v>23</v>
      </c>
      <c r="D11854" s="10" t="s">
        <v>29</v>
      </c>
      <c r="E11854" s="14">
        <v>1.0</v>
      </c>
      <c r="F11854" s="15">
        <f t="shared" ref="F11854:F11855" si="1810">ROUND(19,3)</f>
        <v>19</v>
      </c>
      <c r="G11854" s="12">
        <f t="shared" si="1809"/>
        <v>19</v>
      </c>
    </row>
    <row r="11855" ht="24.0" customHeight="1">
      <c r="A11855" s="10" t="s">
        <v>30</v>
      </c>
      <c r="B11855" s="10" t="s">
        <v>26</v>
      </c>
      <c r="C11855" s="10" t="s">
        <v>23</v>
      </c>
      <c r="D11855" s="10" t="s">
        <v>31</v>
      </c>
      <c r="E11855" s="14">
        <v>0.2</v>
      </c>
      <c r="F11855" s="15">
        <f t="shared" si="1810"/>
        <v>19</v>
      </c>
      <c r="G11855" s="12">
        <f t="shared" si="1809"/>
        <v>3.8</v>
      </c>
    </row>
    <row r="11856" ht="15.0" customHeight="1">
      <c r="A11856" s="11"/>
      <c r="B11856" s="11"/>
      <c r="C11856" s="11"/>
      <c r="D11856" s="10" t="s">
        <v>22</v>
      </c>
      <c r="E11856" s="14">
        <v>0.27</v>
      </c>
      <c r="F11856" s="15">
        <f>ROUND((G11853+G11854+G11855),3)</f>
        <v>43.8</v>
      </c>
      <c r="G11856" s="12">
        <f t="shared" si="1809"/>
        <v>11.83</v>
      </c>
    </row>
    <row r="11857" ht="15.0" customHeight="1">
      <c r="A11857" s="10" t="s">
        <v>32</v>
      </c>
      <c r="B11857" s="10"/>
      <c r="C11857" s="10" t="s">
        <v>33</v>
      </c>
      <c r="D11857" s="10" t="s">
        <v>34</v>
      </c>
      <c r="E11857" s="14">
        <v>3.0</v>
      </c>
      <c r="F11857" s="15">
        <f>ROUND(11.83,3)</f>
        <v>11.83</v>
      </c>
      <c r="G11857" s="12">
        <f>ROUND((E11857*F11857)/100,2)</f>
        <v>0.35</v>
      </c>
    </row>
    <row r="11858" ht="15.0" customHeight="1">
      <c r="A11858" s="16"/>
      <c r="B11858" s="16"/>
      <c r="C11858" s="16"/>
      <c r="D11858" s="17" t="s">
        <v>5202</v>
      </c>
      <c r="E11858" s="16"/>
      <c r="F11858" s="18">
        <f>ROUND((G11850+G11851+G11852+G11857)*(1+G2/100),2)</f>
        <v>19.65</v>
      </c>
      <c r="G11858" s="16"/>
    </row>
    <row r="11859" ht="39.75" customHeight="1">
      <c r="A11859" s="19" t="s">
        <v>5209</v>
      </c>
      <c r="B11859" s="20" t="s">
        <v>18</v>
      </c>
      <c r="C11859" s="20" t="s">
        <v>251</v>
      </c>
      <c r="D11859" s="20" t="s">
        <v>5210</v>
      </c>
      <c r="E11859" s="21"/>
      <c r="F11859" s="22">
        <f>F11870</f>
        <v>21.14</v>
      </c>
      <c r="G11859" s="21"/>
    </row>
    <row r="11860" ht="48.75" customHeight="1">
      <c r="A11860" s="11"/>
      <c r="B11860" s="11"/>
      <c r="C11860" s="11"/>
      <c r="D11860" s="10" t="s">
        <v>5211</v>
      </c>
    </row>
    <row r="11861" ht="39.75" customHeight="1">
      <c r="A11861" s="10" t="s">
        <v>4297</v>
      </c>
      <c r="B11861" s="10" t="s">
        <v>42</v>
      </c>
      <c r="C11861" s="10" t="s">
        <v>1939</v>
      </c>
      <c r="D11861" s="10" t="s">
        <v>4298</v>
      </c>
      <c r="E11861" s="14">
        <v>0.044</v>
      </c>
      <c r="F11861" s="15">
        <f>ROUND(36.06,3)</f>
        <v>36.06</v>
      </c>
      <c r="G11861" s="12">
        <f t="shared" ref="G11861:G11868" si="1811">ROUND(E11861*F11861,2)</f>
        <v>1.59</v>
      </c>
    </row>
    <row r="11862" ht="39.75" customHeight="1">
      <c r="A11862" s="10" t="s">
        <v>5212</v>
      </c>
      <c r="B11862" s="10" t="s">
        <v>42</v>
      </c>
      <c r="C11862" s="10" t="s">
        <v>344</v>
      </c>
      <c r="D11862" s="10" t="s">
        <v>5213</v>
      </c>
      <c r="E11862" s="14">
        <v>0.08</v>
      </c>
      <c r="F11862" s="15">
        <f>ROUND(66.55,3)</f>
        <v>66.55</v>
      </c>
      <c r="G11862" s="12">
        <f t="shared" si="1811"/>
        <v>5.32</v>
      </c>
    </row>
    <row r="11863" ht="21.0" customHeight="1">
      <c r="A11863" s="10" t="s">
        <v>5214</v>
      </c>
      <c r="B11863" s="10" t="s">
        <v>112</v>
      </c>
      <c r="C11863" s="10" t="s">
        <v>23</v>
      </c>
      <c r="D11863" s="10" t="s">
        <v>5215</v>
      </c>
      <c r="E11863" s="14">
        <v>0.2</v>
      </c>
      <c r="F11863" s="15">
        <f>ROUND(11.02,3)</f>
        <v>11.02</v>
      </c>
      <c r="G11863" s="12">
        <f t="shared" si="1811"/>
        <v>2.2</v>
      </c>
    </row>
    <row r="11864" ht="21.0" customHeight="1">
      <c r="A11864" s="10" t="s">
        <v>22</v>
      </c>
      <c r="B11864" s="10" t="s">
        <v>18</v>
      </c>
      <c r="C11864" s="10" t="s">
        <v>23</v>
      </c>
      <c r="D11864" s="10" t="s">
        <v>24</v>
      </c>
      <c r="E11864" s="14">
        <v>0.2666</v>
      </c>
      <c r="F11864" s="15">
        <f>F11868</f>
        <v>43.8</v>
      </c>
      <c r="G11864" s="12">
        <f t="shared" si="1811"/>
        <v>11.68</v>
      </c>
    </row>
    <row r="11865" ht="24.0" customHeight="1">
      <c r="A11865" s="10" t="s">
        <v>25</v>
      </c>
      <c r="B11865" s="10" t="s">
        <v>26</v>
      </c>
      <c r="C11865" s="10" t="s">
        <v>23</v>
      </c>
      <c r="D11865" s="10" t="s">
        <v>27</v>
      </c>
      <c r="E11865" s="14">
        <v>1.0</v>
      </c>
      <c r="F11865" s="15">
        <f>ROUND(21,3)</f>
        <v>21</v>
      </c>
      <c r="G11865" s="12">
        <f t="shared" si="1811"/>
        <v>21</v>
      </c>
    </row>
    <row r="11866" ht="24.0" customHeight="1">
      <c r="A11866" s="10" t="s">
        <v>28</v>
      </c>
      <c r="B11866" s="10" t="s">
        <v>26</v>
      </c>
      <c r="C11866" s="10" t="s">
        <v>23</v>
      </c>
      <c r="D11866" s="10" t="s">
        <v>29</v>
      </c>
      <c r="E11866" s="14">
        <v>1.0</v>
      </c>
      <c r="F11866" s="15">
        <f t="shared" ref="F11866:F11867" si="1812">ROUND(19,3)</f>
        <v>19</v>
      </c>
      <c r="G11866" s="12">
        <f t="shared" si="1811"/>
        <v>19</v>
      </c>
    </row>
    <row r="11867" ht="24.0" customHeight="1">
      <c r="A11867" s="10" t="s">
        <v>30</v>
      </c>
      <c r="B11867" s="10" t="s">
        <v>26</v>
      </c>
      <c r="C11867" s="10" t="s">
        <v>23</v>
      </c>
      <c r="D11867" s="10" t="s">
        <v>31</v>
      </c>
      <c r="E11867" s="14">
        <v>0.2</v>
      </c>
      <c r="F11867" s="15">
        <f t="shared" si="1812"/>
        <v>19</v>
      </c>
      <c r="G11867" s="12">
        <f t="shared" si="1811"/>
        <v>3.8</v>
      </c>
    </row>
    <row r="11868" ht="15.0" customHeight="1">
      <c r="A11868" s="11"/>
      <c r="B11868" s="11"/>
      <c r="C11868" s="11"/>
      <c r="D11868" s="10" t="s">
        <v>22</v>
      </c>
      <c r="E11868" s="14">
        <v>0.2666</v>
      </c>
      <c r="F11868" s="15">
        <f>ROUND((G11865+G11866+G11867),3)</f>
        <v>43.8</v>
      </c>
      <c r="G11868" s="12">
        <f t="shared" si="1811"/>
        <v>11.68</v>
      </c>
    </row>
    <row r="11869" ht="15.0" customHeight="1">
      <c r="A11869" s="10" t="s">
        <v>32</v>
      </c>
      <c r="B11869" s="10"/>
      <c r="C11869" s="10" t="s">
        <v>33</v>
      </c>
      <c r="D11869" s="10" t="s">
        <v>34</v>
      </c>
      <c r="E11869" s="14">
        <v>3.0</v>
      </c>
      <c r="F11869" s="15">
        <f>ROUND(11.68,3)</f>
        <v>11.68</v>
      </c>
      <c r="G11869" s="12">
        <f>ROUND((E11869*F11869)/100,2)</f>
        <v>0.35</v>
      </c>
    </row>
    <row r="11870" ht="15.0" customHeight="1">
      <c r="A11870" s="16"/>
      <c r="B11870" s="16"/>
      <c r="C11870" s="16"/>
      <c r="D11870" s="17" t="s">
        <v>5209</v>
      </c>
      <c r="E11870" s="16"/>
      <c r="F11870" s="18">
        <f>ROUND((G11861+G11862+G11863+G11864+G11869)*(1+G2/100),2)</f>
        <v>21.14</v>
      </c>
      <c r="G11870" s="16"/>
    </row>
    <row r="11871" ht="30.0" customHeight="1">
      <c r="A11871" s="19" t="s">
        <v>5216</v>
      </c>
      <c r="B11871" s="20" t="s">
        <v>18</v>
      </c>
      <c r="C11871" s="20" t="s">
        <v>251</v>
      </c>
      <c r="D11871" s="20" t="s">
        <v>5217</v>
      </c>
      <c r="E11871" s="21"/>
      <c r="F11871" s="22">
        <f>F11881</f>
        <v>17.39</v>
      </c>
      <c r="G11871" s="21"/>
    </row>
    <row r="11872" ht="85.5" customHeight="1">
      <c r="A11872" s="11"/>
      <c r="B11872" s="11"/>
      <c r="C11872" s="11"/>
      <c r="D11872" s="10" t="s">
        <v>5218</v>
      </c>
    </row>
    <row r="11873" ht="39.75" customHeight="1">
      <c r="A11873" s="10" t="s">
        <v>4297</v>
      </c>
      <c r="B11873" s="10" t="s">
        <v>42</v>
      </c>
      <c r="C11873" s="10" t="s">
        <v>1939</v>
      </c>
      <c r="D11873" s="10" t="s">
        <v>4298</v>
      </c>
      <c r="E11873" s="14">
        <v>0.044</v>
      </c>
      <c r="F11873" s="15">
        <f>ROUND(36.06,3)</f>
        <v>36.06</v>
      </c>
      <c r="G11873" s="12">
        <f t="shared" ref="G11873:G11879" si="1813">ROUND(E11873*F11873,2)</f>
        <v>1.59</v>
      </c>
    </row>
    <row r="11874" ht="30.0" customHeight="1">
      <c r="A11874" s="10" t="s">
        <v>5219</v>
      </c>
      <c r="B11874" s="10" t="s">
        <v>42</v>
      </c>
      <c r="C11874" s="10" t="s">
        <v>43</v>
      </c>
      <c r="D11874" s="10" t="s">
        <v>5220</v>
      </c>
      <c r="E11874" s="14">
        <v>0.08</v>
      </c>
      <c r="F11874" s="15">
        <f>ROUND(47.09,3)</f>
        <v>47.09</v>
      </c>
      <c r="G11874" s="12">
        <f t="shared" si="1813"/>
        <v>3.77</v>
      </c>
    </row>
    <row r="11875" ht="21.0" customHeight="1">
      <c r="A11875" s="10" t="s">
        <v>22</v>
      </c>
      <c r="B11875" s="10" t="s">
        <v>18</v>
      </c>
      <c r="C11875" s="10" t="s">
        <v>23</v>
      </c>
      <c r="D11875" s="10" t="s">
        <v>24</v>
      </c>
      <c r="E11875" s="14">
        <v>0.2666</v>
      </c>
      <c r="F11875" s="15">
        <f>F11879</f>
        <v>43.8</v>
      </c>
      <c r="G11875" s="12">
        <f t="shared" si="1813"/>
        <v>11.68</v>
      </c>
    </row>
    <row r="11876" ht="24.0" customHeight="1">
      <c r="A11876" s="10" t="s">
        <v>25</v>
      </c>
      <c r="B11876" s="10" t="s">
        <v>26</v>
      </c>
      <c r="C11876" s="10" t="s">
        <v>23</v>
      </c>
      <c r="D11876" s="10" t="s">
        <v>27</v>
      </c>
      <c r="E11876" s="14">
        <v>1.0</v>
      </c>
      <c r="F11876" s="15">
        <f>ROUND(21,3)</f>
        <v>21</v>
      </c>
      <c r="G11876" s="12">
        <f t="shared" si="1813"/>
        <v>21</v>
      </c>
    </row>
    <row r="11877" ht="24.0" customHeight="1">
      <c r="A11877" s="10" t="s">
        <v>28</v>
      </c>
      <c r="B11877" s="10" t="s">
        <v>26</v>
      </c>
      <c r="C11877" s="10" t="s">
        <v>23</v>
      </c>
      <c r="D11877" s="10" t="s">
        <v>29</v>
      </c>
      <c r="E11877" s="14">
        <v>1.0</v>
      </c>
      <c r="F11877" s="15">
        <f t="shared" ref="F11877:F11878" si="1814">ROUND(19,3)</f>
        <v>19</v>
      </c>
      <c r="G11877" s="12">
        <f t="shared" si="1813"/>
        <v>19</v>
      </c>
    </row>
    <row r="11878" ht="24.0" customHeight="1">
      <c r="A11878" s="10" t="s">
        <v>30</v>
      </c>
      <c r="B11878" s="10" t="s">
        <v>26</v>
      </c>
      <c r="C11878" s="10" t="s">
        <v>23</v>
      </c>
      <c r="D11878" s="10" t="s">
        <v>31</v>
      </c>
      <c r="E11878" s="14">
        <v>0.2</v>
      </c>
      <c r="F11878" s="15">
        <f t="shared" si="1814"/>
        <v>19</v>
      </c>
      <c r="G11878" s="12">
        <f t="shared" si="1813"/>
        <v>3.8</v>
      </c>
    </row>
    <row r="11879" ht="15.0" customHeight="1">
      <c r="A11879" s="11"/>
      <c r="B11879" s="11"/>
      <c r="C11879" s="11"/>
      <c r="D11879" s="10" t="s">
        <v>22</v>
      </c>
      <c r="E11879" s="14">
        <v>0.2666</v>
      </c>
      <c r="F11879" s="15">
        <f>ROUND((G11876+G11877+G11878),3)</f>
        <v>43.8</v>
      </c>
      <c r="G11879" s="12">
        <f t="shared" si="1813"/>
        <v>11.68</v>
      </c>
    </row>
    <row r="11880" ht="15.0" customHeight="1">
      <c r="A11880" s="10" t="s">
        <v>32</v>
      </c>
      <c r="B11880" s="10"/>
      <c r="C11880" s="10" t="s">
        <v>33</v>
      </c>
      <c r="D11880" s="10" t="s">
        <v>34</v>
      </c>
      <c r="E11880" s="14">
        <v>3.0</v>
      </c>
      <c r="F11880" s="15">
        <f>ROUND(11.68,3)</f>
        <v>11.68</v>
      </c>
      <c r="G11880" s="12">
        <f>ROUND((E11880*F11880)/100,2)</f>
        <v>0.35</v>
      </c>
    </row>
    <row r="11881" ht="15.0" customHeight="1">
      <c r="A11881" s="16"/>
      <c r="B11881" s="16"/>
      <c r="C11881" s="16"/>
      <c r="D11881" s="17" t="s">
        <v>5216</v>
      </c>
      <c r="E11881" s="16"/>
      <c r="F11881" s="18">
        <f>ROUND((G11873+G11874+G11875+G11880)*(1+G2/100),2)</f>
        <v>17.39</v>
      </c>
      <c r="G11881" s="16"/>
    </row>
    <row r="11882" ht="30.0" customHeight="1">
      <c r="A11882" s="19" t="s">
        <v>5221</v>
      </c>
      <c r="B11882" s="20" t="s">
        <v>18</v>
      </c>
      <c r="C11882" s="20" t="s">
        <v>251</v>
      </c>
      <c r="D11882" s="20" t="s">
        <v>5222</v>
      </c>
      <c r="E11882" s="21"/>
      <c r="F11882" s="22">
        <f>F11893</f>
        <v>15.86</v>
      </c>
      <c r="G11882" s="21"/>
    </row>
    <row r="11883" ht="150.0" customHeight="1">
      <c r="A11883" s="11"/>
      <c r="B11883" s="11"/>
      <c r="C11883" s="11"/>
      <c r="D11883" s="10" t="s">
        <v>5223</v>
      </c>
    </row>
    <row r="11884" ht="39.75" customHeight="1">
      <c r="A11884" s="10" t="s">
        <v>4297</v>
      </c>
      <c r="B11884" s="10" t="s">
        <v>42</v>
      </c>
      <c r="C11884" s="10" t="s">
        <v>1939</v>
      </c>
      <c r="D11884" s="10" t="s">
        <v>4298</v>
      </c>
      <c r="E11884" s="14">
        <v>0.044</v>
      </c>
      <c r="F11884" s="15">
        <f>ROUND(36.06,3)</f>
        <v>36.06</v>
      </c>
      <c r="G11884" s="12">
        <f t="shared" ref="G11884:G11891" si="1815">ROUND(E11884*F11884,2)</f>
        <v>1.59</v>
      </c>
    </row>
    <row r="11885" ht="30.0" customHeight="1">
      <c r="A11885" s="10" t="s">
        <v>5224</v>
      </c>
      <c r="B11885" s="10" t="s">
        <v>42</v>
      </c>
      <c r="C11885" s="10" t="s">
        <v>43</v>
      </c>
      <c r="D11885" s="10" t="s">
        <v>5225</v>
      </c>
      <c r="E11885" s="14">
        <v>0.08</v>
      </c>
      <c r="F11885" s="15">
        <f>ROUND(27.19,3)</f>
        <v>27.19</v>
      </c>
      <c r="G11885" s="12">
        <f t="shared" si="1815"/>
        <v>2.18</v>
      </c>
    </row>
    <row r="11886" ht="24.0" customHeight="1">
      <c r="A11886" s="10" t="s">
        <v>1053</v>
      </c>
      <c r="B11886" s="10" t="s">
        <v>42</v>
      </c>
      <c r="C11886" s="10" t="s">
        <v>43</v>
      </c>
      <c r="D11886" s="10" t="s">
        <v>1054</v>
      </c>
      <c r="E11886" s="14">
        <v>0.0135</v>
      </c>
      <c r="F11886" s="15">
        <f>ROUND(4.63,3)</f>
        <v>4.63</v>
      </c>
      <c r="G11886" s="12">
        <f t="shared" si="1815"/>
        <v>0.06</v>
      </c>
    </row>
    <row r="11887" ht="21.0" customHeight="1">
      <c r="A11887" s="10" t="s">
        <v>22</v>
      </c>
      <c r="B11887" s="10" t="s">
        <v>18</v>
      </c>
      <c r="C11887" s="10" t="s">
        <v>23</v>
      </c>
      <c r="D11887" s="10" t="s">
        <v>24</v>
      </c>
      <c r="E11887" s="14">
        <v>0.2666</v>
      </c>
      <c r="F11887" s="15">
        <f>F11891</f>
        <v>43.8</v>
      </c>
      <c r="G11887" s="12">
        <f t="shared" si="1815"/>
        <v>11.68</v>
      </c>
    </row>
    <row r="11888" ht="24.0" customHeight="1">
      <c r="A11888" s="10" t="s">
        <v>25</v>
      </c>
      <c r="B11888" s="10" t="s">
        <v>26</v>
      </c>
      <c r="C11888" s="10" t="s">
        <v>23</v>
      </c>
      <c r="D11888" s="10" t="s">
        <v>27</v>
      </c>
      <c r="E11888" s="14">
        <v>1.0</v>
      </c>
      <c r="F11888" s="15">
        <f>ROUND(21,3)</f>
        <v>21</v>
      </c>
      <c r="G11888" s="12">
        <f t="shared" si="1815"/>
        <v>21</v>
      </c>
    </row>
    <row r="11889" ht="24.0" customHeight="1">
      <c r="A11889" s="10" t="s">
        <v>28</v>
      </c>
      <c r="B11889" s="10" t="s">
        <v>26</v>
      </c>
      <c r="C11889" s="10" t="s">
        <v>23</v>
      </c>
      <c r="D11889" s="10" t="s">
        <v>29</v>
      </c>
      <c r="E11889" s="14">
        <v>1.0</v>
      </c>
      <c r="F11889" s="15">
        <f t="shared" ref="F11889:F11890" si="1816">ROUND(19,3)</f>
        <v>19</v>
      </c>
      <c r="G11889" s="12">
        <f t="shared" si="1815"/>
        <v>19</v>
      </c>
    </row>
    <row r="11890" ht="24.0" customHeight="1">
      <c r="A11890" s="10" t="s">
        <v>30</v>
      </c>
      <c r="B11890" s="10" t="s">
        <v>26</v>
      </c>
      <c r="C11890" s="10" t="s">
        <v>23</v>
      </c>
      <c r="D11890" s="10" t="s">
        <v>31</v>
      </c>
      <c r="E11890" s="14">
        <v>0.2</v>
      </c>
      <c r="F11890" s="15">
        <f t="shared" si="1816"/>
        <v>19</v>
      </c>
      <c r="G11890" s="12">
        <f t="shared" si="1815"/>
        <v>3.8</v>
      </c>
    </row>
    <row r="11891" ht="15.0" customHeight="1">
      <c r="A11891" s="11"/>
      <c r="B11891" s="11"/>
      <c r="C11891" s="11"/>
      <c r="D11891" s="10" t="s">
        <v>22</v>
      </c>
      <c r="E11891" s="14">
        <v>0.2666</v>
      </c>
      <c r="F11891" s="15">
        <f>ROUND((G11888+G11889+G11890),3)</f>
        <v>43.8</v>
      </c>
      <c r="G11891" s="12">
        <f t="shared" si="1815"/>
        <v>11.68</v>
      </c>
    </row>
    <row r="11892" ht="15.0" customHeight="1">
      <c r="A11892" s="10" t="s">
        <v>32</v>
      </c>
      <c r="B11892" s="10"/>
      <c r="C11892" s="10" t="s">
        <v>33</v>
      </c>
      <c r="D11892" s="10" t="s">
        <v>34</v>
      </c>
      <c r="E11892" s="14">
        <v>3.0</v>
      </c>
      <c r="F11892" s="15">
        <f>ROUND(11.68,3)</f>
        <v>11.68</v>
      </c>
      <c r="G11892" s="12">
        <f>ROUND((E11892*F11892)/100,2)</f>
        <v>0.35</v>
      </c>
    </row>
    <row r="11893" ht="15.0" customHeight="1">
      <c r="A11893" s="16"/>
      <c r="B11893" s="16"/>
      <c r="C11893" s="16"/>
      <c r="D11893" s="17" t="s">
        <v>5221</v>
      </c>
      <c r="E11893" s="16"/>
      <c r="F11893" s="18">
        <f>ROUND((G11884+G11885+G11886+G11887+G11892)*(1+G2/100),2)</f>
        <v>15.86</v>
      </c>
      <c r="G11893" s="16"/>
    </row>
    <row r="11894" ht="30.0" customHeight="1">
      <c r="A11894" s="19" t="s">
        <v>5226</v>
      </c>
      <c r="B11894" s="20" t="s">
        <v>18</v>
      </c>
      <c r="C11894" s="20" t="s">
        <v>251</v>
      </c>
      <c r="D11894" s="20" t="s">
        <v>5227</v>
      </c>
      <c r="E11894" s="21"/>
      <c r="F11894" s="22">
        <f>F11905</f>
        <v>17.76</v>
      </c>
      <c r="G11894" s="21"/>
    </row>
    <row r="11895" ht="67.5" customHeight="1">
      <c r="A11895" s="11"/>
      <c r="B11895" s="11"/>
      <c r="C11895" s="11"/>
      <c r="D11895" s="10" t="s">
        <v>5228</v>
      </c>
    </row>
    <row r="11896" ht="39.75" customHeight="1">
      <c r="A11896" s="10" t="s">
        <v>4297</v>
      </c>
      <c r="B11896" s="10" t="s">
        <v>42</v>
      </c>
      <c r="C11896" s="10" t="s">
        <v>1939</v>
      </c>
      <c r="D11896" s="10" t="s">
        <v>4298</v>
      </c>
      <c r="E11896" s="14">
        <v>0.044</v>
      </c>
      <c r="F11896" s="15">
        <f>ROUND(36.06,3)</f>
        <v>36.06</v>
      </c>
      <c r="G11896" s="12">
        <f t="shared" ref="G11896:G11903" si="1817">ROUND(E11896*F11896,2)</f>
        <v>1.59</v>
      </c>
    </row>
    <row r="11897" ht="30.0" customHeight="1">
      <c r="A11897" s="10" t="s">
        <v>5229</v>
      </c>
      <c r="B11897" s="10" t="s">
        <v>42</v>
      </c>
      <c r="C11897" s="10" t="s">
        <v>43</v>
      </c>
      <c r="D11897" s="10" t="s">
        <v>5230</v>
      </c>
      <c r="E11897" s="14">
        <v>0.08</v>
      </c>
      <c r="F11897" s="15">
        <f>ROUND(50.95,3)</f>
        <v>50.95</v>
      </c>
      <c r="G11897" s="12">
        <f t="shared" si="1817"/>
        <v>4.08</v>
      </c>
    </row>
    <row r="11898" ht="24.0" customHeight="1">
      <c r="A11898" s="10" t="s">
        <v>1053</v>
      </c>
      <c r="B11898" s="10" t="s">
        <v>42</v>
      </c>
      <c r="C11898" s="10" t="s">
        <v>43</v>
      </c>
      <c r="D11898" s="10" t="s">
        <v>1054</v>
      </c>
      <c r="E11898" s="14">
        <v>0.0135</v>
      </c>
      <c r="F11898" s="15">
        <f>ROUND(4.63,3)</f>
        <v>4.63</v>
      </c>
      <c r="G11898" s="12">
        <f t="shared" si="1817"/>
        <v>0.06</v>
      </c>
    </row>
    <row r="11899" ht="21.0" customHeight="1">
      <c r="A11899" s="10" t="s">
        <v>22</v>
      </c>
      <c r="B11899" s="10" t="s">
        <v>18</v>
      </c>
      <c r="C11899" s="10" t="s">
        <v>23</v>
      </c>
      <c r="D11899" s="10" t="s">
        <v>24</v>
      </c>
      <c r="E11899" s="14">
        <v>0.2666</v>
      </c>
      <c r="F11899" s="15">
        <f>F11903</f>
        <v>43.8</v>
      </c>
      <c r="G11899" s="12">
        <f t="shared" si="1817"/>
        <v>11.68</v>
      </c>
    </row>
    <row r="11900" ht="24.0" customHeight="1">
      <c r="A11900" s="10" t="s">
        <v>25</v>
      </c>
      <c r="B11900" s="10" t="s">
        <v>26</v>
      </c>
      <c r="C11900" s="10" t="s">
        <v>23</v>
      </c>
      <c r="D11900" s="10" t="s">
        <v>27</v>
      </c>
      <c r="E11900" s="14">
        <v>1.0</v>
      </c>
      <c r="F11900" s="15">
        <f>ROUND(21,3)</f>
        <v>21</v>
      </c>
      <c r="G11900" s="12">
        <f t="shared" si="1817"/>
        <v>21</v>
      </c>
    </row>
    <row r="11901" ht="24.0" customHeight="1">
      <c r="A11901" s="10" t="s">
        <v>28</v>
      </c>
      <c r="B11901" s="10" t="s">
        <v>26</v>
      </c>
      <c r="C11901" s="10" t="s">
        <v>23</v>
      </c>
      <c r="D11901" s="10" t="s">
        <v>29</v>
      </c>
      <c r="E11901" s="14">
        <v>1.0</v>
      </c>
      <c r="F11901" s="15">
        <f t="shared" ref="F11901:F11902" si="1818">ROUND(19,3)</f>
        <v>19</v>
      </c>
      <c r="G11901" s="12">
        <f t="shared" si="1817"/>
        <v>19</v>
      </c>
    </row>
    <row r="11902" ht="24.0" customHeight="1">
      <c r="A11902" s="10" t="s">
        <v>30</v>
      </c>
      <c r="B11902" s="10" t="s">
        <v>26</v>
      </c>
      <c r="C11902" s="10" t="s">
        <v>23</v>
      </c>
      <c r="D11902" s="10" t="s">
        <v>31</v>
      </c>
      <c r="E11902" s="14">
        <v>0.2</v>
      </c>
      <c r="F11902" s="15">
        <f t="shared" si="1818"/>
        <v>19</v>
      </c>
      <c r="G11902" s="12">
        <f t="shared" si="1817"/>
        <v>3.8</v>
      </c>
    </row>
    <row r="11903" ht="15.0" customHeight="1">
      <c r="A11903" s="11"/>
      <c r="B11903" s="11"/>
      <c r="C11903" s="11"/>
      <c r="D11903" s="10" t="s">
        <v>22</v>
      </c>
      <c r="E11903" s="14">
        <v>0.2666</v>
      </c>
      <c r="F11903" s="15">
        <f>ROUND((G11900+G11901+G11902),3)</f>
        <v>43.8</v>
      </c>
      <c r="G11903" s="12">
        <f t="shared" si="1817"/>
        <v>11.68</v>
      </c>
    </row>
    <row r="11904" ht="15.0" customHeight="1">
      <c r="A11904" s="10" t="s">
        <v>32</v>
      </c>
      <c r="B11904" s="10"/>
      <c r="C11904" s="10" t="s">
        <v>33</v>
      </c>
      <c r="D11904" s="10" t="s">
        <v>34</v>
      </c>
      <c r="E11904" s="14">
        <v>3.0</v>
      </c>
      <c r="F11904" s="15">
        <f>ROUND(11.68,3)</f>
        <v>11.68</v>
      </c>
      <c r="G11904" s="12">
        <f>ROUND((E11904*F11904)/100,2)</f>
        <v>0.35</v>
      </c>
    </row>
    <row r="11905" ht="15.0" customHeight="1">
      <c r="A11905" s="16"/>
      <c r="B11905" s="16"/>
      <c r="C11905" s="16"/>
      <c r="D11905" s="17" t="s">
        <v>5226</v>
      </c>
      <c r="E11905" s="16"/>
      <c r="F11905" s="18">
        <f>ROUND((G11896+G11897+G11898+G11899+G11904)*(1+G2/100),2)</f>
        <v>17.76</v>
      </c>
      <c r="G11905" s="16"/>
    </row>
    <row r="11906" ht="30.0" customHeight="1">
      <c r="A11906" s="19" t="s">
        <v>5231</v>
      </c>
      <c r="B11906" s="20" t="s">
        <v>18</v>
      </c>
      <c r="C11906" s="20" t="s">
        <v>251</v>
      </c>
      <c r="D11906" s="20" t="s">
        <v>5232</v>
      </c>
      <c r="E11906" s="21"/>
      <c r="F11906" s="22">
        <f>F11916</f>
        <v>21.78</v>
      </c>
      <c r="G11906" s="21"/>
    </row>
    <row r="11907" ht="48.75" customHeight="1">
      <c r="A11907" s="11"/>
      <c r="B11907" s="11"/>
      <c r="C11907" s="11"/>
      <c r="D11907" s="10" t="s">
        <v>5233</v>
      </c>
    </row>
    <row r="11908" ht="21.0" customHeight="1">
      <c r="A11908" s="10" t="s">
        <v>5234</v>
      </c>
      <c r="B11908" s="10" t="s">
        <v>42</v>
      </c>
      <c r="C11908" s="10" t="s">
        <v>521</v>
      </c>
      <c r="D11908" s="10" t="s">
        <v>5235</v>
      </c>
      <c r="E11908" s="14">
        <v>0.2</v>
      </c>
      <c r="F11908" s="15">
        <f>ROUND(10.29,3)</f>
        <v>10.29</v>
      </c>
      <c r="G11908" s="12">
        <f t="shared" ref="G11908:G11914" si="1819">ROUND(E11908*F11908,2)</f>
        <v>2.06</v>
      </c>
    </row>
    <row r="11909" ht="39.75" customHeight="1">
      <c r="A11909" s="10" t="s">
        <v>5236</v>
      </c>
      <c r="B11909" s="10" t="s">
        <v>42</v>
      </c>
      <c r="C11909" s="10" t="s">
        <v>521</v>
      </c>
      <c r="D11909" s="10" t="s">
        <v>5237</v>
      </c>
      <c r="E11909" s="14">
        <v>0.3</v>
      </c>
      <c r="F11909" s="15">
        <f>ROUND(13.09,3)</f>
        <v>13.09</v>
      </c>
      <c r="G11909" s="12">
        <f t="shared" si="1819"/>
        <v>3.93</v>
      </c>
    </row>
    <row r="11910" ht="21.0" customHeight="1">
      <c r="A11910" s="10" t="s">
        <v>22</v>
      </c>
      <c r="B11910" s="10" t="s">
        <v>18</v>
      </c>
      <c r="C11910" s="10" t="s">
        <v>23</v>
      </c>
      <c r="D11910" s="10" t="s">
        <v>24</v>
      </c>
      <c r="E11910" s="14">
        <v>0.35</v>
      </c>
      <c r="F11910" s="15">
        <f>F11914</f>
        <v>43.8</v>
      </c>
      <c r="G11910" s="12">
        <f t="shared" si="1819"/>
        <v>15.33</v>
      </c>
    </row>
    <row r="11911" ht="24.0" customHeight="1">
      <c r="A11911" s="10" t="s">
        <v>25</v>
      </c>
      <c r="B11911" s="10" t="s">
        <v>26</v>
      </c>
      <c r="C11911" s="10" t="s">
        <v>23</v>
      </c>
      <c r="D11911" s="10" t="s">
        <v>27</v>
      </c>
      <c r="E11911" s="14">
        <v>1.0</v>
      </c>
      <c r="F11911" s="15">
        <f>ROUND(21,3)</f>
        <v>21</v>
      </c>
      <c r="G11911" s="12">
        <f t="shared" si="1819"/>
        <v>21</v>
      </c>
    </row>
    <row r="11912" ht="24.0" customHeight="1">
      <c r="A11912" s="10" t="s">
        <v>28</v>
      </c>
      <c r="B11912" s="10" t="s">
        <v>26</v>
      </c>
      <c r="C11912" s="10" t="s">
        <v>23</v>
      </c>
      <c r="D11912" s="10" t="s">
        <v>29</v>
      </c>
      <c r="E11912" s="14">
        <v>1.0</v>
      </c>
      <c r="F11912" s="15">
        <f t="shared" ref="F11912:F11913" si="1820">ROUND(19,3)</f>
        <v>19</v>
      </c>
      <c r="G11912" s="12">
        <f t="shared" si="1819"/>
        <v>19</v>
      </c>
    </row>
    <row r="11913" ht="24.0" customHeight="1">
      <c r="A11913" s="10" t="s">
        <v>30</v>
      </c>
      <c r="B11913" s="10" t="s">
        <v>26</v>
      </c>
      <c r="C11913" s="10" t="s">
        <v>23</v>
      </c>
      <c r="D11913" s="10" t="s">
        <v>31</v>
      </c>
      <c r="E11913" s="14">
        <v>0.2</v>
      </c>
      <c r="F11913" s="15">
        <f t="shared" si="1820"/>
        <v>19</v>
      </c>
      <c r="G11913" s="12">
        <f t="shared" si="1819"/>
        <v>3.8</v>
      </c>
    </row>
    <row r="11914" ht="15.0" customHeight="1">
      <c r="A11914" s="11"/>
      <c r="B11914" s="11"/>
      <c r="C11914" s="11"/>
      <c r="D11914" s="10" t="s">
        <v>22</v>
      </c>
      <c r="E11914" s="14">
        <v>0.35</v>
      </c>
      <c r="F11914" s="15">
        <f>ROUND((G11911+G11912+G11913),3)</f>
        <v>43.8</v>
      </c>
      <c r="G11914" s="12">
        <f t="shared" si="1819"/>
        <v>15.33</v>
      </c>
    </row>
    <row r="11915" ht="15.0" customHeight="1">
      <c r="A11915" s="10" t="s">
        <v>32</v>
      </c>
      <c r="B11915" s="10"/>
      <c r="C11915" s="10" t="s">
        <v>33</v>
      </c>
      <c r="D11915" s="10" t="s">
        <v>34</v>
      </c>
      <c r="E11915" s="14">
        <v>3.0</v>
      </c>
      <c r="F11915" s="15">
        <f>ROUND(15.33,3)</f>
        <v>15.33</v>
      </c>
      <c r="G11915" s="12">
        <f>ROUND((E11915*F11915)/100,2)</f>
        <v>0.46</v>
      </c>
    </row>
    <row r="11916" ht="15.0" customHeight="1">
      <c r="A11916" s="16"/>
      <c r="B11916" s="16"/>
      <c r="C11916" s="16"/>
      <c r="D11916" s="17" t="s">
        <v>5231</v>
      </c>
      <c r="E11916" s="16"/>
      <c r="F11916" s="18">
        <f>ROUND((G11908+G11909+G11910+G11915)*(1+G2/100),2)</f>
        <v>21.78</v>
      </c>
      <c r="G11916" s="16"/>
    </row>
    <row r="11917" ht="21.0" customHeight="1">
      <c r="A11917" s="19" t="s">
        <v>5238</v>
      </c>
      <c r="B11917" s="20" t="s">
        <v>18</v>
      </c>
      <c r="C11917" s="20" t="s">
        <v>251</v>
      </c>
      <c r="D11917" s="20" t="s">
        <v>5239</v>
      </c>
      <c r="E11917" s="21"/>
      <c r="F11917" s="22">
        <f>F11927</f>
        <v>20.3</v>
      </c>
      <c r="G11917" s="21"/>
    </row>
    <row r="11918" ht="141.0" customHeight="1">
      <c r="A11918" s="11"/>
      <c r="B11918" s="11"/>
      <c r="C11918" s="11"/>
      <c r="D11918" s="10" t="s">
        <v>5240</v>
      </c>
    </row>
    <row r="11919" ht="39.75" customHeight="1">
      <c r="A11919" s="10" t="s">
        <v>5241</v>
      </c>
      <c r="B11919" s="10" t="s">
        <v>42</v>
      </c>
      <c r="C11919" s="10" t="s">
        <v>1298</v>
      </c>
      <c r="D11919" s="10" t="s">
        <v>5242</v>
      </c>
      <c r="E11919" s="14">
        <v>0.0236</v>
      </c>
      <c r="F11919" s="15">
        <f>ROUND(42.81,3)</f>
        <v>42.81</v>
      </c>
      <c r="G11919" s="12">
        <f t="shared" ref="G11919:G11925" si="1821">ROUND(E11919*F11919,2)</f>
        <v>1.01</v>
      </c>
    </row>
    <row r="11920" ht="30.0" customHeight="1">
      <c r="A11920" s="10" t="s">
        <v>5243</v>
      </c>
      <c r="B11920" s="10" t="s">
        <v>42</v>
      </c>
      <c r="C11920" s="10" t="s">
        <v>1298</v>
      </c>
      <c r="D11920" s="10" t="s">
        <v>5244</v>
      </c>
      <c r="E11920" s="14">
        <v>0.08</v>
      </c>
      <c r="F11920" s="15">
        <f>ROUND(43.75,3)</f>
        <v>43.75</v>
      </c>
      <c r="G11920" s="12">
        <f t="shared" si="1821"/>
        <v>3.5</v>
      </c>
    </row>
    <row r="11921" ht="21.0" customHeight="1">
      <c r="A11921" s="10" t="s">
        <v>22</v>
      </c>
      <c r="B11921" s="10" t="s">
        <v>18</v>
      </c>
      <c r="C11921" s="10" t="s">
        <v>23</v>
      </c>
      <c r="D11921" s="10" t="s">
        <v>24</v>
      </c>
      <c r="E11921" s="14">
        <v>0.35</v>
      </c>
      <c r="F11921" s="15">
        <f>F11925</f>
        <v>43.8</v>
      </c>
      <c r="G11921" s="12">
        <f t="shared" si="1821"/>
        <v>15.33</v>
      </c>
    </row>
    <row r="11922" ht="24.0" customHeight="1">
      <c r="A11922" s="10" t="s">
        <v>25</v>
      </c>
      <c r="B11922" s="10" t="s">
        <v>26</v>
      </c>
      <c r="C11922" s="10" t="s">
        <v>23</v>
      </c>
      <c r="D11922" s="10" t="s">
        <v>27</v>
      </c>
      <c r="E11922" s="14">
        <v>1.0</v>
      </c>
      <c r="F11922" s="15">
        <f>ROUND(21,3)</f>
        <v>21</v>
      </c>
      <c r="G11922" s="12">
        <f t="shared" si="1821"/>
        <v>21</v>
      </c>
    </row>
    <row r="11923" ht="24.0" customHeight="1">
      <c r="A11923" s="10" t="s">
        <v>28</v>
      </c>
      <c r="B11923" s="10" t="s">
        <v>26</v>
      </c>
      <c r="C11923" s="10" t="s">
        <v>23</v>
      </c>
      <c r="D11923" s="10" t="s">
        <v>29</v>
      </c>
      <c r="E11923" s="14">
        <v>1.0</v>
      </c>
      <c r="F11923" s="15">
        <f t="shared" ref="F11923:F11924" si="1822">ROUND(19,3)</f>
        <v>19</v>
      </c>
      <c r="G11923" s="12">
        <f t="shared" si="1821"/>
        <v>19</v>
      </c>
    </row>
    <row r="11924" ht="24.0" customHeight="1">
      <c r="A11924" s="10" t="s">
        <v>30</v>
      </c>
      <c r="B11924" s="10" t="s">
        <v>26</v>
      </c>
      <c r="C11924" s="10" t="s">
        <v>23</v>
      </c>
      <c r="D11924" s="10" t="s">
        <v>31</v>
      </c>
      <c r="E11924" s="14">
        <v>0.2</v>
      </c>
      <c r="F11924" s="15">
        <f t="shared" si="1822"/>
        <v>19</v>
      </c>
      <c r="G11924" s="12">
        <f t="shared" si="1821"/>
        <v>3.8</v>
      </c>
    </row>
    <row r="11925" ht="15.0" customHeight="1">
      <c r="A11925" s="11"/>
      <c r="B11925" s="11"/>
      <c r="C11925" s="11"/>
      <c r="D11925" s="10" t="s">
        <v>22</v>
      </c>
      <c r="E11925" s="14">
        <v>0.35</v>
      </c>
      <c r="F11925" s="15">
        <f>ROUND((G11922+G11923+G11924),3)</f>
        <v>43.8</v>
      </c>
      <c r="G11925" s="12">
        <f t="shared" si="1821"/>
        <v>15.33</v>
      </c>
    </row>
    <row r="11926" ht="15.0" customHeight="1">
      <c r="A11926" s="10" t="s">
        <v>32</v>
      </c>
      <c r="B11926" s="10"/>
      <c r="C11926" s="10" t="s">
        <v>33</v>
      </c>
      <c r="D11926" s="10" t="s">
        <v>34</v>
      </c>
      <c r="E11926" s="14">
        <v>3.0</v>
      </c>
      <c r="F11926" s="15">
        <f>ROUND(15.33,3)</f>
        <v>15.33</v>
      </c>
      <c r="G11926" s="12">
        <f>ROUND((E11926*F11926)/100,2)</f>
        <v>0.46</v>
      </c>
    </row>
    <row r="11927" ht="15.0" customHeight="1">
      <c r="A11927" s="16"/>
      <c r="B11927" s="16"/>
      <c r="C11927" s="16"/>
      <c r="D11927" s="17" t="s">
        <v>5238</v>
      </c>
      <c r="E11927" s="16"/>
      <c r="F11927" s="18">
        <f>ROUND((G11919+G11920+G11921+G11926)*(1+G2/100),2)</f>
        <v>20.3</v>
      </c>
      <c r="G11927" s="16"/>
    </row>
    <row r="11928" ht="21.0" customHeight="1">
      <c r="A11928" s="19" t="s">
        <v>5245</v>
      </c>
      <c r="B11928" s="20" t="s">
        <v>18</v>
      </c>
      <c r="C11928" s="20" t="s">
        <v>251</v>
      </c>
      <c r="D11928" s="20" t="s">
        <v>5246</v>
      </c>
      <c r="E11928" s="21"/>
      <c r="F11928" s="22">
        <f>F11937</f>
        <v>10.63</v>
      </c>
      <c r="G11928" s="21"/>
    </row>
    <row r="11929" ht="12.0" customHeight="1">
      <c r="A11929" s="11"/>
      <c r="B11929" s="11"/>
      <c r="C11929" s="11"/>
      <c r="D11929" s="10" t="s">
        <v>5247</v>
      </c>
    </row>
    <row r="11930" ht="48.75" customHeight="1">
      <c r="A11930" s="10" t="s">
        <v>5248</v>
      </c>
      <c r="B11930" s="10" t="s">
        <v>42</v>
      </c>
      <c r="C11930" s="10" t="s">
        <v>43</v>
      </c>
      <c r="D11930" s="10" t="s">
        <v>5249</v>
      </c>
      <c r="E11930" s="14">
        <v>0.05</v>
      </c>
      <c r="F11930" s="15">
        <f>ROUND(32.22,3)</f>
        <v>32.22</v>
      </c>
      <c r="G11930" s="12">
        <f t="shared" ref="G11930:G11935" si="1823">ROUND(E11930*F11930,2)</f>
        <v>1.61</v>
      </c>
    </row>
    <row r="11931" ht="21.0" customHeight="1">
      <c r="A11931" s="10" t="s">
        <v>22</v>
      </c>
      <c r="B11931" s="10" t="s">
        <v>18</v>
      </c>
      <c r="C11931" s="10" t="s">
        <v>23</v>
      </c>
      <c r="D11931" s="10" t="s">
        <v>24</v>
      </c>
      <c r="E11931" s="14">
        <v>0.2</v>
      </c>
      <c r="F11931" s="15">
        <f>F11935</f>
        <v>43.8</v>
      </c>
      <c r="G11931" s="12">
        <f t="shared" si="1823"/>
        <v>8.76</v>
      </c>
    </row>
    <row r="11932" ht="24.0" customHeight="1">
      <c r="A11932" s="10" t="s">
        <v>25</v>
      </c>
      <c r="B11932" s="10" t="s">
        <v>26</v>
      </c>
      <c r="C11932" s="10" t="s">
        <v>23</v>
      </c>
      <c r="D11932" s="10" t="s">
        <v>27</v>
      </c>
      <c r="E11932" s="14">
        <v>1.0</v>
      </c>
      <c r="F11932" s="15">
        <f>ROUND(21,3)</f>
        <v>21</v>
      </c>
      <c r="G11932" s="12">
        <f t="shared" si="1823"/>
        <v>21</v>
      </c>
    </row>
    <row r="11933" ht="24.0" customHeight="1">
      <c r="A11933" s="10" t="s">
        <v>28</v>
      </c>
      <c r="B11933" s="10" t="s">
        <v>26</v>
      </c>
      <c r="C11933" s="10" t="s">
        <v>23</v>
      </c>
      <c r="D11933" s="10" t="s">
        <v>29</v>
      </c>
      <c r="E11933" s="14">
        <v>1.0</v>
      </c>
      <c r="F11933" s="15">
        <f t="shared" ref="F11933:F11934" si="1824">ROUND(19,3)</f>
        <v>19</v>
      </c>
      <c r="G11933" s="12">
        <f t="shared" si="1823"/>
        <v>19</v>
      </c>
    </row>
    <row r="11934" ht="24.0" customHeight="1">
      <c r="A11934" s="10" t="s">
        <v>30</v>
      </c>
      <c r="B11934" s="10" t="s">
        <v>26</v>
      </c>
      <c r="C11934" s="10" t="s">
        <v>23</v>
      </c>
      <c r="D11934" s="10" t="s">
        <v>31</v>
      </c>
      <c r="E11934" s="14">
        <v>0.2</v>
      </c>
      <c r="F11934" s="15">
        <f t="shared" si="1824"/>
        <v>19</v>
      </c>
      <c r="G11934" s="12">
        <f t="shared" si="1823"/>
        <v>3.8</v>
      </c>
    </row>
    <row r="11935" ht="15.0" customHeight="1">
      <c r="A11935" s="11"/>
      <c r="B11935" s="11"/>
      <c r="C11935" s="11"/>
      <c r="D11935" s="10" t="s">
        <v>22</v>
      </c>
      <c r="E11935" s="14">
        <v>0.2</v>
      </c>
      <c r="F11935" s="15">
        <f>ROUND((G11932+G11933+G11934),3)</f>
        <v>43.8</v>
      </c>
      <c r="G11935" s="12">
        <f t="shared" si="1823"/>
        <v>8.76</v>
      </c>
    </row>
    <row r="11936" ht="15.0" customHeight="1">
      <c r="A11936" s="10" t="s">
        <v>32</v>
      </c>
      <c r="B11936" s="10"/>
      <c r="C11936" s="10" t="s">
        <v>33</v>
      </c>
      <c r="D11936" s="10" t="s">
        <v>34</v>
      </c>
      <c r="E11936" s="14">
        <v>3.0</v>
      </c>
      <c r="F11936" s="15">
        <f>ROUND(8.76,3)</f>
        <v>8.76</v>
      </c>
      <c r="G11936" s="12">
        <f>ROUND((E11936*F11936)/100,2)</f>
        <v>0.26</v>
      </c>
    </row>
    <row r="11937" ht="15.0" customHeight="1">
      <c r="A11937" s="16"/>
      <c r="B11937" s="16"/>
      <c r="C11937" s="16"/>
      <c r="D11937" s="17" t="s">
        <v>5245</v>
      </c>
      <c r="E11937" s="16"/>
      <c r="F11937" s="18">
        <f>ROUND((G11930+G11931+G11936)*(1+G2/100),2)</f>
        <v>10.63</v>
      </c>
      <c r="G11937" s="16"/>
    </row>
    <row r="11938" ht="30.0" customHeight="1">
      <c r="A11938" s="19" t="s">
        <v>5250</v>
      </c>
      <c r="B11938" s="20" t="s">
        <v>18</v>
      </c>
      <c r="C11938" s="20" t="s">
        <v>321</v>
      </c>
      <c r="D11938" s="20" t="s">
        <v>5251</v>
      </c>
      <c r="E11938" s="21"/>
      <c r="F11938" s="22">
        <f>F11947</f>
        <v>7.2</v>
      </c>
      <c r="G11938" s="21"/>
    </row>
    <row r="11939" ht="21.0" customHeight="1">
      <c r="A11939" s="11"/>
      <c r="B11939" s="11"/>
      <c r="C11939" s="11"/>
      <c r="D11939" s="10" t="s">
        <v>5252</v>
      </c>
    </row>
    <row r="11940" ht="48.75" customHeight="1">
      <c r="A11940" s="10" t="s">
        <v>5248</v>
      </c>
      <c r="B11940" s="10" t="s">
        <v>42</v>
      </c>
      <c r="C11940" s="10" t="s">
        <v>43</v>
      </c>
      <c r="D11940" s="10" t="s">
        <v>5249</v>
      </c>
      <c r="E11940" s="14">
        <v>0.0275</v>
      </c>
      <c r="F11940" s="15">
        <f>ROUND(32.22,3)</f>
        <v>32.22</v>
      </c>
      <c r="G11940" s="12">
        <f t="shared" ref="G11940:G11945" si="1825">ROUND(E11940*F11940,2)</f>
        <v>0.89</v>
      </c>
    </row>
    <row r="11941" ht="21.0" customHeight="1">
      <c r="A11941" s="10" t="s">
        <v>22</v>
      </c>
      <c r="B11941" s="10" t="s">
        <v>18</v>
      </c>
      <c r="C11941" s="10" t="s">
        <v>23</v>
      </c>
      <c r="D11941" s="10" t="s">
        <v>24</v>
      </c>
      <c r="E11941" s="14">
        <v>0.14</v>
      </c>
      <c r="F11941" s="15">
        <f>F11945</f>
        <v>43.8</v>
      </c>
      <c r="G11941" s="12">
        <f t="shared" si="1825"/>
        <v>6.13</v>
      </c>
    </row>
    <row r="11942" ht="24.0" customHeight="1">
      <c r="A11942" s="10" t="s">
        <v>25</v>
      </c>
      <c r="B11942" s="10" t="s">
        <v>26</v>
      </c>
      <c r="C11942" s="10" t="s">
        <v>23</v>
      </c>
      <c r="D11942" s="10" t="s">
        <v>27</v>
      </c>
      <c r="E11942" s="14">
        <v>1.0</v>
      </c>
      <c r="F11942" s="15">
        <f>ROUND(21,3)</f>
        <v>21</v>
      </c>
      <c r="G11942" s="12">
        <f t="shared" si="1825"/>
        <v>21</v>
      </c>
    </row>
    <row r="11943" ht="24.0" customHeight="1">
      <c r="A11943" s="10" t="s">
        <v>28</v>
      </c>
      <c r="B11943" s="10" t="s">
        <v>26</v>
      </c>
      <c r="C11943" s="10" t="s">
        <v>23</v>
      </c>
      <c r="D11943" s="10" t="s">
        <v>29</v>
      </c>
      <c r="E11943" s="14">
        <v>1.0</v>
      </c>
      <c r="F11943" s="15">
        <f t="shared" ref="F11943:F11944" si="1826">ROUND(19,3)</f>
        <v>19</v>
      </c>
      <c r="G11943" s="12">
        <f t="shared" si="1825"/>
        <v>19</v>
      </c>
    </row>
    <row r="11944" ht="24.0" customHeight="1">
      <c r="A11944" s="10" t="s">
        <v>30</v>
      </c>
      <c r="B11944" s="10" t="s">
        <v>26</v>
      </c>
      <c r="C11944" s="10" t="s">
        <v>23</v>
      </c>
      <c r="D11944" s="10" t="s">
        <v>31</v>
      </c>
      <c r="E11944" s="14">
        <v>0.2</v>
      </c>
      <c r="F11944" s="15">
        <f t="shared" si="1826"/>
        <v>19</v>
      </c>
      <c r="G11944" s="12">
        <f t="shared" si="1825"/>
        <v>3.8</v>
      </c>
    </row>
    <row r="11945" ht="15.0" customHeight="1">
      <c r="A11945" s="11"/>
      <c r="B11945" s="11"/>
      <c r="C11945" s="11"/>
      <c r="D11945" s="10" t="s">
        <v>22</v>
      </c>
      <c r="E11945" s="14">
        <v>0.14</v>
      </c>
      <c r="F11945" s="15">
        <f>ROUND((G11942+G11943+G11944),3)</f>
        <v>43.8</v>
      </c>
      <c r="G11945" s="12">
        <f t="shared" si="1825"/>
        <v>6.13</v>
      </c>
    </row>
    <row r="11946" ht="15.0" customHeight="1">
      <c r="A11946" s="10" t="s">
        <v>32</v>
      </c>
      <c r="B11946" s="10"/>
      <c r="C11946" s="10" t="s">
        <v>33</v>
      </c>
      <c r="D11946" s="10" t="s">
        <v>34</v>
      </c>
      <c r="E11946" s="14">
        <v>3.0</v>
      </c>
      <c r="F11946" s="15">
        <f>ROUND(6.13,3)</f>
        <v>6.13</v>
      </c>
      <c r="G11946" s="12">
        <f>ROUND((E11946*F11946)/100,2)</f>
        <v>0.18</v>
      </c>
    </row>
    <row r="11947" ht="15.0" customHeight="1">
      <c r="A11947" s="16"/>
      <c r="B11947" s="16"/>
      <c r="C11947" s="16"/>
      <c r="D11947" s="17" t="s">
        <v>5250</v>
      </c>
      <c r="E11947" s="16"/>
      <c r="F11947" s="18">
        <f>ROUND((G11940+G11941+G11946)*(1+G2/100),2)</f>
        <v>7.2</v>
      </c>
      <c r="G11947" s="16"/>
    </row>
    <row r="11948" ht="30.0" customHeight="1">
      <c r="A11948" s="19" t="s">
        <v>5253</v>
      </c>
      <c r="B11948" s="20" t="s">
        <v>18</v>
      </c>
      <c r="C11948" s="20" t="s">
        <v>321</v>
      </c>
      <c r="D11948" s="20" t="s">
        <v>5254</v>
      </c>
      <c r="E11948" s="21"/>
      <c r="F11948" s="22">
        <f>F11958</f>
        <v>5.55</v>
      </c>
      <c r="G11948" s="21"/>
    </row>
    <row r="11949" ht="30.0" customHeight="1">
      <c r="A11949" s="11"/>
      <c r="B11949" s="11"/>
      <c r="C11949" s="11"/>
      <c r="D11949" s="10" t="s">
        <v>5255</v>
      </c>
    </row>
    <row r="11950" ht="39.75" customHeight="1">
      <c r="A11950" s="10" t="s">
        <v>4297</v>
      </c>
      <c r="B11950" s="10" t="s">
        <v>42</v>
      </c>
      <c r="C11950" s="10" t="s">
        <v>1939</v>
      </c>
      <c r="D11950" s="10" t="s">
        <v>4298</v>
      </c>
      <c r="E11950" s="14">
        <v>0.0084</v>
      </c>
      <c r="F11950" s="15">
        <f>ROUND(36.06,3)</f>
        <v>36.06</v>
      </c>
      <c r="G11950" s="12">
        <f t="shared" ref="G11950:G11956" si="1827">ROUND(E11950*F11950,2)</f>
        <v>0.3</v>
      </c>
    </row>
    <row r="11951" ht="39.75" customHeight="1">
      <c r="A11951" s="10" t="s">
        <v>3077</v>
      </c>
      <c r="B11951" s="10" t="s">
        <v>42</v>
      </c>
      <c r="C11951" s="10" t="s">
        <v>43</v>
      </c>
      <c r="D11951" s="10" t="s">
        <v>3078</v>
      </c>
      <c r="E11951" s="14">
        <v>0.0054</v>
      </c>
      <c r="F11951" s="15">
        <f>ROUND(53.44,3)</f>
        <v>53.44</v>
      </c>
      <c r="G11951" s="12">
        <f t="shared" si="1827"/>
        <v>0.29</v>
      </c>
    </row>
    <row r="11952" ht="21.0" customHeight="1">
      <c r="A11952" s="10" t="s">
        <v>22</v>
      </c>
      <c r="B11952" s="10" t="s">
        <v>18</v>
      </c>
      <c r="C11952" s="10" t="s">
        <v>23</v>
      </c>
      <c r="D11952" s="10" t="s">
        <v>24</v>
      </c>
      <c r="E11952" s="14">
        <v>0.11</v>
      </c>
      <c r="F11952" s="15">
        <f>F11956</f>
        <v>43.8</v>
      </c>
      <c r="G11952" s="12">
        <f t="shared" si="1827"/>
        <v>4.82</v>
      </c>
    </row>
    <row r="11953" ht="24.0" customHeight="1">
      <c r="A11953" s="10" t="s">
        <v>25</v>
      </c>
      <c r="B11953" s="10" t="s">
        <v>26</v>
      </c>
      <c r="C11953" s="10" t="s">
        <v>23</v>
      </c>
      <c r="D11953" s="10" t="s">
        <v>27</v>
      </c>
      <c r="E11953" s="14">
        <v>1.0</v>
      </c>
      <c r="F11953" s="15">
        <f>ROUND(21,3)</f>
        <v>21</v>
      </c>
      <c r="G11953" s="12">
        <f t="shared" si="1827"/>
        <v>21</v>
      </c>
    </row>
    <row r="11954" ht="24.0" customHeight="1">
      <c r="A11954" s="10" t="s">
        <v>28</v>
      </c>
      <c r="B11954" s="10" t="s">
        <v>26</v>
      </c>
      <c r="C11954" s="10" t="s">
        <v>23</v>
      </c>
      <c r="D11954" s="10" t="s">
        <v>29</v>
      </c>
      <c r="E11954" s="14">
        <v>1.0</v>
      </c>
      <c r="F11954" s="15">
        <f t="shared" ref="F11954:F11955" si="1828">ROUND(19,3)</f>
        <v>19</v>
      </c>
      <c r="G11954" s="12">
        <f t="shared" si="1827"/>
        <v>19</v>
      </c>
    </row>
    <row r="11955" ht="24.0" customHeight="1">
      <c r="A11955" s="10" t="s">
        <v>30</v>
      </c>
      <c r="B11955" s="10" t="s">
        <v>26</v>
      </c>
      <c r="C11955" s="10" t="s">
        <v>23</v>
      </c>
      <c r="D11955" s="10" t="s">
        <v>31</v>
      </c>
      <c r="E11955" s="14">
        <v>0.2</v>
      </c>
      <c r="F11955" s="15">
        <f t="shared" si="1828"/>
        <v>19</v>
      </c>
      <c r="G11955" s="12">
        <f t="shared" si="1827"/>
        <v>3.8</v>
      </c>
    </row>
    <row r="11956" ht="15.0" customHeight="1">
      <c r="A11956" s="11"/>
      <c r="B11956" s="11"/>
      <c r="C11956" s="11"/>
      <c r="D11956" s="10" t="s">
        <v>22</v>
      </c>
      <c r="E11956" s="14">
        <v>0.11</v>
      </c>
      <c r="F11956" s="15">
        <f>ROUND((G11953+G11954+G11955),3)</f>
        <v>43.8</v>
      </c>
      <c r="G11956" s="12">
        <f t="shared" si="1827"/>
        <v>4.82</v>
      </c>
    </row>
    <row r="11957" ht="15.0" customHeight="1">
      <c r="A11957" s="10" t="s">
        <v>32</v>
      </c>
      <c r="B11957" s="10"/>
      <c r="C11957" s="10" t="s">
        <v>33</v>
      </c>
      <c r="D11957" s="10" t="s">
        <v>34</v>
      </c>
      <c r="E11957" s="14">
        <v>3.0</v>
      </c>
      <c r="F11957" s="15">
        <f>ROUND(4.82,3)</f>
        <v>4.82</v>
      </c>
      <c r="G11957" s="12">
        <f>ROUND((E11957*F11957)/100,2)</f>
        <v>0.14</v>
      </c>
    </row>
    <row r="11958" ht="15.0" customHeight="1">
      <c r="A11958" s="16"/>
      <c r="B11958" s="16"/>
      <c r="C11958" s="16"/>
      <c r="D11958" s="17" t="s">
        <v>5253</v>
      </c>
      <c r="E11958" s="16"/>
      <c r="F11958" s="18">
        <f>ROUND((G11950+G11951+G11952+G11957)*(1+G2/100),2)</f>
        <v>5.55</v>
      </c>
      <c r="G11958" s="16"/>
    </row>
    <row r="11959" ht="30.0" customHeight="1">
      <c r="A11959" s="19" t="s">
        <v>5256</v>
      </c>
      <c r="B11959" s="20" t="s">
        <v>18</v>
      </c>
      <c r="C11959" s="20" t="s">
        <v>321</v>
      </c>
      <c r="D11959" s="20" t="s">
        <v>5257</v>
      </c>
      <c r="E11959" s="21"/>
      <c r="F11959" s="22">
        <f>F11969</f>
        <v>12.32</v>
      </c>
      <c r="G11959" s="21"/>
    </row>
    <row r="11960" ht="30.0" customHeight="1">
      <c r="A11960" s="11"/>
      <c r="B11960" s="11"/>
      <c r="C11960" s="11"/>
      <c r="D11960" s="10" t="s">
        <v>5258</v>
      </c>
    </row>
    <row r="11961" ht="39.75" customHeight="1">
      <c r="A11961" s="10" t="s">
        <v>4297</v>
      </c>
      <c r="B11961" s="10" t="s">
        <v>42</v>
      </c>
      <c r="C11961" s="10" t="s">
        <v>1939</v>
      </c>
      <c r="D11961" s="10" t="s">
        <v>4298</v>
      </c>
      <c r="E11961" s="14">
        <v>0.0084</v>
      </c>
      <c r="F11961" s="15">
        <f>ROUND(36.06,3)</f>
        <v>36.06</v>
      </c>
      <c r="G11961" s="12">
        <f t="shared" ref="G11961:G11967" si="1829">ROUND(E11961*F11961,2)</f>
        <v>0.3</v>
      </c>
    </row>
    <row r="11962" ht="39.75" customHeight="1">
      <c r="A11962" s="10" t="s">
        <v>3077</v>
      </c>
      <c r="B11962" s="10" t="s">
        <v>42</v>
      </c>
      <c r="C11962" s="10" t="s">
        <v>43</v>
      </c>
      <c r="D11962" s="10" t="s">
        <v>3078</v>
      </c>
      <c r="E11962" s="14">
        <v>0.0054</v>
      </c>
      <c r="F11962" s="15">
        <f>ROUND(53.44,3)</f>
        <v>53.44</v>
      </c>
      <c r="G11962" s="12">
        <f t="shared" si="1829"/>
        <v>0.29</v>
      </c>
    </row>
    <row r="11963" ht="24.0" customHeight="1">
      <c r="A11963" s="10" t="s">
        <v>286</v>
      </c>
      <c r="B11963" s="10" t="s">
        <v>18</v>
      </c>
      <c r="C11963" s="10" t="s">
        <v>23</v>
      </c>
      <c r="D11963" s="10" t="s">
        <v>287</v>
      </c>
      <c r="E11963" s="14">
        <v>0.23</v>
      </c>
      <c r="F11963" s="15">
        <f>F11967</f>
        <v>49.5</v>
      </c>
      <c r="G11963" s="12">
        <f t="shared" si="1829"/>
        <v>11.39</v>
      </c>
    </row>
    <row r="11964" ht="24.0" customHeight="1">
      <c r="A11964" s="10" t="s">
        <v>288</v>
      </c>
      <c r="B11964" s="10" t="s">
        <v>26</v>
      </c>
      <c r="C11964" s="10" t="s">
        <v>23</v>
      </c>
      <c r="D11964" s="10" t="s">
        <v>289</v>
      </c>
      <c r="E11964" s="14">
        <v>1.0</v>
      </c>
      <c r="F11964" s="15">
        <f>ROUND(21,3)</f>
        <v>21</v>
      </c>
      <c r="G11964" s="12">
        <f t="shared" si="1829"/>
        <v>21</v>
      </c>
    </row>
    <row r="11965" ht="24.0" customHeight="1">
      <c r="A11965" s="10" t="s">
        <v>290</v>
      </c>
      <c r="B11965" s="10" t="s">
        <v>26</v>
      </c>
      <c r="C11965" s="10" t="s">
        <v>23</v>
      </c>
      <c r="D11965" s="10" t="s">
        <v>291</v>
      </c>
      <c r="E11965" s="14">
        <v>1.0</v>
      </c>
      <c r="F11965" s="15">
        <f t="shared" ref="F11965:F11966" si="1830">ROUND(19,3)</f>
        <v>19</v>
      </c>
      <c r="G11965" s="12">
        <f t="shared" si="1829"/>
        <v>19</v>
      </c>
    </row>
    <row r="11966" ht="24.0" customHeight="1">
      <c r="A11966" s="10" t="s">
        <v>292</v>
      </c>
      <c r="B11966" s="10" t="s">
        <v>26</v>
      </c>
      <c r="C11966" s="10" t="s">
        <v>23</v>
      </c>
      <c r="D11966" s="10" t="s">
        <v>293</v>
      </c>
      <c r="E11966" s="14">
        <v>0.5</v>
      </c>
      <c r="F11966" s="15">
        <f t="shared" si="1830"/>
        <v>19</v>
      </c>
      <c r="G11966" s="12">
        <f t="shared" si="1829"/>
        <v>9.5</v>
      </c>
    </row>
    <row r="11967" ht="15.0" customHeight="1">
      <c r="A11967" s="11"/>
      <c r="B11967" s="11"/>
      <c r="C11967" s="11"/>
      <c r="D11967" s="10" t="s">
        <v>286</v>
      </c>
      <c r="E11967" s="14">
        <v>0.23</v>
      </c>
      <c r="F11967" s="15">
        <f>ROUND((G11964+G11965+G11966),3)</f>
        <v>49.5</v>
      </c>
      <c r="G11967" s="12">
        <f t="shared" si="1829"/>
        <v>11.39</v>
      </c>
    </row>
    <row r="11968" ht="15.0" customHeight="1">
      <c r="A11968" s="10" t="s">
        <v>32</v>
      </c>
      <c r="B11968" s="10"/>
      <c r="C11968" s="10" t="s">
        <v>33</v>
      </c>
      <c r="D11968" s="10" t="s">
        <v>34</v>
      </c>
      <c r="E11968" s="14">
        <v>3.0</v>
      </c>
      <c r="F11968" s="15">
        <f>ROUND(11.39,3)</f>
        <v>11.39</v>
      </c>
      <c r="G11968" s="12">
        <f>ROUND((E11968*F11968)/100,2)</f>
        <v>0.34</v>
      </c>
    </row>
    <row r="11969" ht="15.0" customHeight="1">
      <c r="A11969" s="16"/>
      <c r="B11969" s="16"/>
      <c r="C11969" s="16"/>
      <c r="D11969" s="17" t="s">
        <v>5256</v>
      </c>
      <c r="E11969" s="16"/>
      <c r="F11969" s="18">
        <f>ROUND((G11961+G11962+G11963+G11968)*(1+G2/100),2)</f>
        <v>12.32</v>
      </c>
      <c r="G11969" s="16"/>
    </row>
    <row r="11970" ht="21.0" customHeight="1">
      <c r="A11970" s="19" t="s">
        <v>5259</v>
      </c>
      <c r="B11970" s="20" t="s">
        <v>18</v>
      </c>
      <c r="C11970" s="20" t="s">
        <v>321</v>
      </c>
      <c r="D11970" s="20" t="s">
        <v>5260</v>
      </c>
      <c r="E11970" s="21"/>
      <c r="F11970" s="22">
        <f>F11980</f>
        <v>9.59</v>
      </c>
      <c r="G11970" s="21"/>
    </row>
    <row r="11971" ht="12.0" customHeight="1">
      <c r="A11971" s="11"/>
      <c r="B11971" s="11"/>
      <c r="C11971" s="11"/>
      <c r="D11971" s="10" t="s">
        <v>5261</v>
      </c>
    </row>
    <row r="11972" ht="39.75" customHeight="1">
      <c r="A11972" s="10" t="s">
        <v>4297</v>
      </c>
      <c r="B11972" s="10" t="s">
        <v>42</v>
      </c>
      <c r="C11972" s="10" t="s">
        <v>1939</v>
      </c>
      <c r="D11972" s="10" t="s">
        <v>4298</v>
      </c>
      <c r="E11972" s="14">
        <v>0.0304</v>
      </c>
      <c r="F11972" s="15">
        <f>ROUND(36.06,3)</f>
        <v>36.06</v>
      </c>
      <c r="G11972" s="12">
        <f t="shared" ref="G11972:G11978" si="1831">ROUND(E11972*F11972,2)</f>
        <v>1.1</v>
      </c>
    </row>
    <row r="11973" ht="39.75" customHeight="1">
      <c r="A11973" s="10" t="s">
        <v>3077</v>
      </c>
      <c r="B11973" s="10" t="s">
        <v>42</v>
      </c>
      <c r="C11973" s="10" t="s">
        <v>43</v>
      </c>
      <c r="D11973" s="10" t="s">
        <v>3078</v>
      </c>
      <c r="E11973" s="14">
        <v>0.02375</v>
      </c>
      <c r="F11973" s="15">
        <f>ROUND(53.44,3)</f>
        <v>53.44</v>
      </c>
      <c r="G11973" s="12">
        <f t="shared" si="1831"/>
        <v>1.27</v>
      </c>
    </row>
    <row r="11974" ht="21.0" customHeight="1">
      <c r="A11974" s="10" t="s">
        <v>22</v>
      </c>
      <c r="B11974" s="10" t="s">
        <v>18</v>
      </c>
      <c r="C11974" s="10" t="s">
        <v>23</v>
      </c>
      <c r="D11974" s="10" t="s">
        <v>24</v>
      </c>
      <c r="E11974" s="14">
        <v>0.16</v>
      </c>
      <c r="F11974" s="15">
        <f>F11978</f>
        <v>43.8</v>
      </c>
      <c r="G11974" s="12">
        <f t="shared" si="1831"/>
        <v>7.01</v>
      </c>
    </row>
    <row r="11975" ht="24.0" customHeight="1">
      <c r="A11975" s="10" t="s">
        <v>25</v>
      </c>
      <c r="B11975" s="10" t="s">
        <v>26</v>
      </c>
      <c r="C11975" s="10" t="s">
        <v>23</v>
      </c>
      <c r="D11975" s="10" t="s">
        <v>27</v>
      </c>
      <c r="E11975" s="14">
        <v>1.0</v>
      </c>
      <c r="F11975" s="15">
        <f>ROUND(21,3)</f>
        <v>21</v>
      </c>
      <c r="G11975" s="12">
        <f t="shared" si="1831"/>
        <v>21</v>
      </c>
    </row>
    <row r="11976" ht="24.0" customHeight="1">
      <c r="A11976" s="10" t="s">
        <v>28</v>
      </c>
      <c r="B11976" s="10" t="s">
        <v>26</v>
      </c>
      <c r="C11976" s="10" t="s">
        <v>23</v>
      </c>
      <c r="D11976" s="10" t="s">
        <v>29</v>
      </c>
      <c r="E11976" s="14">
        <v>1.0</v>
      </c>
      <c r="F11976" s="15">
        <f t="shared" ref="F11976:F11977" si="1832">ROUND(19,3)</f>
        <v>19</v>
      </c>
      <c r="G11976" s="12">
        <f t="shared" si="1831"/>
        <v>19</v>
      </c>
    </row>
    <row r="11977" ht="24.0" customHeight="1">
      <c r="A11977" s="10" t="s">
        <v>30</v>
      </c>
      <c r="B11977" s="10" t="s">
        <v>26</v>
      </c>
      <c r="C11977" s="10" t="s">
        <v>23</v>
      </c>
      <c r="D11977" s="10" t="s">
        <v>31</v>
      </c>
      <c r="E11977" s="14">
        <v>0.2</v>
      </c>
      <c r="F11977" s="15">
        <f t="shared" si="1832"/>
        <v>19</v>
      </c>
      <c r="G11977" s="12">
        <f t="shared" si="1831"/>
        <v>3.8</v>
      </c>
    </row>
    <row r="11978" ht="15.0" customHeight="1">
      <c r="A11978" s="11"/>
      <c r="B11978" s="11"/>
      <c r="C11978" s="11"/>
      <c r="D11978" s="10" t="s">
        <v>22</v>
      </c>
      <c r="E11978" s="14">
        <v>0.16</v>
      </c>
      <c r="F11978" s="15">
        <f>ROUND((G11975+G11976+G11977),3)</f>
        <v>43.8</v>
      </c>
      <c r="G11978" s="12">
        <f t="shared" si="1831"/>
        <v>7.01</v>
      </c>
    </row>
    <row r="11979" ht="15.0" customHeight="1">
      <c r="A11979" s="10" t="s">
        <v>32</v>
      </c>
      <c r="B11979" s="10"/>
      <c r="C11979" s="10" t="s">
        <v>33</v>
      </c>
      <c r="D11979" s="10" t="s">
        <v>34</v>
      </c>
      <c r="E11979" s="14">
        <v>3.0</v>
      </c>
      <c r="F11979" s="15">
        <f>ROUND(7.01,3)</f>
        <v>7.01</v>
      </c>
      <c r="G11979" s="12">
        <f>ROUND((E11979*F11979)/100,2)</f>
        <v>0.21</v>
      </c>
    </row>
    <row r="11980" ht="15.0" customHeight="1">
      <c r="A11980" s="16"/>
      <c r="B11980" s="16"/>
      <c r="C11980" s="16"/>
      <c r="D11980" s="17" t="s">
        <v>5259</v>
      </c>
      <c r="E11980" s="16"/>
      <c r="F11980" s="18">
        <f>ROUND((G11972+G11973+G11974+G11979)*(1+G2/100),2)</f>
        <v>9.59</v>
      </c>
      <c r="G11980" s="16"/>
    </row>
    <row r="11981" ht="30.0" customHeight="1">
      <c r="A11981" s="19" t="s">
        <v>5262</v>
      </c>
      <c r="B11981" s="20" t="s">
        <v>18</v>
      </c>
      <c r="C11981" s="20" t="s">
        <v>321</v>
      </c>
      <c r="D11981" s="20" t="s">
        <v>5263</v>
      </c>
      <c r="E11981" s="21"/>
      <c r="F11981" s="22">
        <f>F11991</f>
        <v>14.61</v>
      </c>
      <c r="G11981" s="21"/>
    </row>
    <row r="11982" ht="12.0" customHeight="1">
      <c r="A11982" s="11"/>
      <c r="B11982" s="11"/>
      <c r="C11982" s="11"/>
      <c r="D11982" s="10" t="s">
        <v>5264</v>
      </c>
    </row>
    <row r="11983" ht="39.75" customHeight="1">
      <c r="A11983" s="10" t="s">
        <v>4297</v>
      </c>
      <c r="B11983" s="10" t="s">
        <v>42</v>
      </c>
      <c r="C11983" s="10" t="s">
        <v>1939</v>
      </c>
      <c r="D11983" s="10" t="s">
        <v>4298</v>
      </c>
      <c r="E11983" s="14">
        <v>0.0304</v>
      </c>
      <c r="F11983" s="15">
        <f>ROUND(36.06,3)</f>
        <v>36.06</v>
      </c>
      <c r="G11983" s="12">
        <f t="shared" ref="G11983:G11989" si="1833">ROUND(E11983*F11983,2)</f>
        <v>1.1</v>
      </c>
    </row>
    <row r="11984" ht="39.75" customHeight="1">
      <c r="A11984" s="10" t="s">
        <v>3077</v>
      </c>
      <c r="B11984" s="10" t="s">
        <v>42</v>
      </c>
      <c r="C11984" s="10" t="s">
        <v>43</v>
      </c>
      <c r="D11984" s="10" t="s">
        <v>3078</v>
      </c>
      <c r="E11984" s="14">
        <v>0.02375</v>
      </c>
      <c r="F11984" s="15">
        <f>ROUND(53.44,3)</f>
        <v>53.44</v>
      </c>
      <c r="G11984" s="12">
        <f t="shared" si="1833"/>
        <v>1.27</v>
      </c>
    </row>
    <row r="11985" ht="24.0" customHeight="1">
      <c r="A11985" s="10" t="s">
        <v>286</v>
      </c>
      <c r="B11985" s="10" t="s">
        <v>18</v>
      </c>
      <c r="C11985" s="10" t="s">
        <v>23</v>
      </c>
      <c r="D11985" s="10" t="s">
        <v>287</v>
      </c>
      <c r="E11985" s="14">
        <v>0.24</v>
      </c>
      <c r="F11985" s="15">
        <f>F11989</f>
        <v>49.5</v>
      </c>
      <c r="G11985" s="12">
        <f t="shared" si="1833"/>
        <v>11.88</v>
      </c>
    </row>
    <row r="11986" ht="24.0" customHeight="1">
      <c r="A11986" s="10" t="s">
        <v>288</v>
      </c>
      <c r="B11986" s="10" t="s">
        <v>26</v>
      </c>
      <c r="C11986" s="10" t="s">
        <v>23</v>
      </c>
      <c r="D11986" s="10" t="s">
        <v>289</v>
      </c>
      <c r="E11986" s="14">
        <v>1.0</v>
      </c>
      <c r="F11986" s="15">
        <f>ROUND(21,3)</f>
        <v>21</v>
      </c>
      <c r="G11986" s="12">
        <f t="shared" si="1833"/>
        <v>21</v>
      </c>
    </row>
    <row r="11987" ht="24.0" customHeight="1">
      <c r="A11987" s="10" t="s">
        <v>290</v>
      </c>
      <c r="B11987" s="10" t="s">
        <v>26</v>
      </c>
      <c r="C11987" s="10" t="s">
        <v>23</v>
      </c>
      <c r="D11987" s="10" t="s">
        <v>291</v>
      </c>
      <c r="E11987" s="14">
        <v>1.0</v>
      </c>
      <c r="F11987" s="15">
        <f t="shared" ref="F11987:F11988" si="1834">ROUND(19,3)</f>
        <v>19</v>
      </c>
      <c r="G11987" s="12">
        <f t="shared" si="1833"/>
        <v>19</v>
      </c>
    </row>
    <row r="11988" ht="24.0" customHeight="1">
      <c r="A11988" s="10" t="s">
        <v>292</v>
      </c>
      <c r="B11988" s="10" t="s">
        <v>26</v>
      </c>
      <c r="C11988" s="10" t="s">
        <v>23</v>
      </c>
      <c r="D11988" s="10" t="s">
        <v>293</v>
      </c>
      <c r="E11988" s="14">
        <v>0.5</v>
      </c>
      <c r="F11988" s="15">
        <f t="shared" si="1834"/>
        <v>19</v>
      </c>
      <c r="G11988" s="12">
        <f t="shared" si="1833"/>
        <v>9.5</v>
      </c>
    </row>
    <row r="11989" ht="15.0" customHeight="1">
      <c r="A11989" s="11"/>
      <c r="B11989" s="11"/>
      <c r="C11989" s="11"/>
      <c r="D11989" s="10" t="s">
        <v>286</v>
      </c>
      <c r="E11989" s="14">
        <v>0.24</v>
      </c>
      <c r="F11989" s="15">
        <f>ROUND((G11986+G11987+G11988),3)</f>
        <v>49.5</v>
      </c>
      <c r="G11989" s="12">
        <f t="shared" si="1833"/>
        <v>11.88</v>
      </c>
    </row>
    <row r="11990" ht="15.0" customHeight="1">
      <c r="A11990" s="10" t="s">
        <v>32</v>
      </c>
      <c r="B11990" s="10"/>
      <c r="C11990" s="10" t="s">
        <v>33</v>
      </c>
      <c r="D11990" s="10" t="s">
        <v>34</v>
      </c>
      <c r="E11990" s="14">
        <v>3.0</v>
      </c>
      <c r="F11990" s="15">
        <f>ROUND(11.88,3)</f>
        <v>11.88</v>
      </c>
      <c r="G11990" s="12">
        <f>ROUND((E11990*F11990)/100,2)</f>
        <v>0.36</v>
      </c>
    </row>
    <row r="11991" ht="15.0" customHeight="1">
      <c r="A11991" s="16"/>
      <c r="B11991" s="16"/>
      <c r="C11991" s="16"/>
      <c r="D11991" s="17" t="s">
        <v>5262</v>
      </c>
      <c r="E11991" s="16"/>
      <c r="F11991" s="18">
        <f>ROUND((G11983+G11984+G11985+G11990)*(1+G2/100),2)</f>
        <v>14.61</v>
      </c>
      <c r="G11991" s="16"/>
    </row>
    <row r="11992" ht="21.0" customHeight="1">
      <c r="A11992" s="19" t="s">
        <v>5265</v>
      </c>
      <c r="B11992" s="20" t="s">
        <v>18</v>
      </c>
      <c r="C11992" s="20" t="s">
        <v>321</v>
      </c>
      <c r="D11992" s="20" t="s">
        <v>5266</v>
      </c>
      <c r="E11992" s="21"/>
      <c r="F11992" s="22">
        <f>F12002</f>
        <v>15.2</v>
      </c>
      <c r="G11992" s="21"/>
    </row>
    <row r="11993" ht="12.0" customHeight="1">
      <c r="A11993" s="11"/>
      <c r="B11993" s="11"/>
      <c r="C11993" s="11"/>
      <c r="D11993" s="10" t="s">
        <v>5267</v>
      </c>
    </row>
    <row r="11994" ht="39.75" customHeight="1">
      <c r="A11994" s="10" t="s">
        <v>4297</v>
      </c>
      <c r="B11994" s="10" t="s">
        <v>42</v>
      </c>
      <c r="C11994" s="10" t="s">
        <v>1939</v>
      </c>
      <c r="D11994" s="10" t="s">
        <v>4298</v>
      </c>
      <c r="E11994" s="14">
        <v>0.0408</v>
      </c>
      <c r="F11994" s="15">
        <f>ROUND(36.06,3)</f>
        <v>36.06</v>
      </c>
      <c r="G11994" s="12">
        <f t="shared" ref="G11994:G12000" si="1835">ROUND(E11994*F11994,2)</f>
        <v>1.47</v>
      </c>
    </row>
    <row r="11995" ht="39.75" customHeight="1">
      <c r="A11995" s="10" t="s">
        <v>3077</v>
      </c>
      <c r="B11995" s="10" t="s">
        <v>42</v>
      </c>
      <c r="C11995" s="10" t="s">
        <v>43</v>
      </c>
      <c r="D11995" s="10" t="s">
        <v>3078</v>
      </c>
      <c r="E11995" s="14">
        <v>0.03188</v>
      </c>
      <c r="F11995" s="15">
        <f>ROUND(53.44,3)</f>
        <v>53.44</v>
      </c>
      <c r="G11995" s="12">
        <f t="shared" si="1835"/>
        <v>1.7</v>
      </c>
    </row>
    <row r="11996" ht="21.0" customHeight="1">
      <c r="A11996" s="10" t="s">
        <v>22</v>
      </c>
      <c r="B11996" s="10" t="s">
        <v>18</v>
      </c>
      <c r="C11996" s="10" t="s">
        <v>23</v>
      </c>
      <c r="D11996" s="10" t="s">
        <v>24</v>
      </c>
      <c r="E11996" s="14">
        <v>0.2666</v>
      </c>
      <c r="F11996" s="15">
        <f>F12000</f>
        <v>43.8</v>
      </c>
      <c r="G11996" s="12">
        <f t="shared" si="1835"/>
        <v>11.68</v>
      </c>
    </row>
    <row r="11997" ht="24.0" customHeight="1">
      <c r="A11997" s="10" t="s">
        <v>25</v>
      </c>
      <c r="B11997" s="10" t="s">
        <v>26</v>
      </c>
      <c r="C11997" s="10" t="s">
        <v>23</v>
      </c>
      <c r="D11997" s="10" t="s">
        <v>27</v>
      </c>
      <c r="E11997" s="14">
        <v>1.0</v>
      </c>
      <c r="F11997" s="15">
        <f>ROUND(21,3)</f>
        <v>21</v>
      </c>
      <c r="G11997" s="12">
        <f t="shared" si="1835"/>
        <v>21</v>
      </c>
    </row>
    <row r="11998" ht="24.0" customHeight="1">
      <c r="A11998" s="10" t="s">
        <v>28</v>
      </c>
      <c r="B11998" s="10" t="s">
        <v>26</v>
      </c>
      <c r="C11998" s="10" t="s">
        <v>23</v>
      </c>
      <c r="D11998" s="10" t="s">
        <v>29</v>
      </c>
      <c r="E11998" s="14">
        <v>1.0</v>
      </c>
      <c r="F11998" s="15">
        <f t="shared" ref="F11998:F11999" si="1836">ROUND(19,3)</f>
        <v>19</v>
      </c>
      <c r="G11998" s="12">
        <f t="shared" si="1835"/>
        <v>19</v>
      </c>
    </row>
    <row r="11999" ht="24.0" customHeight="1">
      <c r="A11999" s="10" t="s">
        <v>30</v>
      </c>
      <c r="B11999" s="10" t="s">
        <v>26</v>
      </c>
      <c r="C11999" s="10" t="s">
        <v>23</v>
      </c>
      <c r="D11999" s="10" t="s">
        <v>31</v>
      </c>
      <c r="E11999" s="14">
        <v>0.2</v>
      </c>
      <c r="F11999" s="15">
        <f t="shared" si="1836"/>
        <v>19</v>
      </c>
      <c r="G11999" s="12">
        <f t="shared" si="1835"/>
        <v>3.8</v>
      </c>
    </row>
    <row r="12000" ht="15.0" customHeight="1">
      <c r="A12000" s="11"/>
      <c r="B12000" s="11"/>
      <c r="C12000" s="11"/>
      <c r="D12000" s="10" t="s">
        <v>22</v>
      </c>
      <c r="E12000" s="14">
        <v>0.2666</v>
      </c>
      <c r="F12000" s="15">
        <f>ROUND((G11997+G11998+G11999),3)</f>
        <v>43.8</v>
      </c>
      <c r="G12000" s="12">
        <f t="shared" si="1835"/>
        <v>11.68</v>
      </c>
    </row>
    <row r="12001" ht="15.0" customHeight="1">
      <c r="A12001" s="10" t="s">
        <v>32</v>
      </c>
      <c r="B12001" s="10"/>
      <c r="C12001" s="10" t="s">
        <v>33</v>
      </c>
      <c r="D12001" s="10" t="s">
        <v>34</v>
      </c>
      <c r="E12001" s="14">
        <v>3.0</v>
      </c>
      <c r="F12001" s="15">
        <f>ROUND(11.68,3)</f>
        <v>11.68</v>
      </c>
      <c r="G12001" s="12">
        <f>ROUND((E12001*F12001)/100,2)</f>
        <v>0.35</v>
      </c>
    </row>
    <row r="12002" ht="15.0" customHeight="1">
      <c r="A12002" s="16"/>
      <c r="B12002" s="16"/>
      <c r="C12002" s="16"/>
      <c r="D12002" s="17" t="s">
        <v>5265</v>
      </c>
      <c r="E12002" s="16"/>
      <c r="F12002" s="18">
        <f>ROUND((G11994+G11995+G11996+G12001)*(1+G2/100),2)</f>
        <v>15.2</v>
      </c>
      <c r="G12002" s="16"/>
    </row>
    <row r="12003" ht="30.0" customHeight="1">
      <c r="A12003" s="19" t="s">
        <v>5268</v>
      </c>
      <c r="B12003" s="20" t="s">
        <v>18</v>
      </c>
      <c r="C12003" s="20" t="s">
        <v>321</v>
      </c>
      <c r="D12003" s="20" t="s">
        <v>5269</v>
      </c>
      <c r="E12003" s="21"/>
      <c r="F12003" s="22">
        <f>F12013</f>
        <v>23.51</v>
      </c>
      <c r="G12003" s="21"/>
    </row>
    <row r="12004" ht="12.0" customHeight="1">
      <c r="A12004" s="11"/>
      <c r="B12004" s="11"/>
      <c r="C12004" s="11"/>
      <c r="D12004" s="10" t="s">
        <v>5270</v>
      </c>
    </row>
    <row r="12005" ht="39.75" customHeight="1">
      <c r="A12005" s="10" t="s">
        <v>4297</v>
      </c>
      <c r="B12005" s="10" t="s">
        <v>42</v>
      </c>
      <c r="C12005" s="10" t="s">
        <v>1939</v>
      </c>
      <c r="D12005" s="10" t="s">
        <v>4298</v>
      </c>
      <c r="E12005" s="14">
        <v>0.0408</v>
      </c>
      <c r="F12005" s="15">
        <f>ROUND(36.06,3)</f>
        <v>36.06</v>
      </c>
      <c r="G12005" s="12">
        <f t="shared" ref="G12005:G12011" si="1837">ROUND(E12005*F12005,2)</f>
        <v>1.47</v>
      </c>
    </row>
    <row r="12006" ht="39.75" customHeight="1">
      <c r="A12006" s="10" t="s">
        <v>3077</v>
      </c>
      <c r="B12006" s="10" t="s">
        <v>42</v>
      </c>
      <c r="C12006" s="10" t="s">
        <v>43</v>
      </c>
      <c r="D12006" s="10" t="s">
        <v>3078</v>
      </c>
      <c r="E12006" s="14">
        <v>0.03188</v>
      </c>
      <c r="F12006" s="15">
        <f>ROUND(53.44,3)</f>
        <v>53.44</v>
      </c>
      <c r="G12006" s="12">
        <f t="shared" si="1837"/>
        <v>1.7</v>
      </c>
    </row>
    <row r="12007" ht="24.0" customHeight="1">
      <c r="A12007" s="10" t="s">
        <v>286</v>
      </c>
      <c r="B12007" s="10" t="s">
        <v>18</v>
      </c>
      <c r="C12007" s="10" t="s">
        <v>23</v>
      </c>
      <c r="D12007" s="10" t="s">
        <v>287</v>
      </c>
      <c r="E12007" s="14">
        <v>0.399</v>
      </c>
      <c r="F12007" s="15">
        <f>F12011</f>
        <v>49.5</v>
      </c>
      <c r="G12007" s="12">
        <f t="shared" si="1837"/>
        <v>19.75</v>
      </c>
    </row>
    <row r="12008" ht="24.0" customHeight="1">
      <c r="A12008" s="10" t="s">
        <v>288</v>
      </c>
      <c r="B12008" s="10" t="s">
        <v>26</v>
      </c>
      <c r="C12008" s="10" t="s">
        <v>23</v>
      </c>
      <c r="D12008" s="10" t="s">
        <v>289</v>
      </c>
      <c r="E12008" s="14">
        <v>1.0</v>
      </c>
      <c r="F12008" s="15">
        <f>ROUND(21,3)</f>
        <v>21</v>
      </c>
      <c r="G12008" s="12">
        <f t="shared" si="1837"/>
        <v>21</v>
      </c>
    </row>
    <row r="12009" ht="24.0" customHeight="1">
      <c r="A12009" s="10" t="s">
        <v>290</v>
      </c>
      <c r="B12009" s="10" t="s">
        <v>26</v>
      </c>
      <c r="C12009" s="10" t="s">
        <v>23</v>
      </c>
      <c r="D12009" s="10" t="s">
        <v>291</v>
      </c>
      <c r="E12009" s="14">
        <v>1.0</v>
      </c>
      <c r="F12009" s="15">
        <f t="shared" ref="F12009:F12010" si="1838">ROUND(19,3)</f>
        <v>19</v>
      </c>
      <c r="G12009" s="12">
        <f t="shared" si="1837"/>
        <v>19</v>
      </c>
    </row>
    <row r="12010" ht="24.0" customHeight="1">
      <c r="A12010" s="10" t="s">
        <v>292</v>
      </c>
      <c r="B12010" s="10" t="s">
        <v>26</v>
      </c>
      <c r="C12010" s="10" t="s">
        <v>23</v>
      </c>
      <c r="D12010" s="10" t="s">
        <v>293</v>
      </c>
      <c r="E12010" s="14">
        <v>0.5</v>
      </c>
      <c r="F12010" s="15">
        <f t="shared" si="1838"/>
        <v>19</v>
      </c>
      <c r="G12010" s="12">
        <f t="shared" si="1837"/>
        <v>9.5</v>
      </c>
    </row>
    <row r="12011" ht="15.0" customHeight="1">
      <c r="A12011" s="11"/>
      <c r="B12011" s="11"/>
      <c r="C12011" s="11"/>
      <c r="D12011" s="10" t="s">
        <v>286</v>
      </c>
      <c r="E12011" s="14">
        <v>0.399</v>
      </c>
      <c r="F12011" s="15">
        <f>ROUND((G12008+G12009+G12010),3)</f>
        <v>49.5</v>
      </c>
      <c r="G12011" s="12">
        <f t="shared" si="1837"/>
        <v>19.75</v>
      </c>
    </row>
    <row r="12012" ht="15.0" customHeight="1">
      <c r="A12012" s="10" t="s">
        <v>32</v>
      </c>
      <c r="B12012" s="10"/>
      <c r="C12012" s="10" t="s">
        <v>33</v>
      </c>
      <c r="D12012" s="10" t="s">
        <v>34</v>
      </c>
      <c r="E12012" s="14">
        <v>3.0</v>
      </c>
      <c r="F12012" s="15">
        <f>ROUND(19.75,3)</f>
        <v>19.75</v>
      </c>
      <c r="G12012" s="12">
        <f>ROUND((E12012*F12012)/100,2)</f>
        <v>0.59</v>
      </c>
    </row>
    <row r="12013" ht="15.0" customHeight="1">
      <c r="A12013" s="16"/>
      <c r="B12013" s="16"/>
      <c r="C12013" s="16"/>
      <c r="D12013" s="17" t="s">
        <v>5268</v>
      </c>
      <c r="E12013" s="16"/>
      <c r="F12013" s="18">
        <f>ROUND((G12005+G12006+G12007+G12012)*(1+G2/100),2)</f>
        <v>23.51</v>
      </c>
      <c r="G12013" s="16"/>
    </row>
    <row r="12014" ht="30.0" customHeight="1">
      <c r="A12014" s="19" t="s">
        <v>5271</v>
      </c>
      <c r="B12014" s="20" t="s">
        <v>18</v>
      </c>
      <c r="C12014" s="20" t="s">
        <v>251</v>
      </c>
      <c r="D12014" s="20" t="s">
        <v>5272</v>
      </c>
      <c r="E12014" s="21"/>
      <c r="F12014" s="22">
        <f>F12024</f>
        <v>53.66</v>
      </c>
      <c r="G12014" s="21"/>
    </row>
    <row r="12015" ht="48.75" customHeight="1">
      <c r="A12015" s="11"/>
      <c r="B12015" s="11"/>
      <c r="C12015" s="11"/>
      <c r="D12015" s="10" t="s">
        <v>5273</v>
      </c>
    </row>
    <row r="12016" ht="39.75" customHeight="1">
      <c r="A12016" s="10" t="s">
        <v>5274</v>
      </c>
      <c r="B12016" s="10" t="s">
        <v>42</v>
      </c>
      <c r="C12016" s="10" t="s">
        <v>43</v>
      </c>
      <c r="D12016" s="10" t="s">
        <v>5275</v>
      </c>
      <c r="E12016" s="14">
        <v>0.0375</v>
      </c>
      <c r="F12016" s="15">
        <f>ROUND(46.14,3)</f>
        <v>46.14</v>
      </c>
      <c r="G12016" s="12">
        <f t="shared" ref="G12016:G12022" si="1839">ROUND(E12016*F12016,2)</f>
        <v>1.73</v>
      </c>
    </row>
    <row r="12017" ht="39.75" customHeight="1">
      <c r="A12017" s="10" t="s">
        <v>5276</v>
      </c>
      <c r="B12017" s="10" t="s">
        <v>42</v>
      </c>
      <c r="C12017" s="10" t="s">
        <v>276</v>
      </c>
      <c r="D12017" s="10" t="s">
        <v>5277</v>
      </c>
      <c r="E12017" s="14">
        <v>0.13</v>
      </c>
      <c r="F12017" s="15">
        <f>ROUND(285,3)</f>
        <v>285</v>
      </c>
      <c r="G12017" s="12">
        <f t="shared" si="1839"/>
        <v>37.05</v>
      </c>
    </row>
    <row r="12018" ht="21.0" customHeight="1">
      <c r="A12018" s="10" t="s">
        <v>22</v>
      </c>
      <c r="B12018" s="10" t="s">
        <v>18</v>
      </c>
      <c r="C12018" s="10" t="s">
        <v>23</v>
      </c>
      <c r="D12018" s="10" t="s">
        <v>24</v>
      </c>
      <c r="E12018" s="14">
        <v>0.33</v>
      </c>
      <c r="F12018" s="15">
        <f>F12022</f>
        <v>43.8</v>
      </c>
      <c r="G12018" s="12">
        <f t="shared" si="1839"/>
        <v>14.45</v>
      </c>
    </row>
    <row r="12019" ht="24.0" customHeight="1">
      <c r="A12019" s="10" t="s">
        <v>25</v>
      </c>
      <c r="B12019" s="10" t="s">
        <v>26</v>
      </c>
      <c r="C12019" s="10" t="s">
        <v>23</v>
      </c>
      <c r="D12019" s="10" t="s">
        <v>27</v>
      </c>
      <c r="E12019" s="14">
        <v>1.0</v>
      </c>
      <c r="F12019" s="15">
        <f>ROUND(21,3)</f>
        <v>21</v>
      </c>
      <c r="G12019" s="12">
        <f t="shared" si="1839"/>
        <v>21</v>
      </c>
    </row>
    <row r="12020" ht="24.0" customHeight="1">
      <c r="A12020" s="10" t="s">
        <v>28</v>
      </c>
      <c r="B12020" s="10" t="s">
        <v>26</v>
      </c>
      <c r="C12020" s="10" t="s">
        <v>23</v>
      </c>
      <c r="D12020" s="10" t="s">
        <v>29</v>
      </c>
      <c r="E12020" s="14">
        <v>1.0</v>
      </c>
      <c r="F12020" s="15">
        <f t="shared" ref="F12020:F12021" si="1840">ROUND(19,3)</f>
        <v>19</v>
      </c>
      <c r="G12020" s="12">
        <f t="shared" si="1839"/>
        <v>19</v>
      </c>
    </row>
    <row r="12021" ht="24.0" customHeight="1">
      <c r="A12021" s="10" t="s">
        <v>30</v>
      </c>
      <c r="B12021" s="10" t="s">
        <v>26</v>
      </c>
      <c r="C12021" s="10" t="s">
        <v>23</v>
      </c>
      <c r="D12021" s="10" t="s">
        <v>31</v>
      </c>
      <c r="E12021" s="14">
        <v>0.2</v>
      </c>
      <c r="F12021" s="15">
        <f t="shared" si="1840"/>
        <v>19</v>
      </c>
      <c r="G12021" s="12">
        <f t="shared" si="1839"/>
        <v>3.8</v>
      </c>
    </row>
    <row r="12022" ht="15.0" customHeight="1">
      <c r="A12022" s="11"/>
      <c r="B12022" s="11"/>
      <c r="C12022" s="11"/>
      <c r="D12022" s="10" t="s">
        <v>22</v>
      </c>
      <c r="E12022" s="14">
        <v>0.33</v>
      </c>
      <c r="F12022" s="15">
        <f>ROUND((G12019+G12020+G12021),3)</f>
        <v>43.8</v>
      </c>
      <c r="G12022" s="12">
        <f t="shared" si="1839"/>
        <v>14.45</v>
      </c>
    </row>
    <row r="12023" ht="15.0" customHeight="1">
      <c r="A12023" s="10" t="s">
        <v>32</v>
      </c>
      <c r="B12023" s="10"/>
      <c r="C12023" s="10" t="s">
        <v>33</v>
      </c>
      <c r="D12023" s="10" t="s">
        <v>34</v>
      </c>
      <c r="E12023" s="14">
        <v>3.0</v>
      </c>
      <c r="F12023" s="15">
        <f>ROUND(14.45,3)</f>
        <v>14.45</v>
      </c>
      <c r="G12023" s="12">
        <f>ROUND((E12023*F12023)/100,2)</f>
        <v>0.43</v>
      </c>
    </row>
    <row r="12024" ht="15.0" customHeight="1">
      <c r="A12024" s="16"/>
      <c r="B12024" s="16"/>
      <c r="C12024" s="16"/>
      <c r="D12024" s="17" t="s">
        <v>5271</v>
      </c>
      <c r="E12024" s="16"/>
      <c r="F12024" s="18">
        <f>ROUND((G12016+G12017+G12018+G12023)*(1+G2/100),2)</f>
        <v>53.66</v>
      </c>
      <c r="G12024" s="16"/>
    </row>
    <row r="12025" ht="30.0" customHeight="1">
      <c r="A12025" s="19" t="s">
        <v>5278</v>
      </c>
      <c r="B12025" s="20" t="s">
        <v>18</v>
      </c>
      <c r="C12025" s="20" t="s">
        <v>251</v>
      </c>
      <c r="D12025" s="20" t="s">
        <v>5279</v>
      </c>
      <c r="E12025" s="21"/>
      <c r="F12025" s="22">
        <f>F12035</f>
        <v>63.56</v>
      </c>
      <c r="G12025" s="21"/>
    </row>
    <row r="12026" ht="57.75" customHeight="1">
      <c r="A12026" s="11"/>
      <c r="B12026" s="11"/>
      <c r="C12026" s="11"/>
      <c r="D12026" s="10" t="s">
        <v>5280</v>
      </c>
    </row>
    <row r="12027" ht="39.75" customHeight="1">
      <c r="A12027" s="10" t="s">
        <v>5274</v>
      </c>
      <c r="B12027" s="10" t="s">
        <v>42</v>
      </c>
      <c r="C12027" s="10" t="s">
        <v>43</v>
      </c>
      <c r="D12027" s="10" t="s">
        <v>5275</v>
      </c>
      <c r="E12027" s="14">
        <v>0.0275</v>
      </c>
      <c r="F12027" s="15">
        <f>ROUND(46.14,3)</f>
        <v>46.14</v>
      </c>
      <c r="G12027" s="12">
        <f t="shared" ref="G12027:G12033" si="1841">ROUND(E12027*F12027,2)</f>
        <v>1.27</v>
      </c>
    </row>
    <row r="12028" ht="39.75" customHeight="1">
      <c r="A12028" s="10" t="s">
        <v>5276</v>
      </c>
      <c r="B12028" s="10" t="s">
        <v>42</v>
      </c>
      <c r="C12028" s="10" t="s">
        <v>276</v>
      </c>
      <c r="D12028" s="10" t="s">
        <v>5277</v>
      </c>
      <c r="E12028" s="14">
        <v>0.13</v>
      </c>
      <c r="F12028" s="15">
        <f>ROUND(285,3)</f>
        <v>285</v>
      </c>
      <c r="G12028" s="12">
        <f t="shared" si="1841"/>
        <v>37.05</v>
      </c>
    </row>
    <row r="12029" ht="24.0" customHeight="1">
      <c r="A12029" s="10" t="s">
        <v>286</v>
      </c>
      <c r="B12029" s="10" t="s">
        <v>18</v>
      </c>
      <c r="C12029" s="10" t="s">
        <v>23</v>
      </c>
      <c r="D12029" s="10" t="s">
        <v>287</v>
      </c>
      <c r="E12029" s="14">
        <v>0.495</v>
      </c>
      <c r="F12029" s="15">
        <f>F12033</f>
        <v>49.5</v>
      </c>
      <c r="G12029" s="12">
        <f t="shared" si="1841"/>
        <v>24.5</v>
      </c>
    </row>
    <row r="12030" ht="24.0" customHeight="1">
      <c r="A12030" s="10" t="s">
        <v>288</v>
      </c>
      <c r="B12030" s="10" t="s">
        <v>26</v>
      </c>
      <c r="C12030" s="10" t="s">
        <v>23</v>
      </c>
      <c r="D12030" s="10" t="s">
        <v>289</v>
      </c>
      <c r="E12030" s="14">
        <v>1.0</v>
      </c>
      <c r="F12030" s="15">
        <f>ROUND(21,3)</f>
        <v>21</v>
      </c>
      <c r="G12030" s="12">
        <f t="shared" si="1841"/>
        <v>21</v>
      </c>
    </row>
    <row r="12031" ht="24.0" customHeight="1">
      <c r="A12031" s="10" t="s">
        <v>290</v>
      </c>
      <c r="B12031" s="10" t="s">
        <v>26</v>
      </c>
      <c r="C12031" s="10" t="s">
        <v>23</v>
      </c>
      <c r="D12031" s="10" t="s">
        <v>291</v>
      </c>
      <c r="E12031" s="14">
        <v>1.0</v>
      </c>
      <c r="F12031" s="15">
        <f t="shared" ref="F12031:F12032" si="1842">ROUND(19,3)</f>
        <v>19</v>
      </c>
      <c r="G12031" s="12">
        <f t="shared" si="1841"/>
        <v>19</v>
      </c>
    </row>
    <row r="12032" ht="24.0" customHeight="1">
      <c r="A12032" s="10" t="s">
        <v>292</v>
      </c>
      <c r="B12032" s="10" t="s">
        <v>26</v>
      </c>
      <c r="C12032" s="10" t="s">
        <v>23</v>
      </c>
      <c r="D12032" s="10" t="s">
        <v>293</v>
      </c>
      <c r="E12032" s="14">
        <v>0.5</v>
      </c>
      <c r="F12032" s="15">
        <f t="shared" si="1842"/>
        <v>19</v>
      </c>
      <c r="G12032" s="12">
        <f t="shared" si="1841"/>
        <v>9.5</v>
      </c>
    </row>
    <row r="12033" ht="15.0" customHeight="1">
      <c r="A12033" s="11"/>
      <c r="B12033" s="11"/>
      <c r="C12033" s="11"/>
      <c r="D12033" s="10" t="s">
        <v>286</v>
      </c>
      <c r="E12033" s="14">
        <v>0.495</v>
      </c>
      <c r="F12033" s="15">
        <f>ROUND((G12030+G12031+G12032),3)</f>
        <v>49.5</v>
      </c>
      <c r="G12033" s="12">
        <f t="shared" si="1841"/>
        <v>24.5</v>
      </c>
    </row>
    <row r="12034" ht="15.0" customHeight="1">
      <c r="A12034" s="10" t="s">
        <v>32</v>
      </c>
      <c r="B12034" s="10"/>
      <c r="C12034" s="10" t="s">
        <v>33</v>
      </c>
      <c r="D12034" s="10" t="s">
        <v>34</v>
      </c>
      <c r="E12034" s="14">
        <v>3.0</v>
      </c>
      <c r="F12034" s="15">
        <f>ROUND(24.5,3)</f>
        <v>24.5</v>
      </c>
      <c r="G12034" s="12">
        <f>ROUND((E12034*F12034)/100,2)</f>
        <v>0.74</v>
      </c>
    </row>
    <row r="12035" ht="15.0" customHeight="1">
      <c r="A12035" s="16"/>
      <c r="B12035" s="16"/>
      <c r="C12035" s="16"/>
      <c r="D12035" s="17" t="s">
        <v>5278</v>
      </c>
      <c r="E12035" s="16"/>
      <c r="F12035" s="18">
        <f>ROUND((G12027+G12028+G12029+G12034)*(1+G2/100),2)</f>
        <v>63.56</v>
      </c>
      <c r="G12035" s="16"/>
    </row>
    <row r="12036" ht="30.0" customHeight="1">
      <c r="A12036" s="19" t="s">
        <v>5281</v>
      </c>
      <c r="B12036" s="20" t="s">
        <v>18</v>
      </c>
      <c r="C12036" s="20" t="s">
        <v>251</v>
      </c>
      <c r="D12036" s="20" t="s">
        <v>5282</v>
      </c>
      <c r="E12036" s="21"/>
      <c r="F12036" s="22">
        <f>F12046</f>
        <v>38.99</v>
      </c>
      <c r="G12036" s="21"/>
    </row>
    <row r="12037" ht="57.75" customHeight="1">
      <c r="A12037" s="11"/>
      <c r="B12037" s="11"/>
      <c r="C12037" s="11"/>
      <c r="D12037" s="10" t="s">
        <v>5283</v>
      </c>
    </row>
    <row r="12038" ht="39.75" customHeight="1">
      <c r="A12038" s="10" t="s">
        <v>5274</v>
      </c>
      <c r="B12038" s="10" t="s">
        <v>42</v>
      </c>
      <c r="C12038" s="10" t="s">
        <v>43</v>
      </c>
      <c r="D12038" s="10" t="s">
        <v>5275</v>
      </c>
      <c r="E12038" s="14">
        <v>0.0375</v>
      </c>
      <c r="F12038" s="15">
        <f>ROUND(46.14,3)</f>
        <v>46.14</v>
      </c>
      <c r="G12038" s="12">
        <f t="shared" ref="G12038:G12044" si="1843">ROUND(E12038*F12038,2)</f>
        <v>1.73</v>
      </c>
    </row>
    <row r="12039" ht="39.75" customHeight="1">
      <c r="A12039" s="10" t="s">
        <v>5276</v>
      </c>
      <c r="B12039" s="10" t="s">
        <v>42</v>
      </c>
      <c r="C12039" s="10" t="s">
        <v>276</v>
      </c>
      <c r="D12039" s="10" t="s">
        <v>5277</v>
      </c>
      <c r="E12039" s="14">
        <v>0.088</v>
      </c>
      <c r="F12039" s="15">
        <f>ROUND(285,3)</f>
        <v>285</v>
      </c>
      <c r="G12039" s="12">
        <f t="shared" si="1843"/>
        <v>25.08</v>
      </c>
    </row>
    <row r="12040" ht="21.0" customHeight="1">
      <c r="A12040" s="10" t="s">
        <v>22</v>
      </c>
      <c r="B12040" s="10" t="s">
        <v>18</v>
      </c>
      <c r="C12040" s="10" t="s">
        <v>23</v>
      </c>
      <c r="D12040" s="10" t="s">
        <v>24</v>
      </c>
      <c r="E12040" s="14">
        <v>0.27</v>
      </c>
      <c r="F12040" s="15">
        <f>F12044</f>
        <v>43.8</v>
      </c>
      <c r="G12040" s="12">
        <f t="shared" si="1843"/>
        <v>11.83</v>
      </c>
    </row>
    <row r="12041" ht="24.0" customHeight="1">
      <c r="A12041" s="10" t="s">
        <v>25</v>
      </c>
      <c r="B12041" s="10" t="s">
        <v>26</v>
      </c>
      <c r="C12041" s="10" t="s">
        <v>23</v>
      </c>
      <c r="D12041" s="10" t="s">
        <v>27</v>
      </c>
      <c r="E12041" s="14">
        <v>1.0</v>
      </c>
      <c r="F12041" s="15">
        <f>ROUND(21,3)</f>
        <v>21</v>
      </c>
      <c r="G12041" s="12">
        <f t="shared" si="1843"/>
        <v>21</v>
      </c>
    </row>
    <row r="12042" ht="24.0" customHeight="1">
      <c r="A12042" s="10" t="s">
        <v>28</v>
      </c>
      <c r="B12042" s="10" t="s">
        <v>26</v>
      </c>
      <c r="C12042" s="10" t="s">
        <v>23</v>
      </c>
      <c r="D12042" s="10" t="s">
        <v>29</v>
      </c>
      <c r="E12042" s="14">
        <v>1.0</v>
      </c>
      <c r="F12042" s="15">
        <f t="shared" ref="F12042:F12043" si="1844">ROUND(19,3)</f>
        <v>19</v>
      </c>
      <c r="G12042" s="12">
        <f t="shared" si="1843"/>
        <v>19</v>
      </c>
    </row>
    <row r="12043" ht="24.0" customHeight="1">
      <c r="A12043" s="10" t="s">
        <v>30</v>
      </c>
      <c r="B12043" s="10" t="s">
        <v>26</v>
      </c>
      <c r="C12043" s="10" t="s">
        <v>23</v>
      </c>
      <c r="D12043" s="10" t="s">
        <v>31</v>
      </c>
      <c r="E12043" s="14">
        <v>0.2</v>
      </c>
      <c r="F12043" s="15">
        <f t="shared" si="1844"/>
        <v>19</v>
      </c>
      <c r="G12043" s="12">
        <f t="shared" si="1843"/>
        <v>3.8</v>
      </c>
    </row>
    <row r="12044" ht="15.0" customHeight="1">
      <c r="A12044" s="11"/>
      <c r="B12044" s="11"/>
      <c r="C12044" s="11"/>
      <c r="D12044" s="10" t="s">
        <v>22</v>
      </c>
      <c r="E12044" s="14">
        <v>0.27</v>
      </c>
      <c r="F12044" s="15">
        <f>ROUND((G12041+G12042+G12043),3)</f>
        <v>43.8</v>
      </c>
      <c r="G12044" s="12">
        <f t="shared" si="1843"/>
        <v>11.83</v>
      </c>
    </row>
    <row r="12045" ht="15.0" customHeight="1">
      <c r="A12045" s="10" t="s">
        <v>32</v>
      </c>
      <c r="B12045" s="10"/>
      <c r="C12045" s="10" t="s">
        <v>33</v>
      </c>
      <c r="D12045" s="10" t="s">
        <v>34</v>
      </c>
      <c r="E12045" s="14">
        <v>3.0</v>
      </c>
      <c r="F12045" s="15">
        <f>ROUND(11.83,3)</f>
        <v>11.83</v>
      </c>
      <c r="G12045" s="12">
        <f>ROUND((E12045*F12045)/100,2)</f>
        <v>0.35</v>
      </c>
    </row>
    <row r="12046" ht="15.0" customHeight="1">
      <c r="A12046" s="16"/>
      <c r="B12046" s="16"/>
      <c r="C12046" s="16"/>
      <c r="D12046" s="17" t="s">
        <v>5281</v>
      </c>
      <c r="E12046" s="16"/>
      <c r="F12046" s="18">
        <f>ROUND((G12038+G12039+G12040+G12045)*(1+G2/100),2)</f>
        <v>38.99</v>
      </c>
      <c r="G12046" s="16"/>
    </row>
    <row r="12047" ht="30.0" customHeight="1">
      <c r="A12047" s="19" t="s">
        <v>5284</v>
      </c>
      <c r="B12047" s="20" t="s">
        <v>18</v>
      </c>
      <c r="C12047" s="20" t="s">
        <v>251</v>
      </c>
      <c r="D12047" s="20" t="s">
        <v>5285</v>
      </c>
      <c r="E12047" s="21"/>
      <c r="F12047" s="22">
        <f>F12057</f>
        <v>47.46</v>
      </c>
      <c r="G12047" s="21"/>
    </row>
    <row r="12048" ht="57.75" customHeight="1">
      <c r="A12048" s="11"/>
      <c r="B12048" s="11"/>
      <c r="C12048" s="11"/>
      <c r="D12048" s="10" t="s">
        <v>5286</v>
      </c>
    </row>
    <row r="12049" ht="39.75" customHeight="1">
      <c r="A12049" s="10" t="s">
        <v>5274</v>
      </c>
      <c r="B12049" s="10" t="s">
        <v>42</v>
      </c>
      <c r="C12049" s="10" t="s">
        <v>43</v>
      </c>
      <c r="D12049" s="10" t="s">
        <v>5275</v>
      </c>
      <c r="E12049" s="14">
        <v>0.0375</v>
      </c>
      <c r="F12049" s="15">
        <f>ROUND(46.14,3)</f>
        <v>46.14</v>
      </c>
      <c r="G12049" s="12">
        <f t="shared" ref="G12049:G12055" si="1845">ROUND(E12049*F12049,2)</f>
        <v>1.73</v>
      </c>
    </row>
    <row r="12050" ht="39.75" customHeight="1">
      <c r="A12050" s="10" t="s">
        <v>5276</v>
      </c>
      <c r="B12050" s="10" t="s">
        <v>42</v>
      </c>
      <c r="C12050" s="10" t="s">
        <v>276</v>
      </c>
      <c r="D12050" s="10" t="s">
        <v>5277</v>
      </c>
      <c r="E12050" s="14">
        <v>0.088</v>
      </c>
      <c r="F12050" s="15">
        <f>ROUND(285,3)</f>
        <v>285</v>
      </c>
      <c r="G12050" s="12">
        <f t="shared" si="1845"/>
        <v>25.08</v>
      </c>
    </row>
    <row r="12051" ht="24.0" customHeight="1">
      <c r="A12051" s="10" t="s">
        <v>286</v>
      </c>
      <c r="B12051" s="10" t="s">
        <v>18</v>
      </c>
      <c r="C12051" s="10" t="s">
        <v>23</v>
      </c>
      <c r="D12051" s="10" t="s">
        <v>287</v>
      </c>
      <c r="E12051" s="14">
        <v>0.405</v>
      </c>
      <c r="F12051" s="15">
        <f>F12055</f>
        <v>49.5</v>
      </c>
      <c r="G12051" s="12">
        <f t="shared" si="1845"/>
        <v>20.05</v>
      </c>
    </row>
    <row r="12052" ht="24.0" customHeight="1">
      <c r="A12052" s="10" t="s">
        <v>288</v>
      </c>
      <c r="B12052" s="10" t="s">
        <v>26</v>
      </c>
      <c r="C12052" s="10" t="s">
        <v>23</v>
      </c>
      <c r="D12052" s="10" t="s">
        <v>289</v>
      </c>
      <c r="E12052" s="14">
        <v>1.0</v>
      </c>
      <c r="F12052" s="15">
        <f>ROUND(21,3)</f>
        <v>21</v>
      </c>
      <c r="G12052" s="12">
        <f t="shared" si="1845"/>
        <v>21</v>
      </c>
    </row>
    <row r="12053" ht="24.0" customHeight="1">
      <c r="A12053" s="10" t="s">
        <v>290</v>
      </c>
      <c r="B12053" s="10" t="s">
        <v>26</v>
      </c>
      <c r="C12053" s="10" t="s">
        <v>23</v>
      </c>
      <c r="D12053" s="10" t="s">
        <v>291</v>
      </c>
      <c r="E12053" s="14">
        <v>1.0</v>
      </c>
      <c r="F12053" s="15">
        <f t="shared" ref="F12053:F12054" si="1846">ROUND(19,3)</f>
        <v>19</v>
      </c>
      <c r="G12053" s="12">
        <f t="shared" si="1845"/>
        <v>19</v>
      </c>
    </row>
    <row r="12054" ht="24.0" customHeight="1">
      <c r="A12054" s="10" t="s">
        <v>292</v>
      </c>
      <c r="B12054" s="10" t="s">
        <v>26</v>
      </c>
      <c r="C12054" s="10" t="s">
        <v>23</v>
      </c>
      <c r="D12054" s="10" t="s">
        <v>293</v>
      </c>
      <c r="E12054" s="14">
        <v>0.5</v>
      </c>
      <c r="F12054" s="15">
        <f t="shared" si="1846"/>
        <v>19</v>
      </c>
      <c r="G12054" s="12">
        <f t="shared" si="1845"/>
        <v>9.5</v>
      </c>
    </row>
    <row r="12055" ht="15.0" customHeight="1">
      <c r="A12055" s="11"/>
      <c r="B12055" s="11"/>
      <c r="C12055" s="11"/>
      <c r="D12055" s="10" t="s">
        <v>286</v>
      </c>
      <c r="E12055" s="14">
        <v>0.405</v>
      </c>
      <c r="F12055" s="15">
        <f>ROUND((G12052+G12053+G12054),3)</f>
        <v>49.5</v>
      </c>
      <c r="G12055" s="12">
        <f t="shared" si="1845"/>
        <v>20.05</v>
      </c>
    </row>
    <row r="12056" ht="15.0" customHeight="1">
      <c r="A12056" s="10" t="s">
        <v>32</v>
      </c>
      <c r="B12056" s="10"/>
      <c r="C12056" s="10" t="s">
        <v>33</v>
      </c>
      <c r="D12056" s="10" t="s">
        <v>34</v>
      </c>
      <c r="E12056" s="14">
        <v>3.0</v>
      </c>
      <c r="F12056" s="15">
        <f>ROUND(20.05,3)</f>
        <v>20.05</v>
      </c>
      <c r="G12056" s="12">
        <f>ROUND((E12056*F12056)/100,2)</f>
        <v>0.6</v>
      </c>
    </row>
    <row r="12057" ht="15.0" customHeight="1">
      <c r="A12057" s="16"/>
      <c r="B12057" s="16"/>
      <c r="C12057" s="16"/>
      <c r="D12057" s="17" t="s">
        <v>5284</v>
      </c>
      <c r="E12057" s="16"/>
      <c r="F12057" s="18">
        <f>ROUND((G12049+G12050+G12051+G12056)*(1+G2/100),2)</f>
        <v>47.46</v>
      </c>
      <c r="G12057" s="16"/>
    </row>
    <row r="12058" ht="21.0" customHeight="1">
      <c r="A12058" s="19" t="s">
        <v>5287</v>
      </c>
      <c r="B12058" s="20" t="s">
        <v>18</v>
      </c>
      <c r="C12058" s="20" t="s">
        <v>251</v>
      </c>
      <c r="D12058" s="20" t="s">
        <v>5288</v>
      </c>
      <c r="E12058" s="21"/>
      <c r="F12058" s="22">
        <f>F12062</f>
        <v>20.38</v>
      </c>
      <c r="G12058" s="21"/>
    </row>
    <row r="12059" ht="39.75" customHeight="1">
      <c r="A12059" s="11"/>
      <c r="B12059" s="11"/>
      <c r="C12059" s="11"/>
      <c r="D12059" s="10" t="s">
        <v>5289</v>
      </c>
    </row>
    <row r="12060" ht="15.0" customHeight="1">
      <c r="A12060" s="10" t="s">
        <v>5290</v>
      </c>
      <c r="B12060" s="10" t="s">
        <v>42</v>
      </c>
      <c r="C12060" s="10" t="s">
        <v>1207</v>
      </c>
      <c r="D12060" s="10" t="s">
        <v>5291</v>
      </c>
      <c r="E12060" s="14">
        <v>0.66</v>
      </c>
      <c r="F12060" s="15">
        <f>ROUND(14,3)</f>
        <v>14</v>
      </c>
      <c r="G12060" s="12">
        <f t="shared" ref="G12060:G12061" si="1847">ROUND(E12060*F12060,2)</f>
        <v>9.24</v>
      </c>
    </row>
    <row r="12061" ht="24.0" customHeight="1">
      <c r="A12061" s="10" t="s">
        <v>1186</v>
      </c>
      <c r="B12061" s="10" t="s">
        <v>26</v>
      </c>
      <c r="C12061" s="10" t="s">
        <v>23</v>
      </c>
      <c r="D12061" s="10" t="s">
        <v>1187</v>
      </c>
      <c r="E12061" s="14">
        <v>0.225</v>
      </c>
      <c r="F12061" s="15">
        <f>ROUND(49.5,3)</f>
        <v>49.5</v>
      </c>
      <c r="G12061" s="12">
        <f t="shared" si="1847"/>
        <v>11.14</v>
      </c>
    </row>
    <row r="12062" ht="15.0" customHeight="1">
      <c r="A12062" s="16"/>
      <c r="B12062" s="16"/>
      <c r="C12062" s="16"/>
      <c r="D12062" s="17" t="s">
        <v>5287</v>
      </c>
      <c r="E12062" s="16"/>
      <c r="F12062" s="18">
        <f>ROUND((G12060+G12061)*(1+G2/100),2)</f>
        <v>20.38</v>
      </c>
      <c r="G12062" s="16"/>
    </row>
    <row r="12063" ht="21.0" customHeight="1">
      <c r="A12063" s="19" t="s">
        <v>5292</v>
      </c>
      <c r="B12063" s="20" t="s">
        <v>18</v>
      </c>
      <c r="C12063" s="20" t="s">
        <v>251</v>
      </c>
      <c r="D12063" s="20" t="s">
        <v>5293</v>
      </c>
      <c r="E12063" s="21"/>
      <c r="F12063" s="22">
        <f>F12067</f>
        <v>41.88</v>
      </c>
      <c r="G12063" s="21"/>
    </row>
    <row r="12064" ht="39.75" customHeight="1">
      <c r="A12064" s="11"/>
      <c r="B12064" s="11"/>
      <c r="C12064" s="11"/>
      <c r="D12064" s="10" t="s">
        <v>5294</v>
      </c>
    </row>
    <row r="12065" ht="15.0" customHeight="1">
      <c r="A12065" s="10" t="s">
        <v>5290</v>
      </c>
      <c r="B12065" s="10" t="s">
        <v>42</v>
      </c>
      <c r="C12065" s="10" t="s">
        <v>1207</v>
      </c>
      <c r="D12065" s="10" t="s">
        <v>5291</v>
      </c>
      <c r="E12065" s="14">
        <v>1.4</v>
      </c>
      <c r="F12065" s="15">
        <f>ROUND(14,3)</f>
        <v>14</v>
      </c>
      <c r="G12065" s="12">
        <f t="shared" ref="G12065:G12066" si="1848">ROUND(E12065*F12065,2)</f>
        <v>19.6</v>
      </c>
    </row>
    <row r="12066" ht="24.0" customHeight="1">
      <c r="A12066" s="10" t="s">
        <v>1186</v>
      </c>
      <c r="B12066" s="10" t="s">
        <v>26</v>
      </c>
      <c r="C12066" s="10" t="s">
        <v>23</v>
      </c>
      <c r="D12066" s="10" t="s">
        <v>1187</v>
      </c>
      <c r="E12066" s="14">
        <v>0.45</v>
      </c>
      <c r="F12066" s="15">
        <f>ROUND(49.5,3)</f>
        <v>49.5</v>
      </c>
      <c r="G12066" s="12">
        <f t="shared" si="1848"/>
        <v>22.28</v>
      </c>
    </row>
    <row r="12067" ht="15.0" customHeight="1">
      <c r="A12067" s="16"/>
      <c r="B12067" s="16"/>
      <c r="C12067" s="16"/>
      <c r="D12067" s="17" t="s">
        <v>5292</v>
      </c>
      <c r="E12067" s="16"/>
      <c r="F12067" s="18">
        <f>ROUND((G12065+G12066)*(1+G2/100),2)</f>
        <v>41.88</v>
      </c>
      <c r="G12067" s="16"/>
    </row>
    <row r="12068" ht="67.5" customHeight="1">
      <c r="A12068" s="19" t="s">
        <v>5295</v>
      </c>
      <c r="B12068" s="20" t="s">
        <v>18</v>
      </c>
      <c r="C12068" s="20" t="s">
        <v>19</v>
      </c>
      <c r="D12068" s="20" t="s">
        <v>5296</v>
      </c>
      <c r="E12068" s="21"/>
      <c r="F12068" s="22">
        <f>F12078</f>
        <v>27.1</v>
      </c>
      <c r="G12068" s="21"/>
    </row>
    <row r="12069" ht="30.0" customHeight="1">
      <c r="A12069" s="11"/>
      <c r="B12069" s="11"/>
      <c r="C12069" s="11"/>
      <c r="D12069" s="10" t="s">
        <v>5297</v>
      </c>
    </row>
    <row r="12070" ht="39.75" customHeight="1">
      <c r="A12070" s="10" t="s">
        <v>4969</v>
      </c>
      <c r="B12070" s="10" t="s">
        <v>42</v>
      </c>
      <c r="C12070" s="10" t="s">
        <v>276</v>
      </c>
      <c r="D12070" s="10" t="s">
        <v>4970</v>
      </c>
      <c r="E12070" s="14">
        <v>0.00444</v>
      </c>
      <c r="F12070" s="15">
        <f>ROUND(117.57,3)</f>
        <v>117.57</v>
      </c>
      <c r="G12070" s="12">
        <f t="shared" ref="G12070:G12076" si="1849">ROUND(E12070*F12070,2)</f>
        <v>0.52</v>
      </c>
    </row>
    <row r="12071" ht="57.75" customHeight="1">
      <c r="A12071" s="10" t="s">
        <v>4971</v>
      </c>
      <c r="B12071" s="10" t="s">
        <v>42</v>
      </c>
      <c r="C12071" s="10" t="s">
        <v>276</v>
      </c>
      <c r="D12071" s="10" t="s">
        <v>4972</v>
      </c>
      <c r="E12071" s="14">
        <v>0.022</v>
      </c>
      <c r="F12071" s="15">
        <f>ROUND(172.5,3)</f>
        <v>172.5</v>
      </c>
      <c r="G12071" s="12">
        <f t="shared" si="1849"/>
        <v>3.8</v>
      </c>
    </row>
    <row r="12072" ht="21.0" customHeight="1">
      <c r="A12072" s="10" t="s">
        <v>1416</v>
      </c>
      <c r="B12072" s="10" t="s">
        <v>18</v>
      </c>
      <c r="C12072" s="10" t="s">
        <v>23</v>
      </c>
      <c r="D12072" s="10" t="s">
        <v>1417</v>
      </c>
      <c r="E12072" s="14">
        <v>0.486</v>
      </c>
      <c r="F12072" s="15">
        <f>F12076</f>
        <v>43.8</v>
      </c>
      <c r="G12072" s="12">
        <f t="shared" si="1849"/>
        <v>21.29</v>
      </c>
    </row>
    <row r="12073" ht="24.0" customHeight="1">
      <c r="A12073" s="10" t="s">
        <v>1418</v>
      </c>
      <c r="B12073" s="10" t="s">
        <v>26</v>
      </c>
      <c r="C12073" s="10" t="s">
        <v>23</v>
      </c>
      <c r="D12073" s="10" t="s">
        <v>1419</v>
      </c>
      <c r="E12073" s="14">
        <v>1.0</v>
      </c>
      <c r="F12073" s="15">
        <f>ROUND(21,3)</f>
        <v>21</v>
      </c>
      <c r="G12073" s="12">
        <f t="shared" si="1849"/>
        <v>21</v>
      </c>
    </row>
    <row r="12074" ht="24.0" customHeight="1">
      <c r="A12074" s="10" t="s">
        <v>1420</v>
      </c>
      <c r="B12074" s="10" t="s">
        <v>26</v>
      </c>
      <c r="C12074" s="10" t="s">
        <v>23</v>
      </c>
      <c r="D12074" s="10" t="s">
        <v>1421</v>
      </c>
      <c r="E12074" s="14">
        <v>1.0</v>
      </c>
      <c r="F12074" s="15">
        <f t="shared" ref="F12074:F12075" si="1850">ROUND(19,3)</f>
        <v>19</v>
      </c>
      <c r="G12074" s="12">
        <f t="shared" si="1849"/>
        <v>19</v>
      </c>
    </row>
    <row r="12075" ht="24.0" customHeight="1">
      <c r="A12075" s="10" t="s">
        <v>30</v>
      </c>
      <c r="B12075" s="10" t="s">
        <v>26</v>
      </c>
      <c r="C12075" s="10" t="s">
        <v>23</v>
      </c>
      <c r="D12075" s="10" t="s">
        <v>31</v>
      </c>
      <c r="E12075" s="14">
        <v>0.2</v>
      </c>
      <c r="F12075" s="15">
        <f t="shared" si="1850"/>
        <v>19</v>
      </c>
      <c r="G12075" s="12">
        <f t="shared" si="1849"/>
        <v>3.8</v>
      </c>
    </row>
    <row r="12076" ht="15.0" customHeight="1">
      <c r="A12076" s="11"/>
      <c r="B12076" s="11"/>
      <c r="C12076" s="11"/>
      <c r="D12076" s="10" t="s">
        <v>1416</v>
      </c>
      <c r="E12076" s="14">
        <v>0.486</v>
      </c>
      <c r="F12076" s="15">
        <f>ROUND((G12073+G12074+G12075),3)</f>
        <v>43.8</v>
      </c>
      <c r="G12076" s="12">
        <f t="shared" si="1849"/>
        <v>21.29</v>
      </c>
    </row>
    <row r="12077" ht="15.0" customHeight="1">
      <c r="A12077" s="10" t="s">
        <v>32</v>
      </c>
      <c r="B12077" s="10"/>
      <c r="C12077" s="10" t="s">
        <v>33</v>
      </c>
      <c r="D12077" s="10" t="s">
        <v>34</v>
      </c>
      <c r="E12077" s="14">
        <v>7.0</v>
      </c>
      <c r="F12077" s="15">
        <f>ROUND(21.29,3)</f>
        <v>21.29</v>
      </c>
      <c r="G12077" s="12">
        <f>ROUND((E12077*F12077)/100,2)</f>
        <v>1.49</v>
      </c>
    </row>
    <row r="12078" ht="24.75" customHeight="1">
      <c r="A12078" s="16"/>
      <c r="B12078" s="16"/>
      <c r="C12078" s="16"/>
      <c r="D12078" s="17" t="s">
        <v>5295</v>
      </c>
      <c r="E12078" s="16"/>
      <c r="F12078" s="18">
        <f>ROUND((G12070+G12071+G12072+G12077)*(1+G2/100),2)</f>
        <v>27.1</v>
      </c>
      <c r="G12078" s="16"/>
    </row>
    <row r="12079" ht="57.75" customHeight="1">
      <c r="A12079" s="19" t="s">
        <v>5298</v>
      </c>
      <c r="B12079" s="20" t="s">
        <v>18</v>
      </c>
      <c r="C12079" s="20" t="s">
        <v>19</v>
      </c>
      <c r="D12079" s="20" t="s">
        <v>5299</v>
      </c>
      <c r="E12079" s="21"/>
      <c r="F12079" s="22">
        <f>F12089</f>
        <v>16.35</v>
      </c>
      <c r="G12079" s="21"/>
    </row>
    <row r="12080" ht="30.0" customHeight="1">
      <c r="A12080" s="11"/>
      <c r="B12080" s="11"/>
      <c r="C12080" s="11"/>
      <c r="D12080" s="10" t="s">
        <v>5300</v>
      </c>
    </row>
    <row r="12081" ht="39.75" customHeight="1">
      <c r="A12081" s="10" t="s">
        <v>4969</v>
      </c>
      <c r="B12081" s="10" t="s">
        <v>42</v>
      </c>
      <c r="C12081" s="10" t="s">
        <v>276</v>
      </c>
      <c r="D12081" s="10" t="s">
        <v>4970</v>
      </c>
      <c r="E12081" s="14">
        <v>0.00444</v>
      </c>
      <c r="F12081" s="15">
        <f>ROUND(117.57,3)</f>
        <v>117.57</v>
      </c>
      <c r="G12081" s="12">
        <f t="shared" ref="G12081:G12087" si="1851">ROUND(E12081*F12081,2)</f>
        <v>0.52</v>
      </c>
    </row>
    <row r="12082" ht="57.75" customHeight="1">
      <c r="A12082" s="10" t="s">
        <v>4971</v>
      </c>
      <c r="B12082" s="10" t="s">
        <v>42</v>
      </c>
      <c r="C12082" s="10" t="s">
        <v>276</v>
      </c>
      <c r="D12082" s="10" t="s">
        <v>4972</v>
      </c>
      <c r="E12082" s="14">
        <v>0.022</v>
      </c>
      <c r="F12082" s="15">
        <f>ROUND(172.5,3)</f>
        <v>172.5</v>
      </c>
      <c r="G12082" s="12">
        <f t="shared" si="1851"/>
        <v>3.8</v>
      </c>
    </row>
    <row r="12083" ht="21.0" customHeight="1">
      <c r="A12083" s="10" t="s">
        <v>1416</v>
      </c>
      <c r="B12083" s="10" t="s">
        <v>18</v>
      </c>
      <c r="C12083" s="10" t="s">
        <v>23</v>
      </c>
      <c r="D12083" s="10" t="s">
        <v>1417</v>
      </c>
      <c r="E12083" s="14">
        <v>0.26667</v>
      </c>
      <c r="F12083" s="15">
        <f>F12087</f>
        <v>43.8</v>
      </c>
      <c r="G12083" s="12">
        <f t="shared" si="1851"/>
        <v>11.68</v>
      </c>
    </row>
    <row r="12084" ht="24.0" customHeight="1">
      <c r="A12084" s="10" t="s">
        <v>1418</v>
      </c>
      <c r="B12084" s="10" t="s">
        <v>26</v>
      </c>
      <c r="C12084" s="10" t="s">
        <v>23</v>
      </c>
      <c r="D12084" s="10" t="s">
        <v>1419</v>
      </c>
      <c r="E12084" s="14">
        <v>1.0</v>
      </c>
      <c r="F12084" s="15">
        <f>ROUND(21,3)</f>
        <v>21</v>
      </c>
      <c r="G12084" s="12">
        <f t="shared" si="1851"/>
        <v>21</v>
      </c>
    </row>
    <row r="12085" ht="24.0" customHeight="1">
      <c r="A12085" s="10" t="s">
        <v>1420</v>
      </c>
      <c r="B12085" s="10" t="s">
        <v>26</v>
      </c>
      <c r="C12085" s="10" t="s">
        <v>23</v>
      </c>
      <c r="D12085" s="10" t="s">
        <v>1421</v>
      </c>
      <c r="E12085" s="14">
        <v>1.0</v>
      </c>
      <c r="F12085" s="15">
        <f t="shared" ref="F12085:F12086" si="1852">ROUND(19,3)</f>
        <v>19</v>
      </c>
      <c r="G12085" s="12">
        <f t="shared" si="1851"/>
        <v>19</v>
      </c>
    </row>
    <row r="12086" ht="24.0" customHeight="1">
      <c r="A12086" s="10" t="s">
        <v>30</v>
      </c>
      <c r="B12086" s="10" t="s">
        <v>26</v>
      </c>
      <c r="C12086" s="10" t="s">
        <v>23</v>
      </c>
      <c r="D12086" s="10" t="s">
        <v>31</v>
      </c>
      <c r="E12086" s="14">
        <v>0.2</v>
      </c>
      <c r="F12086" s="15">
        <f t="shared" si="1852"/>
        <v>19</v>
      </c>
      <c r="G12086" s="12">
        <f t="shared" si="1851"/>
        <v>3.8</v>
      </c>
    </row>
    <row r="12087" ht="15.0" customHeight="1">
      <c r="A12087" s="11"/>
      <c r="B12087" s="11"/>
      <c r="C12087" s="11"/>
      <c r="D12087" s="10" t="s">
        <v>1416</v>
      </c>
      <c r="E12087" s="14">
        <v>0.26667</v>
      </c>
      <c r="F12087" s="15">
        <f>ROUND((G12084+G12085+G12086),3)</f>
        <v>43.8</v>
      </c>
      <c r="G12087" s="12">
        <f t="shared" si="1851"/>
        <v>11.68</v>
      </c>
    </row>
    <row r="12088" ht="15.0" customHeight="1">
      <c r="A12088" s="10" t="s">
        <v>32</v>
      </c>
      <c r="B12088" s="10"/>
      <c r="C12088" s="10" t="s">
        <v>33</v>
      </c>
      <c r="D12088" s="10" t="s">
        <v>34</v>
      </c>
      <c r="E12088" s="14">
        <v>3.0</v>
      </c>
      <c r="F12088" s="15">
        <f>ROUND(11.68,3)</f>
        <v>11.68</v>
      </c>
      <c r="G12088" s="12">
        <f>ROUND((E12088*F12088)/100,2)</f>
        <v>0.35</v>
      </c>
    </row>
    <row r="12089" ht="15.0" customHeight="1">
      <c r="A12089" s="16"/>
      <c r="B12089" s="16"/>
      <c r="C12089" s="16"/>
      <c r="D12089" s="17" t="s">
        <v>5298</v>
      </c>
      <c r="E12089" s="16"/>
      <c r="F12089" s="18">
        <f>ROUND((G12081+G12082+G12083+G12088)*(1+G2/100),2)</f>
        <v>16.35</v>
      </c>
      <c r="G12089" s="16"/>
    </row>
    <row r="12090" ht="57.75" customHeight="1">
      <c r="A12090" s="19" t="s">
        <v>5301</v>
      </c>
      <c r="B12090" s="20" t="s">
        <v>18</v>
      </c>
      <c r="C12090" s="20" t="s">
        <v>19</v>
      </c>
      <c r="D12090" s="20" t="s">
        <v>5302</v>
      </c>
      <c r="E12090" s="21"/>
      <c r="F12090" s="22">
        <f>F12100</f>
        <v>18.67</v>
      </c>
      <c r="G12090" s="21"/>
    </row>
    <row r="12091" ht="30.0" customHeight="1">
      <c r="A12091" s="11"/>
      <c r="B12091" s="11"/>
      <c r="C12091" s="11"/>
      <c r="D12091" s="10" t="s">
        <v>5303</v>
      </c>
    </row>
    <row r="12092" ht="39.75" customHeight="1">
      <c r="A12092" s="10" t="s">
        <v>4979</v>
      </c>
      <c r="B12092" s="10" t="s">
        <v>42</v>
      </c>
      <c r="C12092" s="10" t="s">
        <v>276</v>
      </c>
      <c r="D12092" s="10" t="s">
        <v>4980</v>
      </c>
      <c r="E12092" s="14">
        <v>0.00825</v>
      </c>
      <c r="F12092" s="15">
        <f>ROUND(284.34,3)</f>
        <v>284.34</v>
      </c>
      <c r="G12092" s="12">
        <f t="shared" ref="G12092:G12098" si="1853">ROUND(E12092*F12092,2)</f>
        <v>2.35</v>
      </c>
    </row>
    <row r="12093" ht="30.0" customHeight="1">
      <c r="A12093" s="10" t="s">
        <v>4981</v>
      </c>
      <c r="B12093" s="10" t="s">
        <v>42</v>
      </c>
      <c r="C12093" s="10" t="s">
        <v>276</v>
      </c>
      <c r="D12093" s="10" t="s">
        <v>4982</v>
      </c>
      <c r="E12093" s="14">
        <v>0.011</v>
      </c>
      <c r="F12093" s="15">
        <f>ROUND(347.03,3)</f>
        <v>347.03</v>
      </c>
      <c r="G12093" s="12">
        <f t="shared" si="1853"/>
        <v>3.82</v>
      </c>
    </row>
    <row r="12094" ht="21.0" customHeight="1">
      <c r="A12094" s="10" t="s">
        <v>1416</v>
      </c>
      <c r="B12094" s="10" t="s">
        <v>18</v>
      </c>
      <c r="C12094" s="10" t="s">
        <v>23</v>
      </c>
      <c r="D12094" s="10" t="s">
        <v>1417</v>
      </c>
      <c r="E12094" s="14">
        <v>0.26667</v>
      </c>
      <c r="F12094" s="15">
        <f>F12098</f>
        <v>43.8</v>
      </c>
      <c r="G12094" s="12">
        <f t="shared" si="1853"/>
        <v>11.68</v>
      </c>
    </row>
    <row r="12095" ht="24.0" customHeight="1">
      <c r="A12095" s="10" t="s">
        <v>1418</v>
      </c>
      <c r="B12095" s="10" t="s">
        <v>26</v>
      </c>
      <c r="C12095" s="10" t="s">
        <v>23</v>
      </c>
      <c r="D12095" s="10" t="s">
        <v>1419</v>
      </c>
      <c r="E12095" s="14">
        <v>1.0</v>
      </c>
      <c r="F12095" s="15">
        <f>ROUND(21,3)</f>
        <v>21</v>
      </c>
      <c r="G12095" s="12">
        <f t="shared" si="1853"/>
        <v>21</v>
      </c>
    </row>
    <row r="12096" ht="24.0" customHeight="1">
      <c r="A12096" s="10" t="s">
        <v>1420</v>
      </c>
      <c r="B12096" s="10" t="s">
        <v>26</v>
      </c>
      <c r="C12096" s="10" t="s">
        <v>23</v>
      </c>
      <c r="D12096" s="10" t="s">
        <v>1421</v>
      </c>
      <c r="E12096" s="14">
        <v>1.0</v>
      </c>
      <c r="F12096" s="15">
        <f t="shared" ref="F12096:F12097" si="1854">ROUND(19,3)</f>
        <v>19</v>
      </c>
      <c r="G12096" s="12">
        <f t="shared" si="1853"/>
        <v>19</v>
      </c>
    </row>
    <row r="12097" ht="24.0" customHeight="1">
      <c r="A12097" s="10" t="s">
        <v>30</v>
      </c>
      <c r="B12097" s="10" t="s">
        <v>26</v>
      </c>
      <c r="C12097" s="10" t="s">
        <v>23</v>
      </c>
      <c r="D12097" s="10" t="s">
        <v>31</v>
      </c>
      <c r="E12097" s="14">
        <v>0.2</v>
      </c>
      <c r="F12097" s="15">
        <f t="shared" si="1854"/>
        <v>19</v>
      </c>
      <c r="G12097" s="12">
        <f t="shared" si="1853"/>
        <v>3.8</v>
      </c>
    </row>
    <row r="12098" ht="15.0" customHeight="1">
      <c r="A12098" s="11"/>
      <c r="B12098" s="11"/>
      <c r="C12098" s="11"/>
      <c r="D12098" s="10" t="s">
        <v>1416</v>
      </c>
      <c r="E12098" s="14">
        <v>0.26667</v>
      </c>
      <c r="F12098" s="15">
        <f>ROUND((G12095+G12096+G12097),3)</f>
        <v>43.8</v>
      </c>
      <c r="G12098" s="12">
        <f t="shared" si="1853"/>
        <v>11.68</v>
      </c>
    </row>
    <row r="12099" ht="15.0" customHeight="1">
      <c r="A12099" s="10" t="s">
        <v>32</v>
      </c>
      <c r="B12099" s="10"/>
      <c r="C12099" s="10" t="s">
        <v>33</v>
      </c>
      <c r="D12099" s="10" t="s">
        <v>34</v>
      </c>
      <c r="E12099" s="14">
        <v>7.0</v>
      </c>
      <c r="F12099" s="15">
        <f>ROUND(11.68,3)</f>
        <v>11.68</v>
      </c>
      <c r="G12099" s="12">
        <f>ROUND((E12099*F12099)/100,2)</f>
        <v>0.82</v>
      </c>
    </row>
    <row r="12100" ht="15.0" customHeight="1">
      <c r="A12100" s="16"/>
      <c r="B12100" s="16"/>
      <c r="C12100" s="16"/>
      <c r="D12100" s="17" t="s">
        <v>5301</v>
      </c>
      <c r="E12100" s="16"/>
      <c r="F12100" s="18">
        <f>ROUND((G12092+G12093+G12094+G12099)*(1+G2/100),2)</f>
        <v>18.67</v>
      </c>
      <c r="G12100" s="16"/>
    </row>
    <row r="12101" ht="67.5" customHeight="1">
      <c r="A12101" s="19" t="s">
        <v>5304</v>
      </c>
      <c r="B12101" s="20" t="s">
        <v>18</v>
      </c>
      <c r="C12101" s="20" t="s">
        <v>19</v>
      </c>
      <c r="D12101" s="20" t="s">
        <v>5305</v>
      </c>
      <c r="E12101" s="21"/>
      <c r="F12101" s="22">
        <f>F12111</f>
        <v>22.43</v>
      </c>
      <c r="G12101" s="21"/>
    </row>
    <row r="12102" ht="30.0" customHeight="1">
      <c r="A12102" s="11"/>
      <c r="B12102" s="11"/>
      <c r="C12102" s="11"/>
      <c r="D12102" s="10" t="s">
        <v>5306</v>
      </c>
    </row>
    <row r="12103" ht="39.75" customHeight="1">
      <c r="A12103" s="10" t="s">
        <v>4979</v>
      </c>
      <c r="B12103" s="10" t="s">
        <v>42</v>
      </c>
      <c r="C12103" s="10" t="s">
        <v>276</v>
      </c>
      <c r="D12103" s="10" t="s">
        <v>4980</v>
      </c>
      <c r="E12103" s="14">
        <v>0.00825</v>
      </c>
      <c r="F12103" s="15">
        <f>ROUND(284.34,3)</f>
        <v>284.34</v>
      </c>
      <c r="G12103" s="12">
        <f t="shared" ref="G12103:G12109" si="1855">ROUND(E12103*F12103,2)</f>
        <v>2.35</v>
      </c>
    </row>
    <row r="12104" ht="30.0" customHeight="1">
      <c r="A12104" s="10" t="s">
        <v>4981</v>
      </c>
      <c r="B12104" s="10" t="s">
        <v>42</v>
      </c>
      <c r="C12104" s="10" t="s">
        <v>276</v>
      </c>
      <c r="D12104" s="10" t="s">
        <v>4982</v>
      </c>
      <c r="E12104" s="14">
        <v>0.011</v>
      </c>
      <c r="F12104" s="15">
        <f>ROUND(347.03,3)</f>
        <v>347.03</v>
      </c>
      <c r="G12104" s="12">
        <f t="shared" si="1855"/>
        <v>3.82</v>
      </c>
    </row>
    <row r="12105" ht="21.0" customHeight="1">
      <c r="A12105" s="10" t="s">
        <v>1416</v>
      </c>
      <c r="B12105" s="10" t="s">
        <v>18</v>
      </c>
      <c r="C12105" s="10" t="s">
        <v>23</v>
      </c>
      <c r="D12105" s="10" t="s">
        <v>1417</v>
      </c>
      <c r="E12105" s="14">
        <v>0.347</v>
      </c>
      <c r="F12105" s="15">
        <f>F12109</f>
        <v>43.8</v>
      </c>
      <c r="G12105" s="12">
        <f t="shared" si="1855"/>
        <v>15.2</v>
      </c>
    </row>
    <row r="12106" ht="24.0" customHeight="1">
      <c r="A12106" s="10" t="s">
        <v>1418</v>
      </c>
      <c r="B12106" s="10" t="s">
        <v>26</v>
      </c>
      <c r="C12106" s="10" t="s">
        <v>23</v>
      </c>
      <c r="D12106" s="10" t="s">
        <v>1419</v>
      </c>
      <c r="E12106" s="14">
        <v>1.0</v>
      </c>
      <c r="F12106" s="15">
        <f>ROUND(21,3)</f>
        <v>21</v>
      </c>
      <c r="G12106" s="12">
        <f t="shared" si="1855"/>
        <v>21</v>
      </c>
    </row>
    <row r="12107" ht="24.0" customHeight="1">
      <c r="A12107" s="10" t="s">
        <v>1420</v>
      </c>
      <c r="B12107" s="10" t="s">
        <v>26</v>
      </c>
      <c r="C12107" s="10" t="s">
        <v>23</v>
      </c>
      <c r="D12107" s="10" t="s">
        <v>1421</v>
      </c>
      <c r="E12107" s="14">
        <v>1.0</v>
      </c>
      <c r="F12107" s="15">
        <f t="shared" ref="F12107:F12108" si="1856">ROUND(19,3)</f>
        <v>19</v>
      </c>
      <c r="G12107" s="12">
        <f t="shared" si="1855"/>
        <v>19</v>
      </c>
    </row>
    <row r="12108" ht="24.0" customHeight="1">
      <c r="A12108" s="10" t="s">
        <v>30</v>
      </c>
      <c r="B12108" s="10" t="s">
        <v>26</v>
      </c>
      <c r="C12108" s="10" t="s">
        <v>23</v>
      </c>
      <c r="D12108" s="10" t="s">
        <v>31</v>
      </c>
      <c r="E12108" s="14">
        <v>0.2</v>
      </c>
      <c r="F12108" s="15">
        <f t="shared" si="1856"/>
        <v>19</v>
      </c>
      <c r="G12108" s="12">
        <f t="shared" si="1855"/>
        <v>3.8</v>
      </c>
    </row>
    <row r="12109" ht="15.0" customHeight="1">
      <c r="A12109" s="11"/>
      <c r="B12109" s="11"/>
      <c r="C12109" s="11"/>
      <c r="D12109" s="10" t="s">
        <v>1416</v>
      </c>
      <c r="E12109" s="14">
        <v>0.347</v>
      </c>
      <c r="F12109" s="15">
        <f>ROUND((G12106+G12107+G12108),3)</f>
        <v>43.8</v>
      </c>
      <c r="G12109" s="12">
        <f t="shared" si="1855"/>
        <v>15.2</v>
      </c>
    </row>
    <row r="12110" ht="15.0" customHeight="1">
      <c r="A12110" s="10" t="s">
        <v>32</v>
      </c>
      <c r="B12110" s="10"/>
      <c r="C12110" s="10" t="s">
        <v>33</v>
      </c>
      <c r="D12110" s="10" t="s">
        <v>34</v>
      </c>
      <c r="E12110" s="14">
        <v>7.0</v>
      </c>
      <c r="F12110" s="15">
        <f>ROUND(15.2,3)</f>
        <v>15.2</v>
      </c>
      <c r="G12110" s="12">
        <f>ROUND((E12110*F12110)/100,2)</f>
        <v>1.06</v>
      </c>
    </row>
    <row r="12111" ht="24.75" customHeight="1">
      <c r="A12111" s="16"/>
      <c r="B12111" s="16"/>
      <c r="C12111" s="16"/>
      <c r="D12111" s="17" t="s">
        <v>5304</v>
      </c>
      <c r="E12111" s="16"/>
      <c r="F12111" s="18">
        <f>ROUND((G12103+G12104+G12105+G12110)*(1+G2/100),2)</f>
        <v>22.43</v>
      </c>
      <c r="G12111" s="16"/>
    </row>
    <row r="12112" ht="48.75" customHeight="1">
      <c r="A12112" s="19" t="s">
        <v>5307</v>
      </c>
      <c r="B12112" s="20" t="s">
        <v>18</v>
      </c>
      <c r="C12112" s="20" t="s">
        <v>19</v>
      </c>
      <c r="D12112" s="20" t="s">
        <v>5308</v>
      </c>
      <c r="E12112" s="21"/>
      <c r="F12112" s="22">
        <f>F12122</f>
        <v>19.55</v>
      </c>
      <c r="G12112" s="21"/>
    </row>
    <row r="12113" ht="21.0" customHeight="1">
      <c r="A12113" s="11"/>
      <c r="B12113" s="11"/>
      <c r="C12113" s="11"/>
      <c r="D12113" s="10" t="s">
        <v>5309</v>
      </c>
    </row>
    <row r="12114" ht="30.0" customHeight="1">
      <c r="A12114" s="10" t="s">
        <v>4989</v>
      </c>
      <c r="B12114" s="10" t="s">
        <v>42</v>
      </c>
      <c r="C12114" s="10" t="s">
        <v>276</v>
      </c>
      <c r="D12114" s="10" t="s">
        <v>4990</v>
      </c>
      <c r="E12114" s="14">
        <v>0.00825</v>
      </c>
      <c r="F12114" s="15">
        <f>ROUND(227.64,3)</f>
        <v>227.64</v>
      </c>
      <c r="G12114" s="12">
        <f t="shared" ref="G12114:G12120" si="1857">ROUND(E12114*F12114,2)</f>
        <v>1.88</v>
      </c>
    </row>
    <row r="12115" ht="39.75" customHeight="1">
      <c r="A12115" s="10" t="s">
        <v>4991</v>
      </c>
      <c r="B12115" s="10" t="s">
        <v>42</v>
      </c>
      <c r="C12115" s="10" t="s">
        <v>43</v>
      </c>
      <c r="D12115" s="10" t="s">
        <v>4992</v>
      </c>
      <c r="E12115" s="14">
        <v>0.077</v>
      </c>
      <c r="F12115" s="15">
        <f>ROUND(73.31,3)</f>
        <v>73.31</v>
      </c>
      <c r="G12115" s="12">
        <f t="shared" si="1857"/>
        <v>5.64</v>
      </c>
    </row>
    <row r="12116" ht="21.0" customHeight="1">
      <c r="A12116" s="10" t="s">
        <v>1416</v>
      </c>
      <c r="B12116" s="10" t="s">
        <v>18</v>
      </c>
      <c r="C12116" s="10" t="s">
        <v>23</v>
      </c>
      <c r="D12116" s="10" t="s">
        <v>1417</v>
      </c>
      <c r="E12116" s="14">
        <v>0.26667</v>
      </c>
      <c r="F12116" s="15">
        <f>F12120</f>
        <v>43.8</v>
      </c>
      <c r="G12116" s="12">
        <f t="shared" si="1857"/>
        <v>11.68</v>
      </c>
    </row>
    <row r="12117" ht="24.0" customHeight="1">
      <c r="A12117" s="10" t="s">
        <v>1418</v>
      </c>
      <c r="B12117" s="10" t="s">
        <v>26</v>
      </c>
      <c r="C12117" s="10" t="s">
        <v>23</v>
      </c>
      <c r="D12117" s="10" t="s">
        <v>1419</v>
      </c>
      <c r="E12117" s="14">
        <v>1.0</v>
      </c>
      <c r="F12117" s="15">
        <f>ROUND(21,3)</f>
        <v>21</v>
      </c>
      <c r="G12117" s="12">
        <f t="shared" si="1857"/>
        <v>21</v>
      </c>
    </row>
    <row r="12118" ht="24.0" customHeight="1">
      <c r="A12118" s="10" t="s">
        <v>1420</v>
      </c>
      <c r="B12118" s="10" t="s">
        <v>26</v>
      </c>
      <c r="C12118" s="10" t="s">
        <v>23</v>
      </c>
      <c r="D12118" s="10" t="s">
        <v>1421</v>
      </c>
      <c r="E12118" s="14">
        <v>1.0</v>
      </c>
      <c r="F12118" s="15">
        <f t="shared" ref="F12118:F12119" si="1858">ROUND(19,3)</f>
        <v>19</v>
      </c>
      <c r="G12118" s="12">
        <f t="shared" si="1857"/>
        <v>19</v>
      </c>
    </row>
    <row r="12119" ht="24.0" customHeight="1">
      <c r="A12119" s="10" t="s">
        <v>30</v>
      </c>
      <c r="B12119" s="10" t="s">
        <v>26</v>
      </c>
      <c r="C12119" s="10" t="s">
        <v>23</v>
      </c>
      <c r="D12119" s="10" t="s">
        <v>31</v>
      </c>
      <c r="E12119" s="14">
        <v>0.2</v>
      </c>
      <c r="F12119" s="15">
        <f t="shared" si="1858"/>
        <v>19</v>
      </c>
      <c r="G12119" s="12">
        <f t="shared" si="1857"/>
        <v>3.8</v>
      </c>
    </row>
    <row r="12120" ht="15.0" customHeight="1">
      <c r="A12120" s="11"/>
      <c r="B12120" s="11"/>
      <c r="C12120" s="11"/>
      <c r="D12120" s="10" t="s">
        <v>1416</v>
      </c>
      <c r="E12120" s="14">
        <v>0.26667</v>
      </c>
      <c r="F12120" s="15">
        <f>ROUND((G12117+G12118+G12119),3)</f>
        <v>43.8</v>
      </c>
      <c r="G12120" s="12">
        <f t="shared" si="1857"/>
        <v>11.68</v>
      </c>
    </row>
    <row r="12121" ht="15.0" customHeight="1">
      <c r="A12121" s="10" t="s">
        <v>32</v>
      </c>
      <c r="B12121" s="10"/>
      <c r="C12121" s="10" t="s">
        <v>33</v>
      </c>
      <c r="D12121" s="10" t="s">
        <v>34</v>
      </c>
      <c r="E12121" s="14">
        <v>3.0</v>
      </c>
      <c r="F12121" s="15">
        <f>ROUND(11.68,3)</f>
        <v>11.68</v>
      </c>
      <c r="G12121" s="12">
        <f>ROUND((E12121*F12121)/100,2)</f>
        <v>0.35</v>
      </c>
    </row>
    <row r="12122" ht="15.0" customHeight="1">
      <c r="A12122" s="16"/>
      <c r="B12122" s="16"/>
      <c r="C12122" s="16"/>
      <c r="D12122" s="17" t="s">
        <v>5307</v>
      </c>
      <c r="E12122" s="16"/>
      <c r="F12122" s="18">
        <f>ROUND((G12114+G12115+G12116+G12121)*(1+G2/100),2)</f>
        <v>19.55</v>
      </c>
      <c r="G12122" s="16"/>
    </row>
    <row r="12123" ht="57.75" customHeight="1">
      <c r="A12123" s="19" t="s">
        <v>5310</v>
      </c>
      <c r="B12123" s="20" t="s">
        <v>18</v>
      </c>
      <c r="C12123" s="20" t="s">
        <v>19</v>
      </c>
      <c r="D12123" s="20" t="s">
        <v>5311</v>
      </c>
      <c r="E12123" s="21"/>
      <c r="F12123" s="22">
        <f>F12133</f>
        <v>24.39</v>
      </c>
      <c r="G12123" s="21"/>
    </row>
    <row r="12124" ht="30.0" customHeight="1">
      <c r="A12124" s="11"/>
      <c r="B12124" s="11"/>
      <c r="C12124" s="11"/>
      <c r="D12124" s="10" t="s">
        <v>5312</v>
      </c>
    </row>
    <row r="12125" ht="30.0" customHeight="1">
      <c r="A12125" s="10" t="s">
        <v>4989</v>
      </c>
      <c r="B12125" s="10" t="s">
        <v>42</v>
      </c>
      <c r="C12125" s="10" t="s">
        <v>276</v>
      </c>
      <c r="D12125" s="10" t="s">
        <v>4990</v>
      </c>
      <c r="E12125" s="14">
        <v>0.00825</v>
      </c>
      <c r="F12125" s="15">
        <f>ROUND(227.64,3)</f>
        <v>227.64</v>
      </c>
      <c r="G12125" s="12">
        <f t="shared" ref="G12125:G12131" si="1859">ROUND(E12125*F12125,2)</f>
        <v>1.88</v>
      </c>
    </row>
    <row r="12126" ht="39.75" customHeight="1">
      <c r="A12126" s="10" t="s">
        <v>4991</v>
      </c>
      <c r="B12126" s="10" t="s">
        <v>42</v>
      </c>
      <c r="C12126" s="10" t="s">
        <v>43</v>
      </c>
      <c r="D12126" s="10" t="s">
        <v>4992</v>
      </c>
      <c r="E12126" s="14">
        <v>0.077</v>
      </c>
      <c r="F12126" s="15">
        <f>ROUND(73.31,3)</f>
        <v>73.31</v>
      </c>
      <c r="G12126" s="12">
        <f t="shared" si="1859"/>
        <v>5.64</v>
      </c>
    </row>
    <row r="12127" ht="21.0" customHeight="1">
      <c r="A12127" s="10" t="s">
        <v>1416</v>
      </c>
      <c r="B12127" s="10" t="s">
        <v>18</v>
      </c>
      <c r="C12127" s="10" t="s">
        <v>23</v>
      </c>
      <c r="D12127" s="10" t="s">
        <v>1417</v>
      </c>
      <c r="E12127" s="14">
        <v>0.36</v>
      </c>
      <c r="F12127" s="15">
        <f>F12131</f>
        <v>43.8</v>
      </c>
      <c r="G12127" s="12">
        <f t="shared" si="1859"/>
        <v>15.77</v>
      </c>
    </row>
    <row r="12128" ht="24.0" customHeight="1">
      <c r="A12128" s="10" t="s">
        <v>1418</v>
      </c>
      <c r="B12128" s="10" t="s">
        <v>26</v>
      </c>
      <c r="C12128" s="10" t="s">
        <v>23</v>
      </c>
      <c r="D12128" s="10" t="s">
        <v>1419</v>
      </c>
      <c r="E12128" s="14">
        <v>1.0</v>
      </c>
      <c r="F12128" s="15">
        <f>ROUND(21,3)</f>
        <v>21</v>
      </c>
      <c r="G12128" s="12">
        <f t="shared" si="1859"/>
        <v>21</v>
      </c>
    </row>
    <row r="12129" ht="24.0" customHeight="1">
      <c r="A12129" s="10" t="s">
        <v>1420</v>
      </c>
      <c r="B12129" s="10" t="s">
        <v>26</v>
      </c>
      <c r="C12129" s="10" t="s">
        <v>23</v>
      </c>
      <c r="D12129" s="10" t="s">
        <v>1421</v>
      </c>
      <c r="E12129" s="14">
        <v>1.0</v>
      </c>
      <c r="F12129" s="15">
        <f t="shared" ref="F12129:F12130" si="1860">ROUND(19,3)</f>
        <v>19</v>
      </c>
      <c r="G12129" s="12">
        <f t="shared" si="1859"/>
        <v>19</v>
      </c>
    </row>
    <row r="12130" ht="24.0" customHeight="1">
      <c r="A12130" s="10" t="s">
        <v>30</v>
      </c>
      <c r="B12130" s="10" t="s">
        <v>26</v>
      </c>
      <c r="C12130" s="10" t="s">
        <v>23</v>
      </c>
      <c r="D12130" s="10" t="s">
        <v>31</v>
      </c>
      <c r="E12130" s="14">
        <v>0.2</v>
      </c>
      <c r="F12130" s="15">
        <f t="shared" si="1860"/>
        <v>19</v>
      </c>
      <c r="G12130" s="12">
        <f t="shared" si="1859"/>
        <v>3.8</v>
      </c>
    </row>
    <row r="12131" ht="15.0" customHeight="1">
      <c r="A12131" s="11"/>
      <c r="B12131" s="11"/>
      <c r="C12131" s="11"/>
      <c r="D12131" s="10" t="s">
        <v>1416</v>
      </c>
      <c r="E12131" s="14">
        <v>0.36</v>
      </c>
      <c r="F12131" s="15">
        <f>ROUND((G12128+G12129+G12130),3)</f>
        <v>43.8</v>
      </c>
      <c r="G12131" s="12">
        <f t="shared" si="1859"/>
        <v>15.77</v>
      </c>
    </row>
    <row r="12132" ht="15.0" customHeight="1">
      <c r="A12132" s="10" t="s">
        <v>32</v>
      </c>
      <c r="B12132" s="10"/>
      <c r="C12132" s="10" t="s">
        <v>33</v>
      </c>
      <c r="D12132" s="10" t="s">
        <v>34</v>
      </c>
      <c r="E12132" s="14">
        <v>7.0</v>
      </c>
      <c r="F12132" s="15">
        <f>ROUND(15.77,3)</f>
        <v>15.77</v>
      </c>
      <c r="G12132" s="12">
        <f>ROUND((E12132*F12132)/100,2)</f>
        <v>1.1</v>
      </c>
    </row>
    <row r="12133" ht="15.0" customHeight="1">
      <c r="A12133" s="16"/>
      <c r="B12133" s="16"/>
      <c r="C12133" s="16"/>
      <c r="D12133" s="17" t="s">
        <v>5310</v>
      </c>
      <c r="E12133" s="16"/>
      <c r="F12133" s="18">
        <f>ROUND((G12125+G12126+G12127+G12132)*(1+G2/100),2)</f>
        <v>24.39</v>
      </c>
      <c r="G12133" s="16"/>
    </row>
    <row r="12134" ht="57.75" customHeight="1">
      <c r="A12134" s="19" t="s">
        <v>5313</v>
      </c>
      <c r="B12134" s="20" t="s">
        <v>18</v>
      </c>
      <c r="C12134" s="20" t="s">
        <v>19</v>
      </c>
      <c r="D12134" s="20" t="s">
        <v>5314</v>
      </c>
      <c r="E12134" s="21"/>
      <c r="F12134" s="22">
        <f>F12144</f>
        <v>30.3</v>
      </c>
      <c r="G12134" s="21"/>
    </row>
    <row r="12135" ht="30.0" customHeight="1">
      <c r="A12135" s="11"/>
      <c r="B12135" s="11"/>
      <c r="C12135" s="11"/>
      <c r="D12135" s="10" t="s">
        <v>5315</v>
      </c>
    </row>
    <row r="12136" ht="30.0" customHeight="1">
      <c r="A12136" s="10" t="s">
        <v>4989</v>
      </c>
      <c r="B12136" s="10" t="s">
        <v>42</v>
      </c>
      <c r="C12136" s="10" t="s">
        <v>276</v>
      </c>
      <c r="D12136" s="10" t="s">
        <v>4990</v>
      </c>
      <c r="E12136" s="14">
        <v>0.00825</v>
      </c>
      <c r="F12136" s="15">
        <f>ROUND(227.64,3)</f>
        <v>227.64</v>
      </c>
      <c r="G12136" s="12">
        <f t="shared" ref="G12136:G12142" si="1861">ROUND(E12136*F12136,2)</f>
        <v>1.88</v>
      </c>
    </row>
    <row r="12137" ht="39.75" customHeight="1">
      <c r="A12137" s="10" t="s">
        <v>4991</v>
      </c>
      <c r="B12137" s="10" t="s">
        <v>42</v>
      </c>
      <c r="C12137" s="10" t="s">
        <v>43</v>
      </c>
      <c r="D12137" s="10" t="s">
        <v>4992</v>
      </c>
      <c r="E12137" s="14">
        <v>0.077</v>
      </c>
      <c r="F12137" s="15">
        <f>ROUND(73.31,3)</f>
        <v>73.31</v>
      </c>
      <c r="G12137" s="12">
        <f t="shared" si="1861"/>
        <v>5.64</v>
      </c>
    </row>
    <row r="12138" ht="21.0" customHeight="1">
      <c r="A12138" s="10" t="s">
        <v>1416</v>
      </c>
      <c r="B12138" s="10" t="s">
        <v>18</v>
      </c>
      <c r="C12138" s="10" t="s">
        <v>23</v>
      </c>
      <c r="D12138" s="10" t="s">
        <v>1417</v>
      </c>
      <c r="E12138" s="14">
        <v>0.486</v>
      </c>
      <c r="F12138" s="15">
        <f>F12142</f>
        <v>43.8</v>
      </c>
      <c r="G12138" s="12">
        <f t="shared" si="1861"/>
        <v>21.29</v>
      </c>
    </row>
    <row r="12139" ht="24.0" customHeight="1">
      <c r="A12139" s="10" t="s">
        <v>1418</v>
      </c>
      <c r="B12139" s="10" t="s">
        <v>26</v>
      </c>
      <c r="C12139" s="10" t="s">
        <v>23</v>
      </c>
      <c r="D12139" s="10" t="s">
        <v>1419</v>
      </c>
      <c r="E12139" s="14">
        <v>1.0</v>
      </c>
      <c r="F12139" s="15">
        <f>ROUND(21,3)</f>
        <v>21</v>
      </c>
      <c r="G12139" s="12">
        <f t="shared" si="1861"/>
        <v>21</v>
      </c>
    </row>
    <row r="12140" ht="24.0" customHeight="1">
      <c r="A12140" s="10" t="s">
        <v>1420</v>
      </c>
      <c r="B12140" s="10" t="s">
        <v>26</v>
      </c>
      <c r="C12140" s="10" t="s">
        <v>23</v>
      </c>
      <c r="D12140" s="10" t="s">
        <v>1421</v>
      </c>
      <c r="E12140" s="14">
        <v>1.0</v>
      </c>
      <c r="F12140" s="15">
        <f t="shared" ref="F12140:F12141" si="1862">ROUND(19,3)</f>
        <v>19</v>
      </c>
      <c r="G12140" s="12">
        <f t="shared" si="1861"/>
        <v>19</v>
      </c>
    </row>
    <row r="12141" ht="24.0" customHeight="1">
      <c r="A12141" s="10" t="s">
        <v>30</v>
      </c>
      <c r="B12141" s="10" t="s">
        <v>26</v>
      </c>
      <c r="C12141" s="10" t="s">
        <v>23</v>
      </c>
      <c r="D12141" s="10" t="s">
        <v>31</v>
      </c>
      <c r="E12141" s="14">
        <v>0.2</v>
      </c>
      <c r="F12141" s="15">
        <f t="shared" si="1862"/>
        <v>19</v>
      </c>
      <c r="G12141" s="12">
        <f t="shared" si="1861"/>
        <v>3.8</v>
      </c>
    </row>
    <row r="12142" ht="15.0" customHeight="1">
      <c r="A12142" s="11"/>
      <c r="B12142" s="11"/>
      <c r="C12142" s="11"/>
      <c r="D12142" s="10" t="s">
        <v>1416</v>
      </c>
      <c r="E12142" s="14">
        <v>0.486</v>
      </c>
      <c r="F12142" s="15">
        <f>ROUND((G12139+G12140+G12141),3)</f>
        <v>43.8</v>
      </c>
      <c r="G12142" s="12">
        <f t="shared" si="1861"/>
        <v>21.29</v>
      </c>
    </row>
    <row r="12143" ht="15.0" customHeight="1">
      <c r="A12143" s="10" t="s">
        <v>32</v>
      </c>
      <c r="B12143" s="10"/>
      <c r="C12143" s="10" t="s">
        <v>33</v>
      </c>
      <c r="D12143" s="10" t="s">
        <v>34</v>
      </c>
      <c r="E12143" s="14">
        <v>7.0</v>
      </c>
      <c r="F12143" s="15">
        <f>ROUND(21.29,3)</f>
        <v>21.29</v>
      </c>
      <c r="G12143" s="12">
        <f>ROUND((E12143*F12143)/100,2)</f>
        <v>1.49</v>
      </c>
    </row>
    <row r="12144" ht="15.0" customHeight="1">
      <c r="A12144" s="16"/>
      <c r="B12144" s="16"/>
      <c r="C12144" s="16"/>
      <c r="D12144" s="17" t="s">
        <v>5313</v>
      </c>
      <c r="E12144" s="16"/>
      <c r="F12144" s="18">
        <f>ROUND((G12136+G12137+G12138+G12143)*(1+G2/100),2)</f>
        <v>30.3</v>
      </c>
      <c r="G12144" s="16"/>
    </row>
    <row r="12145" ht="21.0" customHeight="1">
      <c r="A12145" s="19" t="s">
        <v>3079</v>
      </c>
      <c r="B12145" s="20" t="s">
        <v>18</v>
      </c>
      <c r="C12145" s="20" t="s">
        <v>251</v>
      </c>
      <c r="D12145" s="20" t="s">
        <v>3080</v>
      </c>
      <c r="E12145" s="21"/>
      <c r="F12145" s="22">
        <f>F12154</f>
        <v>23.21</v>
      </c>
      <c r="G12145" s="21"/>
    </row>
    <row r="12146" ht="39.75" customHeight="1">
      <c r="A12146" s="11"/>
      <c r="B12146" s="11"/>
      <c r="C12146" s="11"/>
      <c r="D12146" s="10" t="s">
        <v>1113</v>
      </c>
    </row>
    <row r="12147" ht="30.0" customHeight="1">
      <c r="A12147" s="10" t="s">
        <v>1051</v>
      </c>
      <c r="B12147" s="10" t="s">
        <v>42</v>
      </c>
      <c r="C12147" s="10" t="s">
        <v>43</v>
      </c>
      <c r="D12147" s="10" t="s">
        <v>1052</v>
      </c>
      <c r="E12147" s="14">
        <v>0.0666</v>
      </c>
      <c r="F12147" s="15">
        <f>ROUND(110.66,3)</f>
        <v>110.66</v>
      </c>
      <c r="G12147" s="12">
        <f t="shared" ref="G12147:G12153" si="1863">ROUND(E12147*F12147,2)</f>
        <v>7.37</v>
      </c>
    </row>
    <row r="12148" ht="24.0" customHeight="1">
      <c r="A12148" s="10" t="s">
        <v>1053</v>
      </c>
      <c r="B12148" s="10" t="s">
        <v>42</v>
      </c>
      <c r="C12148" s="10" t="s">
        <v>43</v>
      </c>
      <c r="D12148" s="10" t="s">
        <v>1054</v>
      </c>
      <c r="E12148" s="14">
        <v>0.11</v>
      </c>
      <c r="F12148" s="15">
        <f>ROUND(4.63,3)</f>
        <v>4.63</v>
      </c>
      <c r="G12148" s="12">
        <f t="shared" si="1863"/>
        <v>0.51</v>
      </c>
    </row>
    <row r="12149" ht="21.0" customHeight="1">
      <c r="A12149" s="10" t="s">
        <v>22</v>
      </c>
      <c r="B12149" s="10" t="s">
        <v>18</v>
      </c>
      <c r="C12149" s="10" t="s">
        <v>23</v>
      </c>
      <c r="D12149" s="10" t="s">
        <v>24</v>
      </c>
      <c r="E12149" s="14">
        <v>0.35</v>
      </c>
      <c r="F12149" s="15">
        <f>F12153</f>
        <v>43.8</v>
      </c>
      <c r="G12149" s="12">
        <f t="shared" si="1863"/>
        <v>15.33</v>
      </c>
    </row>
    <row r="12150" ht="24.0" customHeight="1">
      <c r="A12150" s="10" t="s">
        <v>25</v>
      </c>
      <c r="B12150" s="10" t="s">
        <v>26</v>
      </c>
      <c r="C12150" s="10" t="s">
        <v>23</v>
      </c>
      <c r="D12150" s="10" t="s">
        <v>27</v>
      </c>
      <c r="E12150" s="14">
        <v>1.0</v>
      </c>
      <c r="F12150" s="15">
        <f>ROUND(21,3)</f>
        <v>21</v>
      </c>
      <c r="G12150" s="12">
        <f t="shared" si="1863"/>
        <v>21</v>
      </c>
    </row>
    <row r="12151" ht="24.0" customHeight="1">
      <c r="A12151" s="10" t="s">
        <v>28</v>
      </c>
      <c r="B12151" s="10" t="s">
        <v>26</v>
      </c>
      <c r="C12151" s="10" t="s">
        <v>23</v>
      </c>
      <c r="D12151" s="10" t="s">
        <v>29</v>
      </c>
      <c r="E12151" s="14">
        <v>1.0</v>
      </c>
      <c r="F12151" s="15">
        <f t="shared" ref="F12151:F12152" si="1864">ROUND(19,3)</f>
        <v>19</v>
      </c>
      <c r="G12151" s="12">
        <f t="shared" si="1863"/>
        <v>19</v>
      </c>
    </row>
    <row r="12152" ht="24.0" customHeight="1">
      <c r="A12152" s="10" t="s">
        <v>30</v>
      </c>
      <c r="B12152" s="10" t="s">
        <v>26</v>
      </c>
      <c r="C12152" s="10" t="s">
        <v>23</v>
      </c>
      <c r="D12152" s="10" t="s">
        <v>31</v>
      </c>
      <c r="E12152" s="14">
        <v>0.2</v>
      </c>
      <c r="F12152" s="15">
        <f t="shared" si="1864"/>
        <v>19</v>
      </c>
      <c r="G12152" s="12">
        <f t="shared" si="1863"/>
        <v>3.8</v>
      </c>
    </row>
    <row r="12153" ht="15.0" customHeight="1">
      <c r="A12153" s="11"/>
      <c r="B12153" s="11"/>
      <c r="C12153" s="11"/>
      <c r="D12153" s="10" t="s">
        <v>22</v>
      </c>
      <c r="E12153" s="14">
        <v>0.35</v>
      </c>
      <c r="F12153" s="15">
        <f>ROUND((G12150+G12151+G12152),3)</f>
        <v>43.8</v>
      </c>
      <c r="G12153" s="12">
        <f t="shared" si="1863"/>
        <v>15.33</v>
      </c>
    </row>
    <row r="12154" ht="15.0" customHeight="1">
      <c r="A12154" s="16"/>
      <c r="B12154" s="16"/>
      <c r="C12154" s="16"/>
      <c r="D12154" s="17" t="s">
        <v>3079</v>
      </c>
      <c r="E12154" s="16"/>
      <c r="F12154" s="18">
        <f>ROUND((G12147+G12148+G12149)*(1+G2/100),2)</f>
        <v>23.21</v>
      </c>
      <c r="G12154" s="16"/>
    </row>
    <row r="12155" ht="67.5" customHeight="1">
      <c r="A12155" s="19" t="s">
        <v>5316</v>
      </c>
      <c r="B12155" s="20" t="s">
        <v>18</v>
      </c>
      <c r="C12155" s="20" t="s">
        <v>351</v>
      </c>
      <c r="D12155" s="20" t="s">
        <v>5317</v>
      </c>
      <c r="E12155" s="21"/>
      <c r="F12155" s="22">
        <f>F12165</f>
        <v>7.68</v>
      </c>
      <c r="G12155" s="21"/>
    </row>
    <row r="12156" ht="30.0" customHeight="1">
      <c r="A12156" s="11"/>
      <c r="B12156" s="11"/>
      <c r="C12156" s="11"/>
      <c r="D12156" s="10" t="s">
        <v>5318</v>
      </c>
    </row>
    <row r="12157" ht="39.75" customHeight="1">
      <c r="A12157" s="10" t="s">
        <v>5190</v>
      </c>
      <c r="B12157" s="10" t="s">
        <v>42</v>
      </c>
      <c r="C12157" s="10" t="s">
        <v>43</v>
      </c>
      <c r="D12157" s="10" t="s">
        <v>5191</v>
      </c>
      <c r="E12157" s="14">
        <v>0.0022</v>
      </c>
      <c r="F12157" s="15">
        <f>ROUND(41.28,3)</f>
        <v>41.28</v>
      </c>
      <c r="G12157" s="12">
        <f t="shared" ref="G12157:G12163" si="1865">ROUND(E12157*F12157,2)</f>
        <v>0.09</v>
      </c>
    </row>
    <row r="12158" ht="39.75" customHeight="1">
      <c r="A12158" s="10" t="s">
        <v>5192</v>
      </c>
      <c r="B12158" s="10" t="s">
        <v>42</v>
      </c>
      <c r="C12158" s="10" t="s">
        <v>43</v>
      </c>
      <c r="D12158" s="10" t="s">
        <v>5193</v>
      </c>
      <c r="E12158" s="14">
        <v>0.004</v>
      </c>
      <c r="F12158" s="15">
        <f>ROUND(57.84,3)</f>
        <v>57.84</v>
      </c>
      <c r="G12158" s="12">
        <f t="shared" si="1865"/>
        <v>0.23</v>
      </c>
    </row>
    <row r="12159" ht="21.0" customHeight="1">
      <c r="A12159" s="10" t="s">
        <v>1416</v>
      </c>
      <c r="B12159" s="10" t="s">
        <v>18</v>
      </c>
      <c r="C12159" s="10" t="s">
        <v>23</v>
      </c>
      <c r="D12159" s="10" t="s">
        <v>1417</v>
      </c>
      <c r="E12159" s="14">
        <v>0.16</v>
      </c>
      <c r="F12159" s="15">
        <f>F12163</f>
        <v>43.8</v>
      </c>
      <c r="G12159" s="12">
        <f t="shared" si="1865"/>
        <v>7.01</v>
      </c>
    </row>
    <row r="12160" ht="24.0" customHeight="1">
      <c r="A12160" s="10" t="s">
        <v>1418</v>
      </c>
      <c r="B12160" s="10" t="s">
        <v>26</v>
      </c>
      <c r="C12160" s="10" t="s">
        <v>23</v>
      </c>
      <c r="D12160" s="10" t="s">
        <v>1419</v>
      </c>
      <c r="E12160" s="14">
        <v>1.0</v>
      </c>
      <c r="F12160" s="15">
        <f>ROUND(21,3)</f>
        <v>21</v>
      </c>
      <c r="G12160" s="12">
        <f t="shared" si="1865"/>
        <v>21</v>
      </c>
    </row>
    <row r="12161" ht="24.0" customHeight="1">
      <c r="A12161" s="10" t="s">
        <v>1420</v>
      </c>
      <c r="B12161" s="10" t="s">
        <v>26</v>
      </c>
      <c r="C12161" s="10" t="s">
        <v>23</v>
      </c>
      <c r="D12161" s="10" t="s">
        <v>1421</v>
      </c>
      <c r="E12161" s="14">
        <v>1.0</v>
      </c>
      <c r="F12161" s="15">
        <f t="shared" ref="F12161:F12162" si="1866">ROUND(19,3)</f>
        <v>19</v>
      </c>
      <c r="G12161" s="12">
        <f t="shared" si="1865"/>
        <v>19</v>
      </c>
    </row>
    <row r="12162" ht="24.0" customHeight="1">
      <c r="A12162" s="10" t="s">
        <v>30</v>
      </c>
      <c r="B12162" s="10" t="s">
        <v>26</v>
      </c>
      <c r="C12162" s="10" t="s">
        <v>23</v>
      </c>
      <c r="D12162" s="10" t="s">
        <v>31</v>
      </c>
      <c r="E12162" s="14">
        <v>0.2</v>
      </c>
      <c r="F12162" s="15">
        <f t="shared" si="1866"/>
        <v>19</v>
      </c>
      <c r="G12162" s="12">
        <f t="shared" si="1865"/>
        <v>3.8</v>
      </c>
    </row>
    <row r="12163" ht="15.0" customHeight="1">
      <c r="A12163" s="11"/>
      <c r="B12163" s="11"/>
      <c r="C12163" s="11"/>
      <c r="D12163" s="10" t="s">
        <v>1416</v>
      </c>
      <c r="E12163" s="14">
        <v>0.16</v>
      </c>
      <c r="F12163" s="15">
        <f>ROUND((G12160+G12161+G12162),3)</f>
        <v>43.8</v>
      </c>
      <c r="G12163" s="12">
        <f t="shared" si="1865"/>
        <v>7.01</v>
      </c>
    </row>
    <row r="12164" ht="15.0" customHeight="1">
      <c r="A12164" s="10" t="s">
        <v>32</v>
      </c>
      <c r="B12164" s="10"/>
      <c r="C12164" s="10" t="s">
        <v>33</v>
      </c>
      <c r="D12164" s="10" t="s">
        <v>34</v>
      </c>
      <c r="E12164" s="14">
        <v>5.0</v>
      </c>
      <c r="F12164" s="15">
        <f>ROUND(7.01,3)</f>
        <v>7.01</v>
      </c>
      <c r="G12164" s="12">
        <f>ROUND((E12164*F12164)/100,2)</f>
        <v>0.35</v>
      </c>
    </row>
    <row r="12165" ht="15.0" customHeight="1">
      <c r="A12165" s="16"/>
      <c r="B12165" s="16"/>
      <c r="C12165" s="16"/>
      <c r="D12165" s="17" t="s">
        <v>5316</v>
      </c>
      <c r="E12165" s="16"/>
      <c r="F12165" s="18">
        <f>ROUND((G12157+G12158+G12159+G12164)*(1+G2/100),2)</f>
        <v>7.68</v>
      </c>
      <c r="G12165" s="16"/>
    </row>
    <row r="12166" ht="67.5" customHeight="1">
      <c r="A12166" s="19" t="s">
        <v>5319</v>
      </c>
      <c r="B12166" s="20" t="s">
        <v>18</v>
      </c>
      <c r="C12166" s="20" t="s">
        <v>351</v>
      </c>
      <c r="D12166" s="20" t="s">
        <v>5320</v>
      </c>
      <c r="E12166" s="21"/>
      <c r="F12166" s="22">
        <f>F12176</f>
        <v>10.62</v>
      </c>
      <c r="G12166" s="21"/>
    </row>
    <row r="12167" ht="30.0" customHeight="1">
      <c r="A12167" s="11"/>
      <c r="B12167" s="11"/>
      <c r="C12167" s="11"/>
      <c r="D12167" s="10" t="s">
        <v>5321</v>
      </c>
    </row>
    <row r="12168" ht="39.75" customHeight="1">
      <c r="A12168" s="10" t="s">
        <v>5190</v>
      </c>
      <c r="B12168" s="10" t="s">
        <v>42</v>
      </c>
      <c r="C12168" s="10" t="s">
        <v>43</v>
      </c>
      <c r="D12168" s="10" t="s">
        <v>5191</v>
      </c>
      <c r="E12168" s="14">
        <v>0.0022</v>
      </c>
      <c r="F12168" s="15">
        <f>ROUND(41.28,3)</f>
        <v>41.28</v>
      </c>
      <c r="G12168" s="12">
        <f t="shared" ref="G12168:G12174" si="1867">ROUND(E12168*F12168,2)</f>
        <v>0.09</v>
      </c>
    </row>
    <row r="12169" ht="39.75" customHeight="1">
      <c r="A12169" s="10" t="s">
        <v>5192</v>
      </c>
      <c r="B12169" s="10" t="s">
        <v>42</v>
      </c>
      <c r="C12169" s="10" t="s">
        <v>43</v>
      </c>
      <c r="D12169" s="10" t="s">
        <v>5193</v>
      </c>
      <c r="E12169" s="14">
        <v>0.004</v>
      </c>
      <c r="F12169" s="15">
        <f>ROUND(57.84,3)</f>
        <v>57.84</v>
      </c>
      <c r="G12169" s="12">
        <f t="shared" si="1867"/>
        <v>0.23</v>
      </c>
    </row>
    <row r="12170" ht="21.0" customHeight="1">
      <c r="A12170" s="10" t="s">
        <v>1416</v>
      </c>
      <c r="B12170" s="10" t="s">
        <v>18</v>
      </c>
      <c r="C12170" s="10" t="s">
        <v>23</v>
      </c>
      <c r="D12170" s="10" t="s">
        <v>1417</v>
      </c>
      <c r="E12170" s="14">
        <v>0.224</v>
      </c>
      <c r="F12170" s="15">
        <f>F12174</f>
        <v>43.8</v>
      </c>
      <c r="G12170" s="12">
        <f t="shared" si="1867"/>
        <v>9.81</v>
      </c>
    </row>
    <row r="12171" ht="24.0" customHeight="1">
      <c r="A12171" s="10" t="s">
        <v>1418</v>
      </c>
      <c r="B12171" s="10" t="s">
        <v>26</v>
      </c>
      <c r="C12171" s="10" t="s">
        <v>23</v>
      </c>
      <c r="D12171" s="10" t="s">
        <v>1419</v>
      </c>
      <c r="E12171" s="14">
        <v>1.0</v>
      </c>
      <c r="F12171" s="15">
        <f>ROUND(21,3)</f>
        <v>21</v>
      </c>
      <c r="G12171" s="12">
        <f t="shared" si="1867"/>
        <v>21</v>
      </c>
    </row>
    <row r="12172" ht="24.0" customHeight="1">
      <c r="A12172" s="10" t="s">
        <v>1420</v>
      </c>
      <c r="B12172" s="10" t="s">
        <v>26</v>
      </c>
      <c r="C12172" s="10" t="s">
        <v>23</v>
      </c>
      <c r="D12172" s="10" t="s">
        <v>1421</v>
      </c>
      <c r="E12172" s="14">
        <v>1.0</v>
      </c>
      <c r="F12172" s="15">
        <f t="shared" ref="F12172:F12173" si="1868">ROUND(19,3)</f>
        <v>19</v>
      </c>
      <c r="G12172" s="12">
        <f t="shared" si="1867"/>
        <v>19</v>
      </c>
    </row>
    <row r="12173" ht="24.0" customHeight="1">
      <c r="A12173" s="10" t="s">
        <v>30</v>
      </c>
      <c r="B12173" s="10" t="s">
        <v>26</v>
      </c>
      <c r="C12173" s="10" t="s">
        <v>23</v>
      </c>
      <c r="D12173" s="10" t="s">
        <v>31</v>
      </c>
      <c r="E12173" s="14">
        <v>0.2</v>
      </c>
      <c r="F12173" s="15">
        <f t="shared" si="1868"/>
        <v>19</v>
      </c>
      <c r="G12173" s="12">
        <f t="shared" si="1867"/>
        <v>3.8</v>
      </c>
    </row>
    <row r="12174" ht="15.0" customHeight="1">
      <c r="A12174" s="11"/>
      <c r="B12174" s="11"/>
      <c r="C12174" s="11"/>
      <c r="D12174" s="10" t="s">
        <v>1416</v>
      </c>
      <c r="E12174" s="14">
        <v>0.224</v>
      </c>
      <c r="F12174" s="15">
        <f>ROUND((G12171+G12172+G12173),3)</f>
        <v>43.8</v>
      </c>
      <c r="G12174" s="12">
        <f t="shared" si="1867"/>
        <v>9.81</v>
      </c>
    </row>
    <row r="12175" ht="15.0" customHeight="1">
      <c r="A12175" s="10" t="s">
        <v>32</v>
      </c>
      <c r="B12175" s="10"/>
      <c r="C12175" s="10" t="s">
        <v>33</v>
      </c>
      <c r="D12175" s="10" t="s">
        <v>34</v>
      </c>
      <c r="E12175" s="14">
        <v>5.0</v>
      </c>
      <c r="F12175" s="15">
        <f>ROUND(9.81,3)</f>
        <v>9.81</v>
      </c>
      <c r="G12175" s="12">
        <f>ROUND((E12175*F12175)/100,2)</f>
        <v>0.49</v>
      </c>
    </row>
    <row r="12176" ht="15.0" customHeight="1">
      <c r="A12176" s="16"/>
      <c r="B12176" s="16"/>
      <c r="C12176" s="16"/>
      <c r="D12176" s="17" t="s">
        <v>5319</v>
      </c>
      <c r="E12176" s="16"/>
      <c r="F12176" s="18">
        <f>ROUND((G12168+G12169+G12170+G12175)*(1+G2/100),2)</f>
        <v>10.62</v>
      </c>
      <c r="G12176" s="16"/>
    </row>
    <row r="12177" ht="57.75" customHeight="1">
      <c r="A12177" s="19" t="s">
        <v>5322</v>
      </c>
      <c r="B12177" s="20" t="s">
        <v>18</v>
      </c>
      <c r="C12177" s="20" t="s">
        <v>19</v>
      </c>
      <c r="D12177" s="20" t="s">
        <v>5323</v>
      </c>
      <c r="E12177" s="21"/>
      <c r="F12177" s="22">
        <f>F12186</f>
        <v>27.3</v>
      </c>
      <c r="G12177" s="21"/>
    </row>
    <row r="12178" ht="30.0" customHeight="1">
      <c r="A12178" s="11"/>
      <c r="B12178" s="11"/>
      <c r="C12178" s="11"/>
      <c r="D12178" s="10" t="s">
        <v>5324</v>
      </c>
    </row>
    <row r="12179" ht="39.75" customHeight="1">
      <c r="A12179" s="10" t="s">
        <v>4999</v>
      </c>
      <c r="B12179" s="10" t="s">
        <v>42</v>
      </c>
      <c r="C12179" s="10" t="s">
        <v>276</v>
      </c>
      <c r="D12179" s="10" t="s">
        <v>5000</v>
      </c>
      <c r="E12179" s="14">
        <v>0.0275</v>
      </c>
      <c r="F12179" s="15">
        <f>ROUND(139.67,3)</f>
        <v>139.67</v>
      </c>
      <c r="G12179" s="12">
        <f t="shared" ref="G12179:G12184" si="1869">ROUND(E12179*F12179,2)</f>
        <v>3.84</v>
      </c>
    </row>
    <row r="12180" ht="21.0" customHeight="1">
      <c r="A12180" s="10" t="s">
        <v>1416</v>
      </c>
      <c r="B12180" s="10" t="s">
        <v>18</v>
      </c>
      <c r="C12180" s="10" t="s">
        <v>23</v>
      </c>
      <c r="D12180" s="10" t="s">
        <v>1417</v>
      </c>
      <c r="E12180" s="14">
        <v>0.51</v>
      </c>
      <c r="F12180" s="15">
        <f>F12184</f>
        <v>43.8</v>
      </c>
      <c r="G12180" s="12">
        <f t="shared" si="1869"/>
        <v>22.34</v>
      </c>
    </row>
    <row r="12181" ht="24.0" customHeight="1">
      <c r="A12181" s="10" t="s">
        <v>1418</v>
      </c>
      <c r="B12181" s="10" t="s">
        <v>26</v>
      </c>
      <c r="C12181" s="10" t="s">
        <v>23</v>
      </c>
      <c r="D12181" s="10" t="s">
        <v>1419</v>
      </c>
      <c r="E12181" s="14">
        <v>1.0</v>
      </c>
      <c r="F12181" s="15">
        <f>ROUND(21,3)</f>
        <v>21</v>
      </c>
      <c r="G12181" s="12">
        <f t="shared" si="1869"/>
        <v>21</v>
      </c>
    </row>
    <row r="12182" ht="24.0" customHeight="1">
      <c r="A12182" s="10" t="s">
        <v>1420</v>
      </c>
      <c r="B12182" s="10" t="s">
        <v>26</v>
      </c>
      <c r="C12182" s="10" t="s">
        <v>23</v>
      </c>
      <c r="D12182" s="10" t="s">
        <v>1421</v>
      </c>
      <c r="E12182" s="14">
        <v>1.0</v>
      </c>
      <c r="F12182" s="15">
        <f t="shared" ref="F12182:F12183" si="1870">ROUND(19,3)</f>
        <v>19</v>
      </c>
      <c r="G12182" s="12">
        <f t="shared" si="1869"/>
        <v>19</v>
      </c>
    </row>
    <row r="12183" ht="24.0" customHeight="1">
      <c r="A12183" s="10" t="s">
        <v>30</v>
      </c>
      <c r="B12183" s="10" t="s">
        <v>26</v>
      </c>
      <c r="C12183" s="10" t="s">
        <v>23</v>
      </c>
      <c r="D12183" s="10" t="s">
        <v>31</v>
      </c>
      <c r="E12183" s="14">
        <v>0.2</v>
      </c>
      <c r="F12183" s="15">
        <f t="shared" si="1870"/>
        <v>19</v>
      </c>
      <c r="G12183" s="12">
        <f t="shared" si="1869"/>
        <v>3.8</v>
      </c>
    </row>
    <row r="12184" ht="15.0" customHeight="1">
      <c r="A12184" s="11"/>
      <c r="B12184" s="11"/>
      <c r="C12184" s="11"/>
      <c r="D12184" s="10" t="s">
        <v>1416</v>
      </c>
      <c r="E12184" s="14">
        <v>0.51</v>
      </c>
      <c r="F12184" s="15">
        <f>ROUND((G12181+G12182+G12183),3)</f>
        <v>43.8</v>
      </c>
      <c r="G12184" s="12">
        <f t="shared" si="1869"/>
        <v>22.34</v>
      </c>
    </row>
    <row r="12185" ht="15.0" customHeight="1">
      <c r="A12185" s="10" t="s">
        <v>32</v>
      </c>
      <c r="B12185" s="10"/>
      <c r="C12185" s="10" t="s">
        <v>33</v>
      </c>
      <c r="D12185" s="10" t="s">
        <v>34</v>
      </c>
      <c r="E12185" s="14">
        <v>5.0</v>
      </c>
      <c r="F12185" s="15">
        <f>ROUND(22.34,3)</f>
        <v>22.34</v>
      </c>
      <c r="G12185" s="12">
        <f>ROUND((E12185*F12185)/100,2)</f>
        <v>1.12</v>
      </c>
    </row>
    <row r="12186" ht="24.75" customHeight="1">
      <c r="A12186" s="16"/>
      <c r="B12186" s="16"/>
      <c r="C12186" s="16"/>
      <c r="D12186" s="17" t="s">
        <v>5322</v>
      </c>
      <c r="E12186" s="16"/>
      <c r="F12186" s="18">
        <f>ROUND((G12179+G12180+G12185)*(1+G2/100),2)</f>
        <v>27.3</v>
      </c>
      <c r="G12186" s="16"/>
    </row>
    <row r="12187" ht="57.75" customHeight="1">
      <c r="A12187" s="19" t="s">
        <v>5325</v>
      </c>
      <c r="B12187" s="20" t="s">
        <v>18</v>
      </c>
      <c r="C12187" s="20" t="s">
        <v>19</v>
      </c>
      <c r="D12187" s="20" t="s">
        <v>5326</v>
      </c>
      <c r="E12187" s="21"/>
      <c r="F12187" s="22">
        <f>F12196</f>
        <v>22.79</v>
      </c>
      <c r="G12187" s="21"/>
    </row>
    <row r="12188" ht="21.0" customHeight="1">
      <c r="A12188" s="11"/>
      <c r="B12188" s="11"/>
      <c r="C12188" s="11"/>
      <c r="D12188" s="10" t="s">
        <v>5327</v>
      </c>
    </row>
    <row r="12189" ht="39.75" customHeight="1">
      <c r="A12189" s="10" t="s">
        <v>4999</v>
      </c>
      <c r="B12189" s="10" t="s">
        <v>42</v>
      </c>
      <c r="C12189" s="10" t="s">
        <v>276</v>
      </c>
      <c r="D12189" s="10" t="s">
        <v>5000</v>
      </c>
      <c r="E12189" s="14">
        <v>0.0275</v>
      </c>
      <c r="F12189" s="15">
        <f>ROUND(139.67,3)</f>
        <v>139.67</v>
      </c>
      <c r="G12189" s="12">
        <f t="shared" ref="G12189:G12194" si="1871">ROUND(E12189*F12189,2)</f>
        <v>3.84</v>
      </c>
    </row>
    <row r="12190" ht="21.0" customHeight="1">
      <c r="A12190" s="10" t="s">
        <v>1416</v>
      </c>
      <c r="B12190" s="10" t="s">
        <v>18</v>
      </c>
      <c r="C12190" s="10" t="s">
        <v>23</v>
      </c>
      <c r="D12190" s="10" t="s">
        <v>1417</v>
      </c>
      <c r="E12190" s="14">
        <v>0.42</v>
      </c>
      <c r="F12190" s="15">
        <f>F12194</f>
        <v>43.8</v>
      </c>
      <c r="G12190" s="12">
        <f t="shared" si="1871"/>
        <v>18.4</v>
      </c>
    </row>
    <row r="12191" ht="24.0" customHeight="1">
      <c r="A12191" s="10" t="s">
        <v>1418</v>
      </c>
      <c r="B12191" s="10" t="s">
        <v>26</v>
      </c>
      <c r="C12191" s="10" t="s">
        <v>23</v>
      </c>
      <c r="D12191" s="10" t="s">
        <v>1419</v>
      </c>
      <c r="E12191" s="14">
        <v>1.0</v>
      </c>
      <c r="F12191" s="15">
        <f>ROUND(21,3)</f>
        <v>21</v>
      </c>
      <c r="G12191" s="12">
        <f t="shared" si="1871"/>
        <v>21</v>
      </c>
    </row>
    <row r="12192" ht="24.0" customHeight="1">
      <c r="A12192" s="10" t="s">
        <v>1420</v>
      </c>
      <c r="B12192" s="10" t="s">
        <v>26</v>
      </c>
      <c r="C12192" s="10" t="s">
        <v>23</v>
      </c>
      <c r="D12192" s="10" t="s">
        <v>1421</v>
      </c>
      <c r="E12192" s="14">
        <v>1.0</v>
      </c>
      <c r="F12192" s="15">
        <f t="shared" ref="F12192:F12193" si="1872">ROUND(19,3)</f>
        <v>19</v>
      </c>
      <c r="G12192" s="12">
        <f t="shared" si="1871"/>
        <v>19</v>
      </c>
    </row>
    <row r="12193" ht="24.0" customHeight="1">
      <c r="A12193" s="10" t="s">
        <v>30</v>
      </c>
      <c r="B12193" s="10" t="s">
        <v>26</v>
      </c>
      <c r="C12193" s="10" t="s">
        <v>23</v>
      </c>
      <c r="D12193" s="10" t="s">
        <v>31</v>
      </c>
      <c r="E12193" s="14">
        <v>0.2</v>
      </c>
      <c r="F12193" s="15">
        <f t="shared" si="1872"/>
        <v>19</v>
      </c>
      <c r="G12193" s="12">
        <f t="shared" si="1871"/>
        <v>3.8</v>
      </c>
    </row>
    <row r="12194" ht="15.0" customHeight="1">
      <c r="A12194" s="11"/>
      <c r="B12194" s="11"/>
      <c r="C12194" s="11"/>
      <c r="D12194" s="10" t="s">
        <v>1416</v>
      </c>
      <c r="E12194" s="14">
        <v>0.42</v>
      </c>
      <c r="F12194" s="15">
        <f>ROUND((G12191+G12192+G12193),3)</f>
        <v>43.8</v>
      </c>
      <c r="G12194" s="12">
        <f t="shared" si="1871"/>
        <v>18.4</v>
      </c>
    </row>
    <row r="12195" ht="15.0" customHeight="1">
      <c r="A12195" s="10" t="s">
        <v>32</v>
      </c>
      <c r="B12195" s="10"/>
      <c r="C12195" s="10" t="s">
        <v>33</v>
      </c>
      <c r="D12195" s="10" t="s">
        <v>34</v>
      </c>
      <c r="E12195" s="14">
        <v>3.0</v>
      </c>
      <c r="F12195" s="15">
        <f>ROUND(18.4,3)</f>
        <v>18.4</v>
      </c>
      <c r="G12195" s="12">
        <f>ROUND((E12195*F12195)/100,2)</f>
        <v>0.55</v>
      </c>
    </row>
    <row r="12196" ht="24.75" customHeight="1">
      <c r="A12196" s="16"/>
      <c r="B12196" s="16"/>
      <c r="C12196" s="16"/>
      <c r="D12196" s="17" t="s">
        <v>5325</v>
      </c>
      <c r="E12196" s="16"/>
      <c r="F12196" s="18">
        <f>ROUND((G12189+G12190+G12195)*(1+G2/100),2)</f>
        <v>22.79</v>
      </c>
      <c r="G12196" s="16"/>
    </row>
    <row r="12197" ht="48.75" customHeight="1">
      <c r="A12197" s="19" t="s">
        <v>5328</v>
      </c>
      <c r="B12197" s="20" t="s">
        <v>18</v>
      </c>
      <c r="C12197" s="20" t="s">
        <v>19</v>
      </c>
      <c r="D12197" s="20" t="s">
        <v>5329</v>
      </c>
      <c r="E12197" s="21"/>
      <c r="F12197" s="22">
        <f>F12207</f>
        <v>19.06</v>
      </c>
      <c r="G12197" s="21"/>
    </row>
    <row r="12198" ht="21.0" customHeight="1">
      <c r="A12198" s="11"/>
      <c r="B12198" s="11"/>
      <c r="C12198" s="11"/>
      <c r="D12198" s="10" t="s">
        <v>5330</v>
      </c>
    </row>
    <row r="12199" ht="39.75" customHeight="1">
      <c r="A12199" s="10" t="s">
        <v>5004</v>
      </c>
      <c r="B12199" s="10" t="s">
        <v>42</v>
      </c>
      <c r="C12199" s="10" t="s">
        <v>43</v>
      </c>
      <c r="D12199" s="10" t="s">
        <v>5005</v>
      </c>
      <c r="E12199" s="14">
        <v>0.029</v>
      </c>
      <c r="F12199" s="15">
        <f>ROUND(110.7,3)</f>
        <v>110.7</v>
      </c>
      <c r="G12199" s="12">
        <f t="shared" ref="G12199:G12205" si="1873">ROUND(E12199*F12199,2)</f>
        <v>3.21</v>
      </c>
    </row>
    <row r="12200" ht="30.0" customHeight="1">
      <c r="A12200" s="10" t="s">
        <v>5006</v>
      </c>
      <c r="B12200" s="10" t="s">
        <v>42</v>
      </c>
      <c r="C12200" s="10" t="s">
        <v>276</v>
      </c>
      <c r="D12200" s="10" t="s">
        <v>5007</v>
      </c>
      <c r="E12200" s="14">
        <v>0.016</v>
      </c>
      <c r="F12200" s="15">
        <f>ROUND(70.68,3)</f>
        <v>70.68</v>
      </c>
      <c r="G12200" s="12">
        <f t="shared" si="1873"/>
        <v>1.13</v>
      </c>
    </row>
    <row r="12201" ht="21.0" customHeight="1">
      <c r="A12201" s="10" t="s">
        <v>1416</v>
      </c>
      <c r="B12201" s="10" t="s">
        <v>18</v>
      </c>
      <c r="C12201" s="10" t="s">
        <v>23</v>
      </c>
      <c r="D12201" s="10" t="s">
        <v>1417</v>
      </c>
      <c r="E12201" s="14">
        <v>0.32</v>
      </c>
      <c r="F12201" s="15">
        <f>F12205</f>
        <v>43.8</v>
      </c>
      <c r="G12201" s="12">
        <f t="shared" si="1873"/>
        <v>14.02</v>
      </c>
    </row>
    <row r="12202" ht="24.0" customHeight="1">
      <c r="A12202" s="10" t="s">
        <v>1418</v>
      </c>
      <c r="B12202" s="10" t="s">
        <v>26</v>
      </c>
      <c r="C12202" s="10" t="s">
        <v>23</v>
      </c>
      <c r="D12202" s="10" t="s">
        <v>1419</v>
      </c>
      <c r="E12202" s="14">
        <v>1.0</v>
      </c>
      <c r="F12202" s="15">
        <f>ROUND(21,3)</f>
        <v>21</v>
      </c>
      <c r="G12202" s="12">
        <f t="shared" si="1873"/>
        <v>21</v>
      </c>
    </row>
    <row r="12203" ht="24.0" customHeight="1">
      <c r="A12203" s="10" t="s">
        <v>1420</v>
      </c>
      <c r="B12203" s="10" t="s">
        <v>26</v>
      </c>
      <c r="C12203" s="10" t="s">
        <v>23</v>
      </c>
      <c r="D12203" s="10" t="s">
        <v>1421</v>
      </c>
      <c r="E12203" s="14">
        <v>1.0</v>
      </c>
      <c r="F12203" s="15">
        <f t="shared" ref="F12203:F12204" si="1874">ROUND(19,3)</f>
        <v>19</v>
      </c>
      <c r="G12203" s="12">
        <f t="shared" si="1873"/>
        <v>19</v>
      </c>
    </row>
    <row r="12204" ht="24.0" customHeight="1">
      <c r="A12204" s="10" t="s">
        <v>30</v>
      </c>
      <c r="B12204" s="10" t="s">
        <v>26</v>
      </c>
      <c r="C12204" s="10" t="s">
        <v>23</v>
      </c>
      <c r="D12204" s="10" t="s">
        <v>31</v>
      </c>
      <c r="E12204" s="14">
        <v>0.2</v>
      </c>
      <c r="F12204" s="15">
        <f t="shared" si="1874"/>
        <v>19</v>
      </c>
      <c r="G12204" s="12">
        <f t="shared" si="1873"/>
        <v>3.8</v>
      </c>
    </row>
    <row r="12205" ht="15.0" customHeight="1">
      <c r="A12205" s="11"/>
      <c r="B12205" s="11"/>
      <c r="C12205" s="11"/>
      <c r="D12205" s="10" t="s">
        <v>1416</v>
      </c>
      <c r="E12205" s="14">
        <v>0.32</v>
      </c>
      <c r="F12205" s="15">
        <f>ROUND((G12202+G12203+G12204),3)</f>
        <v>43.8</v>
      </c>
      <c r="G12205" s="12">
        <f t="shared" si="1873"/>
        <v>14.02</v>
      </c>
    </row>
    <row r="12206" ht="15.0" customHeight="1">
      <c r="A12206" s="10" t="s">
        <v>32</v>
      </c>
      <c r="B12206" s="10"/>
      <c r="C12206" s="10" t="s">
        <v>33</v>
      </c>
      <c r="D12206" s="10" t="s">
        <v>34</v>
      </c>
      <c r="E12206" s="14">
        <v>5.0</v>
      </c>
      <c r="F12206" s="15">
        <f>ROUND(14.02,3)</f>
        <v>14.02</v>
      </c>
      <c r="G12206" s="12">
        <f>ROUND((E12206*F12206)/100,2)</f>
        <v>0.7</v>
      </c>
    </row>
    <row r="12207" ht="15.0" customHeight="1">
      <c r="A12207" s="16"/>
      <c r="B12207" s="16"/>
      <c r="C12207" s="16"/>
      <c r="D12207" s="17" t="s">
        <v>5328</v>
      </c>
      <c r="E12207" s="16"/>
      <c r="F12207" s="18">
        <f>ROUND((G12199+G12200+G12201+G12206)*(1+G2/100),2)</f>
        <v>19.06</v>
      </c>
      <c r="G12207" s="16"/>
    </row>
    <row r="12208" ht="30.0" customHeight="1">
      <c r="A12208" s="19" t="s">
        <v>5331</v>
      </c>
      <c r="B12208" s="20" t="s">
        <v>18</v>
      </c>
      <c r="C12208" s="20" t="s">
        <v>19</v>
      </c>
      <c r="D12208" s="20" t="s">
        <v>5332</v>
      </c>
      <c r="E12208" s="21"/>
      <c r="F12208" s="22">
        <f>F12218</f>
        <v>13.47</v>
      </c>
      <c r="G12208" s="21"/>
    </row>
    <row r="12209" ht="12.0" customHeight="1">
      <c r="A12209" s="11"/>
      <c r="B12209" s="11"/>
      <c r="C12209" s="11"/>
      <c r="D12209" s="10" t="s">
        <v>5333</v>
      </c>
    </row>
    <row r="12210" ht="39.75" customHeight="1">
      <c r="A12210" s="10" t="s">
        <v>5004</v>
      </c>
      <c r="B12210" s="10" t="s">
        <v>42</v>
      </c>
      <c r="C12210" s="10" t="s">
        <v>43</v>
      </c>
      <c r="D12210" s="10" t="s">
        <v>5005</v>
      </c>
      <c r="E12210" s="14">
        <v>0.0113</v>
      </c>
      <c r="F12210" s="15">
        <f>ROUND(110.7,3)</f>
        <v>110.7</v>
      </c>
      <c r="G12210" s="12">
        <f t="shared" ref="G12210:G12216" si="1875">ROUND(E12210*F12210,2)</f>
        <v>1.25</v>
      </c>
    </row>
    <row r="12211" ht="30.0" customHeight="1">
      <c r="A12211" s="10" t="s">
        <v>5006</v>
      </c>
      <c r="B12211" s="10" t="s">
        <v>42</v>
      </c>
      <c r="C12211" s="10" t="s">
        <v>276</v>
      </c>
      <c r="D12211" s="10" t="s">
        <v>5007</v>
      </c>
      <c r="E12211" s="14">
        <v>0.01333</v>
      </c>
      <c r="F12211" s="15">
        <f>ROUND(70.68,3)</f>
        <v>70.68</v>
      </c>
      <c r="G12211" s="12">
        <f t="shared" si="1875"/>
        <v>0.94</v>
      </c>
    </row>
    <row r="12212" ht="21.0" customHeight="1">
      <c r="A12212" s="10" t="s">
        <v>1416</v>
      </c>
      <c r="B12212" s="10" t="s">
        <v>18</v>
      </c>
      <c r="C12212" s="10" t="s">
        <v>23</v>
      </c>
      <c r="D12212" s="10" t="s">
        <v>1417</v>
      </c>
      <c r="E12212" s="14">
        <v>0.25</v>
      </c>
      <c r="F12212" s="15">
        <f>F12216</f>
        <v>43.8</v>
      </c>
      <c r="G12212" s="12">
        <f t="shared" si="1875"/>
        <v>10.95</v>
      </c>
    </row>
    <row r="12213" ht="24.0" customHeight="1">
      <c r="A12213" s="10" t="s">
        <v>1418</v>
      </c>
      <c r="B12213" s="10" t="s">
        <v>26</v>
      </c>
      <c r="C12213" s="10" t="s">
        <v>23</v>
      </c>
      <c r="D12213" s="10" t="s">
        <v>1419</v>
      </c>
      <c r="E12213" s="14">
        <v>1.0</v>
      </c>
      <c r="F12213" s="15">
        <f>ROUND(21,3)</f>
        <v>21</v>
      </c>
      <c r="G12213" s="12">
        <f t="shared" si="1875"/>
        <v>21</v>
      </c>
    </row>
    <row r="12214" ht="24.0" customHeight="1">
      <c r="A12214" s="10" t="s">
        <v>1420</v>
      </c>
      <c r="B12214" s="10" t="s">
        <v>26</v>
      </c>
      <c r="C12214" s="10" t="s">
        <v>23</v>
      </c>
      <c r="D12214" s="10" t="s">
        <v>1421</v>
      </c>
      <c r="E12214" s="14">
        <v>1.0</v>
      </c>
      <c r="F12214" s="15">
        <f t="shared" ref="F12214:F12215" si="1876">ROUND(19,3)</f>
        <v>19</v>
      </c>
      <c r="G12214" s="12">
        <f t="shared" si="1875"/>
        <v>19</v>
      </c>
    </row>
    <row r="12215" ht="24.0" customHeight="1">
      <c r="A12215" s="10" t="s">
        <v>30</v>
      </c>
      <c r="B12215" s="10" t="s">
        <v>26</v>
      </c>
      <c r="C12215" s="10" t="s">
        <v>23</v>
      </c>
      <c r="D12215" s="10" t="s">
        <v>31</v>
      </c>
      <c r="E12215" s="14">
        <v>0.2</v>
      </c>
      <c r="F12215" s="15">
        <f t="shared" si="1876"/>
        <v>19</v>
      </c>
      <c r="G12215" s="12">
        <f t="shared" si="1875"/>
        <v>3.8</v>
      </c>
    </row>
    <row r="12216" ht="15.0" customHeight="1">
      <c r="A12216" s="11"/>
      <c r="B12216" s="11"/>
      <c r="C12216" s="11"/>
      <c r="D12216" s="10" t="s">
        <v>1416</v>
      </c>
      <c r="E12216" s="14">
        <v>0.25</v>
      </c>
      <c r="F12216" s="15">
        <f>ROUND((G12213+G12214+G12215),3)</f>
        <v>43.8</v>
      </c>
      <c r="G12216" s="12">
        <f t="shared" si="1875"/>
        <v>10.95</v>
      </c>
    </row>
    <row r="12217" ht="15.0" customHeight="1">
      <c r="A12217" s="10" t="s">
        <v>32</v>
      </c>
      <c r="B12217" s="10"/>
      <c r="C12217" s="10" t="s">
        <v>33</v>
      </c>
      <c r="D12217" s="10" t="s">
        <v>34</v>
      </c>
      <c r="E12217" s="14">
        <v>3.0</v>
      </c>
      <c r="F12217" s="15">
        <f>ROUND(10.95,3)</f>
        <v>10.95</v>
      </c>
      <c r="G12217" s="12">
        <f>ROUND((E12217*F12217)/100,2)</f>
        <v>0.33</v>
      </c>
    </row>
    <row r="12218" ht="15.0" customHeight="1">
      <c r="A12218" s="16"/>
      <c r="B12218" s="16"/>
      <c r="C12218" s="16"/>
      <c r="D12218" s="17" t="s">
        <v>5331</v>
      </c>
      <c r="E12218" s="16"/>
      <c r="F12218" s="18">
        <f>ROUND((G12210+G12211+G12212+G12217)*(1+G2/100),2)</f>
        <v>13.47</v>
      </c>
      <c r="G12218" s="16"/>
    </row>
    <row r="12219" ht="15.0" customHeight="1">
      <c r="A12219" s="19" t="s">
        <v>5334</v>
      </c>
      <c r="B12219" s="20" t="s">
        <v>18</v>
      </c>
      <c r="C12219" s="20" t="s">
        <v>251</v>
      </c>
      <c r="D12219" s="20" t="s">
        <v>5335</v>
      </c>
      <c r="E12219" s="21"/>
      <c r="F12219" s="22">
        <f>F12228</f>
        <v>15.39</v>
      </c>
      <c r="G12219" s="21"/>
    </row>
    <row r="12220" ht="39.75" customHeight="1">
      <c r="A12220" s="11"/>
      <c r="B12220" s="11"/>
      <c r="C12220" s="11"/>
      <c r="D12220" s="10" t="s">
        <v>5336</v>
      </c>
    </row>
    <row r="12221" ht="15.0" customHeight="1">
      <c r="A12221" s="10" t="s">
        <v>5337</v>
      </c>
      <c r="B12221" s="10" t="s">
        <v>42</v>
      </c>
      <c r="C12221" s="10" t="s">
        <v>521</v>
      </c>
      <c r="D12221" s="10" t="s">
        <v>5338</v>
      </c>
      <c r="E12221" s="14">
        <v>0.25</v>
      </c>
      <c r="F12221" s="15">
        <f>ROUND(11.5,3)</f>
        <v>11.5</v>
      </c>
      <c r="G12221" s="12">
        <f t="shared" ref="G12221:G12227" si="1877">ROUND(E12221*F12221,2)</f>
        <v>2.88</v>
      </c>
    </row>
    <row r="12222" ht="15.0" customHeight="1">
      <c r="A12222" s="10" t="s">
        <v>5339</v>
      </c>
      <c r="B12222" s="10" t="s">
        <v>42</v>
      </c>
      <c r="C12222" s="10" t="s">
        <v>521</v>
      </c>
      <c r="D12222" s="10" t="s">
        <v>5340</v>
      </c>
      <c r="E12222" s="14">
        <v>0.075</v>
      </c>
      <c r="F12222" s="15">
        <f>ROUND(12,3)</f>
        <v>12</v>
      </c>
      <c r="G12222" s="12">
        <f t="shared" si="1877"/>
        <v>0.9</v>
      </c>
    </row>
    <row r="12223" ht="21.0" customHeight="1">
      <c r="A12223" s="10" t="s">
        <v>22</v>
      </c>
      <c r="B12223" s="10" t="s">
        <v>18</v>
      </c>
      <c r="C12223" s="10" t="s">
        <v>23</v>
      </c>
      <c r="D12223" s="10" t="s">
        <v>24</v>
      </c>
      <c r="E12223" s="14">
        <v>0.265</v>
      </c>
      <c r="F12223" s="15">
        <f>F12227</f>
        <v>43.8</v>
      </c>
      <c r="G12223" s="12">
        <f t="shared" si="1877"/>
        <v>11.61</v>
      </c>
    </row>
    <row r="12224" ht="24.0" customHeight="1">
      <c r="A12224" s="10" t="s">
        <v>25</v>
      </c>
      <c r="B12224" s="10" t="s">
        <v>26</v>
      </c>
      <c r="C12224" s="10" t="s">
        <v>23</v>
      </c>
      <c r="D12224" s="10" t="s">
        <v>27</v>
      </c>
      <c r="E12224" s="14">
        <v>1.0</v>
      </c>
      <c r="F12224" s="15">
        <f>ROUND(21,3)</f>
        <v>21</v>
      </c>
      <c r="G12224" s="12">
        <f t="shared" si="1877"/>
        <v>21</v>
      </c>
    </row>
    <row r="12225" ht="24.0" customHeight="1">
      <c r="A12225" s="10" t="s">
        <v>28</v>
      </c>
      <c r="B12225" s="10" t="s">
        <v>26</v>
      </c>
      <c r="C12225" s="10" t="s">
        <v>23</v>
      </c>
      <c r="D12225" s="10" t="s">
        <v>29</v>
      </c>
      <c r="E12225" s="14">
        <v>1.0</v>
      </c>
      <c r="F12225" s="15">
        <f t="shared" ref="F12225:F12226" si="1878">ROUND(19,3)</f>
        <v>19</v>
      </c>
      <c r="G12225" s="12">
        <f t="shared" si="1877"/>
        <v>19</v>
      </c>
    </row>
    <row r="12226" ht="24.0" customHeight="1">
      <c r="A12226" s="10" t="s">
        <v>30</v>
      </c>
      <c r="B12226" s="10" t="s">
        <v>26</v>
      </c>
      <c r="C12226" s="10" t="s">
        <v>23</v>
      </c>
      <c r="D12226" s="10" t="s">
        <v>31</v>
      </c>
      <c r="E12226" s="14">
        <v>0.2</v>
      </c>
      <c r="F12226" s="15">
        <f t="shared" si="1878"/>
        <v>19</v>
      </c>
      <c r="G12226" s="12">
        <f t="shared" si="1877"/>
        <v>3.8</v>
      </c>
    </row>
    <row r="12227" ht="15.0" customHeight="1">
      <c r="A12227" s="11"/>
      <c r="B12227" s="11"/>
      <c r="C12227" s="11"/>
      <c r="D12227" s="10" t="s">
        <v>22</v>
      </c>
      <c r="E12227" s="14">
        <v>0.265</v>
      </c>
      <c r="F12227" s="15">
        <f>ROUND((G12224+G12225+G12226),3)</f>
        <v>43.8</v>
      </c>
      <c r="G12227" s="12">
        <f t="shared" si="1877"/>
        <v>11.61</v>
      </c>
    </row>
    <row r="12228" ht="15.0" customHeight="1">
      <c r="A12228" s="16"/>
      <c r="B12228" s="16"/>
      <c r="C12228" s="16"/>
      <c r="D12228" s="17" t="s">
        <v>5334</v>
      </c>
      <c r="E12228" s="16"/>
      <c r="F12228" s="18">
        <f>ROUND((G12221+G12222+G12223)*(1+G2/100),2)</f>
        <v>15.39</v>
      </c>
      <c r="G12228" s="16"/>
    </row>
    <row r="12229" ht="57.75" customHeight="1">
      <c r="A12229" s="19" t="s">
        <v>5341</v>
      </c>
      <c r="B12229" s="20" t="s">
        <v>18</v>
      </c>
      <c r="C12229" s="20" t="s">
        <v>19</v>
      </c>
      <c r="D12229" s="20" t="s">
        <v>5342</v>
      </c>
      <c r="E12229" s="21"/>
      <c r="F12229" s="22">
        <f>F12239</f>
        <v>19.82</v>
      </c>
      <c r="G12229" s="21"/>
    </row>
    <row r="12230" ht="12.0" customHeight="1">
      <c r="A12230" s="11"/>
      <c r="B12230" s="11"/>
      <c r="C12230" s="11"/>
      <c r="D12230" s="10" t="s">
        <v>5343</v>
      </c>
    </row>
    <row r="12231" ht="39.75" customHeight="1">
      <c r="A12231" s="10" t="s">
        <v>5024</v>
      </c>
      <c r="B12231" s="10" t="s">
        <v>42</v>
      </c>
      <c r="C12231" s="10" t="s">
        <v>43</v>
      </c>
      <c r="D12231" s="10" t="s">
        <v>5025</v>
      </c>
      <c r="E12231" s="14">
        <v>0.02625</v>
      </c>
      <c r="F12231" s="15">
        <f>ROUND(35.18,3)</f>
        <v>35.18</v>
      </c>
      <c r="G12231" s="12">
        <f t="shared" ref="G12231:G12237" si="1879">ROUND(E12231*F12231,2)</f>
        <v>0.92</v>
      </c>
    </row>
    <row r="12232" ht="39.75" customHeight="1">
      <c r="A12232" s="10" t="s">
        <v>5026</v>
      </c>
      <c r="B12232" s="10" t="s">
        <v>42</v>
      </c>
      <c r="C12232" s="10" t="s">
        <v>43</v>
      </c>
      <c r="D12232" s="10" t="s">
        <v>5027</v>
      </c>
      <c r="E12232" s="14">
        <v>0.055</v>
      </c>
      <c r="F12232" s="15">
        <f>ROUND(36.95,3)</f>
        <v>36.95</v>
      </c>
      <c r="G12232" s="12">
        <f t="shared" si="1879"/>
        <v>2.03</v>
      </c>
    </row>
    <row r="12233" ht="21.0" customHeight="1">
      <c r="A12233" s="10" t="s">
        <v>1416</v>
      </c>
      <c r="B12233" s="10" t="s">
        <v>18</v>
      </c>
      <c r="C12233" s="10" t="s">
        <v>23</v>
      </c>
      <c r="D12233" s="10" t="s">
        <v>1417</v>
      </c>
      <c r="E12233" s="14">
        <v>0.36</v>
      </c>
      <c r="F12233" s="15">
        <f>F12237</f>
        <v>43.8</v>
      </c>
      <c r="G12233" s="12">
        <f t="shared" si="1879"/>
        <v>15.77</v>
      </c>
    </row>
    <row r="12234" ht="24.0" customHeight="1">
      <c r="A12234" s="10" t="s">
        <v>1418</v>
      </c>
      <c r="B12234" s="10" t="s">
        <v>26</v>
      </c>
      <c r="C12234" s="10" t="s">
        <v>23</v>
      </c>
      <c r="D12234" s="10" t="s">
        <v>1419</v>
      </c>
      <c r="E12234" s="14">
        <v>1.0</v>
      </c>
      <c r="F12234" s="15">
        <f>ROUND(21,3)</f>
        <v>21</v>
      </c>
      <c r="G12234" s="12">
        <f t="shared" si="1879"/>
        <v>21</v>
      </c>
    </row>
    <row r="12235" ht="24.0" customHeight="1">
      <c r="A12235" s="10" t="s">
        <v>1420</v>
      </c>
      <c r="B12235" s="10" t="s">
        <v>26</v>
      </c>
      <c r="C12235" s="10" t="s">
        <v>23</v>
      </c>
      <c r="D12235" s="10" t="s">
        <v>1421</v>
      </c>
      <c r="E12235" s="14">
        <v>1.0</v>
      </c>
      <c r="F12235" s="15">
        <f t="shared" ref="F12235:F12236" si="1880">ROUND(19,3)</f>
        <v>19</v>
      </c>
      <c r="G12235" s="12">
        <f t="shared" si="1879"/>
        <v>19</v>
      </c>
    </row>
    <row r="12236" ht="24.0" customHeight="1">
      <c r="A12236" s="10" t="s">
        <v>30</v>
      </c>
      <c r="B12236" s="10" t="s">
        <v>26</v>
      </c>
      <c r="C12236" s="10" t="s">
        <v>23</v>
      </c>
      <c r="D12236" s="10" t="s">
        <v>31</v>
      </c>
      <c r="E12236" s="14">
        <v>0.2</v>
      </c>
      <c r="F12236" s="15">
        <f t="shared" si="1880"/>
        <v>19</v>
      </c>
      <c r="G12236" s="12">
        <f t="shared" si="1879"/>
        <v>3.8</v>
      </c>
    </row>
    <row r="12237" ht="15.0" customHeight="1">
      <c r="A12237" s="11"/>
      <c r="B12237" s="11"/>
      <c r="C12237" s="11"/>
      <c r="D12237" s="10" t="s">
        <v>1416</v>
      </c>
      <c r="E12237" s="14">
        <v>0.36</v>
      </c>
      <c r="F12237" s="15">
        <f>ROUND((G12234+G12235+G12236),3)</f>
        <v>43.8</v>
      </c>
      <c r="G12237" s="12">
        <f t="shared" si="1879"/>
        <v>15.77</v>
      </c>
    </row>
    <row r="12238" ht="15.0" customHeight="1">
      <c r="A12238" s="10" t="s">
        <v>32</v>
      </c>
      <c r="B12238" s="10"/>
      <c r="C12238" s="10" t="s">
        <v>33</v>
      </c>
      <c r="D12238" s="10" t="s">
        <v>34</v>
      </c>
      <c r="E12238" s="14">
        <v>7.0</v>
      </c>
      <c r="F12238" s="15">
        <f>ROUND(15.77,3)</f>
        <v>15.77</v>
      </c>
      <c r="G12238" s="12">
        <f>ROUND((E12238*F12238)/100,2)</f>
        <v>1.1</v>
      </c>
    </row>
    <row r="12239" ht="15.0" customHeight="1">
      <c r="A12239" s="16"/>
      <c r="B12239" s="16"/>
      <c r="C12239" s="16"/>
      <c r="D12239" s="17" t="s">
        <v>5341</v>
      </c>
      <c r="E12239" s="16"/>
      <c r="F12239" s="18">
        <f>ROUND((G12231+G12232+G12233+G12238)*(1+G2/100),2)</f>
        <v>19.82</v>
      </c>
      <c r="G12239" s="16"/>
    </row>
    <row r="12240" ht="48.75" customHeight="1">
      <c r="A12240" s="19" t="s">
        <v>5344</v>
      </c>
      <c r="B12240" s="20" t="s">
        <v>18</v>
      </c>
      <c r="C12240" s="20" t="s">
        <v>19</v>
      </c>
      <c r="D12240" s="20" t="s">
        <v>5345</v>
      </c>
      <c r="E12240" s="21"/>
      <c r="F12240" s="22">
        <f>F12250</f>
        <v>17.95</v>
      </c>
      <c r="G12240" s="21"/>
    </row>
    <row r="12241" ht="21.0" customHeight="1">
      <c r="A12241" s="11"/>
      <c r="B12241" s="11"/>
      <c r="C12241" s="11"/>
      <c r="D12241" s="10" t="s">
        <v>5346</v>
      </c>
    </row>
    <row r="12242" ht="39.75" customHeight="1">
      <c r="A12242" s="10" t="s">
        <v>5024</v>
      </c>
      <c r="B12242" s="10" t="s">
        <v>42</v>
      </c>
      <c r="C12242" s="10" t="s">
        <v>43</v>
      </c>
      <c r="D12242" s="10" t="s">
        <v>5025</v>
      </c>
      <c r="E12242" s="14">
        <v>0.02625</v>
      </c>
      <c r="F12242" s="15">
        <f>ROUND(35.18,3)</f>
        <v>35.18</v>
      </c>
      <c r="G12242" s="12">
        <f t="shared" ref="G12242:G12248" si="1881">ROUND(E12242*F12242,2)</f>
        <v>0.92</v>
      </c>
    </row>
    <row r="12243" ht="39.75" customHeight="1">
      <c r="A12243" s="10" t="s">
        <v>5026</v>
      </c>
      <c r="B12243" s="10" t="s">
        <v>42</v>
      </c>
      <c r="C12243" s="10" t="s">
        <v>43</v>
      </c>
      <c r="D12243" s="10" t="s">
        <v>5027</v>
      </c>
      <c r="E12243" s="14">
        <v>0.055</v>
      </c>
      <c r="F12243" s="15">
        <f>ROUND(36.95,3)</f>
        <v>36.95</v>
      </c>
      <c r="G12243" s="12">
        <f t="shared" si="1881"/>
        <v>2.03</v>
      </c>
    </row>
    <row r="12244" ht="21.0" customHeight="1">
      <c r="A12244" s="10" t="s">
        <v>1416</v>
      </c>
      <c r="B12244" s="10" t="s">
        <v>18</v>
      </c>
      <c r="C12244" s="10" t="s">
        <v>23</v>
      </c>
      <c r="D12244" s="10" t="s">
        <v>1417</v>
      </c>
      <c r="E12244" s="14">
        <v>0.32</v>
      </c>
      <c r="F12244" s="15">
        <f>F12248</f>
        <v>43.8</v>
      </c>
      <c r="G12244" s="12">
        <f t="shared" si="1881"/>
        <v>14.02</v>
      </c>
    </row>
    <row r="12245" ht="24.0" customHeight="1">
      <c r="A12245" s="10" t="s">
        <v>1418</v>
      </c>
      <c r="B12245" s="10" t="s">
        <v>26</v>
      </c>
      <c r="C12245" s="10" t="s">
        <v>23</v>
      </c>
      <c r="D12245" s="10" t="s">
        <v>1419</v>
      </c>
      <c r="E12245" s="14">
        <v>1.0</v>
      </c>
      <c r="F12245" s="15">
        <f>ROUND(21,3)</f>
        <v>21</v>
      </c>
      <c r="G12245" s="12">
        <f t="shared" si="1881"/>
        <v>21</v>
      </c>
    </row>
    <row r="12246" ht="24.0" customHeight="1">
      <c r="A12246" s="10" t="s">
        <v>1420</v>
      </c>
      <c r="B12246" s="10" t="s">
        <v>26</v>
      </c>
      <c r="C12246" s="10" t="s">
        <v>23</v>
      </c>
      <c r="D12246" s="10" t="s">
        <v>1421</v>
      </c>
      <c r="E12246" s="14">
        <v>1.0</v>
      </c>
      <c r="F12246" s="15">
        <f t="shared" ref="F12246:F12247" si="1882">ROUND(19,3)</f>
        <v>19</v>
      </c>
      <c r="G12246" s="12">
        <f t="shared" si="1881"/>
        <v>19</v>
      </c>
    </row>
    <row r="12247" ht="24.0" customHeight="1">
      <c r="A12247" s="10" t="s">
        <v>30</v>
      </c>
      <c r="B12247" s="10" t="s">
        <v>26</v>
      </c>
      <c r="C12247" s="10" t="s">
        <v>23</v>
      </c>
      <c r="D12247" s="10" t="s">
        <v>31</v>
      </c>
      <c r="E12247" s="14">
        <v>0.2</v>
      </c>
      <c r="F12247" s="15">
        <f t="shared" si="1882"/>
        <v>19</v>
      </c>
      <c r="G12247" s="12">
        <f t="shared" si="1881"/>
        <v>3.8</v>
      </c>
    </row>
    <row r="12248" ht="15.0" customHeight="1">
      <c r="A12248" s="11"/>
      <c r="B12248" s="11"/>
      <c r="C12248" s="11"/>
      <c r="D12248" s="10" t="s">
        <v>1416</v>
      </c>
      <c r="E12248" s="14">
        <v>0.32</v>
      </c>
      <c r="F12248" s="15">
        <f>ROUND((G12245+G12246+G12247),3)</f>
        <v>43.8</v>
      </c>
      <c r="G12248" s="12">
        <f t="shared" si="1881"/>
        <v>14.02</v>
      </c>
    </row>
    <row r="12249" ht="15.0" customHeight="1">
      <c r="A12249" s="10" t="s">
        <v>32</v>
      </c>
      <c r="B12249" s="10"/>
      <c r="C12249" s="10" t="s">
        <v>33</v>
      </c>
      <c r="D12249" s="10" t="s">
        <v>34</v>
      </c>
      <c r="E12249" s="14">
        <v>7.0</v>
      </c>
      <c r="F12249" s="15">
        <f>ROUND(14.02,3)</f>
        <v>14.02</v>
      </c>
      <c r="G12249" s="12">
        <f>ROUND((E12249*F12249)/100,2)</f>
        <v>0.98</v>
      </c>
    </row>
    <row r="12250" ht="15.0" customHeight="1">
      <c r="A12250" s="16"/>
      <c r="B12250" s="16"/>
      <c r="C12250" s="16"/>
      <c r="D12250" s="17" t="s">
        <v>5344</v>
      </c>
      <c r="E12250" s="16"/>
      <c r="F12250" s="18">
        <f>ROUND((G12242+G12243+G12244+G12249)*(1+G2/100),2)</f>
        <v>17.95</v>
      </c>
      <c r="G12250" s="16"/>
    </row>
    <row r="12251" ht="57.75" customHeight="1">
      <c r="A12251" s="19" t="s">
        <v>5347</v>
      </c>
      <c r="B12251" s="20" t="s">
        <v>18</v>
      </c>
      <c r="C12251" s="20" t="s">
        <v>19</v>
      </c>
      <c r="D12251" s="20" t="s">
        <v>5342</v>
      </c>
      <c r="E12251" s="21"/>
      <c r="F12251" s="22">
        <f>F12261</f>
        <v>25.73</v>
      </c>
      <c r="G12251" s="21"/>
    </row>
    <row r="12252" ht="30.0" customHeight="1">
      <c r="A12252" s="11"/>
      <c r="B12252" s="11"/>
      <c r="C12252" s="11"/>
      <c r="D12252" s="10" t="s">
        <v>5348</v>
      </c>
    </row>
    <row r="12253" ht="39.75" customHeight="1">
      <c r="A12253" s="10" t="s">
        <v>5024</v>
      </c>
      <c r="B12253" s="10" t="s">
        <v>42</v>
      </c>
      <c r="C12253" s="10" t="s">
        <v>43</v>
      </c>
      <c r="D12253" s="10" t="s">
        <v>5025</v>
      </c>
      <c r="E12253" s="14">
        <v>0.02625</v>
      </c>
      <c r="F12253" s="15">
        <f>ROUND(35.18,3)</f>
        <v>35.18</v>
      </c>
      <c r="G12253" s="12">
        <f t="shared" ref="G12253:G12259" si="1883">ROUND(E12253*F12253,2)</f>
        <v>0.92</v>
      </c>
    </row>
    <row r="12254" ht="39.75" customHeight="1">
      <c r="A12254" s="10" t="s">
        <v>5026</v>
      </c>
      <c r="B12254" s="10" t="s">
        <v>42</v>
      </c>
      <c r="C12254" s="10" t="s">
        <v>43</v>
      </c>
      <c r="D12254" s="10" t="s">
        <v>5027</v>
      </c>
      <c r="E12254" s="14">
        <v>0.055</v>
      </c>
      <c r="F12254" s="15">
        <f>ROUND(36.95,3)</f>
        <v>36.95</v>
      </c>
      <c r="G12254" s="12">
        <f t="shared" si="1883"/>
        <v>2.03</v>
      </c>
    </row>
    <row r="12255" ht="21.0" customHeight="1">
      <c r="A12255" s="10" t="s">
        <v>1416</v>
      </c>
      <c r="B12255" s="10" t="s">
        <v>18</v>
      </c>
      <c r="C12255" s="10" t="s">
        <v>23</v>
      </c>
      <c r="D12255" s="10" t="s">
        <v>1417</v>
      </c>
      <c r="E12255" s="14">
        <v>0.486</v>
      </c>
      <c r="F12255" s="15">
        <f>F12259</f>
        <v>43.8</v>
      </c>
      <c r="G12255" s="12">
        <f t="shared" si="1883"/>
        <v>21.29</v>
      </c>
    </row>
    <row r="12256" ht="24.0" customHeight="1">
      <c r="A12256" s="10" t="s">
        <v>1418</v>
      </c>
      <c r="B12256" s="10" t="s">
        <v>26</v>
      </c>
      <c r="C12256" s="10" t="s">
        <v>23</v>
      </c>
      <c r="D12256" s="10" t="s">
        <v>1419</v>
      </c>
      <c r="E12256" s="14">
        <v>1.0</v>
      </c>
      <c r="F12256" s="15">
        <f>ROUND(21,3)</f>
        <v>21</v>
      </c>
      <c r="G12256" s="12">
        <f t="shared" si="1883"/>
        <v>21</v>
      </c>
    </row>
    <row r="12257" ht="24.0" customHeight="1">
      <c r="A12257" s="10" t="s">
        <v>1420</v>
      </c>
      <c r="B12257" s="10" t="s">
        <v>26</v>
      </c>
      <c r="C12257" s="10" t="s">
        <v>23</v>
      </c>
      <c r="D12257" s="10" t="s">
        <v>1421</v>
      </c>
      <c r="E12257" s="14">
        <v>1.0</v>
      </c>
      <c r="F12257" s="15">
        <f t="shared" ref="F12257:F12258" si="1884">ROUND(19,3)</f>
        <v>19</v>
      </c>
      <c r="G12257" s="12">
        <f t="shared" si="1883"/>
        <v>19</v>
      </c>
    </row>
    <row r="12258" ht="24.0" customHeight="1">
      <c r="A12258" s="10" t="s">
        <v>30</v>
      </c>
      <c r="B12258" s="10" t="s">
        <v>26</v>
      </c>
      <c r="C12258" s="10" t="s">
        <v>23</v>
      </c>
      <c r="D12258" s="10" t="s">
        <v>31</v>
      </c>
      <c r="E12258" s="14">
        <v>0.2</v>
      </c>
      <c r="F12258" s="15">
        <f t="shared" si="1884"/>
        <v>19</v>
      </c>
      <c r="G12258" s="12">
        <f t="shared" si="1883"/>
        <v>3.8</v>
      </c>
    </row>
    <row r="12259" ht="15.0" customHeight="1">
      <c r="A12259" s="11"/>
      <c r="B12259" s="11"/>
      <c r="C12259" s="11"/>
      <c r="D12259" s="10" t="s">
        <v>1416</v>
      </c>
      <c r="E12259" s="14">
        <v>0.486</v>
      </c>
      <c r="F12259" s="15">
        <f>ROUND((G12256+G12257+G12258),3)</f>
        <v>43.8</v>
      </c>
      <c r="G12259" s="12">
        <f t="shared" si="1883"/>
        <v>21.29</v>
      </c>
    </row>
    <row r="12260" ht="15.0" customHeight="1">
      <c r="A12260" s="10" t="s">
        <v>32</v>
      </c>
      <c r="B12260" s="10"/>
      <c r="C12260" s="10" t="s">
        <v>33</v>
      </c>
      <c r="D12260" s="10" t="s">
        <v>34</v>
      </c>
      <c r="E12260" s="14">
        <v>7.0</v>
      </c>
      <c r="F12260" s="15">
        <f>ROUND(21.29,3)</f>
        <v>21.29</v>
      </c>
      <c r="G12260" s="12">
        <f>ROUND((E12260*F12260)/100,2)</f>
        <v>1.49</v>
      </c>
    </row>
    <row r="12261" ht="15.0" customHeight="1">
      <c r="A12261" s="16"/>
      <c r="B12261" s="16"/>
      <c r="C12261" s="16"/>
      <c r="D12261" s="17" t="s">
        <v>5347</v>
      </c>
      <c r="E12261" s="16"/>
      <c r="F12261" s="18">
        <f>ROUND((G12253+G12254+G12255+G12260)*(1+G2/100),2)</f>
        <v>25.73</v>
      </c>
      <c r="G12261" s="16"/>
    </row>
    <row r="12262" ht="21.0" customHeight="1">
      <c r="A12262" s="19" t="s">
        <v>5349</v>
      </c>
      <c r="B12262" s="20" t="s">
        <v>18</v>
      </c>
      <c r="C12262" s="20" t="s">
        <v>19</v>
      </c>
      <c r="D12262" s="20" t="s">
        <v>5350</v>
      </c>
      <c r="E12262" s="21"/>
      <c r="F12262" s="22">
        <f>F12272</f>
        <v>16.27</v>
      </c>
      <c r="G12262" s="21"/>
    </row>
    <row r="12263" ht="12.0" customHeight="1">
      <c r="A12263" s="11"/>
      <c r="B12263" s="11"/>
      <c r="C12263" s="11"/>
      <c r="D12263" s="10" t="s">
        <v>5351</v>
      </c>
    </row>
    <row r="12264" ht="39.75" customHeight="1">
      <c r="A12264" s="10" t="s">
        <v>5352</v>
      </c>
      <c r="B12264" s="10" t="s">
        <v>42</v>
      </c>
      <c r="C12264" s="10" t="s">
        <v>43</v>
      </c>
      <c r="D12264" s="10" t="s">
        <v>5353</v>
      </c>
      <c r="E12264" s="14">
        <v>0.025</v>
      </c>
      <c r="F12264" s="15">
        <f>ROUND(27.05,3)</f>
        <v>27.05</v>
      </c>
      <c r="G12264" s="12">
        <f t="shared" ref="G12264:G12270" si="1885">ROUND(E12264*F12264,2)</f>
        <v>0.68</v>
      </c>
    </row>
    <row r="12265" ht="30.0" customHeight="1">
      <c r="A12265" s="10" t="s">
        <v>5354</v>
      </c>
      <c r="B12265" s="10" t="s">
        <v>42</v>
      </c>
      <c r="C12265" s="10" t="s">
        <v>43</v>
      </c>
      <c r="D12265" s="10" t="s">
        <v>5355</v>
      </c>
      <c r="E12265" s="14">
        <v>0.25</v>
      </c>
      <c r="F12265" s="15">
        <f>ROUND(14.22,3)</f>
        <v>14.22</v>
      </c>
      <c r="G12265" s="12">
        <f t="shared" si="1885"/>
        <v>3.56</v>
      </c>
    </row>
    <row r="12266" ht="21.0" customHeight="1">
      <c r="A12266" s="10" t="s">
        <v>1416</v>
      </c>
      <c r="B12266" s="10" t="s">
        <v>18</v>
      </c>
      <c r="C12266" s="10" t="s">
        <v>23</v>
      </c>
      <c r="D12266" s="10" t="s">
        <v>1417</v>
      </c>
      <c r="E12266" s="14">
        <v>0.26667</v>
      </c>
      <c r="F12266" s="15">
        <f>F12270</f>
        <v>43.8</v>
      </c>
      <c r="G12266" s="12">
        <f t="shared" si="1885"/>
        <v>11.68</v>
      </c>
    </row>
    <row r="12267" ht="24.0" customHeight="1">
      <c r="A12267" s="10" t="s">
        <v>1418</v>
      </c>
      <c r="B12267" s="10" t="s">
        <v>26</v>
      </c>
      <c r="C12267" s="10" t="s">
        <v>23</v>
      </c>
      <c r="D12267" s="10" t="s">
        <v>1419</v>
      </c>
      <c r="E12267" s="14">
        <v>1.0</v>
      </c>
      <c r="F12267" s="15">
        <f>ROUND(21,3)</f>
        <v>21</v>
      </c>
      <c r="G12267" s="12">
        <f t="shared" si="1885"/>
        <v>21</v>
      </c>
    </row>
    <row r="12268" ht="24.0" customHeight="1">
      <c r="A12268" s="10" t="s">
        <v>1420</v>
      </c>
      <c r="B12268" s="10" t="s">
        <v>26</v>
      </c>
      <c r="C12268" s="10" t="s">
        <v>23</v>
      </c>
      <c r="D12268" s="10" t="s">
        <v>1421</v>
      </c>
      <c r="E12268" s="14">
        <v>1.0</v>
      </c>
      <c r="F12268" s="15">
        <f t="shared" ref="F12268:F12269" si="1886">ROUND(19,3)</f>
        <v>19</v>
      </c>
      <c r="G12268" s="12">
        <f t="shared" si="1885"/>
        <v>19</v>
      </c>
    </row>
    <row r="12269" ht="24.0" customHeight="1">
      <c r="A12269" s="10" t="s">
        <v>30</v>
      </c>
      <c r="B12269" s="10" t="s">
        <v>26</v>
      </c>
      <c r="C12269" s="10" t="s">
        <v>23</v>
      </c>
      <c r="D12269" s="10" t="s">
        <v>31</v>
      </c>
      <c r="E12269" s="14">
        <v>0.2</v>
      </c>
      <c r="F12269" s="15">
        <f t="shared" si="1886"/>
        <v>19</v>
      </c>
      <c r="G12269" s="12">
        <f t="shared" si="1885"/>
        <v>3.8</v>
      </c>
    </row>
    <row r="12270" ht="15.0" customHeight="1">
      <c r="A12270" s="11"/>
      <c r="B12270" s="11"/>
      <c r="C12270" s="11"/>
      <c r="D12270" s="10" t="s">
        <v>1416</v>
      </c>
      <c r="E12270" s="14">
        <v>0.26667</v>
      </c>
      <c r="F12270" s="15">
        <f>ROUND((G12267+G12268+G12269),3)</f>
        <v>43.8</v>
      </c>
      <c r="G12270" s="12">
        <f t="shared" si="1885"/>
        <v>11.68</v>
      </c>
    </row>
    <row r="12271" ht="15.0" customHeight="1">
      <c r="A12271" s="10" t="s">
        <v>32</v>
      </c>
      <c r="B12271" s="10"/>
      <c r="C12271" s="10" t="s">
        <v>33</v>
      </c>
      <c r="D12271" s="10" t="s">
        <v>34</v>
      </c>
      <c r="E12271" s="14">
        <v>3.0</v>
      </c>
      <c r="F12271" s="15">
        <f>ROUND(11.68,3)</f>
        <v>11.68</v>
      </c>
      <c r="G12271" s="12">
        <f>ROUND((E12271*F12271)/100,2)</f>
        <v>0.35</v>
      </c>
    </row>
    <row r="12272" ht="15.0" customHeight="1">
      <c r="A12272" s="16"/>
      <c r="B12272" s="16"/>
      <c r="C12272" s="16"/>
      <c r="D12272" s="17" t="s">
        <v>5349</v>
      </c>
      <c r="E12272" s="16"/>
      <c r="F12272" s="18">
        <f>ROUND((G12264+G12265+G12266+G12271)*(1+G2/100),2)</f>
        <v>16.27</v>
      </c>
      <c r="G12272" s="16"/>
    </row>
    <row r="12273" ht="15.0" customHeight="1">
      <c r="A12273" s="19" t="s">
        <v>5356</v>
      </c>
      <c r="B12273" s="20" t="s">
        <v>18</v>
      </c>
      <c r="C12273" s="20" t="s">
        <v>251</v>
      </c>
      <c r="D12273" s="20" t="s">
        <v>5357</v>
      </c>
      <c r="E12273" s="21"/>
      <c r="F12273" s="22">
        <f>F12278</f>
        <v>18.25</v>
      </c>
      <c r="G12273" s="21"/>
    </row>
    <row r="12274" ht="48.75" customHeight="1">
      <c r="A12274" s="11"/>
      <c r="B12274" s="11"/>
      <c r="C12274" s="11"/>
      <c r="D12274" s="10" t="s">
        <v>5358</v>
      </c>
    </row>
    <row r="12275" ht="30.0" customHeight="1">
      <c r="A12275" s="10" t="s">
        <v>5359</v>
      </c>
      <c r="B12275" s="10" t="s">
        <v>42</v>
      </c>
      <c r="C12275" s="10" t="s">
        <v>521</v>
      </c>
      <c r="D12275" s="10" t="s">
        <v>5360</v>
      </c>
      <c r="E12275" s="14">
        <v>0.3</v>
      </c>
      <c r="F12275" s="15">
        <f>ROUND(12,3)</f>
        <v>12</v>
      </c>
      <c r="G12275" s="12">
        <f t="shared" ref="G12275:G12277" si="1887">ROUND(E12275*F12275,2)</f>
        <v>3.6</v>
      </c>
    </row>
    <row r="12276" ht="30.0" customHeight="1">
      <c r="A12276" s="10" t="s">
        <v>5361</v>
      </c>
      <c r="B12276" s="10" t="s">
        <v>42</v>
      </c>
      <c r="C12276" s="10" t="s">
        <v>521</v>
      </c>
      <c r="D12276" s="10" t="s">
        <v>5362</v>
      </c>
      <c r="E12276" s="14">
        <v>0.075</v>
      </c>
      <c r="F12276" s="15">
        <f>ROUND(10.5,3)</f>
        <v>10.5</v>
      </c>
      <c r="G12276" s="12">
        <f t="shared" si="1887"/>
        <v>0.79</v>
      </c>
    </row>
    <row r="12277" ht="24.0" customHeight="1">
      <c r="A12277" s="10" t="s">
        <v>1186</v>
      </c>
      <c r="B12277" s="10" t="s">
        <v>26</v>
      </c>
      <c r="C12277" s="10" t="s">
        <v>23</v>
      </c>
      <c r="D12277" s="10" t="s">
        <v>1187</v>
      </c>
      <c r="E12277" s="14">
        <v>0.28</v>
      </c>
      <c r="F12277" s="15">
        <f>ROUND(49.5,3)</f>
        <v>49.5</v>
      </c>
      <c r="G12277" s="12">
        <f t="shared" si="1887"/>
        <v>13.86</v>
      </c>
    </row>
    <row r="12278" ht="15.0" customHeight="1">
      <c r="A12278" s="16"/>
      <c r="B12278" s="16"/>
      <c r="C12278" s="16"/>
      <c r="D12278" s="17" t="s">
        <v>5356</v>
      </c>
      <c r="E12278" s="16"/>
      <c r="F12278" s="18">
        <f>ROUND((G12275+G12276+G12277)*(1+G2/100),2)</f>
        <v>18.25</v>
      </c>
      <c r="G12278" s="16"/>
    </row>
    <row r="12279" ht="57.75" customHeight="1">
      <c r="A12279" s="19" t="s">
        <v>5363</v>
      </c>
      <c r="B12279" s="20" t="s">
        <v>18</v>
      </c>
      <c r="C12279" s="20" t="s">
        <v>19</v>
      </c>
      <c r="D12279" s="20" t="s">
        <v>5364</v>
      </c>
      <c r="E12279" s="21"/>
      <c r="F12279" s="22">
        <f>F12289</f>
        <v>19.25</v>
      </c>
      <c r="G12279" s="21"/>
    </row>
    <row r="12280" ht="21.0" customHeight="1">
      <c r="A12280" s="11"/>
      <c r="B12280" s="11"/>
      <c r="C12280" s="11"/>
      <c r="D12280" s="10" t="s">
        <v>5365</v>
      </c>
    </row>
    <row r="12281" ht="30.0" customHeight="1">
      <c r="A12281" s="10" t="s">
        <v>5046</v>
      </c>
      <c r="B12281" s="10" t="s">
        <v>42</v>
      </c>
      <c r="C12281" s="10" t="s">
        <v>43</v>
      </c>
      <c r="D12281" s="10" t="s">
        <v>5047</v>
      </c>
      <c r="E12281" s="14">
        <v>0.05</v>
      </c>
      <c r="F12281" s="15">
        <f>ROUND(20.75,3)</f>
        <v>20.75</v>
      </c>
      <c r="G12281" s="12">
        <f t="shared" ref="G12281:G12287" si="1888">ROUND(E12281*F12281,2)</f>
        <v>1.04</v>
      </c>
    </row>
    <row r="12282" ht="39.75" customHeight="1">
      <c r="A12282" s="10" t="s">
        <v>5048</v>
      </c>
      <c r="B12282" s="10" t="s">
        <v>42</v>
      </c>
      <c r="C12282" s="10" t="s">
        <v>43</v>
      </c>
      <c r="D12282" s="10" t="s">
        <v>5049</v>
      </c>
      <c r="E12282" s="14">
        <v>0.1</v>
      </c>
      <c r="F12282" s="15">
        <f>ROUND(16.5,3)</f>
        <v>16.5</v>
      </c>
      <c r="G12282" s="12">
        <f t="shared" si="1888"/>
        <v>1.65</v>
      </c>
    </row>
    <row r="12283" ht="21.0" customHeight="1">
      <c r="A12283" s="10" t="s">
        <v>1416</v>
      </c>
      <c r="B12283" s="10" t="s">
        <v>18</v>
      </c>
      <c r="C12283" s="10" t="s">
        <v>23</v>
      </c>
      <c r="D12283" s="10" t="s">
        <v>1417</v>
      </c>
      <c r="E12283" s="14">
        <v>0.36</v>
      </c>
      <c r="F12283" s="15">
        <f>F12287</f>
        <v>43.8</v>
      </c>
      <c r="G12283" s="12">
        <f t="shared" si="1888"/>
        <v>15.77</v>
      </c>
    </row>
    <row r="12284" ht="24.0" customHeight="1">
      <c r="A12284" s="10" t="s">
        <v>1418</v>
      </c>
      <c r="B12284" s="10" t="s">
        <v>26</v>
      </c>
      <c r="C12284" s="10" t="s">
        <v>23</v>
      </c>
      <c r="D12284" s="10" t="s">
        <v>1419</v>
      </c>
      <c r="E12284" s="14">
        <v>1.0</v>
      </c>
      <c r="F12284" s="15">
        <f>ROUND(21,3)</f>
        <v>21</v>
      </c>
      <c r="G12284" s="12">
        <f t="shared" si="1888"/>
        <v>21</v>
      </c>
    </row>
    <row r="12285" ht="24.0" customHeight="1">
      <c r="A12285" s="10" t="s">
        <v>1420</v>
      </c>
      <c r="B12285" s="10" t="s">
        <v>26</v>
      </c>
      <c r="C12285" s="10" t="s">
        <v>23</v>
      </c>
      <c r="D12285" s="10" t="s">
        <v>1421</v>
      </c>
      <c r="E12285" s="14">
        <v>1.0</v>
      </c>
      <c r="F12285" s="15">
        <f t="shared" ref="F12285:F12286" si="1889">ROUND(19,3)</f>
        <v>19</v>
      </c>
      <c r="G12285" s="12">
        <f t="shared" si="1888"/>
        <v>19</v>
      </c>
    </row>
    <row r="12286" ht="24.0" customHeight="1">
      <c r="A12286" s="10" t="s">
        <v>30</v>
      </c>
      <c r="B12286" s="10" t="s">
        <v>26</v>
      </c>
      <c r="C12286" s="10" t="s">
        <v>23</v>
      </c>
      <c r="D12286" s="10" t="s">
        <v>31</v>
      </c>
      <c r="E12286" s="14">
        <v>0.2</v>
      </c>
      <c r="F12286" s="15">
        <f t="shared" si="1889"/>
        <v>19</v>
      </c>
      <c r="G12286" s="12">
        <f t="shared" si="1888"/>
        <v>3.8</v>
      </c>
    </row>
    <row r="12287" ht="15.0" customHeight="1">
      <c r="A12287" s="11"/>
      <c r="B12287" s="11"/>
      <c r="C12287" s="11"/>
      <c r="D12287" s="10" t="s">
        <v>1416</v>
      </c>
      <c r="E12287" s="14">
        <v>0.36</v>
      </c>
      <c r="F12287" s="15">
        <f>ROUND((G12284+G12285+G12286),3)</f>
        <v>43.8</v>
      </c>
      <c r="G12287" s="12">
        <f t="shared" si="1888"/>
        <v>15.77</v>
      </c>
    </row>
    <row r="12288" ht="15.0" customHeight="1">
      <c r="A12288" s="10" t="s">
        <v>32</v>
      </c>
      <c r="B12288" s="10"/>
      <c r="C12288" s="10" t="s">
        <v>33</v>
      </c>
      <c r="D12288" s="10" t="s">
        <v>34</v>
      </c>
      <c r="E12288" s="14">
        <v>5.0</v>
      </c>
      <c r="F12288" s="15">
        <f>ROUND(15.77,3)</f>
        <v>15.77</v>
      </c>
      <c r="G12288" s="12">
        <f>ROUND((E12288*F12288)/100,2)</f>
        <v>0.79</v>
      </c>
    </row>
    <row r="12289" ht="15.0" customHeight="1">
      <c r="A12289" s="16"/>
      <c r="B12289" s="16"/>
      <c r="C12289" s="16"/>
      <c r="D12289" s="17" t="s">
        <v>5363</v>
      </c>
      <c r="E12289" s="16"/>
      <c r="F12289" s="18">
        <f>ROUND((G12281+G12282+G12283+G12288)*(1+G2/100),2)</f>
        <v>19.25</v>
      </c>
      <c r="G12289" s="16"/>
    </row>
    <row r="12290" ht="57.75" customHeight="1">
      <c r="A12290" s="19" t="s">
        <v>5366</v>
      </c>
      <c r="B12290" s="20" t="s">
        <v>18</v>
      </c>
      <c r="C12290" s="20" t="s">
        <v>19</v>
      </c>
      <c r="D12290" s="20" t="s">
        <v>5367</v>
      </c>
      <c r="E12290" s="21"/>
      <c r="F12290" s="22">
        <f>F12300</f>
        <v>27.22</v>
      </c>
      <c r="G12290" s="21"/>
    </row>
    <row r="12291" ht="30.0" customHeight="1">
      <c r="A12291" s="11"/>
      <c r="B12291" s="11"/>
      <c r="C12291" s="11"/>
      <c r="D12291" s="10" t="s">
        <v>5368</v>
      </c>
    </row>
    <row r="12292" ht="30.0" customHeight="1">
      <c r="A12292" s="10" t="s">
        <v>5046</v>
      </c>
      <c r="B12292" s="10" t="s">
        <v>42</v>
      </c>
      <c r="C12292" s="10" t="s">
        <v>43</v>
      </c>
      <c r="D12292" s="10" t="s">
        <v>5047</v>
      </c>
      <c r="E12292" s="14">
        <v>0.05</v>
      </c>
      <c r="F12292" s="15">
        <f>ROUND(20.75,3)</f>
        <v>20.75</v>
      </c>
      <c r="G12292" s="12">
        <f t="shared" ref="G12292:G12298" si="1890">ROUND(E12292*F12292,2)</f>
        <v>1.04</v>
      </c>
    </row>
    <row r="12293" ht="39.75" customHeight="1">
      <c r="A12293" s="10" t="s">
        <v>5048</v>
      </c>
      <c r="B12293" s="10" t="s">
        <v>42</v>
      </c>
      <c r="C12293" s="10" t="s">
        <v>43</v>
      </c>
      <c r="D12293" s="10" t="s">
        <v>5049</v>
      </c>
      <c r="E12293" s="14">
        <v>0.1</v>
      </c>
      <c r="F12293" s="15">
        <f>ROUND(16.5,3)</f>
        <v>16.5</v>
      </c>
      <c r="G12293" s="12">
        <f t="shared" si="1890"/>
        <v>1.65</v>
      </c>
    </row>
    <row r="12294" ht="21.0" customHeight="1">
      <c r="A12294" s="10" t="s">
        <v>1416</v>
      </c>
      <c r="B12294" s="10" t="s">
        <v>18</v>
      </c>
      <c r="C12294" s="10" t="s">
        <v>23</v>
      </c>
      <c r="D12294" s="10" t="s">
        <v>1417</v>
      </c>
      <c r="E12294" s="14">
        <v>0.53333</v>
      </c>
      <c r="F12294" s="15">
        <f>F12298</f>
        <v>43.8</v>
      </c>
      <c r="G12294" s="12">
        <f t="shared" si="1890"/>
        <v>23.36</v>
      </c>
    </row>
    <row r="12295" ht="24.0" customHeight="1">
      <c r="A12295" s="10" t="s">
        <v>1418</v>
      </c>
      <c r="B12295" s="10" t="s">
        <v>26</v>
      </c>
      <c r="C12295" s="10" t="s">
        <v>23</v>
      </c>
      <c r="D12295" s="10" t="s">
        <v>1419</v>
      </c>
      <c r="E12295" s="14">
        <v>1.0</v>
      </c>
      <c r="F12295" s="15">
        <f>ROUND(21,3)</f>
        <v>21</v>
      </c>
      <c r="G12295" s="12">
        <f t="shared" si="1890"/>
        <v>21</v>
      </c>
    </row>
    <row r="12296" ht="24.0" customHeight="1">
      <c r="A12296" s="10" t="s">
        <v>1420</v>
      </c>
      <c r="B12296" s="10" t="s">
        <v>26</v>
      </c>
      <c r="C12296" s="10" t="s">
        <v>23</v>
      </c>
      <c r="D12296" s="10" t="s">
        <v>1421</v>
      </c>
      <c r="E12296" s="14">
        <v>1.0</v>
      </c>
      <c r="F12296" s="15">
        <f t="shared" ref="F12296:F12297" si="1891">ROUND(19,3)</f>
        <v>19</v>
      </c>
      <c r="G12296" s="12">
        <f t="shared" si="1890"/>
        <v>19</v>
      </c>
    </row>
    <row r="12297" ht="24.0" customHeight="1">
      <c r="A12297" s="10" t="s">
        <v>30</v>
      </c>
      <c r="B12297" s="10" t="s">
        <v>26</v>
      </c>
      <c r="C12297" s="10" t="s">
        <v>23</v>
      </c>
      <c r="D12297" s="10" t="s">
        <v>31</v>
      </c>
      <c r="E12297" s="14">
        <v>0.2</v>
      </c>
      <c r="F12297" s="15">
        <f t="shared" si="1891"/>
        <v>19</v>
      </c>
      <c r="G12297" s="12">
        <f t="shared" si="1890"/>
        <v>3.8</v>
      </c>
    </row>
    <row r="12298" ht="15.0" customHeight="1">
      <c r="A12298" s="11"/>
      <c r="B12298" s="11"/>
      <c r="C12298" s="11"/>
      <c r="D12298" s="10" t="s">
        <v>1416</v>
      </c>
      <c r="E12298" s="14">
        <v>0.53333</v>
      </c>
      <c r="F12298" s="15">
        <f>ROUND((G12295+G12296+G12297),3)</f>
        <v>43.8</v>
      </c>
      <c r="G12298" s="12">
        <f t="shared" si="1890"/>
        <v>23.36</v>
      </c>
    </row>
    <row r="12299" ht="15.0" customHeight="1">
      <c r="A12299" s="10" t="s">
        <v>32</v>
      </c>
      <c r="B12299" s="10"/>
      <c r="C12299" s="10" t="s">
        <v>33</v>
      </c>
      <c r="D12299" s="10" t="s">
        <v>34</v>
      </c>
      <c r="E12299" s="14">
        <v>5.0</v>
      </c>
      <c r="F12299" s="15">
        <f>ROUND(23.36,3)</f>
        <v>23.36</v>
      </c>
      <c r="G12299" s="12">
        <f>ROUND((E12299*F12299)/100,2)</f>
        <v>1.17</v>
      </c>
    </row>
    <row r="12300" ht="15.0" customHeight="1">
      <c r="A12300" s="16"/>
      <c r="B12300" s="16"/>
      <c r="C12300" s="16"/>
      <c r="D12300" s="17" t="s">
        <v>5366</v>
      </c>
      <c r="E12300" s="16"/>
      <c r="F12300" s="18">
        <f>ROUND((G12292+G12293+G12294+G12299)*(1+G2/100),2)</f>
        <v>27.22</v>
      </c>
      <c r="G12300" s="16"/>
    </row>
    <row r="12301" ht="57.75" customHeight="1">
      <c r="A12301" s="19" t="s">
        <v>5369</v>
      </c>
      <c r="B12301" s="20" t="s">
        <v>18</v>
      </c>
      <c r="C12301" s="20" t="s">
        <v>19</v>
      </c>
      <c r="D12301" s="20" t="s">
        <v>5370</v>
      </c>
      <c r="E12301" s="21"/>
      <c r="F12301" s="22">
        <f>F12311</f>
        <v>23.39</v>
      </c>
      <c r="G12301" s="21"/>
    </row>
    <row r="12302" ht="21.0" customHeight="1">
      <c r="A12302" s="11"/>
      <c r="B12302" s="11"/>
      <c r="C12302" s="11"/>
      <c r="D12302" s="10" t="s">
        <v>5371</v>
      </c>
    </row>
    <row r="12303" ht="30.0" customHeight="1">
      <c r="A12303" s="10" t="s">
        <v>5046</v>
      </c>
      <c r="B12303" s="10" t="s">
        <v>42</v>
      </c>
      <c r="C12303" s="10" t="s">
        <v>43</v>
      </c>
      <c r="D12303" s="10" t="s">
        <v>5047</v>
      </c>
      <c r="E12303" s="14">
        <v>0.05</v>
      </c>
      <c r="F12303" s="15">
        <f>ROUND(20.75,3)</f>
        <v>20.75</v>
      </c>
      <c r="G12303" s="12">
        <f t="shared" ref="G12303:G12309" si="1892">ROUND(E12303*F12303,2)</f>
        <v>1.04</v>
      </c>
    </row>
    <row r="12304" ht="39.75" customHeight="1">
      <c r="A12304" s="10" t="s">
        <v>5048</v>
      </c>
      <c r="B12304" s="10" t="s">
        <v>42</v>
      </c>
      <c r="C12304" s="10" t="s">
        <v>43</v>
      </c>
      <c r="D12304" s="10" t="s">
        <v>5049</v>
      </c>
      <c r="E12304" s="14">
        <v>0.1</v>
      </c>
      <c r="F12304" s="15">
        <f>ROUND(16.5,3)</f>
        <v>16.5</v>
      </c>
      <c r="G12304" s="12">
        <f t="shared" si="1892"/>
        <v>1.65</v>
      </c>
    </row>
    <row r="12305" ht="21.0" customHeight="1">
      <c r="A12305" s="10" t="s">
        <v>1416</v>
      </c>
      <c r="B12305" s="10" t="s">
        <v>18</v>
      </c>
      <c r="C12305" s="10" t="s">
        <v>23</v>
      </c>
      <c r="D12305" s="10" t="s">
        <v>1417</v>
      </c>
      <c r="E12305" s="14">
        <v>0.45</v>
      </c>
      <c r="F12305" s="15">
        <f>F12309</f>
        <v>43.8</v>
      </c>
      <c r="G12305" s="12">
        <f t="shared" si="1892"/>
        <v>19.71</v>
      </c>
    </row>
    <row r="12306" ht="24.0" customHeight="1">
      <c r="A12306" s="10" t="s">
        <v>1418</v>
      </c>
      <c r="B12306" s="10" t="s">
        <v>26</v>
      </c>
      <c r="C12306" s="10" t="s">
        <v>23</v>
      </c>
      <c r="D12306" s="10" t="s">
        <v>1419</v>
      </c>
      <c r="E12306" s="14">
        <v>1.0</v>
      </c>
      <c r="F12306" s="15">
        <f>ROUND(21,3)</f>
        <v>21</v>
      </c>
      <c r="G12306" s="12">
        <f t="shared" si="1892"/>
        <v>21</v>
      </c>
    </row>
    <row r="12307" ht="24.0" customHeight="1">
      <c r="A12307" s="10" t="s">
        <v>1420</v>
      </c>
      <c r="B12307" s="10" t="s">
        <v>26</v>
      </c>
      <c r="C12307" s="10" t="s">
        <v>23</v>
      </c>
      <c r="D12307" s="10" t="s">
        <v>1421</v>
      </c>
      <c r="E12307" s="14">
        <v>1.0</v>
      </c>
      <c r="F12307" s="15">
        <f t="shared" ref="F12307:F12308" si="1893">ROUND(19,3)</f>
        <v>19</v>
      </c>
      <c r="G12307" s="12">
        <f t="shared" si="1892"/>
        <v>19</v>
      </c>
    </row>
    <row r="12308" ht="24.0" customHeight="1">
      <c r="A12308" s="10" t="s">
        <v>30</v>
      </c>
      <c r="B12308" s="10" t="s">
        <v>26</v>
      </c>
      <c r="C12308" s="10" t="s">
        <v>23</v>
      </c>
      <c r="D12308" s="10" t="s">
        <v>31</v>
      </c>
      <c r="E12308" s="14">
        <v>0.2</v>
      </c>
      <c r="F12308" s="15">
        <f t="shared" si="1893"/>
        <v>19</v>
      </c>
      <c r="G12308" s="12">
        <f t="shared" si="1892"/>
        <v>3.8</v>
      </c>
    </row>
    <row r="12309" ht="15.0" customHeight="1">
      <c r="A12309" s="11"/>
      <c r="B12309" s="11"/>
      <c r="C12309" s="11"/>
      <c r="D12309" s="10" t="s">
        <v>1416</v>
      </c>
      <c r="E12309" s="14">
        <v>0.45</v>
      </c>
      <c r="F12309" s="15">
        <f>ROUND((G12306+G12307+G12308),3)</f>
        <v>43.8</v>
      </c>
      <c r="G12309" s="12">
        <f t="shared" si="1892"/>
        <v>19.71</v>
      </c>
    </row>
    <row r="12310" ht="15.0" customHeight="1">
      <c r="A12310" s="10" t="s">
        <v>32</v>
      </c>
      <c r="B12310" s="10"/>
      <c r="C12310" s="10" t="s">
        <v>33</v>
      </c>
      <c r="D12310" s="10" t="s">
        <v>34</v>
      </c>
      <c r="E12310" s="14">
        <v>5.0</v>
      </c>
      <c r="F12310" s="15">
        <f>ROUND(19.71,3)</f>
        <v>19.71</v>
      </c>
      <c r="G12310" s="12">
        <f>ROUND((E12310*F12310)/100,2)</f>
        <v>0.99</v>
      </c>
    </row>
    <row r="12311" ht="15.0" customHeight="1">
      <c r="A12311" s="16"/>
      <c r="B12311" s="16"/>
      <c r="C12311" s="16"/>
      <c r="D12311" s="17" t="s">
        <v>5369</v>
      </c>
      <c r="E12311" s="16"/>
      <c r="F12311" s="18">
        <f>ROUND((G12303+G12304+G12305+G12310)*(1+G2/100),2)</f>
        <v>23.39</v>
      </c>
      <c r="G12311" s="16"/>
    </row>
    <row r="12312" ht="30.0" customHeight="1">
      <c r="A12312" s="19" t="s">
        <v>5372</v>
      </c>
      <c r="B12312" s="20" t="s">
        <v>18</v>
      </c>
      <c r="C12312" s="20" t="s">
        <v>19</v>
      </c>
      <c r="D12312" s="20" t="s">
        <v>5373</v>
      </c>
      <c r="E12312" s="21"/>
      <c r="F12312" s="22">
        <f>F12322</f>
        <v>29.76</v>
      </c>
      <c r="G12312" s="21"/>
    </row>
    <row r="12313" ht="21.0" customHeight="1">
      <c r="A12313" s="11"/>
      <c r="B12313" s="11"/>
      <c r="C12313" s="11"/>
      <c r="D12313" s="10" t="s">
        <v>5374</v>
      </c>
    </row>
    <row r="12314" ht="39.75" customHeight="1">
      <c r="A12314" s="10" t="s">
        <v>4790</v>
      </c>
      <c r="B12314" s="10" t="s">
        <v>42</v>
      </c>
      <c r="C12314" s="10" t="s">
        <v>276</v>
      </c>
      <c r="D12314" s="10" t="s">
        <v>4791</v>
      </c>
      <c r="E12314" s="14">
        <v>0.01111</v>
      </c>
      <c r="F12314" s="15">
        <f>ROUND(96.78,3)</f>
        <v>96.78</v>
      </c>
      <c r="G12314" s="12">
        <f t="shared" ref="G12314:G12320" si="1894">ROUND(E12314*F12314,2)</f>
        <v>1.08</v>
      </c>
    </row>
    <row r="12315" ht="48.75" customHeight="1">
      <c r="A12315" s="10" t="s">
        <v>5375</v>
      </c>
      <c r="B12315" s="10" t="s">
        <v>42</v>
      </c>
      <c r="C12315" s="10" t="s">
        <v>276</v>
      </c>
      <c r="D12315" s="10" t="s">
        <v>5376</v>
      </c>
      <c r="E12315" s="14">
        <v>0.13333</v>
      </c>
      <c r="F12315" s="15">
        <f>ROUND(123.76,3)</f>
        <v>123.76</v>
      </c>
      <c r="G12315" s="12">
        <f t="shared" si="1894"/>
        <v>16.5</v>
      </c>
    </row>
    <row r="12316" ht="21.0" customHeight="1">
      <c r="A12316" s="10" t="s">
        <v>1416</v>
      </c>
      <c r="B12316" s="10" t="s">
        <v>18</v>
      </c>
      <c r="C12316" s="10" t="s">
        <v>23</v>
      </c>
      <c r="D12316" s="10" t="s">
        <v>1417</v>
      </c>
      <c r="E12316" s="14">
        <v>0.27</v>
      </c>
      <c r="F12316" s="15">
        <f>F12320</f>
        <v>43.8</v>
      </c>
      <c r="G12316" s="12">
        <f t="shared" si="1894"/>
        <v>11.83</v>
      </c>
    </row>
    <row r="12317" ht="24.0" customHeight="1">
      <c r="A12317" s="10" t="s">
        <v>1418</v>
      </c>
      <c r="B12317" s="10" t="s">
        <v>26</v>
      </c>
      <c r="C12317" s="10" t="s">
        <v>23</v>
      </c>
      <c r="D12317" s="10" t="s">
        <v>1419</v>
      </c>
      <c r="E12317" s="14">
        <v>1.0</v>
      </c>
      <c r="F12317" s="15">
        <f>ROUND(21,3)</f>
        <v>21</v>
      </c>
      <c r="G12317" s="12">
        <f t="shared" si="1894"/>
        <v>21</v>
      </c>
    </row>
    <row r="12318" ht="24.0" customHeight="1">
      <c r="A12318" s="10" t="s">
        <v>1420</v>
      </c>
      <c r="B12318" s="10" t="s">
        <v>26</v>
      </c>
      <c r="C12318" s="10" t="s">
        <v>23</v>
      </c>
      <c r="D12318" s="10" t="s">
        <v>1421</v>
      </c>
      <c r="E12318" s="14">
        <v>1.0</v>
      </c>
      <c r="F12318" s="15">
        <f t="shared" ref="F12318:F12319" si="1895">ROUND(19,3)</f>
        <v>19</v>
      </c>
      <c r="G12318" s="12">
        <f t="shared" si="1894"/>
        <v>19</v>
      </c>
    </row>
    <row r="12319" ht="24.0" customHeight="1">
      <c r="A12319" s="10" t="s">
        <v>30</v>
      </c>
      <c r="B12319" s="10" t="s">
        <v>26</v>
      </c>
      <c r="C12319" s="10" t="s">
        <v>23</v>
      </c>
      <c r="D12319" s="10" t="s">
        <v>31</v>
      </c>
      <c r="E12319" s="14">
        <v>0.2</v>
      </c>
      <c r="F12319" s="15">
        <f t="shared" si="1895"/>
        <v>19</v>
      </c>
      <c r="G12319" s="12">
        <f t="shared" si="1894"/>
        <v>3.8</v>
      </c>
    </row>
    <row r="12320" ht="15.0" customHeight="1">
      <c r="A12320" s="11"/>
      <c r="B12320" s="11"/>
      <c r="C12320" s="11"/>
      <c r="D12320" s="10" t="s">
        <v>1416</v>
      </c>
      <c r="E12320" s="14">
        <v>0.27</v>
      </c>
      <c r="F12320" s="15">
        <f>ROUND((G12317+G12318+G12319),3)</f>
        <v>43.8</v>
      </c>
      <c r="G12320" s="12">
        <f t="shared" si="1894"/>
        <v>11.83</v>
      </c>
    </row>
    <row r="12321" ht="15.0" customHeight="1">
      <c r="A12321" s="10" t="s">
        <v>32</v>
      </c>
      <c r="B12321" s="10"/>
      <c r="C12321" s="10" t="s">
        <v>33</v>
      </c>
      <c r="D12321" s="10" t="s">
        <v>34</v>
      </c>
      <c r="E12321" s="14">
        <v>3.0</v>
      </c>
      <c r="F12321" s="15">
        <f>ROUND(11.83,3)</f>
        <v>11.83</v>
      </c>
      <c r="G12321" s="12">
        <f>ROUND((E12321*F12321)/100,2)</f>
        <v>0.35</v>
      </c>
    </row>
    <row r="12322" ht="15.0" customHeight="1">
      <c r="A12322" s="16"/>
      <c r="B12322" s="16"/>
      <c r="C12322" s="16"/>
      <c r="D12322" s="17" t="s">
        <v>5372</v>
      </c>
      <c r="E12322" s="16"/>
      <c r="F12322" s="18">
        <f>ROUND((G12314+G12315+G12316+G12321)*(1+G2/100),2)</f>
        <v>29.76</v>
      </c>
      <c r="G12322" s="16"/>
    </row>
    <row r="12323" ht="30.0" customHeight="1">
      <c r="A12323" s="19" t="s">
        <v>5377</v>
      </c>
      <c r="B12323" s="20" t="s">
        <v>18</v>
      </c>
      <c r="C12323" s="20" t="s">
        <v>19</v>
      </c>
      <c r="D12323" s="20" t="s">
        <v>5378</v>
      </c>
      <c r="E12323" s="21"/>
      <c r="F12323" s="22">
        <f>F12333</f>
        <v>42.11</v>
      </c>
      <c r="G12323" s="21"/>
    </row>
    <row r="12324" ht="21.0" customHeight="1">
      <c r="A12324" s="11"/>
      <c r="B12324" s="11"/>
      <c r="C12324" s="11"/>
      <c r="D12324" s="10" t="s">
        <v>5379</v>
      </c>
    </row>
    <row r="12325" ht="39.75" customHeight="1">
      <c r="A12325" s="10" t="s">
        <v>4790</v>
      </c>
      <c r="B12325" s="10" t="s">
        <v>42</v>
      </c>
      <c r="C12325" s="10" t="s">
        <v>276</v>
      </c>
      <c r="D12325" s="10" t="s">
        <v>4791</v>
      </c>
      <c r="E12325" s="14">
        <v>0.01111</v>
      </c>
      <c r="F12325" s="15">
        <f>ROUND(96.78,3)</f>
        <v>96.78</v>
      </c>
      <c r="G12325" s="12">
        <f t="shared" ref="G12325:G12331" si="1896">ROUND(E12325*F12325,2)</f>
        <v>1.08</v>
      </c>
    </row>
    <row r="12326" ht="48.75" customHeight="1">
      <c r="A12326" s="10" t="s">
        <v>5375</v>
      </c>
      <c r="B12326" s="10" t="s">
        <v>42</v>
      </c>
      <c r="C12326" s="10" t="s">
        <v>276</v>
      </c>
      <c r="D12326" s="10" t="s">
        <v>5376</v>
      </c>
      <c r="E12326" s="14">
        <v>0.13333</v>
      </c>
      <c r="F12326" s="15">
        <f>ROUND(123.76,3)</f>
        <v>123.76</v>
      </c>
      <c r="G12326" s="12">
        <f t="shared" si="1896"/>
        <v>16.5</v>
      </c>
    </row>
    <row r="12327" ht="21.0" customHeight="1">
      <c r="A12327" s="10" t="s">
        <v>1416</v>
      </c>
      <c r="B12327" s="10" t="s">
        <v>18</v>
      </c>
      <c r="C12327" s="10" t="s">
        <v>23</v>
      </c>
      <c r="D12327" s="10" t="s">
        <v>1417</v>
      </c>
      <c r="E12327" s="14">
        <v>0.53333</v>
      </c>
      <c r="F12327" s="15">
        <f>F12331</f>
        <v>43.8</v>
      </c>
      <c r="G12327" s="12">
        <f t="shared" si="1896"/>
        <v>23.36</v>
      </c>
    </row>
    <row r="12328" ht="24.0" customHeight="1">
      <c r="A12328" s="10" t="s">
        <v>1418</v>
      </c>
      <c r="B12328" s="10" t="s">
        <v>26</v>
      </c>
      <c r="C12328" s="10" t="s">
        <v>23</v>
      </c>
      <c r="D12328" s="10" t="s">
        <v>1419</v>
      </c>
      <c r="E12328" s="14">
        <v>1.0</v>
      </c>
      <c r="F12328" s="15">
        <f>ROUND(21,3)</f>
        <v>21</v>
      </c>
      <c r="G12328" s="12">
        <f t="shared" si="1896"/>
        <v>21</v>
      </c>
    </row>
    <row r="12329" ht="24.0" customHeight="1">
      <c r="A12329" s="10" t="s">
        <v>1420</v>
      </c>
      <c r="B12329" s="10" t="s">
        <v>26</v>
      </c>
      <c r="C12329" s="10" t="s">
        <v>23</v>
      </c>
      <c r="D12329" s="10" t="s">
        <v>1421</v>
      </c>
      <c r="E12329" s="14">
        <v>1.0</v>
      </c>
      <c r="F12329" s="15">
        <f t="shared" ref="F12329:F12330" si="1897">ROUND(19,3)</f>
        <v>19</v>
      </c>
      <c r="G12329" s="12">
        <f t="shared" si="1896"/>
        <v>19</v>
      </c>
    </row>
    <row r="12330" ht="24.0" customHeight="1">
      <c r="A12330" s="10" t="s">
        <v>30</v>
      </c>
      <c r="B12330" s="10" t="s">
        <v>26</v>
      </c>
      <c r="C12330" s="10" t="s">
        <v>23</v>
      </c>
      <c r="D12330" s="10" t="s">
        <v>31</v>
      </c>
      <c r="E12330" s="14">
        <v>0.2</v>
      </c>
      <c r="F12330" s="15">
        <f t="shared" si="1897"/>
        <v>19</v>
      </c>
      <c r="G12330" s="12">
        <f t="shared" si="1896"/>
        <v>3.8</v>
      </c>
    </row>
    <row r="12331" ht="15.0" customHeight="1">
      <c r="A12331" s="11"/>
      <c r="B12331" s="11"/>
      <c r="C12331" s="11"/>
      <c r="D12331" s="10" t="s">
        <v>1416</v>
      </c>
      <c r="E12331" s="14">
        <v>0.53333</v>
      </c>
      <c r="F12331" s="15">
        <f>ROUND((G12328+G12329+G12330),3)</f>
        <v>43.8</v>
      </c>
      <c r="G12331" s="12">
        <f t="shared" si="1896"/>
        <v>23.36</v>
      </c>
    </row>
    <row r="12332" ht="15.0" customHeight="1">
      <c r="A12332" s="10" t="s">
        <v>32</v>
      </c>
      <c r="B12332" s="10"/>
      <c r="C12332" s="10" t="s">
        <v>33</v>
      </c>
      <c r="D12332" s="10" t="s">
        <v>34</v>
      </c>
      <c r="E12332" s="14">
        <v>5.0</v>
      </c>
      <c r="F12332" s="15">
        <f>ROUND(23.36,3)</f>
        <v>23.36</v>
      </c>
      <c r="G12332" s="12">
        <f>ROUND((E12332*F12332)/100,2)</f>
        <v>1.17</v>
      </c>
    </row>
    <row r="12333" ht="15.0" customHeight="1">
      <c r="A12333" s="16"/>
      <c r="B12333" s="16"/>
      <c r="C12333" s="16"/>
      <c r="D12333" s="17" t="s">
        <v>5377</v>
      </c>
      <c r="E12333" s="16"/>
      <c r="F12333" s="18">
        <f>ROUND((G12325+G12326+G12327+G12332)*(1+G2/100),2)</f>
        <v>42.11</v>
      </c>
      <c r="G12333" s="16"/>
    </row>
    <row r="12334" ht="30.0" customHeight="1">
      <c r="A12334" s="19" t="s">
        <v>5380</v>
      </c>
      <c r="B12334" s="20" t="s">
        <v>18</v>
      </c>
      <c r="C12334" s="20" t="s">
        <v>19</v>
      </c>
      <c r="D12334" s="20" t="s">
        <v>5378</v>
      </c>
      <c r="E12334" s="21"/>
      <c r="F12334" s="22">
        <f>F12344</f>
        <v>34.14</v>
      </c>
      <c r="G12334" s="21"/>
    </row>
    <row r="12335" ht="21.0" customHeight="1">
      <c r="A12335" s="11"/>
      <c r="B12335" s="11"/>
      <c r="C12335" s="11"/>
      <c r="D12335" s="10" t="s">
        <v>5381</v>
      </c>
    </row>
    <row r="12336" ht="39.75" customHeight="1">
      <c r="A12336" s="10" t="s">
        <v>4790</v>
      </c>
      <c r="B12336" s="10" t="s">
        <v>42</v>
      </c>
      <c r="C12336" s="10" t="s">
        <v>276</v>
      </c>
      <c r="D12336" s="10" t="s">
        <v>4791</v>
      </c>
      <c r="E12336" s="14">
        <v>0.01111</v>
      </c>
      <c r="F12336" s="15">
        <f>ROUND(96.78,3)</f>
        <v>96.78</v>
      </c>
      <c r="G12336" s="12">
        <f t="shared" ref="G12336:G12342" si="1898">ROUND(E12336*F12336,2)</f>
        <v>1.08</v>
      </c>
    </row>
    <row r="12337" ht="48.75" customHeight="1">
      <c r="A12337" s="10" t="s">
        <v>5375</v>
      </c>
      <c r="B12337" s="10" t="s">
        <v>42</v>
      </c>
      <c r="C12337" s="10" t="s">
        <v>276</v>
      </c>
      <c r="D12337" s="10" t="s">
        <v>5376</v>
      </c>
      <c r="E12337" s="14">
        <v>0.13333</v>
      </c>
      <c r="F12337" s="15">
        <f>ROUND(123.76,3)</f>
        <v>123.76</v>
      </c>
      <c r="G12337" s="12">
        <f t="shared" si="1898"/>
        <v>16.5</v>
      </c>
    </row>
    <row r="12338" ht="21.0" customHeight="1">
      <c r="A12338" s="10" t="s">
        <v>1416</v>
      </c>
      <c r="B12338" s="10" t="s">
        <v>18</v>
      </c>
      <c r="C12338" s="10" t="s">
        <v>23</v>
      </c>
      <c r="D12338" s="10" t="s">
        <v>1417</v>
      </c>
      <c r="E12338" s="14">
        <v>0.36</v>
      </c>
      <c r="F12338" s="15">
        <f>F12342</f>
        <v>43.8</v>
      </c>
      <c r="G12338" s="12">
        <f t="shared" si="1898"/>
        <v>15.77</v>
      </c>
    </row>
    <row r="12339" ht="24.0" customHeight="1">
      <c r="A12339" s="10" t="s">
        <v>1418</v>
      </c>
      <c r="B12339" s="10" t="s">
        <v>26</v>
      </c>
      <c r="C12339" s="10" t="s">
        <v>23</v>
      </c>
      <c r="D12339" s="10" t="s">
        <v>1419</v>
      </c>
      <c r="E12339" s="14">
        <v>1.0</v>
      </c>
      <c r="F12339" s="15">
        <f>ROUND(21,3)</f>
        <v>21</v>
      </c>
      <c r="G12339" s="12">
        <f t="shared" si="1898"/>
        <v>21</v>
      </c>
    </row>
    <row r="12340" ht="24.0" customHeight="1">
      <c r="A12340" s="10" t="s">
        <v>1420</v>
      </c>
      <c r="B12340" s="10" t="s">
        <v>26</v>
      </c>
      <c r="C12340" s="10" t="s">
        <v>23</v>
      </c>
      <c r="D12340" s="10" t="s">
        <v>1421</v>
      </c>
      <c r="E12340" s="14">
        <v>1.0</v>
      </c>
      <c r="F12340" s="15">
        <f t="shared" ref="F12340:F12341" si="1899">ROUND(19,3)</f>
        <v>19</v>
      </c>
      <c r="G12340" s="12">
        <f t="shared" si="1898"/>
        <v>19</v>
      </c>
    </row>
    <row r="12341" ht="24.0" customHeight="1">
      <c r="A12341" s="10" t="s">
        <v>30</v>
      </c>
      <c r="B12341" s="10" t="s">
        <v>26</v>
      </c>
      <c r="C12341" s="10" t="s">
        <v>23</v>
      </c>
      <c r="D12341" s="10" t="s">
        <v>31</v>
      </c>
      <c r="E12341" s="14">
        <v>0.2</v>
      </c>
      <c r="F12341" s="15">
        <f t="shared" si="1899"/>
        <v>19</v>
      </c>
      <c r="G12341" s="12">
        <f t="shared" si="1898"/>
        <v>3.8</v>
      </c>
    </row>
    <row r="12342" ht="15.0" customHeight="1">
      <c r="A12342" s="11"/>
      <c r="B12342" s="11"/>
      <c r="C12342" s="11"/>
      <c r="D12342" s="10" t="s">
        <v>1416</v>
      </c>
      <c r="E12342" s="14">
        <v>0.36</v>
      </c>
      <c r="F12342" s="15">
        <f>ROUND((G12339+G12340+G12341),3)</f>
        <v>43.8</v>
      </c>
      <c r="G12342" s="12">
        <f t="shared" si="1898"/>
        <v>15.77</v>
      </c>
    </row>
    <row r="12343" ht="15.0" customHeight="1">
      <c r="A12343" s="10" t="s">
        <v>32</v>
      </c>
      <c r="B12343" s="10"/>
      <c r="C12343" s="10" t="s">
        <v>33</v>
      </c>
      <c r="D12343" s="10" t="s">
        <v>34</v>
      </c>
      <c r="E12343" s="14">
        <v>5.0</v>
      </c>
      <c r="F12343" s="15">
        <f>ROUND(15.77,3)</f>
        <v>15.77</v>
      </c>
      <c r="G12343" s="12">
        <f>ROUND((E12343*F12343)/100,2)</f>
        <v>0.79</v>
      </c>
    </row>
    <row r="12344" ht="15.0" customHeight="1">
      <c r="A12344" s="16"/>
      <c r="B12344" s="16"/>
      <c r="C12344" s="16"/>
      <c r="D12344" s="17" t="s">
        <v>5380</v>
      </c>
      <c r="E12344" s="16"/>
      <c r="F12344" s="18">
        <f>ROUND((G12336+G12337+G12338+G12343)*(1+G2/100),2)</f>
        <v>34.14</v>
      </c>
      <c r="G12344" s="16"/>
    </row>
    <row r="12345" ht="30.0" customHeight="1">
      <c r="A12345" s="19" t="s">
        <v>5382</v>
      </c>
      <c r="B12345" s="20" t="s">
        <v>18</v>
      </c>
      <c r="C12345" s="20" t="s">
        <v>251</v>
      </c>
      <c r="D12345" s="20" t="s">
        <v>5383</v>
      </c>
      <c r="E12345" s="21"/>
      <c r="F12345" s="22">
        <f>F12349</f>
        <v>17.58</v>
      </c>
      <c r="G12345" s="21"/>
    </row>
    <row r="12346" ht="12.0" customHeight="1">
      <c r="A12346" s="11"/>
      <c r="B12346" s="11"/>
      <c r="C12346" s="11"/>
      <c r="D12346" s="10" t="s">
        <v>5384</v>
      </c>
    </row>
    <row r="12347" ht="15.0" customHeight="1">
      <c r="A12347" s="10" t="s">
        <v>5385</v>
      </c>
      <c r="B12347" s="10" t="s">
        <v>42</v>
      </c>
      <c r="C12347" s="10" t="s">
        <v>1207</v>
      </c>
      <c r="D12347" s="10" t="s">
        <v>5386</v>
      </c>
      <c r="E12347" s="14">
        <v>0.45</v>
      </c>
      <c r="F12347" s="15">
        <f>ROUND(8.26,3)</f>
        <v>8.26</v>
      </c>
      <c r="G12347" s="12">
        <f t="shared" ref="G12347:G12348" si="1900">ROUND(E12347*F12347,2)</f>
        <v>3.72</v>
      </c>
    </row>
    <row r="12348" ht="24.0" customHeight="1">
      <c r="A12348" s="10" t="s">
        <v>1186</v>
      </c>
      <c r="B12348" s="10" t="s">
        <v>26</v>
      </c>
      <c r="C12348" s="10" t="s">
        <v>23</v>
      </c>
      <c r="D12348" s="10" t="s">
        <v>1187</v>
      </c>
      <c r="E12348" s="14">
        <v>0.28</v>
      </c>
      <c r="F12348" s="15">
        <f>ROUND(49.5,3)</f>
        <v>49.5</v>
      </c>
      <c r="G12348" s="12">
        <f t="shared" si="1900"/>
        <v>13.86</v>
      </c>
    </row>
    <row r="12349" ht="15.0" customHeight="1">
      <c r="A12349" s="16"/>
      <c r="B12349" s="16"/>
      <c r="C12349" s="16"/>
      <c r="D12349" s="17" t="s">
        <v>5382</v>
      </c>
      <c r="E12349" s="16"/>
      <c r="F12349" s="18">
        <f>ROUND((G12347+G12348)*(1+G2/100),2)</f>
        <v>17.58</v>
      </c>
      <c r="G12349" s="16"/>
    </row>
    <row r="12350" ht="30.0" customHeight="1">
      <c r="A12350" s="19" t="s">
        <v>5387</v>
      </c>
      <c r="B12350" s="20" t="s">
        <v>18</v>
      </c>
      <c r="C12350" s="20" t="s">
        <v>251</v>
      </c>
      <c r="D12350" s="20" t="s">
        <v>5388</v>
      </c>
      <c r="E12350" s="21"/>
      <c r="F12350" s="22">
        <f>F12359</f>
        <v>13.77</v>
      </c>
      <c r="G12350" s="21"/>
    </row>
    <row r="12351" ht="21.0" customHeight="1">
      <c r="A12351" s="11"/>
      <c r="B12351" s="11"/>
      <c r="C12351" s="11"/>
      <c r="D12351" s="10" t="s">
        <v>5389</v>
      </c>
    </row>
    <row r="12352" ht="39.75" customHeight="1">
      <c r="A12352" s="10" t="s">
        <v>5155</v>
      </c>
      <c r="B12352" s="10" t="s">
        <v>42</v>
      </c>
      <c r="C12352" s="10" t="s">
        <v>43</v>
      </c>
      <c r="D12352" s="10" t="s">
        <v>5156</v>
      </c>
      <c r="E12352" s="14">
        <v>0.05</v>
      </c>
      <c r="F12352" s="15">
        <f>ROUND(34.71,3)</f>
        <v>34.71</v>
      </c>
      <c r="G12352" s="12">
        <f t="shared" ref="G12352:G12357" si="1901">ROUND(E12352*F12352,2)</f>
        <v>1.74</v>
      </c>
    </row>
    <row r="12353" ht="21.0" customHeight="1">
      <c r="A12353" s="10" t="s">
        <v>22</v>
      </c>
      <c r="B12353" s="10" t="s">
        <v>18</v>
      </c>
      <c r="C12353" s="10" t="s">
        <v>23</v>
      </c>
      <c r="D12353" s="10" t="s">
        <v>24</v>
      </c>
      <c r="E12353" s="14">
        <v>0.26666</v>
      </c>
      <c r="F12353" s="15">
        <f>F12357</f>
        <v>43.8</v>
      </c>
      <c r="G12353" s="12">
        <f t="shared" si="1901"/>
        <v>11.68</v>
      </c>
    </row>
    <row r="12354" ht="24.0" customHeight="1">
      <c r="A12354" s="10" t="s">
        <v>25</v>
      </c>
      <c r="B12354" s="10" t="s">
        <v>26</v>
      </c>
      <c r="C12354" s="10" t="s">
        <v>23</v>
      </c>
      <c r="D12354" s="10" t="s">
        <v>27</v>
      </c>
      <c r="E12354" s="14">
        <v>1.0</v>
      </c>
      <c r="F12354" s="15">
        <f>ROUND(21,3)</f>
        <v>21</v>
      </c>
      <c r="G12354" s="12">
        <f t="shared" si="1901"/>
        <v>21</v>
      </c>
    </row>
    <row r="12355" ht="24.0" customHeight="1">
      <c r="A12355" s="10" t="s">
        <v>28</v>
      </c>
      <c r="B12355" s="10" t="s">
        <v>26</v>
      </c>
      <c r="C12355" s="10" t="s">
        <v>23</v>
      </c>
      <c r="D12355" s="10" t="s">
        <v>29</v>
      </c>
      <c r="E12355" s="14">
        <v>1.0</v>
      </c>
      <c r="F12355" s="15">
        <f t="shared" ref="F12355:F12356" si="1902">ROUND(19,3)</f>
        <v>19</v>
      </c>
      <c r="G12355" s="12">
        <f t="shared" si="1901"/>
        <v>19</v>
      </c>
    </row>
    <row r="12356" ht="24.0" customHeight="1">
      <c r="A12356" s="10" t="s">
        <v>30</v>
      </c>
      <c r="B12356" s="10" t="s">
        <v>26</v>
      </c>
      <c r="C12356" s="10" t="s">
        <v>23</v>
      </c>
      <c r="D12356" s="10" t="s">
        <v>31</v>
      </c>
      <c r="E12356" s="14">
        <v>0.2</v>
      </c>
      <c r="F12356" s="15">
        <f t="shared" si="1902"/>
        <v>19</v>
      </c>
      <c r="G12356" s="12">
        <f t="shared" si="1901"/>
        <v>3.8</v>
      </c>
    </row>
    <row r="12357" ht="15.0" customHeight="1">
      <c r="A12357" s="11"/>
      <c r="B12357" s="11"/>
      <c r="C12357" s="11"/>
      <c r="D12357" s="10" t="s">
        <v>22</v>
      </c>
      <c r="E12357" s="14">
        <v>0.26666</v>
      </c>
      <c r="F12357" s="15">
        <f>ROUND((G12354+G12355+G12356),3)</f>
        <v>43.8</v>
      </c>
      <c r="G12357" s="12">
        <f t="shared" si="1901"/>
        <v>11.68</v>
      </c>
    </row>
    <row r="12358" ht="15.0" customHeight="1">
      <c r="A12358" s="10" t="s">
        <v>32</v>
      </c>
      <c r="B12358" s="10"/>
      <c r="C12358" s="10" t="s">
        <v>33</v>
      </c>
      <c r="D12358" s="10" t="s">
        <v>34</v>
      </c>
      <c r="E12358" s="14">
        <v>3.0</v>
      </c>
      <c r="F12358" s="15">
        <f>ROUND(11.68,3)</f>
        <v>11.68</v>
      </c>
      <c r="G12358" s="12">
        <f>ROUND((E12358*F12358)/100,2)</f>
        <v>0.35</v>
      </c>
    </row>
    <row r="12359" ht="15.0" customHeight="1">
      <c r="A12359" s="16"/>
      <c r="B12359" s="16"/>
      <c r="C12359" s="16"/>
      <c r="D12359" s="17" t="s">
        <v>5387</v>
      </c>
      <c r="E12359" s="16"/>
      <c r="F12359" s="18">
        <f>ROUND((G12352+G12353+G12358)*(1+G2/100),2)</f>
        <v>13.77</v>
      </c>
      <c r="G12359" s="16"/>
    </row>
    <row r="12360" ht="39.75" customHeight="1">
      <c r="A12360" s="19" t="s">
        <v>5390</v>
      </c>
      <c r="B12360" s="20" t="s">
        <v>18</v>
      </c>
      <c r="C12360" s="20" t="s">
        <v>351</v>
      </c>
      <c r="D12360" s="20" t="s">
        <v>5391</v>
      </c>
      <c r="E12360" s="21"/>
      <c r="F12360" s="22">
        <f>F12371</f>
        <v>24.86</v>
      </c>
      <c r="G12360" s="21"/>
    </row>
    <row r="12361" ht="21.0" customHeight="1">
      <c r="A12361" s="11"/>
      <c r="B12361" s="11"/>
      <c r="C12361" s="11"/>
      <c r="D12361" s="10" t="s">
        <v>5392</v>
      </c>
    </row>
    <row r="12362" ht="24.0" customHeight="1">
      <c r="A12362" s="10" t="s">
        <v>2437</v>
      </c>
      <c r="B12362" s="10" t="s">
        <v>42</v>
      </c>
      <c r="C12362" s="10" t="s">
        <v>43</v>
      </c>
      <c r="D12362" s="10" t="s">
        <v>2438</v>
      </c>
      <c r="E12362" s="14">
        <v>0.03</v>
      </c>
      <c r="F12362" s="15">
        <f>ROUND(35.3,3)</f>
        <v>35.3</v>
      </c>
      <c r="G12362" s="12">
        <f t="shared" ref="G12362:G12369" si="1903">ROUND(E12362*F12362,2)</f>
        <v>1.06</v>
      </c>
    </row>
    <row r="12363" ht="39.75" customHeight="1">
      <c r="A12363" s="10" t="s">
        <v>3077</v>
      </c>
      <c r="B12363" s="10" t="s">
        <v>42</v>
      </c>
      <c r="C12363" s="10" t="s">
        <v>43</v>
      </c>
      <c r="D12363" s="10" t="s">
        <v>3078</v>
      </c>
      <c r="E12363" s="14">
        <v>0.1</v>
      </c>
      <c r="F12363" s="15">
        <f>ROUND(53.44,3)</f>
        <v>53.44</v>
      </c>
      <c r="G12363" s="12">
        <f t="shared" si="1903"/>
        <v>5.34</v>
      </c>
    </row>
    <row r="12364" ht="24.0" customHeight="1">
      <c r="A12364" s="10" t="s">
        <v>1053</v>
      </c>
      <c r="B12364" s="10" t="s">
        <v>42</v>
      </c>
      <c r="C12364" s="10" t="s">
        <v>43</v>
      </c>
      <c r="D12364" s="10" t="s">
        <v>1054</v>
      </c>
      <c r="E12364" s="14">
        <v>0.0135</v>
      </c>
      <c r="F12364" s="15">
        <f>ROUND(4.63,3)</f>
        <v>4.63</v>
      </c>
      <c r="G12364" s="12">
        <f t="shared" si="1903"/>
        <v>0.06</v>
      </c>
    </row>
    <row r="12365" ht="21.0" customHeight="1">
      <c r="A12365" s="10" t="s">
        <v>1416</v>
      </c>
      <c r="B12365" s="10" t="s">
        <v>18</v>
      </c>
      <c r="C12365" s="10" t="s">
        <v>23</v>
      </c>
      <c r="D12365" s="10" t="s">
        <v>1417</v>
      </c>
      <c r="E12365" s="14">
        <v>0.4</v>
      </c>
      <c r="F12365" s="15">
        <f>F12369</f>
        <v>43.8</v>
      </c>
      <c r="G12365" s="12">
        <f t="shared" si="1903"/>
        <v>17.52</v>
      </c>
    </row>
    <row r="12366" ht="24.0" customHeight="1">
      <c r="A12366" s="10" t="s">
        <v>1418</v>
      </c>
      <c r="B12366" s="10" t="s">
        <v>26</v>
      </c>
      <c r="C12366" s="10" t="s">
        <v>23</v>
      </c>
      <c r="D12366" s="10" t="s">
        <v>1419</v>
      </c>
      <c r="E12366" s="14">
        <v>1.0</v>
      </c>
      <c r="F12366" s="15">
        <f>ROUND(21,3)</f>
        <v>21</v>
      </c>
      <c r="G12366" s="12">
        <f t="shared" si="1903"/>
        <v>21</v>
      </c>
    </row>
    <row r="12367" ht="24.0" customHeight="1">
      <c r="A12367" s="10" t="s">
        <v>1420</v>
      </c>
      <c r="B12367" s="10" t="s">
        <v>26</v>
      </c>
      <c r="C12367" s="10" t="s">
        <v>23</v>
      </c>
      <c r="D12367" s="10" t="s">
        <v>1421</v>
      </c>
      <c r="E12367" s="14">
        <v>1.0</v>
      </c>
      <c r="F12367" s="15">
        <f t="shared" ref="F12367:F12368" si="1904">ROUND(19,3)</f>
        <v>19</v>
      </c>
      <c r="G12367" s="12">
        <f t="shared" si="1903"/>
        <v>19</v>
      </c>
    </row>
    <row r="12368" ht="24.0" customHeight="1">
      <c r="A12368" s="10" t="s">
        <v>30</v>
      </c>
      <c r="B12368" s="10" t="s">
        <v>26</v>
      </c>
      <c r="C12368" s="10" t="s">
        <v>23</v>
      </c>
      <c r="D12368" s="10" t="s">
        <v>31</v>
      </c>
      <c r="E12368" s="14">
        <v>0.2</v>
      </c>
      <c r="F12368" s="15">
        <f t="shared" si="1904"/>
        <v>19</v>
      </c>
      <c r="G12368" s="12">
        <f t="shared" si="1903"/>
        <v>3.8</v>
      </c>
    </row>
    <row r="12369" ht="15.0" customHeight="1">
      <c r="A12369" s="11"/>
      <c r="B12369" s="11"/>
      <c r="C12369" s="11"/>
      <c r="D12369" s="10" t="s">
        <v>1416</v>
      </c>
      <c r="E12369" s="14">
        <v>0.4</v>
      </c>
      <c r="F12369" s="15">
        <f>ROUND((G12366+G12367+G12368),3)</f>
        <v>43.8</v>
      </c>
      <c r="G12369" s="12">
        <f t="shared" si="1903"/>
        <v>17.52</v>
      </c>
    </row>
    <row r="12370" ht="15.0" customHeight="1">
      <c r="A12370" s="10" t="s">
        <v>32</v>
      </c>
      <c r="B12370" s="10"/>
      <c r="C12370" s="10" t="s">
        <v>33</v>
      </c>
      <c r="D12370" s="10" t="s">
        <v>34</v>
      </c>
      <c r="E12370" s="14">
        <v>5.0</v>
      </c>
      <c r="F12370" s="15">
        <f>ROUND(17.52,3)</f>
        <v>17.52</v>
      </c>
      <c r="G12370" s="12">
        <f>ROUND((E12370*F12370)/100,2)</f>
        <v>0.88</v>
      </c>
    </row>
    <row r="12371" ht="15.0" customHeight="1">
      <c r="A12371" s="16"/>
      <c r="B12371" s="16"/>
      <c r="C12371" s="16"/>
      <c r="D12371" s="17" t="s">
        <v>5390</v>
      </c>
      <c r="E12371" s="16"/>
      <c r="F12371" s="18">
        <f>ROUND((G12362+G12363+G12364+G12365+G12370)*(1+G2/100),2)</f>
        <v>24.86</v>
      </c>
      <c r="G12371" s="16"/>
    </row>
    <row r="12372" ht="48.75" customHeight="1">
      <c r="A12372" s="19" t="s">
        <v>5393</v>
      </c>
      <c r="B12372" s="20" t="s">
        <v>18</v>
      </c>
      <c r="C12372" s="20" t="s">
        <v>19</v>
      </c>
      <c r="D12372" s="20" t="s">
        <v>5394</v>
      </c>
      <c r="E12372" s="21"/>
      <c r="F12372" s="22">
        <f>F12382</f>
        <v>21.97</v>
      </c>
      <c r="G12372" s="21"/>
    </row>
    <row r="12373" ht="21.0" customHeight="1">
      <c r="A12373" s="11"/>
      <c r="B12373" s="11"/>
      <c r="C12373" s="11"/>
      <c r="D12373" s="10" t="s">
        <v>5395</v>
      </c>
    </row>
    <row r="12374" ht="39.75" customHeight="1">
      <c r="A12374" s="10" t="s">
        <v>5053</v>
      </c>
      <c r="B12374" s="10" t="s">
        <v>42</v>
      </c>
      <c r="C12374" s="10" t="s">
        <v>43</v>
      </c>
      <c r="D12374" s="10" t="s">
        <v>5054</v>
      </c>
      <c r="E12374" s="14">
        <v>0.05</v>
      </c>
      <c r="F12374" s="15">
        <f>ROUND(41.28,3)</f>
        <v>41.28</v>
      </c>
      <c r="G12374" s="12">
        <f t="shared" ref="G12374:G12380" si="1905">ROUND(E12374*F12374,2)</f>
        <v>2.06</v>
      </c>
    </row>
    <row r="12375" ht="48.75" customHeight="1">
      <c r="A12375" s="10" t="s">
        <v>5055</v>
      </c>
      <c r="B12375" s="10" t="s">
        <v>42</v>
      </c>
      <c r="C12375" s="10" t="s">
        <v>276</v>
      </c>
      <c r="D12375" s="10" t="s">
        <v>5056</v>
      </c>
      <c r="E12375" s="14">
        <v>0.024</v>
      </c>
      <c r="F12375" s="15">
        <f>ROUND(139.42,3)</f>
        <v>139.42</v>
      </c>
      <c r="G12375" s="12">
        <f t="shared" si="1905"/>
        <v>3.35</v>
      </c>
    </row>
    <row r="12376" ht="21.0" customHeight="1">
      <c r="A12376" s="10" t="s">
        <v>1416</v>
      </c>
      <c r="B12376" s="10" t="s">
        <v>18</v>
      </c>
      <c r="C12376" s="10" t="s">
        <v>23</v>
      </c>
      <c r="D12376" s="10" t="s">
        <v>1417</v>
      </c>
      <c r="E12376" s="14">
        <v>0.36</v>
      </c>
      <c r="F12376" s="15">
        <f>F12380</f>
        <v>43.8</v>
      </c>
      <c r="G12376" s="12">
        <f t="shared" si="1905"/>
        <v>15.77</v>
      </c>
    </row>
    <row r="12377" ht="24.0" customHeight="1">
      <c r="A12377" s="10" t="s">
        <v>1418</v>
      </c>
      <c r="B12377" s="10" t="s">
        <v>26</v>
      </c>
      <c r="C12377" s="10" t="s">
        <v>23</v>
      </c>
      <c r="D12377" s="10" t="s">
        <v>1419</v>
      </c>
      <c r="E12377" s="14">
        <v>1.0</v>
      </c>
      <c r="F12377" s="15">
        <f>ROUND(21,3)</f>
        <v>21</v>
      </c>
      <c r="G12377" s="12">
        <f t="shared" si="1905"/>
        <v>21</v>
      </c>
    </row>
    <row r="12378" ht="24.0" customHeight="1">
      <c r="A12378" s="10" t="s">
        <v>1420</v>
      </c>
      <c r="B12378" s="10" t="s">
        <v>26</v>
      </c>
      <c r="C12378" s="10" t="s">
        <v>23</v>
      </c>
      <c r="D12378" s="10" t="s">
        <v>1421</v>
      </c>
      <c r="E12378" s="14">
        <v>1.0</v>
      </c>
      <c r="F12378" s="15">
        <f t="shared" ref="F12378:F12379" si="1906">ROUND(19,3)</f>
        <v>19</v>
      </c>
      <c r="G12378" s="12">
        <f t="shared" si="1905"/>
        <v>19</v>
      </c>
    </row>
    <row r="12379" ht="24.0" customHeight="1">
      <c r="A12379" s="10" t="s">
        <v>30</v>
      </c>
      <c r="B12379" s="10" t="s">
        <v>26</v>
      </c>
      <c r="C12379" s="10" t="s">
        <v>23</v>
      </c>
      <c r="D12379" s="10" t="s">
        <v>31</v>
      </c>
      <c r="E12379" s="14">
        <v>0.2</v>
      </c>
      <c r="F12379" s="15">
        <f t="shared" si="1906"/>
        <v>19</v>
      </c>
      <c r="G12379" s="12">
        <f t="shared" si="1905"/>
        <v>3.8</v>
      </c>
    </row>
    <row r="12380" ht="15.0" customHeight="1">
      <c r="A12380" s="11"/>
      <c r="B12380" s="11"/>
      <c r="C12380" s="11"/>
      <c r="D12380" s="10" t="s">
        <v>1416</v>
      </c>
      <c r="E12380" s="14">
        <v>0.36</v>
      </c>
      <c r="F12380" s="15">
        <f>ROUND((G12377+G12378+G12379),3)</f>
        <v>43.8</v>
      </c>
      <c r="G12380" s="12">
        <f t="shared" si="1905"/>
        <v>15.77</v>
      </c>
    </row>
    <row r="12381" ht="15.0" customHeight="1">
      <c r="A12381" s="10" t="s">
        <v>32</v>
      </c>
      <c r="B12381" s="10"/>
      <c r="C12381" s="10" t="s">
        <v>33</v>
      </c>
      <c r="D12381" s="10" t="s">
        <v>34</v>
      </c>
      <c r="E12381" s="14">
        <v>5.0</v>
      </c>
      <c r="F12381" s="15">
        <f>ROUND(15.77,3)</f>
        <v>15.77</v>
      </c>
      <c r="G12381" s="12">
        <f>ROUND((E12381*F12381)/100,2)</f>
        <v>0.79</v>
      </c>
    </row>
    <row r="12382" ht="15.0" customHeight="1">
      <c r="A12382" s="16"/>
      <c r="B12382" s="16"/>
      <c r="C12382" s="16"/>
      <c r="D12382" s="17" t="s">
        <v>5393</v>
      </c>
      <c r="E12382" s="16"/>
      <c r="F12382" s="18">
        <f>ROUND((G12374+G12375+G12376+G12381)*(1+G2/100),2)</f>
        <v>21.97</v>
      </c>
      <c r="G12382" s="16"/>
    </row>
    <row r="12383" ht="48.75" customHeight="1">
      <c r="A12383" s="19" t="s">
        <v>5396</v>
      </c>
      <c r="B12383" s="20" t="s">
        <v>18</v>
      </c>
      <c r="C12383" s="20" t="s">
        <v>19</v>
      </c>
      <c r="D12383" s="20" t="s">
        <v>5397</v>
      </c>
      <c r="E12383" s="21"/>
      <c r="F12383" s="22">
        <f>F12393</f>
        <v>29.94</v>
      </c>
      <c r="G12383" s="21"/>
    </row>
    <row r="12384" ht="21.0" customHeight="1">
      <c r="A12384" s="11"/>
      <c r="B12384" s="11"/>
      <c r="C12384" s="11"/>
      <c r="D12384" s="10" t="s">
        <v>5398</v>
      </c>
    </row>
    <row r="12385" ht="39.75" customHeight="1">
      <c r="A12385" s="10" t="s">
        <v>5053</v>
      </c>
      <c r="B12385" s="10" t="s">
        <v>42</v>
      </c>
      <c r="C12385" s="10" t="s">
        <v>43</v>
      </c>
      <c r="D12385" s="10" t="s">
        <v>5054</v>
      </c>
      <c r="E12385" s="14">
        <v>0.05</v>
      </c>
      <c r="F12385" s="15">
        <f>ROUND(41.28,3)</f>
        <v>41.28</v>
      </c>
      <c r="G12385" s="12">
        <f t="shared" ref="G12385:G12391" si="1907">ROUND(E12385*F12385,2)</f>
        <v>2.06</v>
      </c>
    </row>
    <row r="12386" ht="48.75" customHeight="1">
      <c r="A12386" s="10" t="s">
        <v>5055</v>
      </c>
      <c r="B12386" s="10" t="s">
        <v>42</v>
      </c>
      <c r="C12386" s="10" t="s">
        <v>276</v>
      </c>
      <c r="D12386" s="10" t="s">
        <v>5056</v>
      </c>
      <c r="E12386" s="14">
        <v>0.024</v>
      </c>
      <c r="F12386" s="15">
        <f>ROUND(139.42,3)</f>
        <v>139.42</v>
      </c>
      <c r="G12386" s="12">
        <f t="shared" si="1907"/>
        <v>3.35</v>
      </c>
    </row>
    <row r="12387" ht="21.0" customHeight="1">
      <c r="A12387" s="10" t="s">
        <v>1416</v>
      </c>
      <c r="B12387" s="10" t="s">
        <v>18</v>
      </c>
      <c r="C12387" s="10" t="s">
        <v>23</v>
      </c>
      <c r="D12387" s="10" t="s">
        <v>1417</v>
      </c>
      <c r="E12387" s="14">
        <v>0.53333</v>
      </c>
      <c r="F12387" s="15">
        <f>F12391</f>
        <v>43.8</v>
      </c>
      <c r="G12387" s="12">
        <f t="shared" si="1907"/>
        <v>23.36</v>
      </c>
    </row>
    <row r="12388" ht="24.0" customHeight="1">
      <c r="A12388" s="10" t="s">
        <v>1418</v>
      </c>
      <c r="B12388" s="10" t="s">
        <v>26</v>
      </c>
      <c r="C12388" s="10" t="s">
        <v>23</v>
      </c>
      <c r="D12388" s="10" t="s">
        <v>1419</v>
      </c>
      <c r="E12388" s="14">
        <v>1.0</v>
      </c>
      <c r="F12388" s="15">
        <f>ROUND(21,3)</f>
        <v>21</v>
      </c>
      <c r="G12388" s="12">
        <f t="shared" si="1907"/>
        <v>21</v>
      </c>
    </row>
    <row r="12389" ht="24.0" customHeight="1">
      <c r="A12389" s="10" t="s">
        <v>1420</v>
      </c>
      <c r="B12389" s="10" t="s">
        <v>26</v>
      </c>
      <c r="C12389" s="10" t="s">
        <v>23</v>
      </c>
      <c r="D12389" s="10" t="s">
        <v>1421</v>
      </c>
      <c r="E12389" s="14">
        <v>1.0</v>
      </c>
      <c r="F12389" s="15">
        <f t="shared" ref="F12389:F12390" si="1908">ROUND(19,3)</f>
        <v>19</v>
      </c>
      <c r="G12389" s="12">
        <f t="shared" si="1907"/>
        <v>19</v>
      </c>
    </row>
    <row r="12390" ht="24.0" customHeight="1">
      <c r="A12390" s="10" t="s">
        <v>30</v>
      </c>
      <c r="B12390" s="10" t="s">
        <v>26</v>
      </c>
      <c r="C12390" s="10" t="s">
        <v>23</v>
      </c>
      <c r="D12390" s="10" t="s">
        <v>31</v>
      </c>
      <c r="E12390" s="14">
        <v>0.2</v>
      </c>
      <c r="F12390" s="15">
        <f t="shared" si="1908"/>
        <v>19</v>
      </c>
      <c r="G12390" s="12">
        <f t="shared" si="1907"/>
        <v>3.8</v>
      </c>
    </row>
    <row r="12391" ht="15.0" customHeight="1">
      <c r="A12391" s="11"/>
      <c r="B12391" s="11"/>
      <c r="C12391" s="11"/>
      <c r="D12391" s="10" t="s">
        <v>1416</v>
      </c>
      <c r="E12391" s="14">
        <v>0.53333</v>
      </c>
      <c r="F12391" s="15">
        <f>ROUND((G12388+G12389+G12390),3)</f>
        <v>43.8</v>
      </c>
      <c r="G12391" s="12">
        <f t="shared" si="1907"/>
        <v>23.36</v>
      </c>
    </row>
    <row r="12392" ht="15.0" customHeight="1">
      <c r="A12392" s="10" t="s">
        <v>32</v>
      </c>
      <c r="B12392" s="10"/>
      <c r="C12392" s="10" t="s">
        <v>33</v>
      </c>
      <c r="D12392" s="10" t="s">
        <v>34</v>
      </c>
      <c r="E12392" s="14">
        <v>5.0</v>
      </c>
      <c r="F12392" s="15">
        <f>ROUND(23.36,3)</f>
        <v>23.36</v>
      </c>
      <c r="G12392" s="12">
        <f>ROUND((E12392*F12392)/100,2)</f>
        <v>1.17</v>
      </c>
    </row>
    <row r="12393" ht="15.0" customHeight="1">
      <c r="A12393" s="16"/>
      <c r="B12393" s="16"/>
      <c r="C12393" s="16"/>
      <c r="D12393" s="17" t="s">
        <v>5396</v>
      </c>
      <c r="E12393" s="16"/>
      <c r="F12393" s="18">
        <f>ROUND((G12385+G12386+G12387+G12392)*(1+G2/100),2)</f>
        <v>29.94</v>
      </c>
      <c r="G12393" s="16"/>
    </row>
    <row r="12394" ht="48.75" customHeight="1">
      <c r="A12394" s="19" t="s">
        <v>5399</v>
      </c>
      <c r="B12394" s="20" t="s">
        <v>18</v>
      </c>
      <c r="C12394" s="20" t="s">
        <v>19</v>
      </c>
      <c r="D12394" s="20" t="s">
        <v>5400</v>
      </c>
      <c r="E12394" s="21"/>
      <c r="F12394" s="22">
        <f>F12404</f>
        <v>26.11</v>
      </c>
      <c r="G12394" s="21"/>
    </row>
    <row r="12395" ht="21.0" customHeight="1">
      <c r="A12395" s="11"/>
      <c r="B12395" s="11"/>
      <c r="C12395" s="11"/>
      <c r="D12395" s="10" t="s">
        <v>5401</v>
      </c>
    </row>
    <row r="12396" ht="39.75" customHeight="1">
      <c r="A12396" s="10" t="s">
        <v>5053</v>
      </c>
      <c r="B12396" s="10" t="s">
        <v>42</v>
      </c>
      <c r="C12396" s="10" t="s">
        <v>43</v>
      </c>
      <c r="D12396" s="10" t="s">
        <v>5054</v>
      </c>
      <c r="E12396" s="14">
        <v>0.05</v>
      </c>
      <c r="F12396" s="15">
        <f>ROUND(41.28,3)</f>
        <v>41.28</v>
      </c>
      <c r="G12396" s="12">
        <f t="shared" ref="G12396:G12402" si="1909">ROUND(E12396*F12396,2)</f>
        <v>2.06</v>
      </c>
    </row>
    <row r="12397" ht="48.75" customHeight="1">
      <c r="A12397" s="10" t="s">
        <v>5055</v>
      </c>
      <c r="B12397" s="10" t="s">
        <v>42</v>
      </c>
      <c r="C12397" s="10" t="s">
        <v>276</v>
      </c>
      <c r="D12397" s="10" t="s">
        <v>5056</v>
      </c>
      <c r="E12397" s="14">
        <v>0.024</v>
      </c>
      <c r="F12397" s="15">
        <f>ROUND(139.42,3)</f>
        <v>139.42</v>
      </c>
      <c r="G12397" s="12">
        <f t="shared" si="1909"/>
        <v>3.35</v>
      </c>
    </row>
    <row r="12398" ht="21.0" customHeight="1">
      <c r="A12398" s="10" t="s">
        <v>1416</v>
      </c>
      <c r="B12398" s="10" t="s">
        <v>18</v>
      </c>
      <c r="C12398" s="10" t="s">
        <v>23</v>
      </c>
      <c r="D12398" s="10" t="s">
        <v>1417</v>
      </c>
      <c r="E12398" s="14">
        <v>0.45</v>
      </c>
      <c r="F12398" s="15">
        <f>F12402</f>
        <v>43.8</v>
      </c>
      <c r="G12398" s="12">
        <f t="shared" si="1909"/>
        <v>19.71</v>
      </c>
    </row>
    <row r="12399" ht="24.0" customHeight="1">
      <c r="A12399" s="10" t="s">
        <v>1418</v>
      </c>
      <c r="B12399" s="10" t="s">
        <v>26</v>
      </c>
      <c r="C12399" s="10" t="s">
        <v>23</v>
      </c>
      <c r="D12399" s="10" t="s">
        <v>1419</v>
      </c>
      <c r="E12399" s="14">
        <v>1.0</v>
      </c>
      <c r="F12399" s="15">
        <f>ROUND(21,3)</f>
        <v>21</v>
      </c>
      <c r="G12399" s="12">
        <f t="shared" si="1909"/>
        <v>21</v>
      </c>
    </row>
    <row r="12400" ht="24.0" customHeight="1">
      <c r="A12400" s="10" t="s">
        <v>1420</v>
      </c>
      <c r="B12400" s="10" t="s">
        <v>26</v>
      </c>
      <c r="C12400" s="10" t="s">
        <v>23</v>
      </c>
      <c r="D12400" s="10" t="s">
        <v>1421</v>
      </c>
      <c r="E12400" s="14">
        <v>1.0</v>
      </c>
      <c r="F12400" s="15">
        <f t="shared" ref="F12400:F12401" si="1910">ROUND(19,3)</f>
        <v>19</v>
      </c>
      <c r="G12400" s="12">
        <f t="shared" si="1909"/>
        <v>19</v>
      </c>
    </row>
    <row r="12401" ht="24.0" customHeight="1">
      <c r="A12401" s="10" t="s">
        <v>30</v>
      </c>
      <c r="B12401" s="10" t="s">
        <v>26</v>
      </c>
      <c r="C12401" s="10" t="s">
        <v>23</v>
      </c>
      <c r="D12401" s="10" t="s">
        <v>31</v>
      </c>
      <c r="E12401" s="14">
        <v>0.2</v>
      </c>
      <c r="F12401" s="15">
        <f t="shared" si="1910"/>
        <v>19</v>
      </c>
      <c r="G12401" s="12">
        <f t="shared" si="1909"/>
        <v>3.8</v>
      </c>
    </row>
    <row r="12402" ht="15.0" customHeight="1">
      <c r="A12402" s="11"/>
      <c r="B12402" s="11"/>
      <c r="C12402" s="11"/>
      <c r="D12402" s="10" t="s">
        <v>1416</v>
      </c>
      <c r="E12402" s="14">
        <v>0.45</v>
      </c>
      <c r="F12402" s="15">
        <f>ROUND((G12399+G12400+G12401),3)</f>
        <v>43.8</v>
      </c>
      <c r="G12402" s="12">
        <f t="shared" si="1909"/>
        <v>19.71</v>
      </c>
    </row>
    <row r="12403" ht="15.0" customHeight="1">
      <c r="A12403" s="10" t="s">
        <v>32</v>
      </c>
      <c r="B12403" s="10"/>
      <c r="C12403" s="10" t="s">
        <v>33</v>
      </c>
      <c r="D12403" s="10" t="s">
        <v>34</v>
      </c>
      <c r="E12403" s="14">
        <v>5.0</v>
      </c>
      <c r="F12403" s="15">
        <f>ROUND(19.71,3)</f>
        <v>19.71</v>
      </c>
      <c r="G12403" s="12">
        <f>ROUND((E12403*F12403)/100,2)</f>
        <v>0.99</v>
      </c>
    </row>
    <row r="12404" ht="15.0" customHeight="1">
      <c r="A12404" s="16"/>
      <c r="B12404" s="16"/>
      <c r="C12404" s="16"/>
      <c r="D12404" s="17" t="s">
        <v>5399</v>
      </c>
      <c r="E12404" s="16"/>
      <c r="F12404" s="18">
        <f>ROUND((G12396+G12397+G12398+G12403)*(1+G2/100),2)</f>
        <v>26.11</v>
      </c>
      <c r="G12404" s="16"/>
    </row>
    <row r="12405" ht="57.75" customHeight="1">
      <c r="A12405" s="19" t="s">
        <v>5402</v>
      </c>
      <c r="B12405" s="20" t="s">
        <v>18</v>
      </c>
      <c r="C12405" s="20" t="s">
        <v>19</v>
      </c>
      <c r="D12405" s="20" t="s">
        <v>5403</v>
      </c>
      <c r="E12405" s="21"/>
      <c r="F12405" s="22">
        <f>F12415</f>
        <v>38.28</v>
      </c>
      <c r="G12405" s="21"/>
    </row>
    <row r="12406" ht="21.0" customHeight="1">
      <c r="A12406" s="11"/>
      <c r="B12406" s="11"/>
      <c r="C12406" s="11"/>
      <c r="D12406" s="10" t="s">
        <v>5404</v>
      </c>
    </row>
    <row r="12407" ht="39.75" customHeight="1">
      <c r="A12407" s="10" t="s">
        <v>4790</v>
      </c>
      <c r="B12407" s="10" t="s">
        <v>42</v>
      </c>
      <c r="C12407" s="10" t="s">
        <v>276</v>
      </c>
      <c r="D12407" s="10" t="s">
        <v>4791</v>
      </c>
      <c r="E12407" s="14">
        <v>0.01111</v>
      </c>
      <c r="F12407" s="15">
        <f>ROUND(96.78,3)</f>
        <v>96.78</v>
      </c>
      <c r="G12407" s="12">
        <f t="shared" ref="G12407:G12413" si="1911">ROUND(E12407*F12407,2)</f>
        <v>1.08</v>
      </c>
    </row>
    <row r="12408" ht="48.75" customHeight="1">
      <c r="A12408" s="10" t="s">
        <v>5375</v>
      </c>
      <c r="B12408" s="10" t="s">
        <v>42</v>
      </c>
      <c r="C12408" s="10" t="s">
        <v>276</v>
      </c>
      <c r="D12408" s="10" t="s">
        <v>5376</v>
      </c>
      <c r="E12408" s="14">
        <v>0.13333</v>
      </c>
      <c r="F12408" s="15">
        <f>ROUND(123.76,3)</f>
        <v>123.76</v>
      </c>
      <c r="G12408" s="12">
        <f t="shared" si="1911"/>
        <v>16.5</v>
      </c>
    </row>
    <row r="12409" ht="21.0" customHeight="1">
      <c r="A12409" s="10" t="s">
        <v>1416</v>
      </c>
      <c r="B12409" s="10" t="s">
        <v>18</v>
      </c>
      <c r="C12409" s="10" t="s">
        <v>23</v>
      </c>
      <c r="D12409" s="10" t="s">
        <v>1417</v>
      </c>
      <c r="E12409" s="14">
        <v>0.45</v>
      </c>
      <c r="F12409" s="15">
        <f>F12413</f>
        <v>43.8</v>
      </c>
      <c r="G12409" s="12">
        <f t="shared" si="1911"/>
        <v>19.71</v>
      </c>
    </row>
    <row r="12410" ht="24.0" customHeight="1">
      <c r="A12410" s="10" t="s">
        <v>1418</v>
      </c>
      <c r="B12410" s="10" t="s">
        <v>26</v>
      </c>
      <c r="C12410" s="10" t="s">
        <v>23</v>
      </c>
      <c r="D12410" s="10" t="s">
        <v>1419</v>
      </c>
      <c r="E12410" s="14">
        <v>1.0</v>
      </c>
      <c r="F12410" s="15">
        <f>ROUND(21,3)</f>
        <v>21</v>
      </c>
      <c r="G12410" s="12">
        <f t="shared" si="1911"/>
        <v>21</v>
      </c>
    </row>
    <row r="12411" ht="24.0" customHeight="1">
      <c r="A12411" s="10" t="s">
        <v>1420</v>
      </c>
      <c r="B12411" s="10" t="s">
        <v>26</v>
      </c>
      <c r="C12411" s="10" t="s">
        <v>23</v>
      </c>
      <c r="D12411" s="10" t="s">
        <v>1421</v>
      </c>
      <c r="E12411" s="14">
        <v>1.0</v>
      </c>
      <c r="F12411" s="15">
        <f t="shared" ref="F12411:F12412" si="1912">ROUND(19,3)</f>
        <v>19</v>
      </c>
      <c r="G12411" s="12">
        <f t="shared" si="1911"/>
        <v>19</v>
      </c>
    </row>
    <row r="12412" ht="24.0" customHeight="1">
      <c r="A12412" s="10" t="s">
        <v>30</v>
      </c>
      <c r="B12412" s="10" t="s">
        <v>26</v>
      </c>
      <c r="C12412" s="10" t="s">
        <v>23</v>
      </c>
      <c r="D12412" s="10" t="s">
        <v>31</v>
      </c>
      <c r="E12412" s="14">
        <v>0.2</v>
      </c>
      <c r="F12412" s="15">
        <f t="shared" si="1912"/>
        <v>19</v>
      </c>
      <c r="G12412" s="12">
        <f t="shared" si="1911"/>
        <v>3.8</v>
      </c>
    </row>
    <row r="12413" ht="15.0" customHeight="1">
      <c r="A12413" s="11"/>
      <c r="B12413" s="11"/>
      <c r="C12413" s="11"/>
      <c r="D12413" s="10" t="s">
        <v>1416</v>
      </c>
      <c r="E12413" s="14">
        <v>0.45</v>
      </c>
      <c r="F12413" s="15">
        <f>ROUND((G12410+G12411+G12412),3)</f>
        <v>43.8</v>
      </c>
      <c r="G12413" s="12">
        <f t="shared" si="1911"/>
        <v>19.71</v>
      </c>
    </row>
    <row r="12414" ht="15.0" customHeight="1">
      <c r="A12414" s="10" t="s">
        <v>32</v>
      </c>
      <c r="B12414" s="10"/>
      <c r="C12414" s="10" t="s">
        <v>33</v>
      </c>
      <c r="D12414" s="10" t="s">
        <v>34</v>
      </c>
      <c r="E12414" s="14">
        <v>5.0</v>
      </c>
      <c r="F12414" s="15">
        <f>ROUND(19.71,3)</f>
        <v>19.71</v>
      </c>
      <c r="G12414" s="12">
        <f>ROUND((E12414*F12414)/100,2)</f>
        <v>0.99</v>
      </c>
    </row>
    <row r="12415" ht="15.0" customHeight="1">
      <c r="A12415" s="16"/>
      <c r="B12415" s="16"/>
      <c r="C12415" s="16"/>
      <c r="D12415" s="17" t="s">
        <v>5402</v>
      </c>
      <c r="E12415" s="16"/>
      <c r="F12415" s="18">
        <f>ROUND((G12407+G12408+G12409+G12414)*(1+G2/100),2)</f>
        <v>38.28</v>
      </c>
      <c r="G12415" s="16"/>
    </row>
    <row r="12416" ht="39.75" customHeight="1">
      <c r="A12416" s="19" t="s">
        <v>5405</v>
      </c>
      <c r="B12416" s="20" t="s">
        <v>18</v>
      </c>
      <c r="C12416" s="20" t="s">
        <v>19</v>
      </c>
      <c r="D12416" s="20" t="s">
        <v>5406</v>
      </c>
      <c r="E12416" s="21"/>
      <c r="F12416" s="22">
        <f>F12426</f>
        <v>56.94</v>
      </c>
      <c r="G12416" s="21"/>
    </row>
    <row r="12417" ht="12.0" customHeight="1">
      <c r="A12417" s="11"/>
      <c r="B12417" s="11"/>
      <c r="C12417" s="11"/>
      <c r="D12417" s="10" t="s">
        <v>5407</v>
      </c>
    </row>
    <row r="12418" ht="39.75" customHeight="1">
      <c r="A12418" s="10" t="s">
        <v>5274</v>
      </c>
      <c r="B12418" s="10" t="s">
        <v>42</v>
      </c>
      <c r="C12418" s="10" t="s">
        <v>43</v>
      </c>
      <c r="D12418" s="10" t="s">
        <v>5275</v>
      </c>
      <c r="E12418" s="14">
        <v>0.0275</v>
      </c>
      <c r="F12418" s="15">
        <f>ROUND(46.14,3)</f>
        <v>46.14</v>
      </c>
      <c r="G12418" s="12">
        <f t="shared" ref="G12418:G12424" si="1913">ROUND(E12418*F12418,2)</f>
        <v>1.27</v>
      </c>
    </row>
    <row r="12419" ht="39.75" customHeight="1">
      <c r="A12419" s="10" t="s">
        <v>5276</v>
      </c>
      <c r="B12419" s="10" t="s">
        <v>42</v>
      </c>
      <c r="C12419" s="10" t="s">
        <v>276</v>
      </c>
      <c r="D12419" s="10" t="s">
        <v>5277</v>
      </c>
      <c r="E12419" s="14">
        <v>0.132</v>
      </c>
      <c r="F12419" s="15">
        <f>ROUND(285,3)</f>
        <v>285</v>
      </c>
      <c r="G12419" s="12">
        <f t="shared" si="1913"/>
        <v>37.62</v>
      </c>
    </row>
    <row r="12420" ht="21.0" customHeight="1">
      <c r="A12420" s="10" t="s">
        <v>1416</v>
      </c>
      <c r="B12420" s="10" t="s">
        <v>18</v>
      </c>
      <c r="C12420" s="10" t="s">
        <v>23</v>
      </c>
      <c r="D12420" s="10" t="s">
        <v>1417</v>
      </c>
      <c r="E12420" s="14">
        <v>0.4</v>
      </c>
      <c r="F12420" s="15">
        <f>F12424</f>
        <v>43.8</v>
      </c>
      <c r="G12420" s="12">
        <f t="shared" si="1913"/>
        <v>17.52</v>
      </c>
    </row>
    <row r="12421" ht="24.0" customHeight="1">
      <c r="A12421" s="10" t="s">
        <v>1418</v>
      </c>
      <c r="B12421" s="10" t="s">
        <v>26</v>
      </c>
      <c r="C12421" s="10" t="s">
        <v>23</v>
      </c>
      <c r="D12421" s="10" t="s">
        <v>1419</v>
      </c>
      <c r="E12421" s="14">
        <v>1.0</v>
      </c>
      <c r="F12421" s="15">
        <f>ROUND(21,3)</f>
        <v>21</v>
      </c>
      <c r="G12421" s="12">
        <f t="shared" si="1913"/>
        <v>21</v>
      </c>
    </row>
    <row r="12422" ht="24.0" customHeight="1">
      <c r="A12422" s="10" t="s">
        <v>1420</v>
      </c>
      <c r="B12422" s="10" t="s">
        <v>26</v>
      </c>
      <c r="C12422" s="10" t="s">
        <v>23</v>
      </c>
      <c r="D12422" s="10" t="s">
        <v>1421</v>
      </c>
      <c r="E12422" s="14">
        <v>1.0</v>
      </c>
      <c r="F12422" s="15">
        <f t="shared" ref="F12422:F12423" si="1914">ROUND(19,3)</f>
        <v>19</v>
      </c>
      <c r="G12422" s="12">
        <f t="shared" si="1913"/>
        <v>19</v>
      </c>
    </row>
    <row r="12423" ht="24.0" customHeight="1">
      <c r="A12423" s="10" t="s">
        <v>30</v>
      </c>
      <c r="B12423" s="10" t="s">
        <v>26</v>
      </c>
      <c r="C12423" s="10" t="s">
        <v>23</v>
      </c>
      <c r="D12423" s="10" t="s">
        <v>31</v>
      </c>
      <c r="E12423" s="14">
        <v>0.2</v>
      </c>
      <c r="F12423" s="15">
        <f t="shared" si="1914"/>
        <v>19</v>
      </c>
      <c r="G12423" s="12">
        <f t="shared" si="1913"/>
        <v>3.8</v>
      </c>
    </row>
    <row r="12424" ht="15.0" customHeight="1">
      <c r="A12424" s="11"/>
      <c r="B12424" s="11"/>
      <c r="C12424" s="11"/>
      <c r="D12424" s="10" t="s">
        <v>1416</v>
      </c>
      <c r="E12424" s="14">
        <v>0.4</v>
      </c>
      <c r="F12424" s="15">
        <f>ROUND((G12421+G12422+G12423),3)</f>
        <v>43.8</v>
      </c>
      <c r="G12424" s="12">
        <f t="shared" si="1913"/>
        <v>17.52</v>
      </c>
    </row>
    <row r="12425" ht="15.0" customHeight="1">
      <c r="A12425" s="10" t="s">
        <v>32</v>
      </c>
      <c r="B12425" s="10"/>
      <c r="C12425" s="10" t="s">
        <v>33</v>
      </c>
      <c r="D12425" s="10" t="s">
        <v>34</v>
      </c>
      <c r="E12425" s="14">
        <v>3.0</v>
      </c>
      <c r="F12425" s="15">
        <f>ROUND(17.52,3)</f>
        <v>17.52</v>
      </c>
      <c r="G12425" s="12">
        <f>ROUND((E12425*F12425)/100,2)</f>
        <v>0.53</v>
      </c>
    </row>
    <row r="12426" ht="15.0" customHeight="1">
      <c r="A12426" s="16"/>
      <c r="B12426" s="16"/>
      <c r="C12426" s="16"/>
      <c r="D12426" s="17" t="s">
        <v>5405</v>
      </c>
      <c r="E12426" s="16"/>
      <c r="F12426" s="18">
        <f>ROUND((G12418+G12419+G12420+G12425)*(1+G2/100),2)</f>
        <v>56.94</v>
      </c>
      <c r="G12426" s="16"/>
    </row>
    <row r="12427" ht="24.75" customHeight="1">
      <c r="A12427" s="19" t="s">
        <v>5408</v>
      </c>
      <c r="B12427" s="20" t="s">
        <v>18</v>
      </c>
      <c r="C12427" s="20" t="s">
        <v>19</v>
      </c>
      <c r="D12427" s="20" t="s">
        <v>5409</v>
      </c>
      <c r="E12427" s="21"/>
      <c r="F12427" s="22">
        <f>F12438</f>
        <v>18.33</v>
      </c>
      <c r="G12427" s="21"/>
    </row>
    <row r="12428" ht="12.0" customHeight="1">
      <c r="A12428" s="11"/>
      <c r="B12428" s="11"/>
      <c r="C12428" s="11"/>
      <c r="D12428" s="10" t="s">
        <v>5410</v>
      </c>
    </row>
    <row r="12429" ht="48.75" customHeight="1">
      <c r="A12429" s="10" t="s">
        <v>5411</v>
      </c>
      <c r="B12429" s="10" t="s">
        <v>42</v>
      </c>
      <c r="C12429" s="10" t="s">
        <v>43</v>
      </c>
      <c r="D12429" s="10" t="s">
        <v>5412</v>
      </c>
      <c r="E12429" s="14">
        <v>0.04</v>
      </c>
      <c r="F12429" s="15">
        <f>ROUND(31.68,3)</f>
        <v>31.68</v>
      </c>
      <c r="G12429" s="12">
        <f t="shared" ref="G12429:G12436" si="1915">ROUND(E12429*F12429,2)</f>
        <v>1.27</v>
      </c>
    </row>
    <row r="12430" ht="39.75" customHeight="1">
      <c r="A12430" s="10" t="s">
        <v>5413</v>
      </c>
      <c r="B12430" s="10" t="s">
        <v>42</v>
      </c>
      <c r="C12430" s="10" t="s">
        <v>43</v>
      </c>
      <c r="D12430" s="10" t="s">
        <v>5414</v>
      </c>
      <c r="E12430" s="14">
        <v>0.0375</v>
      </c>
      <c r="F12430" s="15">
        <f>ROUND(78.4,3)</f>
        <v>78.4</v>
      </c>
      <c r="G12430" s="12">
        <f t="shared" si="1915"/>
        <v>2.94</v>
      </c>
    </row>
    <row r="12431" ht="24.0" customHeight="1">
      <c r="A12431" s="10" t="s">
        <v>1053</v>
      </c>
      <c r="B12431" s="10" t="s">
        <v>42</v>
      </c>
      <c r="C12431" s="10" t="s">
        <v>43</v>
      </c>
      <c r="D12431" s="10" t="s">
        <v>1054</v>
      </c>
      <c r="E12431" s="14">
        <v>0.0135</v>
      </c>
      <c r="F12431" s="15">
        <f>ROUND(4.63,3)</f>
        <v>4.63</v>
      </c>
      <c r="G12431" s="12">
        <f t="shared" si="1915"/>
        <v>0.06</v>
      </c>
    </row>
    <row r="12432" ht="21.0" customHeight="1">
      <c r="A12432" s="10" t="s">
        <v>1416</v>
      </c>
      <c r="B12432" s="10" t="s">
        <v>18</v>
      </c>
      <c r="C12432" s="10" t="s">
        <v>23</v>
      </c>
      <c r="D12432" s="10" t="s">
        <v>1417</v>
      </c>
      <c r="E12432" s="14">
        <v>0.3</v>
      </c>
      <c r="F12432" s="15">
        <f>F12436</f>
        <v>43.8</v>
      </c>
      <c r="G12432" s="12">
        <f t="shared" si="1915"/>
        <v>13.14</v>
      </c>
    </row>
    <row r="12433" ht="24.0" customHeight="1">
      <c r="A12433" s="10" t="s">
        <v>1418</v>
      </c>
      <c r="B12433" s="10" t="s">
        <v>26</v>
      </c>
      <c r="C12433" s="10" t="s">
        <v>23</v>
      </c>
      <c r="D12433" s="10" t="s">
        <v>1419</v>
      </c>
      <c r="E12433" s="14">
        <v>1.0</v>
      </c>
      <c r="F12433" s="15">
        <f>ROUND(21,3)</f>
        <v>21</v>
      </c>
      <c r="G12433" s="12">
        <f t="shared" si="1915"/>
        <v>21</v>
      </c>
    </row>
    <row r="12434" ht="24.0" customHeight="1">
      <c r="A12434" s="10" t="s">
        <v>1420</v>
      </c>
      <c r="B12434" s="10" t="s">
        <v>26</v>
      </c>
      <c r="C12434" s="10" t="s">
        <v>23</v>
      </c>
      <c r="D12434" s="10" t="s">
        <v>1421</v>
      </c>
      <c r="E12434" s="14">
        <v>1.0</v>
      </c>
      <c r="F12434" s="15">
        <f t="shared" ref="F12434:F12435" si="1916">ROUND(19,3)</f>
        <v>19</v>
      </c>
      <c r="G12434" s="12">
        <f t="shared" si="1915"/>
        <v>19</v>
      </c>
    </row>
    <row r="12435" ht="24.0" customHeight="1">
      <c r="A12435" s="10" t="s">
        <v>30</v>
      </c>
      <c r="B12435" s="10" t="s">
        <v>26</v>
      </c>
      <c r="C12435" s="10" t="s">
        <v>23</v>
      </c>
      <c r="D12435" s="10" t="s">
        <v>31</v>
      </c>
      <c r="E12435" s="14">
        <v>0.2</v>
      </c>
      <c r="F12435" s="15">
        <f t="shared" si="1916"/>
        <v>19</v>
      </c>
      <c r="G12435" s="12">
        <f t="shared" si="1915"/>
        <v>3.8</v>
      </c>
    </row>
    <row r="12436" ht="15.0" customHeight="1">
      <c r="A12436" s="11"/>
      <c r="B12436" s="11"/>
      <c r="C12436" s="11"/>
      <c r="D12436" s="10" t="s">
        <v>1416</v>
      </c>
      <c r="E12436" s="14">
        <v>0.3</v>
      </c>
      <c r="F12436" s="15">
        <f>ROUND((G12433+G12434+G12435),3)</f>
        <v>43.8</v>
      </c>
      <c r="G12436" s="12">
        <f t="shared" si="1915"/>
        <v>13.14</v>
      </c>
    </row>
    <row r="12437" ht="15.0" customHeight="1">
      <c r="A12437" s="10" t="s">
        <v>32</v>
      </c>
      <c r="B12437" s="10"/>
      <c r="C12437" s="10" t="s">
        <v>33</v>
      </c>
      <c r="D12437" s="10" t="s">
        <v>34</v>
      </c>
      <c r="E12437" s="14">
        <v>7.0</v>
      </c>
      <c r="F12437" s="15">
        <f>ROUND(13.14,3)</f>
        <v>13.14</v>
      </c>
      <c r="G12437" s="12">
        <f>ROUND((E12437*F12437)/100,2)</f>
        <v>0.92</v>
      </c>
    </row>
    <row r="12438" ht="15.0" customHeight="1">
      <c r="A12438" s="16"/>
      <c r="B12438" s="16"/>
      <c r="C12438" s="16"/>
      <c r="D12438" s="17" t="s">
        <v>5408</v>
      </c>
      <c r="E12438" s="16"/>
      <c r="F12438" s="18">
        <f>ROUND((G12429+G12430+G12431+G12432+G12437)*(1+G2/100),2)</f>
        <v>18.33</v>
      </c>
      <c r="G12438" s="16"/>
    </row>
    <row r="12439" ht="24.75" customHeight="1">
      <c r="A12439" s="19" t="s">
        <v>5415</v>
      </c>
      <c r="B12439" s="20" t="s">
        <v>18</v>
      </c>
      <c r="C12439" s="20" t="s">
        <v>351</v>
      </c>
      <c r="D12439" s="20" t="s">
        <v>5416</v>
      </c>
      <c r="E12439" s="21"/>
      <c r="F12439" s="22">
        <f>F12450</f>
        <v>10.79</v>
      </c>
      <c r="G12439" s="21"/>
    </row>
    <row r="12440" ht="12.0" customHeight="1">
      <c r="A12440" s="11"/>
      <c r="B12440" s="11"/>
      <c r="C12440" s="11"/>
      <c r="D12440" s="10" t="s">
        <v>5416</v>
      </c>
    </row>
    <row r="12441" ht="48.75" customHeight="1">
      <c r="A12441" s="10" t="s">
        <v>5411</v>
      </c>
      <c r="B12441" s="10" t="s">
        <v>42</v>
      </c>
      <c r="C12441" s="10" t="s">
        <v>43</v>
      </c>
      <c r="D12441" s="10" t="s">
        <v>5412</v>
      </c>
      <c r="E12441" s="14">
        <v>0.01333</v>
      </c>
      <c r="F12441" s="15">
        <f>ROUND(31.68,3)</f>
        <v>31.68</v>
      </c>
      <c r="G12441" s="12">
        <f t="shared" ref="G12441:G12448" si="1917">ROUND(E12441*F12441,2)</f>
        <v>0.42</v>
      </c>
    </row>
    <row r="12442" ht="39.75" customHeight="1">
      <c r="A12442" s="10" t="s">
        <v>5413</v>
      </c>
      <c r="B12442" s="10" t="s">
        <v>42</v>
      </c>
      <c r="C12442" s="10" t="s">
        <v>43</v>
      </c>
      <c r="D12442" s="10" t="s">
        <v>5414</v>
      </c>
      <c r="E12442" s="14">
        <v>0.0125</v>
      </c>
      <c r="F12442" s="15">
        <f>ROUND(78.4,3)</f>
        <v>78.4</v>
      </c>
      <c r="G12442" s="12">
        <f t="shared" si="1917"/>
        <v>0.98</v>
      </c>
    </row>
    <row r="12443" ht="24.0" customHeight="1">
      <c r="A12443" s="10" t="s">
        <v>1053</v>
      </c>
      <c r="B12443" s="10" t="s">
        <v>42</v>
      </c>
      <c r="C12443" s="10" t="s">
        <v>43</v>
      </c>
      <c r="D12443" s="10" t="s">
        <v>1054</v>
      </c>
      <c r="E12443" s="14">
        <v>0.0045</v>
      </c>
      <c r="F12443" s="15">
        <f>ROUND(4.63,3)</f>
        <v>4.63</v>
      </c>
      <c r="G12443" s="12">
        <f t="shared" si="1917"/>
        <v>0.02</v>
      </c>
    </row>
    <row r="12444" ht="21.0" customHeight="1">
      <c r="A12444" s="10" t="s">
        <v>1416</v>
      </c>
      <c r="B12444" s="10" t="s">
        <v>18</v>
      </c>
      <c r="C12444" s="10" t="s">
        <v>23</v>
      </c>
      <c r="D12444" s="10" t="s">
        <v>1417</v>
      </c>
      <c r="E12444" s="14">
        <v>0.2</v>
      </c>
      <c r="F12444" s="15">
        <f>F12448</f>
        <v>43.8</v>
      </c>
      <c r="G12444" s="12">
        <f t="shared" si="1917"/>
        <v>8.76</v>
      </c>
    </row>
    <row r="12445" ht="24.0" customHeight="1">
      <c r="A12445" s="10" t="s">
        <v>1418</v>
      </c>
      <c r="B12445" s="10" t="s">
        <v>26</v>
      </c>
      <c r="C12445" s="10" t="s">
        <v>23</v>
      </c>
      <c r="D12445" s="10" t="s">
        <v>1419</v>
      </c>
      <c r="E12445" s="14">
        <v>1.0</v>
      </c>
      <c r="F12445" s="15">
        <f>ROUND(21,3)</f>
        <v>21</v>
      </c>
      <c r="G12445" s="12">
        <f t="shared" si="1917"/>
        <v>21</v>
      </c>
    </row>
    <row r="12446" ht="24.0" customHeight="1">
      <c r="A12446" s="10" t="s">
        <v>1420</v>
      </c>
      <c r="B12446" s="10" t="s">
        <v>26</v>
      </c>
      <c r="C12446" s="10" t="s">
        <v>23</v>
      </c>
      <c r="D12446" s="10" t="s">
        <v>1421</v>
      </c>
      <c r="E12446" s="14">
        <v>1.0</v>
      </c>
      <c r="F12446" s="15">
        <f t="shared" ref="F12446:F12447" si="1918">ROUND(19,3)</f>
        <v>19</v>
      </c>
      <c r="G12446" s="12">
        <f t="shared" si="1917"/>
        <v>19</v>
      </c>
    </row>
    <row r="12447" ht="24.0" customHeight="1">
      <c r="A12447" s="10" t="s">
        <v>30</v>
      </c>
      <c r="B12447" s="10" t="s">
        <v>26</v>
      </c>
      <c r="C12447" s="10" t="s">
        <v>23</v>
      </c>
      <c r="D12447" s="10" t="s">
        <v>31</v>
      </c>
      <c r="E12447" s="14">
        <v>0.2</v>
      </c>
      <c r="F12447" s="15">
        <f t="shared" si="1918"/>
        <v>19</v>
      </c>
      <c r="G12447" s="12">
        <f t="shared" si="1917"/>
        <v>3.8</v>
      </c>
    </row>
    <row r="12448" ht="15.0" customHeight="1">
      <c r="A12448" s="11"/>
      <c r="B12448" s="11"/>
      <c r="C12448" s="11"/>
      <c r="D12448" s="10" t="s">
        <v>1416</v>
      </c>
      <c r="E12448" s="14">
        <v>0.2</v>
      </c>
      <c r="F12448" s="15">
        <f>ROUND((G12445+G12446+G12447),3)</f>
        <v>43.8</v>
      </c>
      <c r="G12448" s="12">
        <f t="shared" si="1917"/>
        <v>8.76</v>
      </c>
    </row>
    <row r="12449" ht="15.0" customHeight="1">
      <c r="A12449" s="10" t="s">
        <v>32</v>
      </c>
      <c r="B12449" s="10"/>
      <c r="C12449" s="10" t="s">
        <v>33</v>
      </c>
      <c r="D12449" s="10" t="s">
        <v>34</v>
      </c>
      <c r="E12449" s="14">
        <v>7.0</v>
      </c>
      <c r="F12449" s="15">
        <f>ROUND(8.76,3)</f>
        <v>8.76</v>
      </c>
      <c r="G12449" s="12">
        <f>ROUND((E12449*F12449)/100,2)</f>
        <v>0.61</v>
      </c>
    </row>
    <row r="12450" ht="15.0" customHeight="1">
      <c r="A12450" s="16"/>
      <c r="B12450" s="16"/>
      <c r="C12450" s="16"/>
      <c r="D12450" s="17" t="s">
        <v>5415</v>
      </c>
      <c r="E12450" s="16"/>
      <c r="F12450" s="18">
        <f>ROUND((G12441+G12442+G12443+G12444+G12449)*(1+G2/100),2)</f>
        <v>10.79</v>
      </c>
      <c r="G12450" s="16"/>
    </row>
    <row r="12451" ht="39.75" customHeight="1">
      <c r="A12451" s="19" t="s">
        <v>5417</v>
      </c>
      <c r="B12451" s="20" t="s">
        <v>18</v>
      </c>
      <c r="C12451" s="20" t="s">
        <v>351</v>
      </c>
      <c r="D12451" s="20" t="s">
        <v>5418</v>
      </c>
      <c r="E12451" s="21"/>
      <c r="F12451" s="22">
        <f>F12461</f>
        <v>12.03</v>
      </c>
      <c r="G12451" s="21"/>
    </row>
    <row r="12452" ht="12.0" customHeight="1">
      <c r="A12452" s="11"/>
      <c r="B12452" s="11"/>
      <c r="C12452" s="11"/>
      <c r="D12452" s="10" t="s">
        <v>5419</v>
      </c>
    </row>
    <row r="12453" ht="39.75" customHeight="1">
      <c r="A12453" s="10" t="s">
        <v>4297</v>
      </c>
      <c r="B12453" s="10" t="s">
        <v>42</v>
      </c>
      <c r="C12453" s="10" t="s">
        <v>1939</v>
      </c>
      <c r="D12453" s="10" t="s">
        <v>4298</v>
      </c>
      <c r="E12453" s="14">
        <v>0.0304</v>
      </c>
      <c r="F12453" s="15">
        <f>ROUND(36.06,3)</f>
        <v>36.06</v>
      </c>
      <c r="G12453" s="12">
        <f t="shared" ref="G12453:G12459" si="1919">ROUND(E12453*F12453,2)</f>
        <v>1.1</v>
      </c>
    </row>
    <row r="12454" ht="39.75" customHeight="1">
      <c r="A12454" s="10" t="s">
        <v>3077</v>
      </c>
      <c r="B12454" s="10" t="s">
        <v>42</v>
      </c>
      <c r="C12454" s="10" t="s">
        <v>43</v>
      </c>
      <c r="D12454" s="10" t="s">
        <v>3078</v>
      </c>
      <c r="E12454" s="14">
        <v>0.02375</v>
      </c>
      <c r="F12454" s="15">
        <f>ROUND(53.44,3)</f>
        <v>53.44</v>
      </c>
      <c r="G12454" s="12">
        <f t="shared" si="1919"/>
        <v>1.27</v>
      </c>
    </row>
    <row r="12455" ht="21.0" customHeight="1">
      <c r="A12455" s="10" t="s">
        <v>1416</v>
      </c>
      <c r="B12455" s="10" t="s">
        <v>18</v>
      </c>
      <c r="C12455" s="10" t="s">
        <v>23</v>
      </c>
      <c r="D12455" s="10" t="s">
        <v>1417</v>
      </c>
      <c r="E12455" s="14">
        <v>0.21</v>
      </c>
      <c r="F12455" s="15">
        <f>F12459</f>
        <v>43.8</v>
      </c>
      <c r="G12455" s="12">
        <f t="shared" si="1919"/>
        <v>9.2</v>
      </c>
    </row>
    <row r="12456" ht="24.0" customHeight="1">
      <c r="A12456" s="10" t="s">
        <v>1418</v>
      </c>
      <c r="B12456" s="10" t="s">
        <v>26</v>
      </c>
      <c r="C12456" s="10" t="s">
        <v>23</v>
      </c>
      <c r="D12456" s="10" t="s">
        <v>1419</v>
      </c>
      <c r="E12456" s="14">
        <v>1.0</v>
      </c>
      <c r="F12456" s="15">
        <f>ROUND(21,3)</f>
        <v>21</v>
      </c>
      <c r="G12456" s="12">
        <f t="shared" si="1919"/>
        <v>21</v>
      </c>
    </row>
    <row r="12457" ht="24.0" customHeight="1">
      <c r="A12457" s="10" t="s">
        <v>1420</v>
      </c>
      <c r="B12457" s="10" t="s">
        <v>26</v>
      </c>
      <c r="C12457" s="10" t="s">
        <v>23</v>
      </c>
      <c r="D12457" s="10" t="s">
        <v>1421</v>
      </c>
      <c r="E12457" s="14">
        <v>1.0</v>
      </c>
      <c r="F12457" s="15">
        <f t="shared" ref="F12457:F12458" si="1920">ROUND(19,3)</f>
        <v>19</v>
      </c>
      <c r="G12457" s="12">
        <f t="shared" si="1919"/>
        <v>19</v>
      </c>
    </row>
    <row r="12458" ht="24.0" customHeight="1">
      <c r="A12458" s="10" t="s">
        <v>30</v>
      </c>
      <c r="B12458" s="10" t="s">
        <v>26</v>
      </c>
      <c r="C12458" s="10" t="s">
        <v>23</v>
      </c>
      <c r="D12458" s="10" t="s">
        <v>31</v>
      </c>
      <c r="E12458" s="14">
        <v>0.2</v>
      </c>
      <c r="F12458" s="15">
        <f t="shared" si="1920"/>
        <v>19</v>
      </c>
      <c r="G12458" s="12">
        <f t="shared" si="1919"/>
        <v>3.8</v>
      </c>
    </row>
    <row r="12459" ht="15.0" customHeight="1">
      <c r="A12459" s="11"/>
      <c r="B12459" s="11"/>
      <c r="C12459" s="11"/>
      <c r="D12459" s="10" t="s">
        <v>1416</v>
      </c>
      <c r="E12459" s="14">
        <v>0.21</v>
      </c>
      <c r="F12459" s="15">
        <f>ROUND((G12456+G12457+G12458),3)</f>
        <v>43.8</v>
      </c>
      <c r="G12459" s="12">
        <f t="shared" si="1919"/>
        <v>9.2</v>
      </c>
    </row>
    <row r="12460" ht="15.0" customHeight="1">
      <c r="A12460" s="10" t="s">
        <v>32</v>
      </c>
      <c r="B12460" s="10"/>
      <c r="C12460" s="10" t="s">
        <v>33</v>
      </c>
      <c r="D12460" s="10" t="s">
        <v>34</v>
      </c>
      <c r="E12460" s="14">
        <v>5.0</v>
      </c>
      <c r="F12460" s="15">
        <f>ROUND(9.2,3)</f>
        <v>9.2</v>
      </c>
      <c r="G12460" s="12">
        <f>ROUND((E12460*F12460)/100,2)</f>
        <v>0.46</v>
      </c>
    </row>
    <row r="12461" ht="15.0" customHeight="1">
      <c r="A12461" s="16"/>
      <c r="B12461" s="16"/>
      <c r="C12461" s="16"/>
      <c r="D12461" s="17" t="s">
        <v>5417</v>
      </c>
      <c r="E12461" s="16"/>
      <c r="F12461" s="18">
        <f>ROUND((G12453+G12454+G12455+G12460)*(1+G2/100),2)</f>
        <v>12.03</v>
      </c>
      <c r="G12461" s="16"/>
    </row>
    <row r="12462" ht="39.75" customHeight="1">
      <c r="A12462" s="19" t="s">
        <v>5420</v>
      </c>
      <c r="B12462" s="20" t="s">
        <v>18</v>
      </c>
      <c r="C12462" s="20" t="s">
        <v>351</v>
      </c>
      <c r="D12462" s="20" t="s">
        <v>5421</v>
      </c>
      <c r="E12462" s="21"/>
      <c r="F12462" s="22">
        <f>F12472</f>
        <v>11.88</v>
      </c>
      <c r="G12462" s="21"/>
    </row>
    <row r="12463" ht="12.0" customHeight="1">
      <c r="A12463" s="11"/>
      <c r="B12463" s="11"/>
      <c r="C12463" s="11"/>
      <c r="D12463" s="10" t="s">
        <v>5422</v>
      </c>
    </row>
    <row r="12464" ht="39.75" customHeight="1">
      <c r="A12464" s="10" t="s">
        <v>4297</v>
      </c>
      <c r="B12464" s="10" t="s">
        <v>42</v>
      </c>
      <c r="C12464" s="10" t="s">
        <v>1939</v>
      </c>
      <c r="D12464" s="10" t="s">
        <v>4298</v>
      </c>
      <c r="E12464" s="14">
        <v>0.0344</v>
      </c>
      <c r="F12464" s="15">
        <f>ROUND(36.06,3)</f>
        <v>36.06</v>
      </c>
      <c r="G12464" s="12">
        <f t="shared" ref="G12464:G12470" si="1921">ROUND(E12464*F12464,2)</f>
        <v>1.24</v>
      </c>
    </row>
    <row r="12465" ht="39.75" customHeight="1">
      <c r="A12465" s="10" t="s">
        <v>3077</v>
      </c>
      <c r="B12465" s="10" t="s">
        <v>42</v>
      </c>
      <c r="C12465" s="10" t="s">
        <v>43</v>
      </c>
      <c r="D12465" s="10" t="s">
        <v>3078</v>
      </c>
      <c r="E12465" s="14">
        <v>0.02688</v>
      </c>
      <c r="F12465" s="15">
        <f>ROUND(53.44,3)</f>
        <v>53.44</v>
      </c>
      <c r="G12465" s="12">
        <f t="shared" si="1921"/>
        <v>1.44</v>
      </c>
    </row>
    <row r="12466" ht="21.0" customHeight="1">
      <c r="A12466" s="10" t="s">
        <v>1416</v>
      </c>
      <c r="B12466" s="10" t="s">
        <v>18</v>
      </c>
      <c r="C12466" s="10" t="s">
        <v>23</v>
      </c>
      <c r="D12466" s="10" t="s">
        <v>1417</v>
      </c>
      <c r="E12466" s="14">
        <v>0.2</v>
      </c>
      <c r="F12466" s="15">
        <f>F12470</f>
        <v>43.8</v>
      </c>
      <c r="G12466" s="12">
        <f t="shared" si="1921"/>
        <v>8.76</v>
      </c>
    </row>
    <row r="12467" ht="24.0" customHeight="1">
      <c r="A12467" s="10" t="s">
        <v>1418</v>
      </c>
      <c r="B12467" s="10" t="s">
        <v>26</v>
      </c>
      <c r="C12467" s="10" t="s">
        <v>23</v>
      </c>
      <c r="D12467" s="10" t="s">
        <v>1419</v>
      </c>
      <c r="E12467" s="14">
        <v>1.0</v>
      </c>
      <c r="F12467" s="15">
        <f>ROUND(21,3)</f>
        <v>21</v>
      </c>
      <c r="G12467" s="12">
        <f t="shared" si="1921"/>
        <v>21</v>
      </c>
    </row>
    <row r="12468" ht="24.0" customHeight="1">
      <c r="A12468" s="10" t="s">
        <v>1420</v>
      </c>
      <c r="B12468" s="10" t="s">
        <v>26</v>
      </c>
      <c r="C12468" s="10" t="s">
        <v>23</v>
      </c>
      <c r="D12468" s="10" t="s">
        <v>1421</v>
      </c>
      <c r="E12468" s="14">
        <v>1.0</v>
      </c>
      <c r="F12468" s="15">
        <f t="shared" ref="F12468:F12469" si="1922">ROUND(19,3)</f>
        <v>19</v>
      </c>
      <c r="G12468" s="12">
        <f t="shared" si="1921"/>
        <v>19</v>
      </c>
    </row>
    <row r="12469" ht="24.0" customHeight="1">
      <c r="A12469" s="10" t="s">
        <v>30</v>
      </c>
      <c r="B12469" s="10" t="s">
        <v>26</v>
      </c>
      <c r="C12469" s="10" t="s">
        <v>23</v>
      </c>
      <c r="D12469" s="10" t="s">
        <v>31</v>
      </c>
      <c r="E12469" s="14">
        <v>0.2</v>
      </c>
      <c r="F12469" s="15">
        <f t="shared" si="1922"/>
        <v>19</v>
      </c>
      <c r="G12469" s="12">
        <f t="shared" si="1921"/>
        <v>3.8</v>
      </c>
    </row>
    <row r="12470" ht="15.0" customHeight="1">
      <c r="A12470" s="11"/>
      <c r="B12470" s="11"/>
      <c r="C12470" s="11"/>
      <c r="D12470" s="10" t="s">
        <v>1416</v>
      </c>
      <c r="E12470" s="14">
        <v>0.2</v>
      </c>
      <c r="F12470" s="15">
        <f>ROUND((G12467+G12468+G12469),3)</f>
        <v>43.8</v>
      </c>
      <c r="G12470" s="12">
        <f t="shared" si="1921"/>
        <v>8.76</v>
      </c>
    </row>
    <row r="12471" ht="15.0" customHeight="1">
      <c r="A12471" s="10" t="s">
        <v>32</v>
      </c>
      <c r="B12471" s="10"/>
      <c r="C12471" s="10" t="s">
        <v>33</v>
      </c>
      <c r="D12471" s="10" t="s">
        <v>34</v>
      </c>
      <c r="E12471" s="14">
        <v>5.0</v>
      </c>
      <c r="F12471" s="15">
        <f>ROUND(8.76,3)</f>
        <v>8.76</v>
      </c>
      <c r="G12471" s="12">
        <f>ROUND((E12471*F12471)/100,2)</f>
        <v>0.44</v>
      </c>
    </row>
    <row r="12472" ht="15.0" customHeight="1">
      <c r="A12472" s="16"/>
      <c r="B12472" s="16"/>
      <c r="C12472" s="16"/>
      <c r="D12472" s="17" t="s">
        <v>5420</v>
      </c>
      <c r="E12472" s="16"/>
      <c r="F12472" s="18">
        <f>ROUND((G12464+G12465+G12466+G12471)*(1+G2/100),2)</f>
        <v>11.88</v>
      </c>
      <c r="G12472" s="16"/>
    </row>
    <row r="12473" ht="39.75" customHeight="1">
      <c r="A12473" s="19" t="s">
        <v>5423</v>
      </c>
      <c r="B12473" s="20" t="s">
        <v>18</v>
      </c>
      <c r="C12473" s="20" t="s">
        <v>351</v>
      </c>
      <c r="D12473" s="20" t="s">
        <v>5424</v>
      </c>
      <c r="E12473" s="21"/>
      <c r="F12473" s="22">
        <f>F12483</f>
        <v>14.94</v>
      </c>
      <c r="G12473" s="21"/>
    </row>
    <row r="12474" ht="12.0" customHeight="1">
      <c r="A12474" s="11"/>
      <c r="B12474" s="11"/>
      <c r="C12474" s="11"/>
      <c r="D12474" s="10" t="s">
        <v>5425</v>
      </c>
    </row>
    <row r="12475" ht="39.75" customHeight="1">
      <c r="A12475" s="10" t="s">
        <v>4297</v>
      </c>
      <c r="B12475" s="10" t="s">
        <v>42</v>
      </c>
      <c r="C12475" s="10" t="s">
        <v>1939</v>
      </c>
      <c r="D12475" s="10" t="s">
        <v>4298</v>
      </c>
      <c r="E12475" s="14">
        <v>0.0344</v>
      </c>
      <c r="F12475" s="15">
        <f>ROUND(36.06,3)</f>
        <v>36.06</v>
      </c>
      <c r="G12475" s="12">
        <f t="shared" ref="G12475:G12481" si="1923">ROUND(E12475*F12475,2)</f>
        <v>1.24</v>
      </c>
    </row>
    <row r="12476" ht="39.75" customHeight="1">
      <c r="A12476" s="10" t="s">
        <v>3077</v>
      </c>
      <c r="B12476" s="10" t="s">
        <v>42</v>
      </c>
      <c r="C12476" s="10" t="s">
        <v>43</v>
      </c>
      <c r="D12476" s="10" t="s">
        <v>3078</v>
      </c>
      <c r="E12476" s="14">
        <v>0.02688</v>
      </c>
      <c r="F12476" s="15">
        <f>ROUND(53.44,3)</f>
        <v>53.44</v>
      </c>
      <c r="G12476" s="12">
        <f t="shared" si="1923"/>
        <v>1.44</v>
      </c>
    </row>
    <row r="12477" ht="21.0" customHeight="1">
      <c r="A12477" s="10" t="s">
        <v>1416</v>
      </c>
      <c r="B12477" s="10" t="s">
        <v>18</v>
      </c>
      <c r="C12477" s="10" t="s">
        <v>23</v>
      </c>
      <c r="D12477" s="10" t="s">
        <v>1417</v>
      </c>
      <c r="E12477" s="14">
        <v>0.26667</v>
      </c>
      <c r="F12477" s="15">
        <f>F12481</f>
        <v>43.8</v>
      </c>
      <c r="G12477" s="12">
        <f t="shared" si="1923"/>
        <v>11.68</v>
      </c>
    </row>
    <row r="12478" ht="24.0" customHeight="1">
      <c r="A12478" s="10" t="s">
        <v>1418</v>
      </c>
      <c r="B12478" s="10" t="s">
        <v>26</v>
      </c>
      <c r="C12478" s="10" t="s">
        <v>23</v>
      </c>
      <c r="D12478" s="10" t="s">
        <v>1419</v>
      </c>
      <c r="E12478" s="14">
        <v>1.0</v>
      </c>
      <c r="F12478" s="15">
        <f>ROUND(21,3)</f>
        <v>21</v>
      </c>
      <c r="G12478" s="12">
        <f t="shared" si="1923"/>
        <v>21</v>
      </c>
    </row>
    <row r="12479" ht="24.0" customHeight="1">
      <c r="A12479" s="10" t="s">
        <v>1420</v>
      </c>
      <c r="B12479" s="10" t="s">
        <v>26</v>
      </c>
      <c r="C12479" s="10" t="s">
        <v>23</v>
      </c>
      <c r="D12479" s="10" t="s">
        <v>1421</v>
      </c>
      <c r="E12479" s="14">
        <v>1.0</v>
      </c>
      <c r="F12479" s="15">
        <f t="shared" ref="F12479:F12480" si="1924">ROUND(19,3)</f>
        <v>19</v>
      </c>
      <c r="G12479" s="12">
        <f t="shared" si="1923"/>
        <v>19</v>
      </c>
    </row>
    <row r="12480" ht="24.0" customHeight="1">
      <c r="A12480" s="10" t="s">
        <v>30</v>
      </c>
      <c r="B12480" s="10" t="s">
        <v>26</v>
      </c>
      <c r="C12480" s="10" t="s">
        <v>23</v>
      </c>
      <c r="D12480" s="10" t="s">
        <v>31</v>
      </c>
      <c r="E12480" s="14">
        <v>0.2</v>
      </c>
      <c r="F12480" s="15">
        <f t="shared" si="1924"/>
        <v>19</v>
      </c>
      <c r="G12480" s="12">
        <f t="shared" si="1923"/>
        <v>3.8</v>
      </c>
    </row>
    <row r="12481" ht="15.0" customHeight="1">
      <c r="A12481" s="11"/>
      <c r="B12481" s="11"/>
      <c r="C12481" s="11"/>
      <c r="D12481" s="10" t="s">
        <v>1416</v>
      </c>
      <c r="E12481" s="14">
        <v>0.26667</v>
      </c>
      <c r="F12481" s="15">
        <f>ROUND((G12478+G12479+G12480),3)</f>
        <v>43.8</v>
      </c>
      <c r="G12481" s="12">
        <f t="shared" si="1923"/>
        <v>11.68</v>
      </c>
    </row>
    <row r="12482" ht="15.0" customHeight="1">
      <c r="A12482" s="10" t="s">
        <v>32</v>
      </c>
      <c r="B12482" s="10"/>
      <c r="C12482" s="10" t="s">
        <v>33</v>
      </c>
      <c r="D12482" s="10" t="s">
        <v>34</v>
      </c>
      <c r="E12482" s="14">
        <v>5.0</v>
      </c>
      <c r="F12482" s="15">
        <f>ROUND(11.68,3)</f>
        <v>11.68</v>
      </c>
      <c r="G12482" s="12">
        <f>ROUND((E12482*F12482)/100,2)</f>
        <v>0.58</v>
      </c>
    </row>
    <row r="12483" ht="15.0" customHeight="1">
      <c r="A12483" s="16"/>
      <c r="B12483" s="16"/>
      <c r="C12483" s="16"/>
      <c r="D12483" s="17" t="s">
        <v>5423</v>
      </c>
      <c r="E12483" s="16"/>
      <c r="F12483" s="18">
        <f>ROUND((G12475+G12476+G12477+G12482)*(1+G2/100),2)</f>
        <v>14.94</v>
      </c>
      <c r="G12483" s="16"/>
    </row>
    <row r="12484" ht="39.75" customHeight="1">
      <c r="A12484" s="19" t="s">
        <v>5426</v>
      </c>
      <c r="B12484" s="20" t="s">
        <v>18</v>
      </c>
      <c r="C12484" s="20" t="s">
        <v>351</v>
      </c>
      <c r="D12484" s="20" t="s">
        <v>5427</v>
      </c>
      <c r="E12484" s="21"/>
      <c r="F12484" s="22">
        <f>F12494</f>
        <v>18.71</v>
      </c>
      <c r="G12484" s="21"/>
    </row>
    <row r="12485" ht="12.0" customHeight="1">
      <c r="A12485" s="11"/>
      <c r="B12485" s="11"/>
      <c r="C12485" s="11"/>
      <c r="D12485" s="10" t="s">
        <v>5428</v>
      </c>
    </row>
    <row r="12486" ht="39.75" customHeight="1">
      <c r="A12486" s="10" t="s">
        <v>4297</v>
      </c>
      <c r="B12486" s="10" t="s">
        <v>42</v>
      </c>
      <c r="C12486" s="10" t="s">
        <v>1939</v>
      </c>
      <c r="D12486" s="10" t="s">
        <v>4298</v>
      </c>
      <c r="E12486" s="14">
        <v>0.0408</v>
      </c>
      <c r="F12486" s="15">
        <f>ROUND(36.06,3)</f>
        <v>36.06</v>
      </c>
      <c r="G12486" s="12">
        <f t="shared" ref="G12486:G12492" si="1925">ROUND(E12486*F12486,2)</f>
        <v>1.47</v>
      </c>
    </row>
    <row r="12487" ht="39.75" customHeight="1">
      <c r="A12487" s="10" t="s">
        <v>3077</v>
      </c>
      <c r="B12487" s="10" t="s">
        <v>42</v>
      </c>
      <c r="C12487" s="10" t="s">
        <v>43</v>
      </c>
      <c r="D12487" s="10" t="s">
        <v>3078</v>
      </c>
      <c r="E12487" s="14">
        <v>0.03188</v>
      </c>
      <c r="F12487" s="15">
        <f>ROUND(53.44,3)</f>
        <v>53.44</v>
      </c>
      <c r="G12487" s="12">
        <f t="shared" si="1925"/>
        <v>1.7</v>
      </c>
    </row>
    <row r="12488" ht="21.0" customHeight="1">
      <c r="A12488" s="10" t="s">
        <v>1416</v>
      </c>
      <c r="B12488" s="10" t="s">
        <v>18</v>
      </c>
      <c r="C12488" s="10" t="s">
        <v>23</v>
      </c>
      <c r="D12488" s="10" t="s">
        <v>1417</v>
      </c>
      <c r="E12488" s="14">
        <v>0.338</v>
      </c>
      <c r="F12488" s="15">
        <f>F12492</f>
        <v>43.8</v>
      </c>
      <c r="G12488" s="12">
        <f t="shared" si="1925"/>
        <v>14.8</v>
      </c>
    </row>
    <row r="12489" ht="24.0" customHeight="1">
      <c r="A12489" s="10" t="s">
        <v>1418</v>
      </c>
      <c r="B12489" s="10" t="s">
        <v>26</v>
      </c>
      <c r="C12489" s="10" t="s">
        <v>23</v>
      </c>
      <c r="D12489" s="10" t="s">
        <v>1419</v>
      </c>
      <c r="E12489" s="14">
        <v>1.0</v>
      </c>
      <c r="F12489" s="15">
        <f>ROUND(21,3)</f>
        <v>21</v>
      </c>
      <c r="G12489" s="12">
        <f t="shared" si="1925"/>
        <v>21</v>
      </c>
    </row>
    <row r="12490" ht="24.0" customHeight="1">
      <c r="A12490" s="10" t="s">
        <v>1420</v>
      </c>
      <c r="B12490" s="10" t="s">
        <v>26</v>
      </c>
      <c r="C12490" s="10" t="s">
        <v>23</v>
      </c>
      <c r="D12490" s="10" t="s">
        <v>1421</v>
      </c>
      <c r="E12490" s="14">
        <v>1.0</v>
      </c>
      <c r="F12490" s="15">
        <f t="shared" ref="F12490:F12491" si="1926">ROUND(19,3)</f>
        <v>19</v>
      </c>
      <c r="G12490" s="12">
        <f t="shared" si="1925"/>
        <v>19</v>
      </c>
    </row>
    <row r="12491" ht="24.0" customHeight="1">
      <c r="A12491" s="10" t="s">
        <v>30</v>
      </c>
      <c r="B12491" s="10" t="s">
        <v>26</v>
      </c>
      <c r="C12491" s="10" t="s">
        <v>23</v>
      </c>
      <c r="D12491" s="10" t="s">
        <v>31</v>
      </c>
      <c r="E12491" s="14">
        <v>0.2</v>
      </c>
      <c r="F12491" s="15">
        <f t="shared" si="1926"/>
        <v>19</v>
      </c>
      <c r="G12491" s="12">
        <f t="shared" si="1925"/>
        <v>3.8</v>
      </c>
    </row>
    <row r="12492" ht="15.0" customHeight="1">
      <c r="A12492" s="11"/>
      <c r="B12492" s="11"/>
      <c r="C12492" s="11"/>
      <c r="D12492" s="10" t="s">
        <v>1416</v>
      </c>
      <c r="E12492" s="14">
        <v>0.338</v>
      </c>
      <c r="F12492" s="15">
        <f>ROUND((G12489+G12490+G12491),3)</f>
        <v>43.8</v>
      </c>
      <c r="G12492" s="12">
        <f t="shared" si="1925"/>
        <v>14.8</v>
      </c>
    </row>
    <row r="12493" ht="15.0" customHeight="1">
      <c r="A12493" s="10" t="s">
        <v>32</v>
      </c>
      <c r="B12493" s="10"/>
      <c r="C12493" s="10" t="s">
        <v>33</v>
      </c>
      <c r="D12493" s="10" t="s">
        <v>34</v>
      </c>
      <c r="E12493" s="14">
        <v>5.0</v>
      </c>
      <c r="F12493" s="15">
        <f>ROUND(14.8,3)</f>
        <v>14.8</v>
      </c>
      <c r="G12493" s="12">
        <f>ROUND((E12493*F12493)/100,2)</f>
        <v>0.74</v>
      </c>
    </row>
    <row r="12494" ht="15.0" customHeight="1">
      <c r="A12494" s="16"/>
      <c r="B12494" s="16"/>
      <c r="C12494" s="16"/>
      <c r="D12494" s="17" t="s">
        <v>5426</v>
      </c>
      <c r="E12494" s="16"/>
      <c r="F12494" s="18">
        <f>ROUND((G12486+G12487+G12488+G12493)*(1+G2/100),2)</f>
        <v>18.71</v>
      </c>
      <c r="G12494" s="16"/>
    </row>
    <row r="12495" ht="39.75" customHeight="1">
      <c r="A12495" s="19" t="s">
        <v>5429</v>
      </c>
      <c r="B12495" s="20" t="s">
        <v>18</v>
      </c>
      <c r="C12495" s="20" t="s">
        <v>19</v>
      </c>
      <c r="D12495" s="20" t="s">
        <v>5430</v>
      </c>
      <c r="E12495" s="21"/>
      <c r="F12495" s="22">
        <f>F12506</f>
        <v>25.24</v>
      </c>
      <c r="G12495" s="21"/>
    </row>
    <row r="12496" ht="21.0" customHeight="1">
      <c r="A12496" s="11"/>
      <c r="B12496" s="11"/>
      <c r="C12496" s="11"/>
      <c r="D12496" s="10" t="s">
        <v>5431</v>
      </c>
    </row>
    <row r="12497" ht="39.75" customHeight="1">
      <c r="A12497" s="10" t="s">
        <v>5432</v>
      </c>
      <c r="B12497" s="10" t="s">
        <v>42</v>
      </c>
      <c r="C12497" s="10" t="s">
        <v>43</v>
      </c>
      <c r="D12497" s="10" t="s">
        <v>5433</v>
      </c>
      <c r="E12497" s="14">
        <v>0.04</v>
      </c>
      <c r="F12497" s="15">
        <f>ROUND(63.84,3)</f>
        <v>63.84</v>
      </c>
      <c r="G12497" s="12">
        <f t="shared" ref="G12497:G12504" si="1927">ROUND(E12497*F12497,2)</f>
        <v>2.55</v>
      </c>
    </row>
    <row r="12498" ht="39.75" customHeight="1">
      <c r="A12498" s="10" t="s">
        <v>3077</v>
      </c>
      <c r="B12498" s="10" t="s">
        <v>42</v>
      </c>
      <c r="C12498" s="10" t="s">
        <v>43</v>
      </c>
      <c r="D12498" s="10" t="s">
        <v>3078</v>
      </c>
      <c r="E12498" s="14">
        <v>0.06875</v>
      </c>
      <c r="F12498" s="15">
        <f>ROUND(53.44,3)</f>
        <v>53.44</v>
      </c>
      <c r="G12498" s="12">
        <f t="shared" si="1927"/>
        <v>3.67</v>
      </c>
    </row>
    <row r="12499" ht="30.0" customHeight="1">
      <c r="A12499" s="10" t="s">
        <v>5434</v>
      </c>
      <c r="B12499" s="10" t="s">
        <v>42</v>
      </c>
      <c r="C12499" s="10" t="s">
        <v>43</v>
      </c>
      <c r="D12499" s="10" t="s">
        <v>5435</v>
      </c>
      <c r="E12499" s="14">
        <v>0.014</v>
      </c>
      <c r="F12499" s="15">
        <f>ROUND(44.63,3)</f>
        <v>44.63</v>
      </c>
      <c r="G12499" s="12">
        <f t="shared" si="1927"/>
        <v>0.62</v>
      </c>
    </row>
    <row r="12500" ht="21.0" customHeight="1">
      <c r="A12500" s="10" t="s">
        <v>1416</v>
      </c>
      <c r="B12500" s="10" t="s">
        <v>18</v>
      </c>
      <c r="C12500" s="10" t="s">
        <v>23</v>
      </c>
      <c r="D12500" s="10" t="s">
        <v>1417</v>
      </c>
      <c r="E12500" s="14">
        <v>0.4</v>
      </c>
      <c r="F12500" s="15">
        <f>F12504</f>
        <v>43.8</v>
      </c>
      <c r="G12500" s="12">
        <f t="shared" si="1927"/>
        <v>17.52</v>
      </c>
    </row>
    <row r="12501" ht="24.0" customHeight="1">
      <c r="A12501" s="10" t="s">
        <v>1418</v>
      </c>
      <c r="B12501" s="10" t="s">
        <v>26</v>
      </c>
      <c r="C12501" s="10" t="s">
        <v>23</v>
      </c>
      <c r="D12501" s="10" t="s">
        <v>1419</v>
      </c>
      <c r="E12501" s="14">
        <v>1.0</v>
      </c>
      <c r="F12501" s="15">
        <f>ROUND(21,3)</f>
        <v>21</v>
      </c>
      <c r="G12501" s="12">
        <f t="shared" si="1927"/>
        <v>21</v>
      </c>
    </row>
    <row r="12502" ht="24.0" customHeight="1">
      <c r="A12502" s="10" t="s">
        <v>1420</v>
      </c>
      <c r="B12502" s="10" t="s">
        <v>26</v>
      </c>
      <c r="C12502" s="10" t="s">
        <v>23</v>
      </c>
      <c r="D12502" s="10" t="s">
        <v>1421</v>
      </c>
      <c r="E12502" s="14">
        <v>1.0</v>
      </c>
      <c r="F12502" s="15">
        <f t="shared" ref="F12502:F12503" si="1928">ROUND(19,3)</f>
        <v>19</v>
      </c>
      <c r="G12502" s="12">
        <f t="shared" si="1927"/>
        <v>19</v>
      </c>
    </row>
    <row r="12503" ht="24.0" customHeight="1">
      <c r="A12503" s="10" t="s">
        <v>30</v>
      </c>
      <c r="B12503" s="10" t="s">
        <v>26</v>
      </c>
      <c r="C12503" s="10" t="s">
        <v>23</v>
      </c>
      <c r="D12503" s="10" t="s">
        <v>31</v>
      </c>
      <c r="E12503" s="14">
        <v>0.2</v>
      </c>
      <c r="F12503" s="15">
        <f t="shared" si="1928"/>
        <v>19</v>
      </c>
      <c r="G12503" s="12">
        <f t="shared" si="1927"/>
        <v>3.8</v>
      </c>
    </row>
    <row r="12504" ht="15.0" customHeight="1">
      <c r="A12504" s="11"/>
      <c r="B12504" s="11"/>
      <c r="C12504" s="11"/>
      <c r="D12504" s="10" t="s">
        <v>1416</v>
      </c>
      <c r="E12504" s="14">
        <v>0.4</v>
      </c>
      <c r="F12504" s="15">
        <f>ROUND((G12501+G12502+G12503),3)</f>
        <v>43.8</v>
      </c>
      <c r="G12504" s="12">
        <f t="shared" si="1927"/>
        <v>17.52</v>
      </c>
    </row>
    <row r="12505" ht="15.0" customHeight="1">
      <c r="A12505" s="10" t="s">
        <v>32</v>
      </c>
      <c r="B12505" s="10"/>
      <c r="C12505" s="10" t="s">
        <v>33</v>
      </c>
      <c r="D12505" s="10" t="s">
        <v>34</v>
      </c>
      <c r="E12505" s="14">
        <v>5.0</v>
      </c>
      <c r="F12505" s="15">
        <f>ROUND(17.52,3)</f>
        <v>17.52</v>
      </c>
      <c r="G12505" s="12">
        <f>ROUND((E12505*F12505)/100,2)</f>
        <v>0.88</v>
      </c>
    </row>
    <row r="12506" ht="15.0" customHeight="1">
      <c r="A12506" s="16"/>
      <c r="B12506" s="16"/>
      <c r="C12506" s="16"/>
      <c r="D12506" s="17" t="s">
        <v>5429</v>
      </c>
      <c r="E12506" s="16"/>
      <c r="F12506" s="18">
        <f>ROUND((G12497+G12498+G12499+G12500+G12505)*(1+G2/100),2)</f>
        <v>25.24</v>
      </c>
      <c r="G12506" s="16"/>
    </row>
    <row r="12507" ht="39.75" customHeight="1">
      <c r="A12507" s="19" t="s">
        <v>5436</v>
      </c>
      <c r="B12507" s="20" t="s">
        <v>18</v>
      </c>
      <c r="C12507" s="20" t="s">
        <v>351</v>
      </c>
      <c r="D12507" s="20" t="s">
        <v>5437</v>
      </c>
      <c r="E12507" s="21"/>
      <c r="F12507" s="22">
        <f>F12518</f>
        <v>14.05</v>
      </c>
      <c r="G12507" s="21"/>
    </row>
    <row r="12508" ht="21.0" customHeight="1">
      <c r="A12508" s="11"/>
      <c r="B12508" s="11"/>
      <c r="C12508" s="11"/>
      <c r="D12508" s="10" t="s">
        <v>5438</v>
      </c>
    </row>
    <row r="12509" ht="39.75" customHeight="1">
      <c r="A12509" s="10" t="s">
        <v>5432</v>
      </c>
      <c r="B12509" s="10" t="s">
        <v>42</v>
      </c>
      <c r="C12509" s="10" t="s">
        <v>43</v>
      </c>
      <c r="D12509" s="10" t="s">
        <v>5433</v>
      </c>
      <c r="E12509" s="14">
        <v>0.012</v>
      </c>
      <c r="F12509" s="15">
        <f>ROUND(63.84,3)</f>
        <v>63.84</v>
      </c>
      <c r="G12509" s="12">
        <f t="shared" ref="G12509:G12516" si="1929">ROUND(E12509*F12509,2)</f>
        <v>0.77</v>
      </c>
    </row>
    <row r="12510" ht="39.75" customHeight="1">
      <c r="A12510" s="10" t="s">
        <v>3077</v>
      </c>
      <c r="B12510" s="10" t="s">
        <v>42</v>
      </c>
      <c r="C12510" s="10" t="s">
        <v>43</v>
      </c>
      <c r="D12510" s="10" t="s">
        <v>3078</v>
      </c>
      <c r="E12510" s="14">
        <v>0.0206</v>
      </c>
      <c r="F12510" s="15">
        <f>ROUND(53.44,3)</f>
        <v>53.44</v>
      </c>
      <c r="G12510" s="12">
        <f t="shared" si="1929"/>
        <v>1.1</v>
      </c>
    </row>
    <row r="12511" ht="30.0" customHeight="1">
      <c r="A12511" s="10" t="s">
        <v>5434</v>
      </c>
      <c r="B12511" s="10" t="s">
        <v>42</v>
      </c>
      <c r="C12511" s="10" t="s">
        <v>43</v>
      </c>
      <c r="D12511" s="10" t="s">
        <v>5435</v>
      </c>
      <c r="E12511" s="14">
        <v>0.005</v>
      </c>
      <c r="F12511" s="15">
        <f>ROUND(44.63,3)</f>
        <v>44.63</v>
      </c>
      <c r="G12511" s="12">
        <f t="shared" si="1929"/>
        <v>0.22</v>
      </c>
    </row>
    <row r="12512" ht="21.0" customHeight="1">
      <c r="A12512" s="10" t="s">
        <v>1416</v>
      </c>
      <c r="B12512" s="10" t="s">
        <v>18</v>
      </c>
      <c r="C12512" s="10" t="s">
        <v>23</v>
      </c>
      <c r="D12512" s="10" t="s">
        <v>1417</v>
      </c>
      <c r="E12512" s="14">
        <v>0.26</v>
      </c>
      <c r="F12512" s="15">
        <f>F12516</f>
        <v>43.8</v>
      </c>
      <c r="G12512" s="12">
        <f t="shared" si="1929"/>
        <v>11.39</v>
      </c>
    </row>
    <row r="12513" ht="24.0" customHeight="1">
      <c r="A12513" s="10" t="s">
        <v>1418</v>
      </c>
      <c r="B12513" s="10" t="s">
        <v>26</v>
      </c>
      <c r="C12513" s="10" t="s">
        <v>23</v>
      </c>
      <c r="D12513" s="10" t="s">
        <v>1419</v>
      </c>
      <c r="E12513" s="14">
        <v>1.0</v>
      </c>
      <c r="F12513" s="15">
        <f>ROUND(21,3)</f>
        <v>21</v>
      </c>
      <c r="G12513" s="12">
        <f t="shared" si="1929"/>
        <v>21</v>
      </c>
    </row>
    <row r="12514" ht="24.0" customHeight="1">
      <c r="A12514" s="10" t="s">
        <v>1420</v>
      </c>
      <c r="B12514" s="10" t="s">
        <v>26</v>
      </c>
      <c r="C12514" s="10" t="s">
        <v>23</v>
      </c>
      <c r="D12514" s="10" t="s">
        <v>1421</v>
      </c>
      <c r="E12514" s="14">
        <v>1.0</v>
      </c>
      <c r="F12514" s="15">
        <f t="shared" ref="F12514:F12515" si="1930">ROUND(19,3)</f>
        <v>19</v>
      </c>
      <c r="G12514" s="12">
        <f t="shared" si="1929"/>
        <v>19</v>
      </c>
    </row>
    <row r="12515" ht="24.0" customHeight="1">
      <c r="A12515" s="10" t="s">
        <v>30</v>
      </c>
      <c r="B12515" s="10" t="s">
        <v>26</v>
      </c>
      <c r="C12515" s="10" t="s">
        <v>23</v>
      </c>
      <c r="D12515" s="10" t="s">
        <v>31</v>
      </c>
      <c r="E12515" s="14">
        <v>0.2</v>
      </c>
      <c r="F12515" s="15">
        <f t="shared" si="1930"/>
        <v>19</v>
      </c>
      <c r="G12515" s="12">
        <f t="shared" si="1929"/>
        <v>3.8</v>
      </c>
    </row>
    <row r="12516" ht="15.0" customHeight="1">
      <c r="A12516" s="11"/>
      <c r="B12516" s="11"/>
      <c r="C12516" s="11"/>
      <c r="D12516" s="10" t="s">
        <v>1416</v>
      </c>
      <c r="E12516" s="14">
        <v>0.26</v>
      </c>
      <c r="F12516" s="15">
        <f>ROUND((G12513+G12514+G12515),3)</f>
        <v>43.8</v>
      </c>
      <c r="G12516" s="12">
        <f t="shared" si="1929"/>
        <v>11.39</v>
      </c>
    </row>
    <row r="12517" ht="15.0" customHeight="1">
      <c r="A12517" s="10" t="s">
        <v>32</v>
      </c>
      <c r="B12517" s="10"/>
      <c r="C12517" s="10" t="s">
        <v>33</v>
      </c>
      <c r="D12517" s="10" t="s">
        <v>34</v>
      </c>
      <c r="E12517" s="14">
        <v>5.0</v>
      </c>
      <c r="F12517" s="15">
        <f>ROUND(11.39,3)</f>
        <v>11.39</v>
      </c>
      <c r="G12517" s="12">
        <f>ROUND((E12517*F12517)/100,2)</f>
        <v>0.57</v>
      </c>
    </row>
    <row r="12518" ht="15.0" customHeight="1">
      <c r="A12518" s="16"/>
      <c r="B12518" s="16"/>
      <c r="C12518" s="16"/>
      <c r="D12518" s="17" t="s">
        <v>5436</v>
      </c>
      <c r="E12518" s="16"/>
      <c r="F12518" s="18">
        <f>ROUND((G12509+G12510+G12511+G12512+G12517)*(1+G2/100),2)</f>
        <v>14.05</v>
      </c>
      <c r="G12518" s="16"/>
    </row>
    <row r="12519" ht="57.75" customHeight="1">
      <c r="A12519" s="19" t="s">
        <v>5439</v>
      </c>
      <c r="B12519" s="20" t="s">
        <v>18</v>
      </c>
      <c r="C12519" s="20" t="s">
        <v>351</v>
      </c>
      <c r="D12519" s="20" t="s">
        <v>5440</v>
      </c>
      <c r="E12519" s="21"/>
      <c r="F12519" s="22">
        <f>F12529</f>
        <v>29.84</v>
      </c>
      <c r="G12519" s="21"/>
    </row>
    <row r="12520" ht="21.0" customHeight="1">
      <c r="A12520" s="11"/>
      <c r="B12520" s="11"/>
      <c r="C12520" s="11"/>
      <c r="D12520" s="10" t="s">
        <v>5441</v>
      </c>
    </row>
    <row r="12521" ht="39.75" customHeight="1">
      <c r="A12521" s="10" t="s">
        <v>5197</v>
      </c>
      <c r="B12521" s="10" t="s">
        <v>42</v>
      </c>
      <c r="C12521" s="10" t="s">
        <v>43</v>
      </c>
      <c r="D12521" s="10" t="s">
        <v>5198</v>
      </c>
      <c r="E12521" s="14">
        <v>0.07</v>
      </c>
      <c r="F12521" s="15">
        <f>ROUND(57.46,3)</f>
        <v>57.46</v>
      </c>
      <c r="G12521" s="12">
        <f t="shared" ref="G12521:G12527" si="1931">ROUND(E12521*F12521,2)</f>
        <v>4.02</v>
      </c>
    </row>
    <row r="12522" ht="24.0" customHeight="1">
      <c r="A12522" s="10" t="s">
        <v>1053</v>
      </c>
      <c r="B12522" s="10" t="s">
        <v>42</v>
      </c>
      <c r="C12522" s="10" t="s">
        <v>43</v>
      </c>
      <c r="D12522" s="10" t="s">
        <v>1054</v>
      </c>
      <c r="E12522" s="14">
        <v>0.0135</v>
      </c>
      <c r="F12522" s="15">
        <f>ROUND(4.63,3)</f>
        <v>4.63</v>
      </c>
      <c r="G12522" s="12">
        <f t="shared" si="1931"/>
        <v>0.06</v>
      </c>
    </row>
    <row r="12523" ht="21.0" customHeight="1">
      <c r="A12523" s="10" t="s">
        <v>1416</v>
      </c>
      <c r="B12523" s="10" t="s">
        <v>18</v>
      </c>
      <c r="C12523" s="10" t="s">
        <v>23</v>
      </c>
      <c r="D12523" s="10" t="s">
        <v>1417</v>
      </c>
      <c r="E12523" s="14">
        <v>0.56</v>
      </c>
      <c r="F12523" s="15">
        <f>F12527</f>
        <v>43.8</v>
      </c>
      <c r="G12523" s="12">
        <f t="shared" si="1931"/>
        <v>24.53</v>
      </c>
    </row>
    <row r="12524" ht="24.0" customHeight="1">
      <c r="A12524" s="10" t="s">
        <v>1418</v>
      </c>
      <c r="B12524" s="10" t="s">
        <v>26</v>
      </c>
      <c r="C12524" s="10" t="s">
        <v>23</v>
      </c>
      <c r="D12524" s="10" t="s">
        <v>1419</v>
      </c>
      <c r="E12524" s="14">
        <v>1.0</v>
      </c>
      <c r="F12524" s="15">
        <f>ROUND(21,3)</f>
        <v>21</v>
      </c>
      <c r="G12524" s="12">
        <f t="shared" si="1931"/>
        <v>21</v>
      </c>
    </row>
    <row r="12525" ht="24.0" customHeight="1">
      <c r="A12525" s="10" t="s">
        <v>1420</v>
      </c>
      <c r="B12525" s="10" t="s">
        <v>26</v>
      </c>
      <c r="C12525" s="10" t="s">
        <v>23</v>
      </c>
      <c r="D12525" s="10" t="s">
        <v>1421</v>
      </c>
      <c r="E12525" s="14">
        <v>1.0</v>
      </c>
      <c r="F12525" s="15">
        <f t="shared" ref="F12525:F12526" si="1932">ROUND(19,3)</f>
        <v>19</v>
      </c>
      <c r="G12525" s="12">
        <f t="shared" si="1931"/>
        <v>19</v>
      </c>
    </row>
    <row r="12526" ht="24.0" customHeight="1">
      <c r="A12526" s="10" t="s">
        <v>30</v>
      </c>
      <c r="B12526" s="10" t="s">
        <v>26</v>
      </c>
      <c r="C12526" s="10" t="s">
        <v>23</v>
      </c>
      <c r="D12526" s="10" t="s">
        <v>31</v>
      </c>
      <c r="E12526" s="14">
        <v>0.2</v>
      </c>
      <c r="F12526" s="15">
        <f t="shared" si="1932"/>
        <v>19</v>
      </c>
      <c r="G12526" s="12">
        <f t="shared" si="1931"/>
        <v>3.8</v>
      </c>
    </row>
    <row r="12527" ht="15.0" customHeight="1">
      <c r="A12527" s="11"/>
      <c r="B12527" s="11"/>
      <c r="C12527" s="11"/>
      <c r="D12527" s="10" t="s">
        <v>1416</v>
      </c>
      <c r="E12527" s="14">
        <v>0.56</v>
      </c>
      <c r="F12527" s="15">
        <f>ROUND((G12524+G12525+G12526),3)</f>
        <v>43.8</v>
      </c>
      <c r="G12527" s="12">
        <f t="shared" si="1931"/>
        <v>24.53</v>
      </c>
    </row>
    <row r="12528" ht="15.0" customHeight="1">
      <c r="A12528" s="10" t="s">
        <v>32</v>
      </c>
      <c r="B12528" s="10"/>
      <c r="C12528" s="10" t="s">
        <v>33</v>
      </c>
      <c r="D12528" s="10" t="s">
        <v>34</v>
      </c>
      <c r="E12528" s="14">
        <v>5.0</v>
      </c>
      <c r="F12528" s="15">
        <f>ROUND(24.53,3)</f>
        <v>24.53</v>
      </c>
      <c r="G12528" s="12">
        <f>ROUND((E12528*F12528)/100,2)</f>
        <v>1.23</v>
      </c>
    </row>
    <row r="12529" ht="15.0" customHeight="1">
      <c r="A12529" s="16"/>
      <c r="B12529" s="16"/>
      <c r="C12529" s="16"/>
      <c r="D12529" s="17" t="s">
        <v>5439</v>
      </c>
      <c r="E12529" s="16"/>
      <c r="F12529" s="18">
        <f>ROUND((G12521+G12522+G12523+G12528)*(1+G2/100),2)</f>
        <v>29.84</v>
      </c>
      <c r="G12529" s="16"/>
    </row>
    <row r="12530" ht="48.75" customHeight="1">
      <c r="A12530" s="19" t="s">
        <v>5442</v>
      </c>
      <c r="B12530" s="20" t="s">
        <v>18</v>
      </c>
      <c r="C12530" s="20" t="s">
        <v>19</v>
      </c>
      <c r="D12530" s="20" t="s">
        <v>5443</v>
      </c>
      <c r="E12530" s="21"/>
      <c r="F12530" s="22">
        <f>F12539</f>
        <v>30.9</v>
      </c>
      <c r="G12530" s="21"/>
    </row>
    <row r="12531" ht="21.0" customHeight="1">
      <c r="A12531" s="11"/>
      <c r="B12531" s="11"/>
      <c r="C12531" s="11"/>
      <c r="D12531" s="10" t="s">
        <v>5444</v>
      </c>
    </row>
    <row r="12532" ht="48.75" customHeight="1">
      <c r="A12532" s="10" t="s">
        <v>5185</v>
      </c>
      <c r="B12532" s="10" t="s">
        <v>42</v>
      </c>
      <c r="C12532" s="10" t="s">
        <v>43</v>
      </c>
      <c r="D12532" s="10" t="s">
        <v>5186</v>
      </c>
      <c r="E12532" s="14">
        <v>0.08889</v>
      </c>
      <c r="F12532" s="15">
        <f>ROUND(57.85,3)</f>
        <v>57.85</v>
      </c>
      <c r="G12532" s="12">
        <f t="shared" ref="G12532:G12537" si="1933">ROUND(E12532*F12532,2)</f>
        <v>5.14</v>
      </c>
    </row>
    <row r="12533" ht="21.0" customHeight="1">
      <c r="A12533" s="10" t="s">
        <v>1416</v>
      </c>
      <c r="B12533" s="10" t="s">
        <v>18</v>
      </c>
      <c r="C12533" s="10" t="s">
        <v>23</v>
      </c>
      <c r="D12533" s="10" t="s">
        <v>1417</v>
      </c>
      <c r="E12533" s="14">
        <v>0.56</v>
      </c>
      <c r="F12533" s="15">
        <f>F12537</f>
        <v>43.8</v>
      </c>
      <c r="G12533" s="12">
        <f t="shared" si="1933"/>
        <v>24.53</v>
      </c>
    </row>
    <row r="12534" ht="24.0" customHeight="1">
      <c r="A12534" s="10" t="s">
        <v>1418</v>
      </c>
      <c r="B12534" s="10" t="s">
        <v>26</v>
      </c>
      <c r="C12534" s="10" t="s">
        <v>23</v>
      </c>
      <c r="D12534" s="10" t="s">
        <v>1419</v>
      </c>
      <c r="E12534" s="14">
        <v>1.0</v>
      </c>
      <c r="F12534" s="15">
        <f>ROUND(21,3)</f>
        <v>21</v>
      </c>
      <c r="G12534" s="12">
        <f t="shared" si="1933"/>
        <v>21</v>
      </c>
    </row>
    <row r="12535" ht="24.0" customHeight="1">
      <c r="A12535" s="10" t="s">
        <v>1420</v>
      </c>
      <c r="B12535" s="10" t="s">
        <v>26</v>
      </c>
      <c r="C12535" s="10" t="s">
        <v>23</v>
      </c>
      <c r="D12535" s="10" t="s">
        <v>1421</v>
      </c>
      <c r="E12535" s="14">
        <v>1.0</v>
      </c>
      <c r="F12535" s="15">
        <f t="shared" ref="F12535:F12536" si="1934">ROUND(19,3)</f>
        <v>19</v>
      </c>
      <c r="G12535" s="12">
        <f t="shared" si="1933"/>
        <v>19</v>
      </c>
    </row>
    <row r="12536" ht="24.0" customHeight="1">
      <c r="A12536" s="10" t="s">
        <v>30</v>
      </c>
      <c r="B12536" s="10" t="s">
        <v>26</v>
      </c>
      <c r="C12536" s="10" t="s">
        <v>23</v>
      </c>
      <c r="D12536" s="10" t="s">
        <v>31</v>
      </c>
      <c r="E12536" s="14">
        <v>0.2</v>
      </c>
      <c r="F12536" s="15">
        <f t="shared" si="1934"/>
        <v>19</v>
      </c>
      <c r="G12536" s="12">
        <f t="shared" si="1933"/>
        <v>3.8</v>
      </c>
    </row>
    <row r="12537" ht="15.0" customHeight="1">
      <c r="A12537" s="11"/>
      <c r="B12537" s="11"/>
      <c r="C12537" s="11"/>
      <c r="D12537" s="10" t="s">
        <v>1416</v>
      </c>
      <c r="E12537" s="14">
        <v>0.56</v>
      </c>
      <c r="F12537" s="15">
        <f>ROUND((G12534+G12535+G12536),3)</f>
        <v>43.8</v>
      </c>
      <c r="G12537" s="12">
        <f t="shared" si="1933"/>
        <v>24.53</v>
      </c>
    </row>
    <row r="12538" ht="15.0" customHeight="1">
      <c r="A12538" s="10" t="s">
        <v>32</v>
      </c>
      <c r="B12538" s="10"/>
      <c r="C12538" s="10" t="s">
        <v>33</v>
      </c>
      <c r="D12538" s="10" t="s">
        <v>34</v>
      </c>
      <c r="E12538" s="14">
        <v>5.0</v>
      </c>
      <c r="F12538" s="15">
        <f>ROUND(24.53,3)</f>
        <v>24.53</v>
      </c>
      <c r="G12538" s="12">
        <f>ROUND((E12538*F12538)/100,2)</f>
        <v>1.23</v>
      </c>
    </row>
    <row r="12539" ht="15.0" customHeight="1">
      <c r="A12539" s="16"/>
      <c r="B12539" s="16"/>
      <c r="C12539" s="16"/>
      <c r="D12539" s="17" t="s">
        <v>5442</v>
      </c>
      <c r="E12539" s="16"/>
      <c r="F12539" s="18">
        <f>ROUND((G12532+G12533+G12538)*(1+G2/100),2)</f>
        <v>30.9</v>
      </c>
      <c r="G12539" s="16"/>
    </row>
    <row r="12540" ht="48.75" customHeight="1">
      <c r="A12540" s="19" t="s">
        <v>5445</v>
      </c>
      <c r="B12540" s="20" t="s">
        <v>18</v>
      </c>
      <c r="C12540" s="20" t="s">
        <v>19</v>
      </c>
      <c r="D12540" s="20" t="s">
        <v>5446</v>
      </c>
      <c r="E12540" s="21"/>
      <c r="F12540" s="22">
        <f>F12550</f>
        <v>30.12</v>
      </c>
      <c r="G12540" s="21"/>
    </row>
    <row r="12541" ht="21.0" customHeight="1">
      <c r="A12541" s="11"/>
      <c r="B12541" s="11"/>
      <c r="C12541" s="11"/>
      <c r="D12541" s="10" t="s">
        <v>5447</v>
      </c>
    </row>
    <row r="12542" ht="39.75" customHeight="1">
      <c r="A12542" s="10" t="s">
        <v>5190</v>
      </c>
      <c r="B12542" s="10" t="s">
        <v>42</v>
      </c>
      <c r="C12542" s="10" t="s">
        <v>43</v>
      </c>
      <c r="D12542" s="10" t="s">
        <v>5191</v>
      </c>
      <c r="E12542" s="14">
        <v>0.02778</v>
      </c>
      <c r="F12542" s="15">
        <f>ROUND(41.28,3)</f>
        <v>41.28</v>
      </c>
      <c r="G12542" s="12">
        <f t="shared" ref="G12542:G12548" si="1935">ROUND(E12542*F12542,2)</f>
        <v>1.15</v>
      </c>
    </row>
    <row r="12543" ht="39.75" customHeight="1">
      <c r="A12543" s="10" t="s">
        <v>5192</v>
      </c>
      <c r="B12543" s="10" t="s">
        <v>42</v>
      </c>
      <c r="C12543" s="10" t="s">
        <v>43</v>
      </c>
      <c r="D12543" s="10" t="s">
        <v>5193</v>
      </c>
      <c r="E12543" s="14">
        <v>0.05556</v>
      </c>
      <c r="F12543" s="15">
        <f>ROUND(57.84,3)</f>
        <v>57.84</v>
      </c>
      <c r="G12543" s="12">
        <f t="shared" si="1935"/>
        <v>3.21</v>
      </c>
    </row>
    <row r="12544" ht="21.0" customHeight="1">
      <c r="A12544" s="10" t="s">
        <v>1416</v>
      </c>
      <c r="B12544" s="10" t="s">
        <v>18</v>
      </c>
      <c r="C12544" s="10" t="s">
        <v>23</v>
      </c>
      <c r="D12544" s="10" t="s">
        <v>1417</v>
      </c>
      <c r="E12544" s="14">
        <v>0.56</v>
      </c>
      <c r="F12544" s="15">
        <f>F12548</f>
        <v>43.8</v>
      </c>
      <c r="G12544" s="12">
        <f t="shared" si="1935"/>
        <v>24.53</v>
      </c>
    </row>
    <row r="12545" ht="24.0" customHeight="1">
      <c r="A12545" s="10" t="s">
        <v>1418</v>
      </c>
      <c r="B12545" s="10" t="s">
        <v>26</v>
      </c>
      <c r="C12545" s="10" t="s">
        <v>23</v>
      </c>
      <c r="D12545" s="10" t="s">
        <v>1419</v>
      </c>
      <c r="E12545" s="14">
        <v>1.0</v>
      </c>
      <c r="F12545" s="15">
        <f>ROUND(21,3)</f>
        <v>21</v>
      </c>
      <c r="G12545" s="12">
        <f t="shared" si="1935"/>
        <v>21</v>
      </c>
    </row>
    <row r="12546" ht="24.0" customHeight="1">
      <c r="A12546" s="10" t="s">
        <v>1420</v>
      </c>
      <c r="B12546" s="10" t="s">
        <v>26</v>
      </c>
      <c r="C12546" s="10" t="s">
        <v>23</v>
      </c>
      <c r="D12546" s="10" t="s">
        <v>1421</v>
      </c>
      <c r="E12546" s="14">
        <v>1.0</v>
      </c>
      <c r="F12546" s="15">
        <f t="shared" ref="F12546:F12547" si="1936">ROUND(19,3)</f>
        <v>19</v>
      </c>
      <c r="G12546" s="12">
        <f t="shared" si="1935"/>
        <v>19</v>
      </c>
    </row>
    <row r="12547" ht="24.0" customHeight="1">
      <c r="A12547" s="10" t="s">
        <v>30</v>
      </c>
      <c r="B12547" s="10" t="s">
        <v>26</v>
      </c>
      <c r="C12547" s="10" t="s">
        <v>23</v>
      </c>
      <c r="D12547" s="10" t="s">
        <v>31</v>
      </c>
      <c r="E12547" s="14">
        <v>0.2</v>
      </c>
      <c r="F12547" s="15">
        <f t="shared" si="1936"/>
        <v>19</v>
      </c>
      <c r="G12547" s="12">
        <f t="shared" si="1935"/>
        <v>3.8</v>
      </c>
    </row>
    <row r="12548" ht="15.0" customHeight="1">
      <c r="A12548" s="11"/>
      <c r="B12548" s="11"/>
      <c r="C12548" s="11"/>
      <c r="D12548" s="10" t="s">
        <v>1416</v>
      </c>
      <c r="E12548" s="14">
        <v>0.56</v>
      </c>
      <c r="F12548" s="15">
        <f>ROUND((G12545+G12546+G12547),3)</f>
        <v>43.8</v>
      </c>
      <c r="G12548" s="12">
        <f t="shared" si="1935"/>
        <v>24.53</v>
      </c>
    </row>
    <row r="12549" ht="15.0" customHeight="1">
      <c r="A12549" s="10" t="s">
        <v>32</v>
      </c>
      <c r="B12549" s="10"/>
      <c r="C12549" s="10" t="s">
        <v>33</v>
      </c>
      <c r="D12549" s="10" t="s">
        <v>34</v>
      </c>
      <c r="E12549" s="14">
        <v>5.0</v>
      </c>
      <c r="F12549" s="15">
        <f>ROUND(24.53,3)</f>
        <v>24.53</v>
      </c>
      <c r="G12549" s="12">
        <f>ROUND((E12549*F12549)/100,2)</f>
        <v>1.23</v>
      </c>
    </row>
    <row r="12550" ht="15.0" customHeight="1">
      <c r="A12550" s="16"/>
      <c r="B12550" s="16"/>
      <c r="C12550" s="16"/>
      <c r="D12550" s="17" t="s">
        <v>5445</v>
      </c>
      <c r="E12550" s="16"/>
      <c r="F12550" s="18">
        <f>ROUND((G12542+G12543+G12544+G12549)*(1+G2/100),2)</f>
        <v>30.12</v>
      </c>
      <c r="G12550" s="16"/>
    </row>
    <row r="12551" ht="39.75" customHeight="1">
      <c r="A12551" s="19" t="s">
        <v>5448</v>
      </c>
      <c r="B12551" s="20" t="s">
        <v>18</v>
      </c>
      <c r="C12551" s="20" t="s">
        <v>19</v>
      </c>
      <c r="D12551" s="20" t="s">
        <v>5449</v>
      </c>
      <c r="E12551" s="21"/>
      <c r="F12551" s="22">
        <f>F12562</f>
        <v>21.15</v>
      </c>
      <c r="G12551" s="21"/>
    </row>
    <row r="12552" ht="21.0" customHeight="1">
      <c r="A12552" s="11"/>
      <c r="B12552" s="11"/>
      <c r="C12552" s="11"/>
      <c r="D12552" s="10" t="s">
        <v>5450</v>
      </c>
    </row>
    <row r="12553" ht="48.75" customHeight="1">
      <c r="A12553" s="10" t="s">
        <v>5451</v>
      </c>
      <c r="B12553" s="10" t="s">
        <v>42</v>
      </c>
      <c r="C12553" s="10" t="s">
        <v>43</v>
      </c>
      <c r="D12553" s="10" t="s">
        <v>5452</v>
      </c>
      <c r="E12553" s="14">
        <v>0.03475</v>
      </c>
      <c r="F12553" s="15">
        <f>ROUND(59.09,3)</f>
        <v>59.09</v>
      </c>
      <c r="G12553" s="12">
        <f t="shared" ref="G12553:G12560" si="1937">ROUND(E12553*F12553,2)</f>
        <v>2.05</v>
      </c>
    </row>
    <row r="12554" ht="39.75" customHeight="1">
      <c r="A12554" s="10" t="s">
        <v>3077</v>
      </c>
      <c r="B12554" s="10" t="s">
        <v>42</v>
      </c>
      <c r="C12554" s="10" t="s">
        <v>43</v>
      </c>
      <c r="D12554" s="10" t="s">
        <v>3078</v>
      </c>
      <c r="E12554" s="14">
        <v>0.055</v>
      </c>
      <c r="F12554" s="15">
        <f>ROUND(53.44,3)</f>
        <v>53.44</v>
      </c>
      <c r="G12554" s="12">
        <f t="shared" si="1937"/>
        <v>2.94</v>
      </c>
    </row>
    <row r="12555" ht="24.0" customHeight="1">
      <c r="A12555" s="10" t="s">
        <v>1053</v>
      </c>
      <c r="B12555" s="10" t="s">
        <v>42</v>
      </c>
      <c r="C12555" s="10" t="s">
        <v>43</v>
      </c>
      <c r="D12555" s="10" t="s">
        <v>1054</v>
      </c>
      <c r="E12555" s="14">
        <v>0.0135</v>
      </c>
      <c r="F12555" s="15">
        <f>ROUND(4.63,3)</f>
        <v>4.63</v>
      </c>
      <c r="G12555" s="12">
        <f t="shared" si="1937"/>
        <v>0.06</v>
      </c>
    </row>
    <row r="12556" ht="21.0" customHeight="1">
      <c r="A12556" s="10" t="s">
        <v>1416</v>
      </c>
      <c r="B12556" s="10" t="s">
        <v>18</v>
      </c>
      <c r="C12556" s="10" t="s">
        <v>23</v>
      </c>
      <c r="D12556" s="10" t="s">
        <v>1417</v>
      </c>
      <c r="E12556" s="14">
        <v>0.35</v>
      </c>
      <c r="F12556" s="15">
        <f>F12560</f>
        <v>43.8</v>
      </c>
      <c r="G12556" s="12">
        <f t="shared" si="1937"/>
        <v>15.33</v>
      </c>
    </row>
    <row r="12557" ht="24.0" customHeight="1">
      <c r="A12557" s="10" t="s">
        <v>1418</v>
      </c>
      <c r="B12557" s="10" t="s">
        <v>26</v>
      </c>
      <c r="C12557" s="10" t="s">
        <v>23</v>
      </c>
      <c r="D12557" s="10" t="s">
        <v>1419</v>
      </c>
      <c r="E12557" s="14">
        <v>1.0</v>
      </c>
      <c r="F12557" s="15">
        <f>ROUND(21,3)</f>
        <v>21</v>
      </c>
      <c r="G12557" s="12">
        <f t="shared" si="1937"/>
        <v>21</v>
      </c>
    </row>
    <row r="12558" ht="24.0" customHeight="1">
      <c r="A12558" s="10" t="s">
        <v>1420</v>
      </c>
      <c r="B12558" s="10" t="s">
        <v>26</v>
      </c>
      <c r="C12558" s="10" t="s">
        <v>23</v>
      </c>
      <c r="D12558" s="10" t="s">
        <v>1421</v>
      </c>
      <c r="E12558" s="14">
        <v>1.0</v>
      </c>
      <c r="F12558" s="15">
        <f t="shared" ref="F12558:F12559" si="1938">ROUND(19,3)</f>
        <v>19</v>
      </c>
      <c r="G12558" s="12">
        <f t="shared" si="1937"/>
        <v>19</v>
      </c>
    </row>
    <row r="12559" ht="24.0" customHeight="1">
      <c r="A12559" s="10" t="s">
        <v>30</v>
      </c>
      <c r="B12559" s="10" t="s">
        <v>26</v>
      </c>
      <c r="C12559" s="10" t="s">
        <v>23</v>
      </c>
      <c r="D12559" s="10" t="s">
        <v>31</v>
      </c>
      <c r="E12559" s="14">
        <v>0.2</v>
      </c>
      <c r="F12559" s="15">
        <f t="shared" si="1938"/>
        <v>19</v>
      </c>
      <c r="G12559" s="12">
        <f t="shared" si="1937"/>
        <v>3.8</v>
      </c>
    </row>
    <row r="12560" ht="15.0" customHeight="1">
      <c r="A12560" s="11"/>
      <c r="B12560" s="11"/>
      <c r="C12560" s="11"/>
      <c r="D12560" s="10" t="s">
        <v>1416</v>
      </c>
      <c r="E12560" s="14">
        <v>0.35</v>
      </c>
      <c r="F12560" s="15">
        <f>ROUND((G12557+G12558+G12559),3)</f>
        <v>43.8</v>
      </c>
      <c r="G12560" s="12">
        <f t="shared" si="1937"/>
        <v>15.33</v>
      </c>
    </row>
    <row r="12561" ht="15.0" customHeight="1">
      <c r="A12561" s="10" t="s">
        <v>32</v>
      </c>
      <c r="B12561" s="10"/>
      <c r="C12561" s="10" t="s">
        <v>33</v>
      </c>
      <c r="D12561" s="10" t="s">
        <v>34</v>
      </c>
      <c r="E12561" s="14">
        <v>5.0</v>
      </c>
      <c r="F12561" s="15">
        <f>ROUND(15.33,3)</f>
        <v>15.33</v>
      </c>
      <c r="G12561" s="12">
        <f>ROUND((E12561*F12561)/100,2)</f>
        <v>0.77</v>
      </c>
    </row>
    <row r="12562" ht="15.0" customHeight="1">
      <c r="A12562" s="16"/>
      <c r="B12562" s="16"/>
      <c r="C12562" s="16"/>
      <c r="D12562" s="17" t="s">
        <v>5448</v>
      </c>
      <c r="E12562" s="16"/>
      <c r="F12562" s="18">
        <f>ROUND((G12553+G12554+G12555+G12556+G12561)*(1+G2/100),2)</f>
        <v>21.15</v>
      </c>
      <c r="G12562" s="16"/>
    </row>
    <row r="12563" ht="21.0" customHeight="1">
      <c r="A12563" s="19" t="s">
        <v>5453</v>
      </c>
      <c r="B12563" s="20" t="s">
        <v>18</v>
      </c>
      <c r="C12563" s="20" t="s">
        <v>251</v>
      </c>
      <c r="D12563" s="20" t="s">
        <v>5454</v>
      </c>
      <c r="E12563" s="21"/>
      <c r="F12563" s="22">
        <f>F12572</f>
        <v>26.75</v>
      </c>
      <c r="G12563" s="21"/>
    </row>
    <row r="12564" ht="39.75" customHeight="1">
      <c r="A12564" s="11"/>
      <c r="B12564" s="11"/>
      <c r="C12564" s="11"/>
      <c r="D12564" s="10" t="s">
        <v>4965</v>
      </c>
    </row>
    <row r="12565" ht="30.0" customHeight="1">
      <c r="A12565" s="10" t="s">
        <v>1665</v>
      </c>
      <c r="B12565" s="10" t="s">
        <v>42</v>
      </c>
      <c r="C12565" s="10" t="s">
        <v>295</v>
      </c>
      <c r="D12565" s="10" t="s">
        <v>1666</v>
      </c>
      <c r="E12565" s="14">
        <v>0.2</v>
      </c>
      <c r="F12565" s="15">
        <f>ROUND(41.9,3)</f>
        <v>41.9</v>
      </c>
      <c r="G12565" s="12">
        <f t="shared" ref="G12565:G12571" si="1939">ROUND(E12565*F12565,2)</f>
        <v>8.38</v>
      </c>
    </row>
    <row r="12566" ht="24.0" customHeight="1">
      <c r="A12566" s="10" t="s">
        <v>1667</v>
      </c>
      <c r="B12566" s="10" t="s">
        <v>42</v>
      </c>
      <c r="C12566" s="10" t="s">
        <v>295</v>
      </c>
      <c r="D12566" s="10" t="s">
        <v>1668</v>
      </c>
      <c r="E12566" s="14">
        <v>0.1</v>
      </c>
      <c r="F12566" s="15">
        <f>ROUND(85.93,3)</f>
        <v>85.93</v>
      </c>
      <c r="G12566" s="12">
        <f t="shared" si="1939"/>
        <v>8.59</v>
      </c>
    </row>
    <row r="12567" ht="30.0" customHeight="1">
      <c r="A12567" s="10" t="s">
        <v>1669</v>
      </c>
      <c r="B12567" s="10" t="s">
        <v>42</v>
      </c>
      <c r="C12567" s="10" t="s">
        <v>304</v>
      </c>
      <c r="D12567" s="10" t="s">
        <v>1670</v>
      </c>
      <c r="E12567" s="14">
        <v>0.011</v>
      </c>
      <c r="F12567" s="15">
        <f>ROUND(2.52,3)</f>
        <v>2.52</v>
      </c>
      <c r="G12567" s="12">
        <f t="shared" si="1939"/>
        <v>0.03</v>
      </c>
    </row>
    <row r="12568" ht="24.0" customHeight="1">
      <c r="A12568" s="10" t="s">
        <v>1671</v>
      </c>
      <c r="B12568" s="10" t="s">
        <v>42</v>
      </c>
      <c r="C12568" s="10" t="s">
        <v>304</v>
      </c>
      <c r="D12568" s="10" t="s">
        <v>1672</v>
      </c>
      <c r="E12568" s="14">
        <v>0.011</v>
      </c>
      <c r="F12568" s="15">
        <f>ROUND(4.73,3)</f>
        <v>4.73</v>
      </c>
      <c r="G12568" s="12">
        <f t="shared" si="1939"/>
        <v>0.05</v>
      </c>
    </row>
    <row r="12569" ht="24.0" customHeight="1">
      <c r="A12569" s="10" t="s">
        <v>1673</v>
      </c>
      <c r="B12569" s="10" t="s">
        <v>42</v>
      </c>
      <c r="C12569" s="10" t="s">
        <v>304</v>
      </c>
      <c r="D12569" s="10" t="s">
        <v>1674</v>
      </c>
      <c r="E12569" s="14">
        <v>0.015</v>
      </c>
      <c r="F12569" s="15">
        <f>ROUND(0.65,3)</f>
        <v>0.65</v>
      </c>
      <c r="G12569" s="12">
        <f t="shared" si="1939"/>
        <v>0.01</v>
      </c>
    </row>
    <row r="12570" ht="24.0" customHeight="1">
      <c r="A12570" s="10" t="s">
        <v>1675</v>
      </c>
      <c r="B12570" s="10" t="s">
        <v>42</v>
      </c>
      <c r="C12570" s="10" t="s">
        <v>304</v>
      </c>
      <c r="D12570" s="10" t="s">
        <v>1676</v>
      </c>
      <c r="E12570" s="14">
        <v>0.011</v>
      </c>
      <c r="F12570" s="15">
        <f>ROUND(4.06,3)</f>
        <v>4.06</v>
      </c>
      <c r="G12570" s="12">
        <f t="shared" si="1939"/>
        <v>0.04</v>
      </c>
    </row>
    <row r="12571" ht="24.0" customHeight="1">
      <c r="A12571" s="10" t="s">
        <v>1186</v>
      </c>
      <c r="B12571" s="10" t="s">
        <v>26</v>
      </c>
      <c r="C12571" s="10" t="s">
        <v>23</v>
      </c>
      <c r="D12571" s="10" t="s">
        <v>1187</v>
      </c>
      <c r="E12571" s="14">
        <v>0.195</v>
      </c>
      <c r="F12571" s="15">
        <f>ROUND(49.5,3)</f>
        <v>49.5</v>
      </c>
      <c r="G12571" s="12">
        <f t="shared" si="1939"/>
        <v>9.65</v>
      </c>
    </row>
    <row r="12572" ht="15.0" customHeight="1">
      <c r="A12572" s="16"/>
      <c r="B12572" s="16"/>
      <c r="C12572" s="16"/>
      <c r="D12572" s="17" t="s">
        <v>5453</v>
      </c>
      <c r="E12572" s="16"/>
      <c r="F12572" s="18">
        <f>ROUND((G12565+G12566+G12567+G12568+G12569+G12570+G12571)*(1+G2/100),2)</f>
        <v>26.75</v>
      </c>
      <c r="G12572" s="16"/>
    </row>
    <row r="12573" ht="21.0" customHeight="1">
      <c r="A12573" s="19" t="s">
        <v>5455</v>
      </c>
      <c r="B12573" s="20" t="s">
        <v>18</v>
      </c>
      <c r="C12573" s="20" t="s">
        <v>251</v>
      </c>
      <c r="D12573" s="20" t="s">
        <v>5456</v>
      </c>
      <c r="E12573" s="21"/>
      <c r="F12573" s="22">
        <f>F12582</f>
        <v>27.17</v>
      </c>
      <c r="G12573" s="21"/>
    </row>
    <row r="12574" ht="12.0" customHeight="1">
      <c r="A12574" s="11"/>
      <c r="B12574" s="11"/>
      <c r="C12574" s="11"/>
      <c r="D12574" s="10" t="s">
        <v>5457</v>
      </c>
    </row>
    <row r="12575" ht="30.0" customHeight="1">
      <c r="A12575" s="10" t="s">
        <v>1665</v>
      </c>
      <c r="B12575" s="10" t="s">
        <v>42</v>
      </c>
      <c r="C12575" s="10" t="s">
        <v>295</v>
      </c>
      <c r="D12575" s="10" t="s">
        <v>1666</v>
      </c>
      <c r="E12575" s="14">
        <v>0.21</v>
      </c>
      <c r="F12575" s="15">
        <f>ROUND(41.9,3)</f>
        <v>41.9</v>
      </c>
      <c r="G12575" s="12">
        <f t="shared" ref="G12575:G12581" si="1940">ROUND(E12575*F12575,2)</f>
        <v>8.8</v>
      </c>
    </row>
    <row r="12576" ht="24.0" customHeight="1">
      <c r="A12576" s="10" t="s">
        <v>1667</v>
      </c>
      <c r="B12576" s="10" t="s">
        <v>42</v>
      </c>
      <c r="C12576" s="10" t="s">
        <v>295</v>
      </c>
      <c r="D12576" s="10" t="s">
        <v>1668</v>
      </c>
      <c r="E12576" s="14">
        <v>0.1</v>
      </c>
      <c r="F12576" s="15">
        <f>ROUND(85.93,3)</f>
        <v>85.93</v>
      </c>
      <c r="G12576" s="12">
        <f t="shared" si="1940"/>
        <v>8.59</v>
      </c>
    </row>
    <row r="12577" ht="30.0" customHeight="1">
      <c r="A12577" s="10" t="s">
        <v>1669</v>
      </c>
      <c r="B12577" s="10" t="s">
        <v>42</v>
      </c>
      <c r="C12577" s="10" t="s">
        <v>304</v>
      </c>
      <c r="D12577" s="10" t="s">
        <v>1670</v>
      </c>
      <c r="E12577" s="14">
        <v>0.011</v>
      </c>
      <c r="F12577" s="15">
        <f>ROUND(2.52,3)</f>
        <v>2.52</v>
      </c>
      <c r="G12577" s="12">
        <f t="shared" si="1940"/>
        <v>0.03</v>
      </c>
    </row>
    <row r="12578" ht="24.0" customHeight="1">
      <c r="A12578" s="10" t="s">
        <v>1671</v>
      </c>
      <c r="B12578" s="10" t="s">
        <v>42</v>
      </c>
      <c r="C12578" s="10" t="s">
        <v>304</v>
      </c>
      <c r="D12578" s="10" t="s">
        <v>1672</v>
      </c>
      <c r="E12578" s="14">
        <v>0.011</v>
      </c>
      <c r="F12578" s="15">
        <f>ROUND(4.73,3)</f>
        <v>4.73</v>
      </c>
      <c r="G12578" s="12">
        <f t="shared" si="1940"/>
        <v>0.05</v>
      </c>
    </row>
    <row r="12579" ht="24.0" customHeight="1">
      <c r="A12579" s="10" t="s">
        <v>1673</v>
      </c>
      <c r="B12579" s="10" t="s">
        <v>42</v>
      </c>
      <c r="C12579" s="10" t="s">
        <v>304</v>
      </c>
      <c r="D12579" s="10" t="s">
        <v>1674</v>
      </c>
      <c r="E12579" s="14">
        <v>0.015</v>
      </c>
      <c r="F12579" s="15">
        <f>ROUND(0.65,3)</f>
        <v>0.65</v>
      </c>
      <c r="G12579" s="12">
        <f t="shared" si="1940"/>
        <v>0.01</v>
      </c>
    </row>
    <row r="12580" ht="24.0" customHeight="1">
      <c r="A12580" s="10" t="s">
        <v>1675</v>
      </c>
      <c r="B12580" s="10" t="s">
        <v>42</v>
      </c>
      <c r="C12580" s="10" t="s">
        <v>304</v>
      </c>
      <c r="D12580" s="10" t="s">
        <v>1676</v>
      </c>
      <c r="E12580" s="14">
        <v>0.011</v>
      </c>
      <c r="F12580" s="15">
        <f>ROUND(4.06,3)</f>
        <v>4.06</v>
      </c>
      <c r="G12580" s="12">
        <f t="shared" si="1940"/>
        <v>0.04</v>
      </c>
    </row>
    <row r="12581" ht="24.0" customHeight="1">
      <c r="A12581" s="10" t="s">
        <v>1186</v>
      </c>
      <c r="B12581" s="10" t="s">
        <v>26</v>
      </c>
      <c r="C12581" s="10" t="s">
        <v>23</v>
      </c>
      <c r="D12581" s="10" t="s">
        <v>1187</v>
      </c>
      <c r="E12581" s="14">
        <v>0.195</v>
      </c>
      <c r="F12581" s="15">
        <f>ROUND(49.5,3)</f>
        <v>49.5</v>
      </c>
      <c r="G12581" s="12">
        <f t="shared" si="1940"/>
        <v>9.65</v>
      </c>
    </row>
    <row r="12582" ht="15.0" customHeight="1">
      <c r="A12582" s="16"/>
      <c r="B12582" s="16"/>
      <c r="C12582" s="16"/>
      <c r="D12582" s="17" t="s">
        <v>5455</v>
      </c>
      <c r="E12582" s="16"/>
      <c r="F12582" s="18">
        <f>ROUND((G12575+G12576+G12577+G12578+G12579+G12580+G12581)*(1+G2/100),2)</f>
        <v>27.17</v>
      </c>
      <c r="G12582" s="16"/>
    </row>
    <row r="12583" ht="30.0" customHeight="1">
      <c r="A12583" s="19" t="s">
        <v>5458</v>
      </c>
      <c r="B12583" s="20" t="s">
        <v>18</v>
      </c>
      <c r="C12583" s="20" t="s">
        <v>19</v>
      </c>
      <c r="D12583" s="20" t="s">
        <v>5459</v>
      </c>
      <c r="E12583" s="21"/>
      <c r="F12583" s="22">
        <f>F12594</f>
        <v>13.67</v>
      </c>
      <c r="G12583" s="21"/>
    </row>
    <row r="12584" ht="21.0" customHeight="1">
      <c r="A12584" s="11"/>
      <c r="B12584" s="11"/>
      <c r="C12584" s="11"/>
      <c r="D12584" s="10" t="s">
        <v>5460</v>
      </c>
    </row>
    <row r="12585" ht="39.75" customHeight="1">
      <c r="A12585" s="10" t="s">
        <v>5461</v>
      </c>
      <c r="B12585" s="10" t="s">
        <v>42</v>
      </c>
      <c r="C12585" s="10" t="s">
        <v>276</v>
      </c>
      <c r="D12585" s="10" t="s">
        <v>5462</v>
      </c>
      <c r="E12585" s="14">
        <v>0.007</v>
      </c>
      <c r="F12585" s="15">
        <f>ROUND(88.93,3)</f>
        <v>88.93</v>
      </c>
      <c r="G12585" s="12">
        <f t="shared" ref="G12585:G12592" si="1941">ROUND(E12585*F12585,2)</f>
        <v>0.62</v>
      </c>
    </row>
    <row r="12586" ht="30.0" customHeight="1">
      <c r="A12586" s="10" t="s">
        <v>5463</v>
      </c>
      <c r="B12586" s="10" t="s">
        <v>42</v>
      </c>
      <c r="C12586" s="10" t="s">
        <v>276</v>
      </c>
      <c r="D12586" s="10" t="s">
        <v>5464</v>
      </c>
      <c r="E12586" s="14">
        <v>0.02</v>
      </c>
      <c r="F12586" s="15">
        <f>ROUND(42.66,3)</f>
        <v>42.66</v>
      </c>
      <c r="G12586" s="12">
        <f t="shared" si="1941"/>
        <v>0.85</v>
      </c>
    </row>
    <row r="12587" ht="21.0" customHeight="1">
      <c r="A12587" s="10" t="s">
        <v>242</v>
      </c>
      <c r="B12587" s="10" t="s">
        <v>42</v>
      </c>
      <c r="C12587" s="10" t="s">
        <v>226</v>
      </c>
      <c r="D12587" s="10" t="s">
        <v>243</v>
      </c>
      <c r="E12587" s="14">
        <v>0.015</v>
      </c>
      <c r="F12587" s="15">
        <f>ROUND(1.32,3)</f>
        <v>1.32</v>
      </c>
      <c r="G12587" s="12">
        <f t="shared" si="1941"/>
        <v>0.02</v>
      </c>
    </row>
    <row r="12588" ht="21.0" customHeight="1">
      <c r="A12588" s="10" t="s">
        <v>1416</v>
      </c>
      <c r="B12588" s="10" t="s">
        <v>18</v>
      </c>
      <c r="C12588" s="10" t="s">
        <v>23</v>
      </c>
      <c r="D12588" s="10" t="s">
        <v>1417</v>
      </c>
      <c r="E12588" s="14">
        <v>0.27</v>
      </c>
      <c r="F12588" s="15">
        <f>F12592</f>
        <v>43.8</v>
      </c>
      <c r="G12588" s="12">
        <f t="shared" si="1941"/>
        <v>11.83</v>
      </c>
    </row>
    <row r="12589" ht="24.0" customHeight="1">
      <c r="A12589" s="10" t="s">
        <v>1418</v>
      </c>
      <c r="B12589" s="10" t="s">
        <v>26</v>
      </c>
      <c r="C12589" s="10" t="s">
        <v>23</v>
      </c>
      <c r="D12589" s="10" t="s">
        <v>1419</v>
      </c>
      <c r="E12589" s="14">
        <v>1.0</v>
      </c>
      <c r="F12589" s="15">
        <f>ROUND(21,3)</f>
        <v>21</v>
      </c>
      <c r="G12589" s="12">
        <f t="shared" si="1941"/>
        <v>21</v>
      </c>
    </row>
    <row r="12590" ht="24.0" customHeight="1">
      <c r="A12590" s="10" t="s">
        <v>1420</v>
      </c>
      <c r="B12590" s="10" t="s">
        <v>26</v>
      </c>
      <c r="C12590" s="10" t="s">
        <v>23</v>
      </c>
      <c r="D12590" s="10" t="s">
        <v>1421</v>
      </c>
      <c r="E12590" s="14">
        <v>1.0</v>
      </c>
      <c r="F12590" s="15">
        <f t="shared" ref="F12590:F12591" si="1942">ROUND(19,3)</f>
        <v>19</v>
      </c>
      <c r="G12590" s="12">
        <f t="shared" si="1941"/>
        <v>19</v>
      </c>
    </row>
    <row r="12591" ht="24.0" customHeight="1">
      <c r="A12591" s="10" t="s">
        <v>30</v>
      </c>
      <c r="B12591" s="10" t="s">
        <v>26</v>
      </c>
      <c r="C12591" s="10" t="s">
        <v>23</v>
      </c>
      <c r="D12591" s="10" t="s">
        <v>31</v>
      </c>
      <c r="E12591" s="14">
        <v>0.2</v>
      </c>
      <c r="F12591" s="15">
        <f t="shared" si="1942"/>
        <v>19</v>
      </c>
      <c r="G12591" s="12">
        <f t="shared" si="1941"/>
        <v>3.8</v>
      </c>
    </row>
    <row r="12592" ht="15.0" customHeight="1">
      <c r="A12592" s="11"/>
      <c r="B12592" s="11"/>
      <c r="C12592" s="11"/>
      <c r="D12592" s="10" t="s">
        <v>1416</v>
      </c>
      <c r="E12592" s="14">
        <v>0.27</v>
      </c>
      <c r="F12592" s="15">
        <f>ROUND((G12589+G12590+G12591),3)</f>
        <v>43.8</v>
      </c>
      <c r="G12592" s="12">
        <f t="shared" si="1941"/>
        <v>11.83</v>
      </c>
    </row>
    <row r="12593" ht="15.0" customHeight="1">
      <c r="A12593" s="10" t="s">
        <v>32</v>
      </c>
      <c r="B12593" s="10"/>
      <c r="C12593" s="10" t="s">
        <v>33</v>
      </c>
      <c r="D12593" s="10" t="s">
        <v>34</v>
      </c>
      <c r="E12593" s="14">
        <v>3.0</v>
      </c>
      <c r="F12593" s="15">
        <f>ROUND(11.83,3)</f>
        <v>11.83</v>
      </c>
      <c r="G12593" s="12">
        <f>ROUND((E12593*F12593)/100,2)</f>
        <v>0.35</v>
      </c>
    </row>
    <row r="12594" ht="15.0" customHeight="1">
      <c r="A12594" s="16"/>
      <c r="B12594" s="16"/>
      <c r="C12594" s="16"/>
      <c r="D12594" s="17" t="s">
        <v>5458</v>
      </c>
      <c r="E12594" s="16"/>
      <c r="F12594" s="18">
        <f>ROUND((G12585+G12586+G12587+G12588+G12593)*(1+G2/100),2)</f>
        <v>13.67</v>
      </c>
      <c r="G12594" s="16"/>
    </row>
    <row r="12595" ht="48.75" customHeight="1">
      <c r="A12595" s="19" t="s">
        <v>5465</v>
      </c>
      <c r="B12595" s="20" t="s">
        <v>18</v>
      </c>
      <c r="C12595" s="20" t="s">
        <v>19</v>
      </c>
      <c r="D12595" s="20" t="s">
        <v>5466</v>
      </c>
      <c r="E12595" s="21"/>
      <c r="F12595" s="22">
        <f>F12607</f>
        <v>23.91</v>
      </c>
      <c r="G12595" s="21"/>
    </row>
    <row r="12596" ht="21.0" customHeight="1">
      <c r="A12596" s="11"/>
      <c r="B12596" s="11"/>
      <c r="C12596" s="11"/>
      <c r="D12596" s="10" t="s">
        <v>5467</v>
      </c>
    </row>
    <row r="12597" ht="39.75" customHeight="1">
      <c r="A12597" s="10" t="s">
        <v>5461</v>
      </c>
      <c r="B12597" s="10" t="s">
        <v>42</v>
      </c>
      <c r="C12597" s="10" t="s">
        <v>276</v>
      </c>
      <c r="D12597" s="10" t="s">
        <v>5462</v>
      </c>
      <c r="E12597" s="14">
        <v>0.007</v>
      </c>
      <c r="F12597" s="15">
        <f>ROUND(88.93,3)</f>
        <v>88.93</v>
      </c>
      <c r="G12597" s="12">
        <f t="shared" ref="G12597:G12604" si="1943">ROUND(E12597*F12597,2)</f>
        <v>0.62</v>
      </c>
    </row>
    <row r="12598" ht="30.0" customHeight="1">
      <c r="A12598" s="10" t="s">
        <v>5463</v>
      </c>
      <c r="B12598" s="10" t="s">
        <v>42</v>
      </c>
      <c r="C12598" s="10" t="s">
        <v>276</v>
      </c>
      <c r="D12598" s="10" t="s">
        <v>5464</v>
      </c>
      <c r="E12598" s="14">
        <v>0.02</v>
      </c>
      <c r="F12598" s="15">
        <f>ROUND(42.66,3)</f>
        <v>42.66</v>
      </c>
      <c r="G12598" s="12">
        <f t="shared" si="1943"/>
        <v>0.85</v>
      </c>
    </row>
    <row r="12599" ht="21.0" customHeight="1">
      <c r="A12599" s="10" t="s">
        <v>242</v>
      </c>
      <c r="B12599" s="10" t="s">
        <v>42</v>
      </c>
      <c r="C12599" s="10" t="s">
        <v>226</v>
      </c>
      <c r="D12599" s="10" t="s">
        <v>243</v>
      </c>
      <c r="E12599" s="14">
        <v>0.015</v>
      </c>
      <c r="F12599" s="15">
        <f>ROUND(1.32,3)</f>
        <v>1.32</v>
      </c>
      <c r="G12599" s="12">
        <f t="shared" si="1943"/>
        <v>0.02</v>
      </c>
    </row>
    <row r="12600" ht="21.0" customHeight="1">
      <c r="A12600" s="10" t="s">
        <v>1416</v>
      </c>
      <c r="B12600" s="10" t="s">
        <v>18</v>
      </c>
      <c r="C12600" s="10" t="s">
        <v>23</v>
      </c>
      <c r="D12600" s="10" t="s">
        <v>1417</v>
      </c>
      <c r="E12600" s="14">
        <v>0.486</v>
      </c>
      <c r="F12600" s="15">
        <f>F12604</f>
        <v>43.8</v>
      </c>
      <c r="G12600" s="12">
        <f t="shared" si="1943"/>
        <v>21.29</v>
      </c>
    </row>
    <row r="12601" ht="24.0" customHeight="1">
      <c r="A12601" s="10" t="s">
        <v>1418</v>
      </c>
      <c r="B12601" s="10" t="s">
        <v>26</v>
      </c>
      <c r="C12601" s="10" t="s">
        <v>23</v>
      </c>
      <c r="D12601" s="10" t="s">
        <v>1419</v>
      </c>
      <c r="E12601" s="14">
        <v>1.0</v>
      </c>
      <c r="F12601" s="15">
        <f>ROUND(21,3)</f>
        <v>21</v>
      </c>
      <c r="G12601" s="12">
        <f t="shared" si="1943"/>
        <v>21</v>
      </c>
    </row>
    <row r="12602" ht="24.0" customHeight="1">
      <c r="A12602" s="10" t="s">
        <v>1420</v>
      </c>
      <c r="B12602" s="10" t="s">
        <v>26</v>
      </c>
      <c r="C12602" s="10" t="s">
        <v>23</v>
      </c>
      <c r="D12602" s="10" t="s">
        <v>1421</v>
      </c>
      <c r="E12602" s="14">
        <v>1.0</v>
      </c>
      <c r="F12602" s="15">
        <f t="shared" ref="F12602:F12603" si="1944">ROUND(19,3)</f>
        <v>19</v>
      </c>
      <c r="G12602" s="12">
        <f t="shared" si="1943"/>
        <v>19</v>
      </c>
    </row>
    <row r="12603" ht="24.0" customHeight="1">
      <c r="A12603" s="10" t="s">
        <v>30</v>
      </c>
      <c r="B12603" s="10" t="s">
        <v>26</v>
      </c>
      <c r="C12603" s="10" t="s">
        <v>23</v>
      </c>
      <c r="D12603" s="10" t="s">
        <v>31</v>
      </c>
      <c r="E12603" s="14">
        <v>0.2</v>
      </c>
      <c r="F12603" s="15">
        <f t="shared" si="1944"/>
        <v>19</v>
      </c>
      <c r="G12603" s="12">
        <f t="shared" si="1943"/>
        <v>3.8</v>
      </c>
    </row>
    <row r="12604" ht="15.0" customHeight="1">
      <c r="A12604" s="11"/>
      <c r="B12604" s="11"/>
      <c r="C12604" s="11"/>
      <c r="D12604" s="10" t="s">
        <v>1416</v>
      </c>
      <c r="E12604" s="14">
        <v>0.486</v>
      </c>
      <c r="F12604" s="15">
        <f>ROUND((G12601+G12602+G12603),3)</f>
        <v>43.8</v>
      </c>
      <c r="G12604" s="12">
        <f t="shared" si="1943"/>
        <v>21.29</v>
      </c>
    </row>
    <row r="12605" ht="15.0" customHeight="1">
      <c r="A12605" s="10" t="s">
        <v>32</v>
      </c>
      <c r="B12605" s="10"/>
      <c r="C12605" s="10" t="s">
        <v>33</v>
      </c>
      <c r="D12605" s="10" t="s">
        <v>34</v>
      </c>
      <c r="E12605" s="14">
        <v>5.0</v>
      </c>
      <c r="F12605" s="15">
        <f>ROUND(21.29,3)</f>
        <v>21.29</v>
      </c>
      <c r="G12605" s="12">
        <f t="shared" ref="G12605:G12606" si="1945">ROUND((E12605*F12605)/100,2)</f>
        <v>1.06</v>
      </c>
    </row>
    <row r="12606" ht="15.0" customHeight="1">
      <c r="A12606" s="10" t="s">
        <v>5468</v>
      </c>
      <c r="B12606" s="10"/>
      <c r="C12606" s="10" t="s">
        <v>33</v>
      </c>
      <c r="D12606" s="10" t="s">
        <v>5469</v>
      </c>
      <c r="E12606" s="14">
        <v>5.0</v>
      </c>
      <c r="F12606" s="15">
        <f>ROUND(1.49,3)</f>
        <v>1.49</v>
      </c>
      <c r="G12606" s="12">
        <f t="shared" si="1945"/>
        <v>0.07</v>
      </c>
    </row>
    <row r="12607" ht="15.0" customHeight="1">
      <c r="A12607" s="16"/>
      <c r="B12607" s="16"/>
      <c r="C12607" s="16"/>
      <c r="D12607" s="17" t="s">
        <v>5465</v>
      </c>
      <c r="E12607" s="16"/>
      <c r="F12607" s="18">
        <f>ROUND((G12597+G12598+G12599+G12600+G12605+G12606)*(1+G2/100),2)</f>
        <v>23.91</v>
      </c>
      <c r="G12607" s="16"/>
    </row>
    <row r="12608" ht="48.75" customHeight="1">
      <c r="A12608" s="19" t="s">
        <v>5470</v>
      </c>
      <c r="B12608" s="20" t="s">
        <v>18</v>
      </c>
      <c r="C12608" s="20" t="s">
        <v>19</v>
      </c>
      <c r="D12608" s="20" t="s">
        <v>5471</v>
      </c>
      <c r="E12608" s="21"/>
      <c r="F12608" s="22">
        <f>F12620</f>
        <v>13.82</v>
      </c>
      <c r="G12608" s="21"/>
    </row>
    <row r="12609" ht="21.0" customHeight="1">
      <c r="A12609" s="11"/>
      <c r="B12609" s="11"/>
      <c r="C12609" s="11"/>
      <c r="D12609" s="10" t="s">
        <v>5472</v>
      </c>
    </row>
    <row r="12610" ht="39.75" customHeight="1">
      <c r="A12610" s="10" t="s">
        <v>5461</v>
      </c>
      <c r="B12610" s="10" t="s">
        <v>42</v>
      </c>
      <c r="C12610" s="10" t="s">
        <v>276</v>
      </c>
      <c r="D12610" s="10" t="s">
        <v>5462</v>
      </c>
      <c r="E12610" s="14">
        <v>0.007</v>
      </c>
      <c r="F12610" s="15">
        <f>ROUND(88.93,3)</f>
        <v>88.93</v>
      </c>
      <c r="G12610" s="12">
        <f t="shared" ref="G12610:G12617" si="1946">ROUND(E12610*F12610,2)</f>
        <v>0.62</v>
      </c>
    </row>
    <row r="12611" ht="30.0" customHeight="1">
      <c r="A12611" s="10" t="s">
        <v>5463</v>
      </c>
      <c r="B12611" s="10" t="s">
        <v>42</v>
      </c>
      <c r="C12611" s="10" t="s">
        <v>276</v>
      </c>
      <c r="D12611" s="10" t="s">
        <v>5464</v>
      </c>
      <c r="E12611" s="14">
        <v>0.02</v>
      </c>
      <c r="F12611" s="15">
        <f>ROUND(42.66,3)</f>
        <v>42.66</v>
      </c>
      <c r="G12611" s="12">
        <f t="shared" si="1946"/>
        <v>0.85</v>
      </c>
    </row>
    <row r="12612" ht="21.0" customHeight="1">
      <c r="A12612" s="10" t="s">
        <v>242</v>
      </c>
      <c r="B12612" s="10" t="s">
        <v>42</v>
      </c>
      <c r="C12612" s="10" t="s">
        <v>226</v>
      </c>
      <c r="D12612" s="10" t="s">
        <v>243</v>
      </c>
      <c r="E12612" s="14">
        <v>0.015</v>
      </c>
      <c r="F12612" s="15">
        <f>ROUND(1.32,3)</f>
        <v>1.32</v>
      </c>
      <c r="G12612" s="12">
        <f t="shared" si="1946"/>
        <v>0.02</v>
      </c>
    </row>
    <row r="12613" ht="21.0" customHeight="1">
      <c r="A12613" s="10" t="s">
        <v>1416</v>
      </c>
      <c r="B12613" s="10" t="s">
        <v>18</v>
      </c>
      <c r="C12613" s="10" t="s">
        <v>23</v>
      </c>
      <c r="D12613" s="10" t="s">
        <v>1417</v>
      </c>
      <c r="E12613" s="14">
        <v>0.26667</v>
      </c>
      <c r="F12613" s="15">
        <f>F12617</f>
        <v>43.8</v>
      </c>
      <c r="G12613" s="12">
        <f t="shared" si="1946"/>
        <v>11.68</v>
      </c>
    </row>
    <row r="12614" ht="24.0" customHeight="1">
      <c r="A12614" s="10" t="s">
        <v>1418</v>
      </c>
      <c r="B12614" s="10" t="s">
        <v>26</v>
      </c>
      <c r="C12614" s="10" t="s">
        <v>23</v>
      </c>
      <c r="D12614" s="10" t="s">
        <v>1419</v>
      </c>
      <c r="E12614" s="14">
        <v>1.0</v>
      </c>
      <c r="F12614" s="15">
        <f>ROUND(21,3)</f>
        <v>21</v>
      </c>
      <c r="G12614" s="12">
        <f t="shared" si="1946"/>
        <v>21</v>
      </c>
    </row>
    <row r="12615" ht="24.0" customHeight="1">
      <c r="A12615" s="10" t="s">
        <v>1420</v>
      </c>
      <c r="B12615" s="10" t="s">
        <v>26</v>
      </c>
      <c r="C12615" s="10" t="s">
        <v>23</v>
      </c>
      <c r="D12615" s="10" t="s">
        <v>1421</v>
      </c>
      <c r="E12615" s="14">
        <v>1.0</v>
      </c>
      <c r="F12615" s="15">
        <f t="shared" ref="F12615:F12616" si="1947">ROUND(19,3)</f>
        <v>19</v>
      </c>
      <c r="G12615" s="12">
        <f t="shared" si="1946"/>
        <v>19</v>
      </c>
    </row>
    <row r="12616" ht="24.0" customHeight="1">
      <c r="A12616" s="10" t="s">
        <v>30</v>
      </c>
      <c r="B12616" s="10" t="s">
        <v>26</v>
      </c>
      <c r="C12616" s="10" t="s">
        <v>23</v>
      </c>
      <c r="D12616" s="10" t="s">
        <v>31</v>
      </c>
      <c r="E12616" s="14">
        <v>0.2</v>
      </c>
      <c r="F12616" s="15">
        <f t="shared" si="1947"/>
        <v>19</v>
      </c>
      <c r="G12616" s="12">
        <f t="shared" si="1946"/>
        <v>3.8</v>
      </c>
    </row>
    <row r="12617" ht="15.0" customHeight="1">
      <c r="A12617" s="11"/>
      <c r="B12617" s="11"/>
      <c r="C12617" s="11"/>
      <c r="D12617" s="10" t="s">
        <v>1416</v>
      </c>
      <c r="E12617" s="14">
        <v>0.26667</v>
      </c>
      <c r="F12617" s="15">
        <f>ROUND((G12614+G12615+G12616),3)</f>
        <v>43.8</v>
      </c>
      <c r="G12617" s="12">
        <f t="shared" si="1946"/>
        <v>11.68</v>
      </c>
    </row>
    <row r="12618" ht="15.0" customHeight="1">
      <c r="A12618" s="10" t="s">
        <v>32</v>
      </c>
      <c r="B12618" s="10"/>
      <c r="C12618" s="10" t="s">
        <v>33</v>
      </c>
      <c r="D12618" s="10" t="s">
        <v>34</v>
      </c>
      <c r="E12618" s="14">
        <v>5.0</v>
      </c>
      <c r="F12618" s="15">
        <f>ROUND(11.68,3)</f>
        <v>11.68</v>
      </c>
      <c r="G12618" s="12">
        <f t="shared" ref="G12618:G12619" si="1948">ROUND((E12618*F12618)/100,2)</f>
        <v>0.58</v>
      </c>
    </row>
    <row r="12619" ht="15.0" customHeight="1">
      <c r="A12619" s="10" t="s">
        <v>5468</v>
      </c>
      <c r="B12619" s="10"/>
      <c r="C12619" s="10" t="s">
        <v>33</v>
      </c>
      <c r="D12619" s="10" t="s">
        <v>5469</v>
      </c>
      <c r="E12619" s="14">
        <v>5.0</v>
      </c>
      <c r="F12619" s="15">
        <f>ROUND(1.49,3)</f>
        <v>1.49</v>
      </c>
      <c r="G12619" s="12">
        <f t="shared" si="1948"/>
        <v>0.07</v>
      </c>
    </row>
    <row r="12620" ht="15.0" customHeight="1">
      <c r="A12620" s="16"/>
      <c r="B12620" s="16"/>
      <c r="C12620" s="16"/>
      <c r="D12620" s="17" t="s">
        <v>5470</v>
      </c>
      <c r="E12620" s="16"/>
      <c r="F12620" s="18">
        <f>ROUND((G12610+G12611+G12612+G12613+G12618+G12619)*(1+G2/100),2)</f>
        <v>13.82</v>
      </c>
      <c r="G12620" s="16"/>
    </row>
    <row r="12621" ht="48.75" customHeight="1">
      <c r="A12621" s="19" t="s">
        <v>5473</v>
      </c>
      <c r="B12621" s="20" t="s">
        <v>18</v>
      </c>
      <c r="C12621" s="20" t="s">
        <v>19</v>
      </c>
      <c r="D12621" s="20" t="s">
        <v>5474</v>
      </c>
      <c r="E12621" s="21"/>
      <c r="F12621" s="22">
        <f>F12632</f>
        <v>17.73</v>
      </c>
      <c r="G12621" s="21"/>
    </row>
    <row r="12622" ht="21.0" customHeight="1">
      <c r="A12622" s="11"/>
      <c r="B12622" s="11"/>
      <c r="C12622" s="11"/>
      <c r="D12622" s="10" t="s">
        <v>5475</v>
      </c>
    </row>
    <row r="12623" ht="39.75" customHeight="1">
      <c r="A12623" s="10" t="s">
        <v>5461</v>
      </c>
      <c r="B12623" s="10" t="s">
        <v>42</v>
      </c>
      <c r="C12623" s="10" t="s">
        <v>276</v>
      </c>
      <c r="D12623" s="10" t="s">
        <v>5462</v>
      </c>
      <c r="E12623" s="14">
        <v>0.007</v>
      </c>
      <c r="F12623" s="15">
        <f>ROUND(88.93,3)</f>
        <v>88.93</v>
      </c>
      <c r="G12623" s="12">
        <f t="shared" ref="G12623:G12630" si="1949">ROUND(E12623*F12623,2)</f>
        <v>0.62</v>
      </c>
    </row>
    <row r="12624" ht="30.0" customHeight="1">
      <c r="A12624" s="10" t="s">
        <v>5463</v>
      </c>
      <c r="B12624" s="10" t="s">
        <v>42</v>
      </c>
      <c r="C12624" s="10" t="s">
        <v>276</v>
      </c>
      <c r="D12624" s="10" t="s">
        <v>5464</v>
      </c>
      <c r="E12624" s="14">
        <v>0.02</v>
      </c>
      <c r="F12624" s="15">
        <f>ROUND(42.66,3)</f>
        <v>42.66</v>
      </c>
      <c r="G12624" s="12">
        <f t="shared" si="1949"/>
        <v>0.85</v>
      </c>
    </row>
    <row r="12625" ht="21.0" customHeight="1">
      <c r="A12625" s="10" t="s">
        <v>242</v>
      </c>
      <c r="B12625" s="10" t="s">
        <v>42</v>
      </c>
      <c r="C12625" s="10" t="s">
        <v>226</v>
      </c>
      <c r="D12625" s="10" t="s">
        <v>243</v>
      </c>
      <c r="E12625" s="14">
        <v>0.015</v>
      </c>
      <c r="F12625" s="15">
        <f>ROUND(1.32,3)</f>
        <v>1.32</v>
      </c>
      <c r="G12625" s="12">
        <f t="shared" si="1949"/>
        <v>0.02</v>
      </c>
    </row>
    <row r="12626" ht="21.0" customHeight="1">
      <c r="A12626" s="10" t="s">
        <v>1416</v>
      </c>
      <c r="B12626" s="10" t="s">
        <v>18</v>
      </c>
      <c r="C12626" s="10" t="s">
        <v>23</v>
      </c>
      <c r="D12626" s="10" t="s">
        <v>1417</v>
      </c>
      <c r="E12626" s="14">
        <v>0.36</v>
      </c>
      <c r="F12626" s="15">
        <f>F12630</f>
        <v>43.8</v>
      </c>
      <c r="G12626" s="12">
        <f t="shared" si="1949"/>
        <v>15.77</v>
      </c>
    </row>
    <row r="12627" ht="24.0" customHeight="1">
      <c r="A12627" s="10" t="s">
        <v>1418</v>
      </c>
      <c r="B12627" s="10" t="s">
        <v>26</v>
      </c>
      <c r="C12627" s="10" t="s">
        <v>23</v>
      </c>
      <c r="D12627" s="10" t="s">
        <v>1419</v>
      </c>
      <c r="E12627" s="14">
        <v>1.0</v>
      </c>
      <c r="F12627" s="15">
        <f>ROUND(21,3)</f>
        <v>21</v>
      </c>
      <c r="G12627" s="12">
        <f t="shared" si="1949"/>
        <v>21</v>
      </c>
    </row>
    <row r="12628" ht="24.0" customHeight="1">
      <c r="A12628" s="10" t="s">
        <v>1420</v>
      </c>
      <c r="B12628" s="10" t="s">
        <v>26</v>
      </c>
      <c r="C12628" s="10" t="s">
        <v>23</v>
      </c>
      <c r="D12628" s="10" t="s">
        <v>1421</v>
      </c>
      <c r="E12628" s="14">
        <v>1.0</v>
      </c>
      <c r="F12628" s="15">
        <f t="shared" ref="F12628:F12629" si="1950">ROUND(19,3)</f>
        <v>19</v>
      </c>
      <c r="G12628" s="12">
        <f t="shared" si="1949"/>
        <v>19</v>
      </c>
    </row>
    <row r="12629" ht="24.0" customHeight="1">
      <c r="A12629" s="10" t="s">
        <v>30</v>
      </c>
      <c r="B12629" s="10" t="s">
        <v>26</v>
      </c>
      <c r="C12629" s="10" t="s">
        <v>23</v>
      </c>
      <c r="D12629" s="10" t="s">
        <v>31</v>
      </c>
      <c r="E12629" s="14">
        <v>0.2</v>
      </c>
      <c r="F12629" s="15">
        <f t="shared" si="1950"/>
        <v>19</v>
      </c>
      <c r="G12629" s="12">
        <f t="shared" si="1949"/>
        <v>3.8</v>
      </c>
    </row>
    <row r="12630" ht="15.0" customHeight="1">
      <c r="A12630" s="11"/>
      <c r="B12630" s="11"/>
      <c r="C12630" s="11"/>
      <c r="D12630" s="10" t="s">
        <v>1416</v>
      </c>
      <c r="E12630" s="14">
        <v>0.36</v>
      </c>
      <c r="F12630" s="15">
        <f>ROUND((G12627+G12628+G12629),3)</f>
        <v>43.8</v>
      </c>
      <c r="G12630" s="12">
        <f t="shared" si="1949"/>
        <v>15.77</v>
      </c>
    </row>
    <row r="12631" ht="15.0" customHeight="1">
      <c r="A12631" s="10" t="s">
        <v>32</v>
      </c>
      <c r="B12631" s="10"/>
      <c r="C12631" s="10" t="s">
        <v>33</v>
      </c>
      <c r="D12631" s="10" t="s">
        <v>34</v>
      </c>
      <c r="E12631" s="14">
        <v>3.0</v>
      </c>
      <c r="F12631" s="15">
        <f>ROUND(15.77,3)</f>
        <v>15.77</v>
      </c>
      <c r="G12631" s="12">
        <f>ROUND((E12631*F12631)/100,2)</f>
        <v>0.47</v>
      </c>
    </row>
    <row r="12632" ht="15.0" customHeight="1">
      <c r="A12632" s="16"/>
      <c r="B12632" s="16"/>
      <c r="C12632" s="16"/>
      <c r="D12632" s="17" t="s">
        <v>5473</v>
      </c>
      <c r="E12632" s="16"/>
      <c r="F12632" s="18">
        <f>ROUND((G12623+G12624+G12625+G12626+G12631)*(1+G2/100),2)</f>
        <v>17.73</v>
      </c>
      <c r="G12632" s="16"/>
    </row>
    <row r="12633" ht="48.75" customHeight="1">
      <c r="A12633" s="19" t="s">
        <v>5476</v>
      </c>
      <c r="B12633" s="20" t="s">
        <v>18</v>
      </c>
      <c r="C12633" s="20" t="s">
        <v>19</v>
      </c>
      <c r="D12633" s="20" t="s">
        <v>5477</v>
      </c>
      <c r="E12633" s="21"/>
      <c r="F12633" s="22">
        <f>F12643</f>
        <v>16.34</v>
      </c>
      <c r="G12633" s="21"/>
    </row>
    <row r="12634" ht="21.0" customHeight="1">
      <c r="A12634" s="11"/>
      <c r="B12634" s="11"/>
      <c r="C12634" s="11"/>
      <c r="D12634" s="10" t="s">
        <v>5478</v>
      </c>
    </row>
    <row r="12635" ht="39.75" customHeight="1">
      <c r="A12635" s="10" t="s">
        <v>5063</v>
      </c>
      <c r="B12635" s="10" t="s">
        <v>42</v>
      </c>
      <c r="C12635" s="10" t="s">
        <v>276</v>
      </c>
      <c r="D12635" s="10" t="s">
        <v>5064</v>
      </c>
      <c r="E12635" s="14">
        <v>0.0122</v>
      </c>
      <c r="F12635" s="15">
        <f>ROUND(70.41,3)</f>
        <v>70.41</v>
      </c>
      <c r="G12635" s="12">
        <f t="shared" ref="G12635:G12641" si="1951">ROUND(E12635*F12635,2)</f>
        <v>0.86</v>
      </c>
    </row>
    <row r="12636" ht="39.75" customHeight="1">
      <c r="A12636" s="10" t="s">
        <v>5065</v>
      </c>
      <c r="B12636" s="10" t="s">
        <v>42</v>
      </c>
      <c r="C12636" s="10" t="s">
        <v>276</v>
      </c>
      <c r="D12636" s="10" t="s">
        <v>5066</v>
      </c>
      <c r="E12636" s="14">
        <v>0.01667</v>
      </c>
      <c r="F12636" s="15">
        <f>ROUND(45.71,3)</f>
        <v>45.71</v>
      </c>
      <c r="G12636" s="12">
        <f t="shared" si="1951"/>
        <v>0.76</v>
      </c>
    </row>
    <row r="12637" ht="21.0" customHeight="1">
      <c r="A12637" s="10" t="s">
        <v>1416</v>
      </c>
      <c r="B12637" s="10" t="s">
        <v>18</v>
      </c>
      <c r="C12637" s="10" t="s">
        <v>23</v>
      </c>
      <c r="D12637" s="10" t="s">
        <v>1417</v>
      </c>
      <c r="E12637" s="14">
        <v>0.32</v>
      </c>
      <c r="F12637" s="15">
        <f>F12641</f>
        <v>43.8</v>
      </c>
      <c r="G12637" s="12">
        <f t="shared" si="1951"/>
        <v>14.02</v>
      </c>
    </row>
    <row r="12638" ht="24.0" customHeight="1">
      <c r="A12638" s="10" t="s">
        <v>1418</v>
      </c>
      <c r="B12638" s="10" t="s">
        <v>26</v>
      </c>
      <c r="C12638" s="10" t="s">
        <v>23</v>
      </c>
      <c r="D12638" s="10" t="s">
        <v>1419</v>
      </c>
      <c r="E12638" s="14">
        <v>1.0</v>
      </c>
      <c r="F12638" s="15">
        <f>ROUND(21,3)</f>
        <v>21</v>
      </c>
      <c r="G12638" s="12">
        <f t="shared" si="1951"/>
        <v>21</v>
      </c>
    </row>
    <row r="12639" ht="24.0" customHeight="1">
      <c r="A12639" s="10" t="s">
        <v>1420</v>
      </c>
      <c r="B12639" s="10" t="s">
        <v>26</v>
      </c>
      <c r="C12639" s="10" t="s">
        <v>23</v>
      </c>
      <c r="D12639" s="10" t="s">
        <v>1421</v>
      </c>
      <c r="E12639" s="14">
        <v>1.0</v>
      </c>
      <c r="F12639" s="15">
        <f t="shared" ref="F12639:F12640" si="1952">ROUND(19,3)</f>
        <v>19</v>
      </c>
      <c r="G12639" s="12">
        <f t="shared" si="1951"/>
        <v>19</v>
      </c>
    </row>
    <row r="12640" ht="24.0" customHeight="1">
      <c r="A12640" s="10" t="s">
        <v>30</v>
      </c>
      <c r="B12640" s="10" t="s">
        <v>26</v>
      </c>
      <c r="C12640" s="10" t="s">
        <v>23</v>
      </c>
      <c r="D12640" s="10" t="s">
        <v>31</v>
      </c>
      <c r="E12640" s="14">
        <v>0.2</v>
      </c>
      <c r="F12640" s="15">
        <f t="shared" si="1952"/>
        <v>19</v>
      </c>
      <c r="G12640" s="12">
        <f t="shared" si="1951"/>
        <v>3.8</v>
      </c>
    </row>
    <row r="12641" ht="15.0" customHeight="1">
      <c r="A12641" s="11"/>
      <c r="B12641" s="11"/>
      <c r="C12641" s="11"/>
      <c r="D12641" s="10" t="s">
        <v>1416</v>
      </c>
      <c r="E12641" s="14">
        <v>0.32</v>
      </c>
      <c r="F12641" s="15">
        <f>ROUND((G12638+G12639+G12640),3)</f>
        <v>43.8</v>
      </c>
      <c r="G12641" s="12">
        <f t="shared" si="1951"/>
        <v>14.02</v>
      </c>
    </row>
    <row r="12642" ht="15.0" customHeight="1">
      <c r="A12642" s="10" t="s">
        <v>32</v>
      </c>
      <c r="B12642" s="10"/>
      <c r="C12642" s="10" t="s">
        <v>33</v>
      </c>
      <c r="D12642" s="10" t="s">
        <v>34</v>
      </c>
      <c r="E12642" s="14">
        <v>5.0</v>
      </c>
      <c r="F12642" s="15">
        <f>ROUND(14.02,3)</f>
        <v>14.02</v>
      </c>
      <c r="G12642" s="12">
        <f>ROUND((E12642*F12642)/100,2)</f>
        <v>0.7</v>
      </c>
    </row>
    <row r="12643" ht="15.0" customHeight="1">
      <c r="A12643" s="16"/>
      <c r="B12643" s="16"/>
      <c r="C12643" s="16"/>
      <c r="D12643" s="17" t="s">
        <v>5476</v>
      </c>
      <c r="E12643" s="16"/>
      <c r="F12643" s="18">
        <f>ROUND((G12635+G12636+G12637+G12642)*(1+G2/100),2)</f>
        <v>16.34</v>
      </c>
      <c r="G12643" s="16"/>
    </row>
    <row r="12644" ht="57.75" customHeight="1">
      <c r="A12644" s="19" t="s">
        <v>5479</v>
      </c>
      <c r="B12644" s="20" t="s">
        <v>18</v>
      </c>
      <c r="C12644" s="20" t="s">
        <v>19</v>
      </c>
      <c r="D12644" s="20" t="s">
        <v>5480</v>
      </c>
      <c r="E12644" s="21"/>
      <c r="F12644" s="22">
        <f>F12654</f>
        <v>22.32</v>
      </c>
      <c r="G12644" s="21"/>
    </row>
    <row r="12645" ht="21.0" customHeight="1">
      <c r="A12645" s="11"/>
      <c r="B12645" s="11"/>
      <c r="C12645" s="11"/>
      <c r="D12645" s="10" t="s">
        <v>5481</v>
      </c>
    </row>
    <row r="12646" ht="39.75" customHeight="1">
      <c r="A12646" s="10" t="s">
        <v>5063</v>
      </c>
      <c r="B12646" s="10" t="s">
        <v>42</v>
      </c>
      <c r="C12646" s="10" t="s">
        <v>276</v>
      </c>
      <c r="D12646" s="10" t="s">
        <v>5064</v>
      </c>
      <c r="E12646" s="14">
        <v>0.0122</v>
      </c>
      <c r="F12646" s="15">
        <f>ROUND(70.41,3)</f>
        <v>70.41</v>
      </c>
      <c r="G12646" s="12">
        <f t="shared" ref="G12646:G12652" si="1953">ROUND(E12646*F12646,2)</f>
        <v>0.86</v>
      </c>
    </row>
    <row r="12647" ht="39.75" customHeight="1">
      <c r="A12647" s="10" t="s">
        <v>5065</v>
      </c>
      <c r="B12647" s="10" t="s">
        <v>42</v>
      </c>
      <c r="C12647" s="10" t="s">
        <v>276</v>
      </c>
      <c r="D12647" s="10" t="s">
        <v>5066</v>
      </c>
      <c r="E12647" s="14">
        <v>0.01667</v>
      </c>
      <c r="F12647" s="15">
        <f>ROUND(45.71,3)</f>
        <v>45.71</v>
      </c>
      <c r="G12647" s="12">
        <f t="shared" si="1953"/>
        <v>0.76</v>
      </c>
    </row>
    <row r="12648" ht="21.0" customHeight="1">
      <c r="A12648" s="10" t="s">
        <v>1416</v>
      </c>
      <c r="B12648" s="10" t="s">
        <v>18</v>
      </c>
      <c r="C12648" s="10" t="s">
        <v>23</v>
      </c>
      <c r="D12648" s="10" t="s">
        <v>1417</v>
      </c>
      <c r="E12648" s="14">
        <v>0.45</v>
      </c>
      <c r="F12648" s="15">
        <f>F12652</f>
        <v>43.8</v>
      </c>
      <c r="G12648" s="12">
        <f t="shared" si="1953"/>
        <v>19.71</v>
      </c>
    </row>
    <row r="12649" ht="24.0" customHeight="1">
      <c r="A12649" s="10" t="s">
        <v>1418</v>
      </c>
      <c r="B12649" s="10" t="s">
        <v>26</v>
      </c>
      <c r="C12649" s="10" t="s">
        <v>23</v>
      </c>
      <c r="D12649" s="10" t="s">
        <v>1419</v>
      </c>
      <c r="E12649" s="14">
        <v>1.0</v>
      </c>
      <c r="F12649" s="15">
        <f>ROUND(21,3)</f>
        <v>21</v>
      </c>
      <c r="G12649" s="12">
        <f t="shared" si="1953"/>
        <v>21</v>
      </c>
    </row>
    <row r="12650" ht="24.0" customHeight="1">
      <c r="A12650" s="10" t="s">
        <v>1420</v>
      </c>
      <c r="B12650" s="10" t="s">
        <v>26</v>
      </c>
      <c r="C12650" s="10" t="s">
        <v>23</v>
      </c>
      <c r="D12650" s="10" t="s">
        <v>1421</v>
      </c>
      <c r="E12650" s="14">
        <v>1.0</v>
      </c>
      <c r="F12650" s="15">
        <f t="shared" ref="F12650:F12651" si="1954">ROUND(19,3)</f>
        <v>19</v>
      </c>
      <c r="G12650" s="12">
        <f t="shared" si="1953"/>
        <v>19</v>
      </c>
    </row>
    <row r="12651" ht="24.0" customHeight="1">
      <c r="A12651" s="10" t="s">
        <v>30</v>
      </c>
      <c r="B12651" s="10" t="s">
        <v>26</v>
      </c>
      <c r="C12651" s="10" t="s">
        <v>23</v>
      </c>
      <c r="D12651" s="10" t="s">
        <v>31</v>
      </c>
      <c r="E12651" s="14">
        <v>0.2</v>
      </c>
      <c r="F12651" s="15">
        <f t="shared" si="1954"/>
        <v>19</v>
      </c>
      <c r="G12651" s="12">
        <f t="shared" si="1953"/>
        <v>3.8</v>
      </c>
    </row>
    <row r="12652" ht="15.0" customHeight="1">
      <c r="A12652" s="11"/>
      <c r="B12652" s="11"/>
      <c r="C12652" s="11"/>
      <c r="D12652" s="10" t="s">
        <v>1416</v>
      </c>
      <c r="E12652" s="14">
        <v>0.45</v>
      </c>
      <c r="F12652" s="15">
        <f>ROUND((G12649+G12650+G12651),3)</f>
        <v>43.8</v>
      </c>
      <c r="G12652" s="12">
        <f t="shared" si="1953"/>
        <v>19.71</v>
      </c>
    </row>
    <row r="12653" ht="15.0" customHeight="1">
      <c r="A12653" s="10" t="s">
        <v>32</v>
      </c>
      <c r="B12653" s="10"/>
      <c r="C12653" s="10" t="s">
        <v>33</v>
      </c>
      <c r="D12653" s="10" t="s">
        <v>34</v>
      </c>
      <c r="E12653" s="14">
        <v>5.0</v>
      </c>
      <c r="F12653" s="15">
        <f>ROUND(19.71,3)</f>
        <v>19.71</v>
      </c>
      <c r="G12653" s="12">
        <f>ROUND((E12653*F12653)/100,2)</f>
        <v>0.99</v>
      </c>
    </row>
    <row r="12654" ht="15.0" customHeight="1">
      <c r="A12654" s="16"/>
      <c r="B12654" s="16"/>
      <c r="C12654" s="16"/>
      <c r="D12654" s="17" t="s">
        <v>5479</v>
      </c>
      <c r="E12654" s="16"/>
      <c r="F12654" s="18">
        <f>ROUND((G12646+G12647+G12648+G12653)*(1+G2/100),2)</f>
        <v>22.32</v>
      </c>
      <c r="G12654" s="16"/>
    </row>
    <row r="12655" ht="57.75" customHeight="1">
      <c r="A12655" s="19" t="s">
        <v>5482</v>
      </c>
      <c r="B12655" s="20" t="s">
        <v>18</v>
      </c>
      <c r="C12655" s="20" t="s">
        <v>19</v>
      </c>
      <c r="D12655" s="20" t="s">
        <v>5483</v>
      </c>
      <c r="E12655" s="21"/>
      <c r="F12655" s="22">
        <f>F12665</f>
        <v>18.18</v>
      </c>
      <c r="G12655" s="21"/>
    </row>
    <row r="12656" ht="21.0" customHeight="1">
      <c r="A12656" s="11"/>
      <c r="B12656" s="11"/>
      <c r="C12656" s="11"/>
      <c r="D12656" s="10" t="s">
        <v>5484</v>
      </c>
    </row>
    <row r="12657" ht="39.75" customHeight="1">
      <c r="A12657" s="10" t="s">
        <v>5063</v>
      </c>
      <c r="B12657" s="10" t="s">
        <v>42</v>
      </c>
      <c r="C12657" s="10" t="s">
        <v>276</v>
      </c>
      <c r="D12657" s="10" t="s">
        <v>5064</v>
      </c>
      <c r="E12657" s="14">
        <v>0.0122</v>
      </c>
      <c r="F12657" s="15">
        <f>ROUND(70.41,3)</f>
        <v>70.41</v>
      </c>
      <c r="G12657" s="12">
        <f t="shared" ref="G12657:G12663" si="1955">ROUND(E12657*F12657,2)</f>
        <v>0.86</v>
      </c>
    </row>
    <row r="12658" ht="39.75" customHeight="1">
      <c r="A12658" s="10" t="s">
        <v>5065</v>
      </c>
      <c r="B12658" s="10" t="s">
        <v>42</v>
      </c>
      <c r="C12658" s="10" t="s">
        <v>276</v>
      </c>
      <c r="D12658" s="10" t="s">
        <v>5066</v>
      </c>
      <c r="E12658" s="14">
        <v>0.01667</v>
      </c>
      <c r="F12658" s="15">
        <f>ROUND(45.71,3)</f>
        <v>45.71</v>
      </c>
      <c r="G12658" s="12">
        <f t="shared" si="1955"/>
        <v>0.76</v>
      </c>
    </row>
    <row r="12659" ht="21.0" customHeight="1">
      <c r="A12659" s="10" t="s">
        <v>1416</v>
      </c>
      <c r="B12659" s="10" t="s">
        <v>18</v>
      </c>
      <c r="C12659" s="10" t="s">
        <v>23</v>
      </c>
      <c r="D12659" s="10" t="s">
        <v>1417</v>
      </c>
      <c r="E12659" s="14">
        <v>0.36</v>
      </c>
      <c r="F12659" s="15">
        <f>F12663</f>
        <v>43.8</v>
      </c>
      <c r="G12659" s="12">
        <f t="shared" si="1955"/>
        <v>15.77</v>
      </c>
    </row>
    <row r="12660" ht="24.0" customHeight="1">
      <c r="A12660" s="10" t="s">
        <v>1418</v>
      </c>
      <c r="B12660" s="10" t="s">
        <v>26</v>
      </c>
      <c r="C12660" s="10" t="s">
        <v>23</v>
      </c>
      <c r="D12660" s="10" t="s">
        <v>1419</v>
      </c>
      <c r="E12660" s="14">
        <v>1.0</v>
      </c>
      <c r="F12660" s="15">
        <f>ROUND(21,3)</f>
        <v>21</v>
      </c>
      <c r="G12660" s="12">
        <f t="shared" si="1955"/>
        <v>21</v>
      </c>
    </row>
    <row r="12661" ht="24.0" customHeight="1">
      <c r="A12661" s="10" t="s">
        <v>1420</v>
      </c>
      <c r="B12661" s="10" t="s">
        <v>26</v>
      </c>
      <c r="C12661" s="10" t="s">
        <v>23</v>
      </c>
      <c r="D12661" s="10" t="s">
        <v>1421</v>
      </c>
      <c r="E12661" s="14">
        <v>1.0</v>
      </c>
      <c r="F12661" s="15">
        <f t="shared" ref="F12661:F12662" si="1956">ROUND(19,3)</f>
        <v>19</v>
      </c>
      <c r="G12661" s="12">
        <f t="shared" si="1955"/>
        <v>19</v>
      </c>
    </row>
    <row r="12662" ht="24.0" customHeight="1">
      <c r="A12662" s="10" t="s">
        <v>30</v>
      </c>
      <c r="B12662" s="10" t="s">
        <v>26</v>
      </c>
      <c r="C12662" s="10" t="s">
        <v>23</v>
      </c>
      <c r="D12662" s="10" t="s">
        <v>31</v>
      </c>
      <c r="E12662" s="14">
        <v>0.2</v>
      </c>
      <c r="F12662" s="15">
        <f t="shared" si="1956"/>
        <v>19</v>
      </c>
      <c r="G12662" s="12">
        <f t="shared" si="1955"/>
        <v>3.8</v>
      </c>
    </row>
    <row r="12663" ht="15.0" customHeight="1">
      <c r="A12663" s="11"/>
      <c r="B12663" s="11"/>
      <c r="C12663" s="11"/>
      <c r="D12663" s="10" t="s">
        <v>1416</v>
      </c>
      <c r="E12663" s="14">
        <v>0.36</v>
      </c>
      <c r="F12663" s="15">
        <f>ROUND((G12660+G12661+G12662),3)</f>
        <v>43.8</v>
      </c>
      <c r="G12663" s="12">
        <f t="shared" si="1955"/>
        <v>15.77</v>
      </c>
    </row>
    <row r="12664" ht="15.0" customHeight="1">
      <c r="A12664" s="10" t="s">
        <v>32</v>
      </c>
      <c r="B12664" s="10"/>
      <c r="C12664" s="10" t="s">
        <v>33</v>
      </c>
      <c r="D12664" s="10" t="s">
        <v>34</v>
      </c>
      <c r="E12664" s="14">
        <v>5.0</v>
      </c>
      <c r="F12664" s="15">
        <f>ROUND(15.77,3)</f>
        <v>15.77</v>
      </c>
      <c r="G12664" s="12">
        <f>ROUND((E12664*F12664)/100,2)</f>
        <v>0.79</v>
      </c>
    </row>
    <row r="12665" ht="15.0" customHeight="1">
      <c r="A12665" s="16"/>
      <c r="B12665" s="16"/>
      <c r="C12665" s="16"/>
      <c r="D12665" s="17" t="s">
        <v>5482</v>
      </c>
      <c r="E12665" s="16"/>
      <c r="F12665" s="18">
        <f>ROUND((G12657+G12658+G12659+G12664)*(1+G2/100),2)</f>
        <v>18.18</v>
      </c>
      <c r="G12665" s="16"/>
    </row>
    <row r="12666" ht="48.75" customHeight="1">
      <c r="A12666" s="19" t="s">
        <v>5485</v>
      </c>
      <c r="B12666" s="20" t="s">
        <v>18</v>
      </c>
      <c r="C12666" s="20" t="s">
        <v>19</v>
      </c>
      <c r="D12666" s="20" t="s">
        <v>5486</v>
      </c>
      <c r="E12666" s="21"/>
      <c r="F12666" s="22">
        <f>F12676</f>
        <v>17.47</v>
      </c>
      <c r="G12666" s="21"/>
    </row>
    <row r="12667" ht="21.0" customHeight="1">
      <c r="A12667" s="11"/>
      <c r="B12667" s="11"/>
      <c r="C12667" s="11"/>
      <c r="D12667" s="10" t="s">
        <v>5487</v>
      </c>
    </row>
    <row r="12668" ht="30.0" customHeight="1">
      <c r="A12668" s="10" t="s">
        <v>5070</v>
      </c>
      <c r="B12668" s="10" t="s">
        <v>42</v>
      </c>
      <c r="C12668" s="10" t="s">
        <v>276</v>
      </c>
      <c r="D12668" s="10" t="s">
        <v>5071</v>
      </c>
      <c r="E12668" s="14">
        <v>0.03</v>
      </c>
      <c r="F12668" s="15">
        <f>ROUND(128.45,3)</f>
        <v>128.45</v>
      </c>
      <c r="G12668" s="12">
        <f t="shared" ref="G12668:G12674" si="1957">ROUND(E12668*F12668,2)</f>
        <v>3.85</v>
      </c>
    </row>
    <row r="12669" ht="24.0" customHeight="1">
      <c r="A12669" s="10" t="s">
        <v>1053</v>
      </c>
      <c r="B12669" s="10" t="s">
        <v>42</v>
      </c>
      <c r="C12669" s="10" t="s">
        <v>43</v>
      </c>
      <c r="D12669" s="10" t="s">
        <v>1054</v>
      </c>
      <c r="E12669" s="14">
        <v>0.02</v>
      </c>
      <c r="F12669" s="15">
        <f>ROUND(4.63,3)</f>
        <v>4.63</v>
      </c>
      <c r="G12669" s="12">
        <f t="shared" si="1957"/>
        <v>0.09</v>
      </c>
    </row>
    <row r="12670" ht="21.0" customHeight="1">
      <c r="A12670" s="10" t="s">
        <v>1416</v>
      </c>
      <c r="B12670" s="10" t="s">
        <v>18</v>
      </c>
      <c r="C12670" s="10" t="s">
        <v>23</v>
      </c>
      <c r="D12670" s="10" t="s">
        <v>1417</v>
      </c>
      <c r="E12670" s="14">
        <v>0.3</v>
      </c>
      <c r="F12670" s="15">
        <f>F12674</f>
        <v>43.8</v>
      </c>
      <c r="G12670" s="12">
        <f t="shared" si="1957"/>
        <v>13.14</v>
      </c>
    </row>
    <row r="12671" ht="24.0" customHeight="1">
      <c r="A12671" s="10" t="s">
        <v>1418</v>
      </c>
      <c r="B12671" s="10" t="s">
        <v>26</v>
      </c>
      <c r="C12671" s="10" t="s">
        <v>23</v>
      </c>
      <c r="D12671" s="10" t="s">
        <v>1419</v>
      </c>
      <c r="E12671" s="14">
        <v>1.0</v>
      </c>
      <c r="F12671" s="15">
        <f>ROUND(21,3)</f>
        <v>21</v>
      </c>
      <c r="G12671" s="12">
        <f t="shared" si="1957"/>
        <v>21</v>
      </c>
    </row>
    <row r="12672" ht="24.0" customHeight="1">
      <c r="A12672" s="10" t="s">
        <v>1420</v>
      </c>
      <c r="B12672" s="10" t="s">
        <v>26</v>
      </c>
      <c r="C12672" s="10" t="s">
        <v>23</v>
      </c>
      <c r="D12672" s="10" t="s">
        <v>1421</v>
      </c>
      <c r="E12672" s="14">
        <v>1.0</v>
      </c>
      <c r="F12672" s="15">
        <f t="shared" ref="F12672:F12673" si="1958">ROUND(19,3)</f>
        <v>19</v>
      </c>
      <c r="G12672" s="12">
        <f t="shared" si="1957"/>
        <v>19</v>
      </c>
    </row>
    <row r="12673" ht="24.0" customHeight="1">
      <c r="A12673" s="10" t="s">
        <v>30</v>
      </c>
      <c r="B12673" s="10" t="s">
        <v>26</v>
      </c>
      <c r="C12673" s="10" t="s">
        <v>23</v>
      </c>
      <c r="D12673" s="10" t="s">
        <v>31</v>
      </c>
      <c r="E12673" s="14">
        <v>0.2</v>
      </c>
      <c r="F12673" s="15">
        <f t="shared" si="1958"/>
        <v>19</v>
      </c>
      <c r="G12673" s="12">
        <f t="shared" si="1957"/>
        <v>3.8</v>
      </c>
    </row>
    <row r="12674" ht="15.0" customHeight="1">
      <c r="A12674" s="11"/>
      <c r="B12674" s="11"/>
      <c r="C12674" s="11"/>
      <c r="D12674" s="10" t="s">
        <v>1416</v>
      </c>
      <c r="E12674" s="14">
        <v>0.3</v>
      </c>
      <c r="F12674" s="15">
        <f>ROUND((G12671+G12672+G12673),3)</f>
        <v>43.8</v>
      </c>
      <c r="G12674" s="12">
        <f t="shared" si="1957"/>
        <v>13.14</v>
      </c>
    </row>
    <row r="12675" ht="15.0" customHeight="1">
      <c r="A12675" s="10" t="s">
        <v>32</v>
      </c>
      <c r="B12675" s="10"/>
      <c r="C12675" s="10" t="s">
        <v>33</v>
      </c>
      <c r="D12675" s="10" t="s">
        <v>34</v>
      </c>
      <c r="E12675" s="14">
        <v>3.0</v>
      </c>
      <c r="F12675" s="15">
        <f>ROUND(13.14,3)</f>
        <v>13.14</v>
      </c>
      <c r="G12675" s="12">
        <f>ROUND((E12675*F12675)/100,2)</f>
        <v>0.39</v>
      </c>
    </row>
    <row r="12676" ht="15.0" customHeight="1">
      <c r="A12676" s="16"/>
      <c r="B12676" s="16"/>
      <c r="C12676" s="16"/>
      <c r="D12676" s="17" t="s">
        <v>5485</v>
      </c>
      <c r="E12676" s="16"/>
      <c r="F12676" s="18">
        <f>ROUND((G12668+G12669+G12670+G12675)*(1+G2/100),2)</f>
        <v>17.47</v>
      </c>
      <c r="G12676" s="16"/>
    </row>
    <row r="12677" ht="48.75" customHeight="1">
      <c r="A12677" s="19" t="s">
        <v>5488</v>
      </c>
      <c r="B12677" s="20" t="s">
        <v>18</v>
      </c>
      <c r="C12677" s="20" t="s">
        <v>19</v>
      </c>
      <c r="D12677" s="20" t="s">
        <v>5489</v>
      </c>
      <c r="E12677" s="21"/>
      <c r="F12677" s="22">
        <f>F12687</f>
        <v>14.24</v>
      </c>
      <c r="G12677" s="21"/>
    </row>
    <row r="12678" ht="21.0" customHeight="1">
      <c r="A12678" s="11"/>
      <c r="B12678" s="11"/>
      <c r="C12678" s="11"/>
      <c r="D12678" s="10" t="s">
        <v>5490</v>
      </c>
    </row>
    <row r="12679" ht="30.0" customHeight="1">
      <c r="A12679" s="10" t="s">
        <v>5070</v>
      </c>
      <c r="B12679" s="10" t="s">
        <v>42</v>
      </c>
      <c r="C12679" s="10" t="s">
        <v>276</v>
      </c>
      <c r="D12679" s="10" t="s">
        <v>5071</v>
      </c>
      <c r="E12679" s="14">
        <v>0.015</v>
      </c>
      <c r="F12679" s="15">
        <f>ROUND(128.45,3)</f>
        <v>128.45</v>
      </c>
      <c r="G12679" s="12">
        <f t="shared" ref="G12679:G12685" si="1959">ROUND(E12679*F12679,2)</f>
        <v>1.93</v>
      </c>
    </row>
    <row r="12680" ht="24.0" customHeight="1">
      <c r="A12680" s="10" t="s">
        <v>1053</v>
      </c>
      <c r="B12680" s="10" t="s">
        <v>42</v>
      </c>
      <c r="C12680" s="10" t="s">
        <v>43</v>
      </c>
      <c r="D12680" s="10" t="s">
        <v>1054</v>
      </c>
      <c r="E12680" s="14">
        <v>0.01</v>
      </c>
      <c r="F12680" s="15">
        <f>ROUND(4.63,3)</f>
        <v>4.63</v>
      </c>
      <c r="G12680" s="12">
        <f t="shared" si="1959"/>
        <v>0.05</v>
      </c>
    </row>
    <row r="12681" ht="21.0" customHeight="1">
      <c r="A12681" s="10" t="s">
        <v>1416</v>
      </c>
      <c r="B12681" s="10" t="s">
        <v>18</v>
      </c>
      <c r="C12681" s="10" t="s">
        <v>23</v>
      </c>
      <c r="D12681" s="10" t="s">
        <v>1417</v>
      </c>
      <c r="E12681" s="14">
        <v>0.26667</v>
      </c>
      <c r="F12681" s="15">
        <f>F12685</f>
        <v>43.8</v>
      </c>
      <c r="G12681" s="12">
        <f t="shared" si="1959"/>
        <v>11.68</v>
      </c>
    </row>
    <row r="12682" ht="24.0" customHeight="1">
      <c r="A12682" s="10" t="s">
        <v>1418</v>
      </c>
      <c r="B12682" s="10" t="s">
        <v>26</v>
      </c>
      <c r="C12682" s="10" t="s">
        <v>23</v>
      </c>
      <c r="D12682" s="10" t="s">
        <v>1419</v>
      </c>
      <c r="E12682" s="14">
        <v>1.0</v>
      </c>
      <c r="F12682" s="15">
        <f>ROUND(21,3)</f>
        <v>21</v>
      </c>
      <c r="G12682" s="12">
        <f t="shared" si="1959"/>
        <v>21</v>
      </c>
    </row>
    <row r="12683" ht="24.0" customHeight="1">
      <c r="A12683" s="10" t="s">
        <v>1420</v>
      </c>
      <c r="B12683" s="10" t="s">
        <v>26</v>
      </c>
      <c r="C12683" s="10" t="s">
        <v>23</v>
      </c>
      <c r="D12683" s="10" t="s">
        <v>1421</v>
      </c>
      <c r="E12683" s="14">
        <v>1.0</v>
      </c>
      <c r="F12683" s="15">
        <f t="shared" ref="F12683:F12684" si="1960">ROUND(19,3)</f>
        <v>19</v>
      </c>
      <c r="G12683" s="12">
        <f t="shared" si="1959"/>
        <v>19</v>
      </c>
    </row>
    <row r="12684" ht="24.0" customHeight="1">
      <c r="A12684" s="10" t="s">
        <v>30</v>
      </c>
      <c r="B12684" s="10" t="s">
        <v>26</v>
      </c>
      <c r="C12684" s="10" t="s">
        <v>23</v>
      </c>
      <c r="D12684" s="10" t="s">
        <v>31</v>
      </c>
      <c r="E12684" s="14">
        <v>0.2</v>
      </c>
      <c r="F12684" s="15">
        <f t="shared" si="1960"/>
        <v>19</v>
      </c>
      <c r="G12684" s="12">
        <f t="shared" si="1959"/>
        <v>3.8</v>
      </c>
    </row>
    <row r="12685" ht="15.0" customHeight="1">
      <c r="A12685" s="11"/>
      <c r="B12685" s="11"/>
      <c r="C12685" s="11"/>
      <c r="D12685" s="10" t="s">
        <v>1416</v>
      </c>
      <c r="E12685" s="14">
        <v>0.26667</v>
      </c>
      <c r="F12685" s="15">
        <f>ROUND((G12682+G12683+G12684),3)</f>
        <v>43.8</v>
      </c>
      <c r="G12685" s="12">
        <f t="shared" si="1959"/>
        <v>11.68</v>
      </c>
    </row>
    <row r="12686" ht="15.0" customHeight="1">
      <c r="A12686" s="10" t="s">
        <v>32</v>
      </c>
      <c r="B12686" s="10"/>
      <c r="C12686" s="10" t="s">
        <v>33</v>
      </c>
      <c r="D12686" s="10" t="s">
        <v>34</v>
      </c>
      <c r="E12686" s="14">
        <v>5.0</v>
      </c>
      <c r="F12686" s="15">
        <f>ROUND(11.68,3)</f>
        <v>11.68</v>
      </c>
      <c r="G12686" s="12">
        <f>ROUND((E12686*F12686)/100,2)</f>
        <v>0.58</v>
      </c>
    </row>
    <row r="12687" ht="15.0" customHeight="1">
      <c r="A12687" s="16"/>
      <c r="B12687" s="16"/>
      <c r="C12687" s="16"/>
      <c r="D12687" s="17" t="s">
        <v>5488</v>
      </c>
      <c r="E12687" s="16"/>
      <c r="F12687" s="18">
        <f>ROUND((G12679+G12680+G12681+G12686)*(1+G2/100),2)</f>
        <v>14.24</v>
      </c>
      <c r="G12687" s="16"/>
    </row>
    <row r="12688" ht="48.75" customHeight="1">
      <c r="A12688" s="19" t="s">
        <v>5491</v>
      </c>
      <c r="B12688" s="20" t="s">
        <v>18</v>
      </c>
      <c r="C12688" s="20" t="s">
        <v>19</v>
      </c>
      <c r="D12688" s="20" t="s">
        <v>5492</v>
      </c>
      <c r="E12688" s="21"/>
      <c r="F12688" s="22">
        <f>F12698</f>
        <v>18.54</v>
      </c>
      <c r="G12688" s="21"/>
    </row>
    <row r="12689" ht="21.0" customHeight="1">
      <c r="A12689" s="11"/>
      <c r="B12689" s="11"/>
      <c r="C12689" s="11"/>
      <c r="D12689" s="10" t="s">
        <v>5493</v>
      </c>
    </row>
    <row r="12690" ht="30.0" customHeight="1">
      <c r="A12690" s="10" t="s">
        <v>5070</v>
      </c>
      <c r="B12690" s="10" t="s">
        <v>42</v>
      </c>
      <c r="C12690" s="10" t="s">
        <v>276</v>
      </c>
      <c r="D12690" s="10" t="s">
        <v>5071</v>
      </c>
      <c r="E12690" s="14">
        <v>0.015</v>
      </c>
      <c r="F12690" s="15">
        <f>ROUND(128.45,3)</f>
        <v>128.45</v>
      </c>
      <c r="G12690" s="12">
        <f t="shared" ref="G12690:G12696" si="1961">ROUND(E12690*F12690,2)</f>
        <v>1.93</v>
      </c>
    </row>
    <row r="12691" ht="24.0" customHeight="1">
      <c r="A12691" s="10" t="s">
        <v>1053</v>
      </c>
      <c r="B12691" s="10" t="s">
        <v>42</v>
      </c>
      <c r="C12691" s="10" t="s">
        <v>43</v>
      </c>
      <c r="D12691" s="10" t="s">
        <v>1054</v>
      </c>
      <c r="E12691" s="14">
        <v>0.01</v>
      </c>
      <c r="F12691" s="15">
        <f>ROUND(4.63,3)</f>
        <v>4.63</v>
      </c>
      <c r="G12691" s="12">
        <f t="shared" si="1961"/>
        <v>0.05</v>
      </c>
    </row>
    <row r="12692" ht="21.0" customHeight="1">
      <c r="A12692" s="10" t="s">
        <v>1416</v>
      </c>
      <c r="B12692" s="10" t="s">
        <v>18</v>
      </c>
      <c r="C12692" s="10" t="s">
        <v>23</v>
      </c>
      <c r="D12692" s="10" t="s">
        <v>1417</v>
      </c>
      <c r="E12692" s="14">
        <v>0.36</v>
      </c>
      <c r="F12692" s="15">
        <f>F12696</f>
        <v>43.8</v>
      </c>
      <c r="G12692" s="12">
        <f t="shared" si="1961"/>
        <v>15.77</v>
      </c>
    </row>
    <row r="12693" ht="24.0" customHeight="1">
      <c r="A12693" s="10" t="s">
        <v>1418</v>
      </c>
      <c r="B12693" s="10" t="s">
        <v>26</v>
      </c>
      <c r="C12693" s="10" t="s">
        <v>23</v>
      </c>
      <c r="D12693" s="10" t="s">
        <v>1419</v>
      </c>
      <c r="E12693" s="14">
        <v>1.0</v>
      </c>
      <c r="F12693" s="15">
        <f>ROUND(21,3)</f>
        <v>21</v>
      </c>
      <c r="G12693" s="12">
        <f t="shared" si="1961"/>
        <v>21</v>
      </c>
    </row>
    <row r="12694" ht="24.0" customHeight="1">
      <c r="A12694" s="10" t="s">
        <v>1420</v>
      </c>
      <c r="B12694" s="10" t="s">
        <v>26</v>
      </c>
      <c r="C12694" s="10" t="s">
        <v>23</v>
      </c>
      <c r="D12694" s="10" t="s">
        <v>1421</v>
      </c>
      <c r="E12694" s="14">
        <v>1.0</v>
      </c>
      <c r="F12694" s="15">
        <f t="shared" ref="F12694:F12695" si="1962">ROUND(19,3)</f>
        <v>19</v>
      </c>
      <c r="G12694" s="12">
        <f t="shared" si="1961"/>
        <v>19</v>
      </c>
    </row>
    <row r="12695" ht="24.0" customHeight="1">
      <c r="A12695" s="10" t="s">
        <v>30</v>
      </c>
      <c r="B12695" s="10" t="s">
        <v>26</v>
      </c>
      <c r="C12695" s="10" t="s">
        <v>23</v>
      </c>
      <c r="D12695" s="10" t="s">
        <v>31</v>
      </c>
      <c r="E12695" s="14">
        <v>0.2</v>
      </c>
      <c r="F12695" s="15">
        <f t="shared" si="1962"/>
        <v>19</v>
      </c>
      <c r="G12695" s="12">
        <f t="shared" si="1961"/>
        <v>3.8</v>
      </c>
    </row>
    <row r="12696" ht="15.0" customHeight="1">
      <c r="A12696" s="11"/>
      <c r="B12696" s="11"/>
      <c r="C12696" s="11"/>
      <c r="D12696" s="10" t="s">
        <v>1416</v>
      </c>
      <c r="E12696" s="14">
        <v>0.36</v>
      </c>
      <c r="F12696" s="15">
        <f>ROUND((G12693+G12694+G12695),3)</f>
        <v>43.8</v>
      </c>
      <c r="G12696" s="12">
        <f t="shared" si="1961"/>
        <v>15.77</v>
      </c>
    </row>
    <row r="12697" ht="15.0" customHeight="1">
      <c r="A12697" s="10" t="s">
        <v>32</v>
      </c>
      <c r="B12697" s="10"/>
      <c r="C12697" s="10" t="s">
        <v>33</v>
      </c>
      <c r="D12697" s="10" t="s">
        <v>34</v>
      </c>
      <c r="E12697" s="14">
        <v>5.0</v>
      </c>
      <c r="F12697" s="15">
        <f>ROUND(15.77,3)</f>
        <v>15.77</v>
      </c>
      <c r="G12697" s="12">
        <f>ROUND((E12697*F12697)/100,2)</f>
        <v>0.79</v>
      </c>
    </row>
    <row r="12698" ht="15.0" customHeight="1">
      <c r="A12698" s="16"/>
      <c r="B12698" s="16"/>
      <c r="C12698" s="16"/>
      <c r="D12698" s="17" t="s">
        <v>5491</v>
      </c>
      <c r="E12698" s="16"/>
      <c r="F12698" s="18">
        <f>ROUND((G12690+G12691+G12692+G12697)*(1+G2/100),2)</f>
        <v>18.54</v>
      </c>
      <c r="G12698" s="16"/>
    </row>
    <row r="12699" ht="30.0" customHeight="1">
      <c r="A12699" s="19" t="s">
        <v>5494</v>
      </c>
      <c r="B12699" s="20" t="s">
        <v>18</v>
      </c>
      <c r="C12699" s="20" t="s">
        <v>19</v>
      </c>
      <c r="D12699" s="20" t="s">
        <v>5495</v>
      </c>
      <c r="E12699" s="21"/>
      <c r="F12699" s="22">
        <f>F12709</f>
        <v>16.88</v>
      </c>
      <c r="G12699" s="21"/>
    </row>
    <row r="12700" ht="12.0" customHeight="1">
      <c r="A12700" s="11"/>
      <c r="B12700" s="11"/>
      <c r="C12700" s="11"/>
      <c r="D12700" s="10" t="s">
        <v>5496</v>
      </c>
    </row>
    <row r="12701" ht="39.75" customHeight="1">
      <c r="A12701" s="10" t="s">
        <v>5241</v>
      </c>
      <c r="B12701" s="10" t="s">
        <v>42</v>
      </c>
      <c r="C12701" s="10" t="s">
        <v>1298</v>
      </c>
      <c r="D12701" s="10" t="s">
        <v>5242</v>
      </c>
      <c r="E12701" s="14">
        <v>0.0236</v>
      </c>
      <c r="F12701" s="15">
        <f>ROUND(42.81,3)</f>
        <v>42.81</v>
      </c>
      <c r="G12701" s="12">
        <f t="shared" ref="G12701:G12707" si="1963">ROUND(E12701*F12701,2)</f>
        <v>1.01</v>
      </c>
    </row>
    <row r="12702" ht="30.0" customHeight="1">
      <c r="A12702" s="10" t="s">
        <v>5243</v>
      </c>
      <c r="B12702" s="10" t="s">
        <v>42</v>
      </c>
      <c r="C12702" s="10" t="s">
        <v>1298</v>
      </c>
      <c r="D12702" s="10" t="s">
        <v>5244</v>
      </c>
      <c r="E12702" s="14">
        <v>0.0472</v>
      </c>
      <c r="F12702" s="15">
        <f>ROUND(43.75,3)</f>
        <v>43.75</v>
      </c>
      <c r="G12702" s="12">
        <f t="shared" si="1963"/>
        <v>2.07</v>
      </c>
    </row>
    <row r="12703" ht="21.0" customHeight="1">
      <c r="A12703" s="10" t="s">
        <v>1416</v>
      </c>
      <c r="B12703" s="10" t="s">
        <v>18</v>
      </c>
      <c r="C12703" s="10" t="s">
        <v>23</v>
      </c>
      <c r="D12703" s="10" t="s">
        <v>1417</v>
      </c>
      <c r="E12703" s="14">
        <v>0.3</v>
      </c>
      <c r="F12703" s="15">
        <f>F12707</f>
        <v>43.8</v>
      </c>
      <c r="G12703" s="12">
        <f t="shared" si="1963"/>
        <v>13.14</v>
      </c>
    </row>
    <row r="12704" ht="24.0" customHeight="1">
      <c r="A12704" s="10" t="s">
        <v>1418</v>
      </c>
      <c r="B12704" s="10" t="s">
        <v>26</v>
      </c>
      <c r="C12704" s="10" t="s">
        <v>23</v>
      </c>
      <c r="D12704" s="10" t="s">
        <v>1419</v>
      </c>
      <c r="E12704" s="14">
        <v>1.0</v>
      </c>
      <c r="F12704" s="15">
        <f>ROUND(21,3)</f>
        <v>21</v>
      </c>
      <c r="G12704" s="12">
        <f t="shared" si="1963"/>
        <v>21</v>
      </c>
    </row>
    <row r="12705" ht="24.0" customHeight="1">
      <c r="A12705" s="10" t="s">
        <v>1420</v>
      </c>
      <c r="B12705" s="10" t="s">
        <v>26</v>
      </c>
      <c r="C12705" s="10" t="s">
        <v>23</v>
      </c>
      <c r="D12705" s="10" t="s">
        <v>1421</v>
      </c>
      <c r="E12705" s="14">
        <v>1.0</v>
      </c>
      <c r="F12705" s="15">
        <f t="shared" ref="F12705:F12706" si="1964">ROUND(19,3)</f>
        <v>19</v>
      </c>
      <c r="G12705" s="12">
        <f t="shared" si="1963"/>
        <v>19</v>
      </c>
    </row>
    <row r="12706" ht="24.0" customHeight="1">
      <c r="A12706" s="10" t="s">
        <v>30</v>
      </c>
      <c r="B12706" s="10" t="s">
        <v>26</v>
      </c>
      <c r="C12706" s="10" t="s">
        <v>23</v>
      </c>
      <c r="D12706" s="10" t="s">
        <v>31</v>
      </c>
      <c r="E12706" s="14">
        <v>0.2</v>
      </c>
      <c r="F12706" s="15">
        <f t="shared" si="1964"/>
        <v>19</v>
      </c>
      <c r="G12706" s="12">
        <f t="shared" si="1963"/>
        <v>3.8</v>
      </c>
    </row>
    <row r="12707" ht="15.0" customHeight="1">
      <c r="A12707" s="11"/>
      <c r="B12707" s="11"/>
      <c r="C12707" s="11"/>
      <c r="D12707" s="10" t="s">
        <v>1416</v>
      </c>
      <c r="E12707" s="14">
        <v>0.3</v>
      </c>
      <c r="F12707" s="15">
        <f>ROUND((G12704+G12705+G12706),3)</f>
        <v>43.8</v>
      </c>
      <c r="G12707" s="12">
        <f t="shared" si="1963"/>
        <v>13.14</v>
      </c>
    </row>
    <row r="12708" ht="15.0" customHeight="1">
      <c r="A12708" s="10" t="s">
        <v>32</v>
      </c>
      <c r="B12708" s="10"/>
      <c r="C12708" s="10" t="s">
        <v>33</v>
      </c>
      <c r="D12708" s="10" t="s">
        <v>34</v>
      </c>
      <c r="E12708" s="14">
        <v>5.0</v>
      </c>
      <c r="F12708" s="15">
        <f>ROUND(13.14,3)</f>
        <v>13.14</v>
      </c>
      <c r="G12708" s="12">
        <f>ROUND((E12708*F12708)/100,2)</f>
        <v>0.66</v>
      </c>
    </row>
    <row r="12709" ht="15.0" customHeight="1">
      <c r="A12709" s="16"/>
      <c r="B12709" s="16"/>
      <c r="C12709" s="16"/>
      <c r="D12709" s="17" t="s">
        <v>5494</v>
      </c>
      <c r="E12709" s="16"/>
      <c r="F12709" s="18">
        <f>ROUND((G12701+G12702+G12703+G12708)*(1+G2/100),2)</f>
        <v>16.88</v>
      </c>
      <c r="G12709" s="16"/>
    </row>
    <row r="12710" ht="48.75" customHeight="1">
      <c r="A12710" s="19" t="s">
        <v>5497</v>
      </c>
      <c r="B12710" s="20" t="s">
        <v>18</v>
      </c>
      <c r="C12710" s="20" t="s">
        <v>19</v>
      </c>
      <c r="D12710" s="20" t="s">
        <v>5498</v>
      </c>
      <c r="E12710" s="21"/>
      <c r="F12710" s="22">
        <f>F12720</f>
        <v>18.54</v>
      </c>
      <c r="G12710" s="21"/>
    </row>
    <row r="12711" ht="21.0" customHeight="1">
      <c r="A12711" s="11"/>
      <c r="B12711" s="11"/>
      <c r="C12711" s="11"/>
      <c r="D12711" s="10" t="s">
        <v>5499</v>
      </c>
    </row>
    <row r="12712" ht="39.75" customHeight="1">
      <c r="A12712" s="10" t="s">
        <v>5034</v>
      </c>
      <c r="B12712" s="10" t="s">
        <v>42</v>
      </c>
      <c r="C12712" s="10" t="s">
        <v>276</v>
      </c>
      <c r="D12712" s="10" t="s">
        <v>5035</v>
      </c>
      <c r="E12712" s="14">
        <v>0.011</v>
      </c>
      <c r="F12712" s="15">
        <f>ROUND(138.04,3)</f>
        <v>138.04</v>
      </c>
      <c r="G12712" s="12">
        <f t="shared" ref="G12712:G12718" si="1965">ROUND(E12712*F12712,2)</f>
        <v>1.52</v>
      </c>
    </row>
    <row r="12713" ht="39.75" customHeight="1">
      <c r="A12713" s="10" t="s">
        <v>5036</v>
      </c>
      <c r="B12713" s="10" t="s">
        <v>42</v>
      </c>
      <c r="C12713" s="10" t="s">
        <v>43</v>
      </c>
      <c r="D12713" s="10" t="s">
        <v>5037</v>
      </c>
      <c r="E12713" s="14">
        <v>0.02667</v>
      </c>
      <c r="F12713" s="15">
        <f>ROUND(86.21,3)</f>
        <v>86.21</v>
      </c>
      <c r="G12713" s="12">
        <f t="shared" si="1965"/>
        <v>2.3</v>
      </c>
    </row>
    <row r="12714" ht="21.0" customHeight="1">
      <c r="A12714" s="10" t="s">
        <v>1416</v>
      </c>
      <c r="B12714" s="10" t="s">
        <v>18</v>
      </c>
      <c r="C12714" s="10" t="s">
        <v>23</v>
      </c>
      <c r="D12714" s="10" t="s">
        <v>1417</v>
      </c>
      <c r="E12714" s="14">
        <v>0.32</v>
      </c>
      <c r="F12714" s="15">
        <f>F12718</f>
        <v>43.8</v>
      </c>
      <c r="G12714" s="12">
        <f t="shared" si="1965"/>
        <v>14.02</v>
      </c>
    </row>
    <row r="12715" ht="24.0" customHeight="1">
      <c r="A12715" s="10" t="s">
        <v>1418</v>
      </c>
      <c r="B12715" s="10" t="s">
        <v>26</v>
      </c>
      <c r="C12715" s="10" t="s">
        <v>23</v>
      </c>
      <c r="D12715" s="10" t="s">
        <v>1419</v>
      </c>
      <c r="E12715" s="14">
        <v>1.0</v>
      </c>
      <c r="F12715" s="15">
        <f>ROUND(21,3)</f>
        <v>21</v>
      </c>
      <c r="G12715" s="12">
        <f t="shared" si="1965"/>
        <v>21</v>
      </c>
    </row>
    <row r="12716" ht="24.0" customHeight="1">
      <c r="A12716" s="10" t="s">
        <v>1420</v>
      </c>
      <c r="B12716" s="10" t="s">
        <v>26</v>
      </c>
      <c r="C12716" s="10" t="s">
        <v>23</v>
      </c>
      <c r="D12716" s="10" t="s">
        <v>1421</v>
      </c>
      <c r="E12716" s="14">
        <v>1.0</v>
      </c>
      <c r="F12716" s="15">
        <f t="shared" ref="F12716:F12717" si="1966">ROUND(19,3)</f>
        <v>19</v>
      </c>
      <c r="G12716" s="12">
        <f t="shared" si="1965"/>
        <v>19</v>
      </c>
    </row>
    <row r="12717" ht="24.0" customHeight="1">
      <c r="A12717" s="10" t="s">
        <v>30</v>
      </c>
      <c r="B12717" s="10" t="s">
        <v>26</v>
      </c>
      <c r="C12717" s="10" t="s">
        <v>23</v>
      </c>
      <c r="D12717" s="10" t="s">
        <v>31</v>
      </c>
      <c r="E12717" s="14">
        <v>0.2</v>
      </c>
      <c r="F12717" s="15">
        <f t="shared" si="1966"/>
        <v>19</v>
      </c>
      <c r="G12717" s="12">
        <f t="shared" si="1965"/>
        <v>3.8</v>
      </c>
    </row>
    <row r="12718" ht="15.0" customHeight="1">
      <c r="A12718" s="11"/>
      <c r="B12718" s="11"/>
      <c r="C12718" s="11"/>
      <c r="D12718" s="10" t="s">
        <v>1416</v>
      </c>
      <c r="E12718" s="14">
        <v>0.32</v>
      </c>
      <c r="F12718" s="15">
        <f>ROUND((G12715+G12716+G12717),3)</f>
        <v>43.8</v>
      </c>
      <c r="G12718" s="12">
        <f t="shared" si="1965"/>
        <v>14.02</v>
      </c>
    </row>
    <row r="12719" ht="15.0" customHeight="1">
      <c r="A12719" s="10" t="s">
        <v>32</v>
      </c>
      <c r="B12719" s="10"/>
      <c r="C12719" s="10" t="s">
        <v>33</v>
      </c>
      <c r="D12719" s="10" t="s">
        <v>34</v>
      </c>
      <c r="E12719" s="14">
        <v>5.0</v>
      </c>
      <c r="F12719" s="15">
        <f>ROUND(14.02,3)</f>
        <v>14.02</v>
      </c>
      <c r="G12719" s="12">
        <f>ROUND((E12719*F12719)/100,2)</f>
        <v>0.7</v>
      </c>
    </row>
    <row r="12720" ht="15.0" customHeight="1">
      <c r="A12720" s="16"/>
      <c r="B12720" s="16"/>
      <c r="C12720" s="16"/>
      <c r="D12720" s="17" t="s">
        <v>5497</v>
      </c>
      <c r="E12720" s="16"/>
      <c r="F12720" s="18">
        <f>ROUND((G12712+G12713+G12714+G12719)*(1+G2/100),2)</f>
        <v>18.54</v>
      </c>
      <c r="G12720" s="16"/>
    </row>
    <row r="12721" ht="48.75" customHeight="1">
      <c r="A12721" s="19" t="s">
        <v>5500</v>
      </c>
      <c r="B12721" s="20" t="s">
        <v>18</v>
      </c>
      <c r="C12721" s="20" t="s">
        <v>19</v>
      </c>
      <c r="D12721" s="20" t="s">
        <v>5501</v>
      </c>
      <c r="E12721" s="21"/>
      <c r="F12721" s="22">
        <f>F12731</f>
        <v>20.98</v>
      </c>
      <c r="G12721" s="21"/>
    </row>
    <row r="12722" ht="21.0" customHeight="1">
      <c r="A12722" s="11"/>
      <c r="B12722" s="11"/>
      <c r="C12722" s="11"/>
      <c r="D12722" s="10" t="s">
        <v>5502</v>
      </c>
    </row>
    <row r="12723" ht="39.75" customHeight="1">
      <c r="A12723" s="10" t="s">
        <v>5034</v>
      </c>
      <c r="B12723" s="10" t="s">
        <v>42</v>
      </c>
      <c r="C12723" s="10" t="s">
        <v>276</v>
      </c>
      <c r="D12723" s="10" t="s">
        <v>5035</v>
      </c>
      <c r="E12723" s="14">
        <v>0.011</v>
      </c>
      <c r="F12723" s="15">
        <f>ROUND(138.04,3)</f>
        <v>138.04</v>
      </c>
      <c r="G12723" s="12">
        <f t="shared" ref="G12723:G12729" si="1967">ROUND(E12723*F12723,2)</f>
        <v>1.52</v>
      </c>
    </row>
    <row r="12724" ht="39.75" customHeight="1">
      <c r="A12724" s="10" t="s">
        <v>5036</v>
      </c>
      <c r="B12724" s="10" t="s">
        <v>42</v>
      </c>
      <c r="C12724" s="10" t="s">
        <v>43</v>
      </c>
      <c r="D12724" s="10" t="s">
        <v>5037</v>
      </c>
      <c r="E12724" s="14">
        <v>0.02667</v>
      </c>
      <c r="F12724" s="15">
        <f>ROUND(86.21,3)</f>
        <v>86.21</v>
      </c>
      <c r="G12724" s="12">
        <f t="shared" si="1967"/>
        <v>2.3</v>
      </c>
    </row>
    <row r="12725" ht="21.0" customHeight="1">
      <c r="A12725" s="10" t="s">
        <v>1416</v>
      </c>
      <c r="B12725" s="10" t="s">
        <v>18</v>
      </c>
      <c r="C12725" s="10" t="s">
        <v>23</v>
      </c>
      <c r="D12725" s="10" t="s">
        <v>1417</v>
      </c>
      <c r="E12725" s="14">
        <v>0.373</v>
      </c>
      <c r="F12725" s="15">
        <f>F12729</f>
        <v>43.8</v>
      </c>
      <c r="G12725" s="12">
        <f t="shared" si="1967"/>
        <v>16.34</v>
      </c>
    </row>
    <row r="12726" ht="24.0" customHeight="1">
      <c r="A12726" s="10" t="s">
        <v>1418</v>
      </c>
      <c r="B12726" s="10" t="s">
        <v>26</v>
      </c>
      <c r="C12726" s="10" t="s">
        <v>23</v>
      </c>
      <c r="D12726" s="10" t="s">
        <v>1419</v>
      </c>
      <c r="E12726" s="14">
        <v>1.0</v>
      </c>
      <c r="F12726" s="15">
        <f>ROUND(21,3)</f>
        <v>21</v>
      </c>
      <c r="G12726" s="12">
        <f t="shared" si="1967"/>
        <v>21</v>
      </c>
    </row>
    <row r="12727" ht="24.0" customHeight="1">
      <c r="A12727" s="10" t="s">
        <v>1420</v>
      </c>
      <c r="B12727" s="10" t="s">
        <v>26</v>
      </c>
      <c r="C12727" s="10" t="s">
        <v>23</v>
      </c>
      <c r="D12727" s="10" t="s">
        <v>1421</v>
      </c>
      <c r="E12727" s="14">
        <v>1.0</v>
      </c>
      <c r="F12727" s="15">
        <f t="shared" ref="F12727:F12728" si="1968">ROUND(19,3)</f>
        <v>19</v>
      </c>
      <c r="G12727" s="12">
        <f t="shared" si="1967"/>
        <v>19</v>
      </c>
    </row>
    <row r="12728" ht="24.0" customHeight="1">
      <c r="A12728" s="10" t="s">
        <v>30</v>
      </c>
      <c r="B12728" s="10" t="s">
        <v>26</v>
      </c>
      <c r="C12728" s="10" t="s">
        <v>23</v>
      </c>
      <c r="D12728" s="10" t="s">
        <v>31</v>
      </c>
      <c r="E12728" s="14">
        <v>0.2</v>
      </c>
      <c r="F12728" s="15">
        <f t="shared" si="1968"/>
        <v>19</v>
      </c>
      <c r="G12728" s="12">
        <f t="shared" si="1967"/>
        <v>3.8</v>
      </c>
    </row>
    <row r="12729" ht="15.0" customHeight="1">
      <c r="A12729" s="11"/>
      <c r="B12729" s="11"/>
      <c r="C12729" s="11"/>
      <c r="D12729" s="10" t="s">
        <v>1416</v>
      </c>
      <c r="E12729" s="14">
        <v>0.373</v>
      </c>
      <c r="F12729" s="15">
        <f>ROUND((G12726+G12727+G12728),3)</f>
        <v>43.8</v>
      </c>
      <c r="G12729" s="12">
        <f t="shared" si="1967"/>
        <v>16.34</v>
      </c>
    </row>
    <row r="12730" ht="15.0" customHeight="1">
      <c r="A12730" s="10" t="s">
        <v>32</v>
      </c>
      <c r="B12730" s="10"/>
      <c r="C12730" s="10" t="s">
        <v>33</v>
      </c>
      <c r="D12730" s="10" t="s">
        <v>34</v>
      </c>
      <c r="E12730" s="14">
        <v>5.0</v>
      </c>
      <c r="F12730" s="15">
        <f>ROUND(16.34,3)</f>
        <v>16.34</v>
      </c>
      <c r="G12730" s="12">
        <f>ROUND((E12730*F12730)/100,2)</f>
        <v>0.82</v>
      </c>
    </row>
    <row r="12731" ht="15.0" customHeight="1">
      <c r="A12731" s="16"/>
      <c r="B12731" s="16"/>
      <c r="C12731" s="16"/>
      <c r="D12731" s="17" t="s">
        <v>5500</v>
      </c>
      <c r="E12731" s="16"/>
      <c r="F12731" s="18">
        <f>ROUND((G12723+G12724+G12725+G12730)*(1+G2/100),2)</f>
        <v>20.98</v>
      </c>
      <c r="G12731" s="16"/>
    </row>
    <row r="12732" ht="48.75" customHeight="1">
      <c r="A12732" s="19" t="s">
        <v>5503</v>
      </c>
      <c r="B12732" s="20" t="s">
        <v>18</v>
      </c>
      <c r="C12732" s="20" t="s">
        <v>19</v>
      </c>
      <c r="D12732" s="20" t="s">
        <v>5504</v>
      </c>
      <c r="E12732" s="21"/>
      <c r="F12732" s="22">
        <f>F12742</f>
        <v>24.52</v>
      </c>
      <c r="G12732" s="21"/>
    </row>
    <row r="12733" ht="21.0" customHeight="1">
      <c r="A12733" s="11"/>
      <c r="B12733" s="11"/>
      <c r="C12733" s="11"/>
      <c r="D12733" s="10" t="s">
        <v>5505</v>
      </c>
    </row>
    <row r="12734" ht="39.75" customHeight="1">
      <c r="A12734" s="10" t="s">
        <v>5034</v>
      </c>
      <c r="B12734" s="10" t="s">
        <v>42</v>
      </c>
      <c r="C12734" s="10" t="s">
        <v>276</v>
      </c>
      <c r="D12734" s="10" t="s">
        <v>5035</v>
      </c>
      <c r="E12734" s="14">
        <v>0.011</v>
      </c>
      <c r="F12734" s="15">
        <f>ROUND(138.04,3)</f>
        <v>138.04</v>
      </c>
      <c r="G12734" s="12">
        <f t="shared" ref="G12734:G12740" si="1969">ROUND(E12734*F12734,2)</f>
        <v>1.52</v>
      </c>
    </row>
    <row r="12735" ht="39.75" customHeight="1">
      <c r="A12735" s="10" t="s">
        <v>5036</v>
      </c>
      <c r="B12735" s="10" t="s">
        <v>42</v>
      </c>
      <c r="C12735" s="10" t="s">
        <v>43</v>
      </c>
      <c r="D12735" s="10" t="s">
        <v>5037</v>
      </c>
      <c r="E12735" s="14">
        <v>0.02667</v>
      </c>
      <c r="F12735" s="15">
        <f>ROUND(86.21,3)</f>
        <v>86.21</v>
      </c>
      <c r="G12735" s="12">
        <f t="shared" si="1969"/>
        <v>2.3</v>
      </c>
    </row>
    <row r="12736" ht="21.0" customHeight="1">
      <c r="A12736" s="10" t="s">
        <v>1416</v>
      </c>
      <c r="B12736" s="10" t="s">
        <v>18</v>
      </c>
      <c r="C12736" s="10" t="s">
        <v>23</v>
      </c>
      <c r="D12736" s="10" t="s">
        <v>1417</v>
      </c>
      <c r="E12736" s="14">
        <v>0.45</v>
      </c>
      <c r="F12736" s="15">
        <f>F12740</f>
        <v>43.8</v>
      </c>
      <c r="G12736" s="12">
        <f t="shared" si="1969"/>
        <v>19.71</v>
      </c>
    </row>
    <row r="12737" ht="24.0" customHeight="1">
      <c r="A12737" s="10" t="s">
        <v>1418</v>
      </c>
      <c r="B12737" s="10" t="s">
        <v>26</v>
      </c>
      <c r="C12737" s="10" t="s">
        <v>23</v>
      </c>
      <c r="D12737" s="10" t="s">
        <v>1419</v>
      </c>
      <c r="E12737" s="14">
        <v>1.0</v>
      </c>
      <c r="F12737" s="15">
        <f>ROUND(21,3)</f>
        <v>21</v>
      </c>
      <c r="G12737" s="12">
        <f t="shared" si="1969"/>
        <v>21</v>
      </c>
    </row>
    <row r="12738" ht="24.0" customHeight="1">
      <c r="A12738" s="10" t="s">
        <v>1420</v>
      </c>
      <c r="B12738" s="10" t="s">
        <v>26</v>
      </c>
      <c r="C12738" s="10" t="s">
        <v>23</v>
      </c>
      <c r="D12738" s="10" t="s">
        <v>1421</v>
      </c>
      <c r="E12738" s="14">
        <v>1.0</v>
      </c>
      <c r="F12738" s="15">
        <f t="shared" ref="F12738:F12739" si="1970">ROUND(19,3)</f>
        <v>19</v>
      </c>
      <c r="G12738" s="12">
        <f t="shared" si="1969"/>
        <v>19</v>
      </c>
    </row>
    <row r="12739" ht="24.0" customHeight="1">
      <c r="A12739" s="10" t="s">
        <v>30</v>
      </c>
      <c r="B12739" s="10" t="s">
        <v>26</v>
      </c>
      <c r="C12739" s="10" t="s">
        <v>23</v>
      </c>
      <c r="D12739" s="10" t="s">
        <v>31</v>
      </c>
      <c r="E12739" s="14">
        <v>0.2</v>
      </c>
      <c r="F12739" s="15">
        <f t="shared" si="1970"/>
        <v>19</v>
      </c>
      <c r="G12739" s="12">
        <f t="shared" si="1969"/>
        <v>3.8</v>
      </c>
    </row>
    <row r="12740" ht="15.0" customHeight="1">
      <c r="A12740" s="11"/>
      <c r="B12740" s="11"/>
      <c r="C12740" s="11"/>
      <c r="D12740" s="10" t="s">
        <v>1416</v>
      </c>
      <c r="E12740" s="14">
        <v>0.45</v>
      </c>
      <c r="F12740" s="15">
        <f>ROUND((G12737+G12738+G12739),3)</f>
        <v>43.8</v>
      </c>
      <c r="G12740" s="12">
        <f t="shared" si="1969"/>
        <v>19.71</v>
      </c>
    </row>
    <row r="12741" ht="15.0" customHeight="1">
      <c r="A12741" s="10" t="s">
        <v>32</v>
      </c>
      <c r="B12741" s="10"/>
      <c r="C12741" s="10" t="s">
        <v>33</v>
      </c>
      <c r="D12741" s="10" t="s">
        <v>34</v>
      </c>
      <c r="E12741" s="14">
        <v>5.0</v>
      </c>
      <c r="F12741" s="15">
        <f>ROUND(19.71,3)</f>
        <v>19.71</v>
      </c>
      <c r="G12741" s="12">
        <f>ROUND((E12741*F12741)/100,2)</f>
        <v>0.99</v>
      </c>
    </row>
    <row r="12742" ht="15.0" customHeight="1">
      <c r="A12742" s="16"/>
      <c r="B12742" s="16"/>
      <c r="C12742" s="16"/>
      <c r="D12742" s="17" t="s">
        <v>5503</v>
      </c>
      <c r="E12742" s="16"/>
      <c r="F12742" s="18">
        <f>ROUND((G12734+G12735+G12736+G12741)*(1+G2/100),2)</f>
        <v>24.52</v>
      </c>
      <c r="G12742" s="16"/>
    </row>
    <row r="12743" ht="57.75" customHeight="1">
      <c r="A12743" s="19" t="s">
        <v>5506</v>
      </c>
      <c r="B12743" s="20" t="s">
        <v>18</v>
      </c>
      <c r="C12743" s="20" t="s">
        <v>19</v>
      </c>
      <c r="D12743" s="20" t="s">
        <v>5507</v>
      </c>
      <c r="E12743" s="21"/>
      <c r="F12743" s="22">
        <f>F12752</f>
        <v>16.23</v>
      </c>
      <c r="G12743" s="21"/>
    </row>
    <row r="12744" ht="21.0" customHeight="1">
      <c r="A12744" s="11"/>
      <c r="B12744" s="11"/>
      <c r="C12744" s="11"/>
      <c r="D12744" s="10" t="s">
        <v>5508</v>
      </c>
    </row>
    <row r="12745" ht="39.75" customHeight="1">
      <c r="A12745" s="10" t="s">
        <v>1414</v>
      </c>
      <c r="B12745" s="10" t="s">
        <v>42</v>
      </c>
      <c r="C12745" s="10" t="s">
        <v>276</v>
      </c>
      <c r="D12745" s="10" t="s">
        <v>1415</v>
      </c>
      <c r="E12745" s="14">
        <v>0.0175</v>
      </c>
      <c r="F12745" s="15">
        <f>ROUND(86,3)</f>
        <v>86</v>
      </c>
      <c r="G12745" s="12">
        <f t="shared" ref="G12745:G12750" si="1971">ROUND(E12745*F12745,2)</f>
        <v>1.51</v>
      </c>
    </row>
    <row r="12746" ht="21.0" customHeight="1">
      <c r="A12746" s="10" t="s">
        <v>1416</v>
      </c>
      <c r="B12746" s="10" t="s">
        <v>18</v>
      </c>
      <c r="C12746" s="10" t="s">
        <v>23</v>
      </c>
      <c r="D12746" s="10" t="s">
        <v>1417</v>
      </c>
      <c r="E12746" s="14">
        <v>0.32</v>
      </c>
      <c r="F12746" s="15">
        <f>F12750</f>
        <v>43.8</v>
      </c>
      <c r="G12746" s="12">
        <f t="shared" si="1971"/>
        <v>14.02</v>
      </c>
    </row>
    <row r="12747" ht="24.0" customHeight="1">
      <c r="A12747" s="10" t="s">
        <v>1418</v>
      </c>
      <c r="B12747" s="10" t="s">
        <v>26</v>
      </c>
      <c r="C12747" s="10" t="s">
        <v>23</v>
      </c>
      <c r="D12747" s="10" t="s">
        <v>1419</v>
      </c>
      <c r="E12747" s="14">
        <v>1.0</v>
      </c>
      <c r="F12747" s="15">
        <f>ROUND(21,3)</f>
        <v>21</v>
      </c>
      <c r="G12747" s="12">
        <f t="shared" si="1971"/>
        <v>21</v>
      </c>
    </row>
    <row r="12748" ht="24.0" customHeight="1">
      <c r="A12748" s="10" t="s">
        <v>1420</v>
      </c>
      <c r="B12748" s="10" t="s">
        <v>26</v>
      </c>
      <c r="C12748" s="10" t="s">
        <v>23</v>
      </c>
      <c r="D12748" s="10" t="s">
        <v>1421</v>
      </c>
      <c r="E12748" s="14">
        <v>1.0</v>
      </c>
      <c r="F12748" s="15">
        <f t="shared" ref="F12748:F12749" si="1972">ROUND(19,3)</f>
        <v>19</v>
      </c>
      <c r="G12748" s="12">
        <f t="shared" si="1971"/>
        <v>19</v>
      </c>
    </row>
    <row r="12749" ht="24.0" customHeight="1">
      <c r="A12749" s="10" t="s">
        <v>30</v>
      </c>
      <c r="B12749" s="10" t="s">
        <v>26</v>
      </c>
      <c r="C12749" s="10" t="s">
        <v>23</v>
      </c>
      <c r="D12749" s="10" t="s">
        <v>31</v>
      </c>
      <c r="E12749" s="14">
        <v>0.2</v>
      </c>
      <c r="F12749" s="15">
        <f t="shared" si="1972"/>
        <v>19</v>
      </c>
      <c r="G12749" s="12">
        <f t="shared" si="1971"/>
        <v>3.8</v>
      </c>
    </row>
    <row r="12750" ht="15.0" customHeight="1">
      <c r="A12750" s="11"/>
      <c r="B12750" s="11"/>
      <c r="C12750" s="11"/>
      <c r="D12750" s="10" t="s">
        <v>1416</v>
      </c>
      <c r="E12750" s="14">
        <v>0.32</v>
      </c>
      <c r="F12750" s="15">
        <f>ROUND((G12747+G12748+G12749),3)</f>
        <v>43.8</v>
      </c>
      <c r="G12750" s="12">
        <f t="shared" si="1971"/>
        <v>14.02</v>
      </c>
    </row>
    <row r="12751" ht="15.0" customHeight="1">
      <c r="A12751" s="10" t="s">
        <v>32</v>
      </c>
      <c r="B12751" s="10"/>
      <c r="C12751" s="10" t="s">
        <v>33</v>
      </c>
      <c r="D12751" s="10" t="s">
        <v>34</v>
      </c>
      <c r="E12751" s="14">
        <v>5.0</v>
      </c>
      <c r="F12751" s="15">
        <f>ROUND(14.02,3)</f>
        <v>14.02</v>
      </c>
      <c r="G12751" s="12">
        <f>ROUND((E12751*F12751)/100,2)</f>
        <v>0.7</v>
      </c>
    </row>
    <row r="12752" ht="15.0" customHeight="1">
      <c r="A12752" s="16"/>
      <c r="B12752" s="16"/>
      <c r="C12752" s="16"/>
      <c r="D12752" s="17" t="s">
        <v>5506</v>
      </c>
      <c r="E12752" s="16"/>
      <c r="F12752" s="18">
        <f>ROUND((G12745+G12746+G12751)*(1+G2/100),2)</f>
        <v>16.23</v>
      </c>
      <c r="G12752" s="16"/>
    </row>
    <row r="12753" ht="67.5" customHeight="1">
      <c r="A12753" s="19" t="s">
        <v>5509</v>
      </c>
      <c r="B12753" s="20" t="s">
        <v>18</v>
      </c>
      <c r="C12753" s="20" t="s">
        <v>19</v>
      </c>
      <c r="D12753" s="20" t="s">
        <v>1412</v>
      </c>
      <c r="E12753" s="21"/>
      <c r="F12753" s="22">
        <f>F12762</f>
        <v>26.25</v>
      </c>
      <c r="G12753" s="21"/>
    </row>
    <row r="12754" ht="21.0" customHeight="1">
      <c r="A12754" s="11"/>
      <c r="B12754" s="11"/>
      <c r="C12754" s="11"/>
      <c r="D12754" s="10" t="s">
        <v>5510</v>
      </c>
    </row>
    <row r="12755" ht="39.75" customHeight="1">
      <c r="A12755" s="10" t="s">
        <v>1414</v>
      </c>
      <c r="B12755" s="10" t="s">
        <v>42</v>
      </c>
      <c r="C12755" s="10" t="s">
        <v>276</v>
      </c>
      <c r="D12755" s="10" t="s">
        <v>1415</v>
      </c>
      <c r="E12755" s="14">
        <v>0.02</v>
      </c>
      <c r="F12755" s="15">
        <f>ROUND(86,3)</f>
        <v>86</v>
      </c>
      <c r="G12755" s="12">
        <f t="shared" ref="G12755:G12760" si="1973">ROUND(E12755*F12755,2)</f>
        <v>1.72</v>
      </c>
    </row>
    <row r="12756" ht="21.0" customHeight="1">
      <c r="A12756" s="10" t="s">
        <v>1416</v>
      </c>
      <c r="B12756" s="10" t="s">
        <v>18</v>
      </c>
      <c r="C12756" s="10" t="s">
        <v>23</v>
      </c>
      <c r="D12756" s="10" t="s">
        <v>1417</v>
      </c>
      <c r="E12756" s="14">
        <v>0.53333</v>
      </c>
      <c r="F12756" s="15">
        <f>F12760</f>
        <v>43.8</v>
      </c>
      <c r="G12756" s="12">
        <f t="shared" si="1973"/>
        <v>23.36</v>
      </c>
    </row>
    <row r="12757" ht="24.0" customHeight="1">
      <c r="A12757" s="10" t="s">
        <v>1418</v>
      </c>
      <c r="B12757" s="10" t="s">
        <v>26</v>
      </c>
      <c r="C12757" s="10" t="s">
        <v>23</v>
      </c>
      <c r="D12757" s="10" t="s">
        <v>1419</v>
      </c>
      <c r="E12757" s="14">
        <v>1.0</v>
      </c>
      <c r="F12757" s="15">
        <f>ROUND(21,3)</f>
        <v>21</v>
      </c>
      <c r="G12757" s="12">
        <f t="shared" si="1973"/>
        <v>21</v>
      </c>
    </row>
    <row r="12758" ht="24.0" customHeight="1">
      <c r="A12758" s="10" t="s">
        <v>1420</v>
      </c>
      <c r="B12758" s="10" t="s">
        <v>26</v>
      </c>
      <c r="C12758" s="10" t="s">
        <v>23</v>
      </c>
      <c r="D12758" s="10" t="s">
        <v>1421</v>
      </c>
      <c r="E12758" s="14">
        <v>1.0</v>
      </c>
      <c r="F12758" s="15">
        <f t="shared" ref="F12758:F12759" si="1974">ROUND(19,3)</f>
        <v>19</v>
      </c>
      <c r="G12758" s="12">
        <f t="shared" si="1973"/>
        <v>19</v>
      </c>
    </row>
    <row r="12759" ht="24.0" customHeight="1">
      <c r="A12759" s="10" t="s">
        <v>30</v>
      </c>
      <c r="B12759" s="10" t="s">
        <v>26</v>
      </c>
      <c r="C12759" s="10" t="s">
        <v>23</v>
      </c>
      <c r="D12759" s="10" t="s">
        <v>31</v>
      </c>
      <c r="E12759" s="14">
        <v>0.2</v>
      </c>
      <c r="F12759" s="15">
        <f t="shared" si="1974"/>
        <v>19</v>
      </c>
      <c r="G12759" s="12">
        <f t="shared" si="1973"/>
        <v>3.8</v>
      </c>
    </row>
    <row r="12760" ht="15.0" customHeight="1">
      <c r="A12760" s="11"/>
      <c r="B12760" s="11"/>
      <c r="C12760" s="11"/>
      <c r="D12760" s="10" t="s">
        <v>1416</v>
      </c>
      <c r="E12760" s="14">
        <v>0.53333</v>
      </c>
      <c r="F12760" s="15">
        <f>ROUND((G12757+G12758+G12759),3)</f>
        <v>43.8</v>
      </c>
      <c r="G12760" s="12">
        <f t="shared" si="1973"/>
        <v>23.36</v>
      </c>
    </row>
    <row r="12761" ht="15.0" customHeight="1">
      <c r="A12761" s="10" t="s">
        <v>32</v>
      </c>
      <c r="B12761" s="10"/>
      <c r="C12761" s="10" t="s">
        <v>33</v>
      </c>
      <c r="D12761" s="10" t="s">
        <v>34</v>
      </c>
      <c r="E12761" s="14">
        <v>5.0</v>
      </c>
      <c r="F12761" s="15">
        <f>ROUND(23.36,3)</f>
        <v>23.36</v>
      </c>
      <c r="G12761" s="12">
        <f>ROUND((E12761*F12761)/100,2)</f>
        <v>1.17</v>
      </c>
    </row>
    <row r="12762" ht="15.0" customHeight="1">
      <c r="A12762" s="16"/>
      <c r="B12762" s="16"/>
      <c r="C12762" s="16"/>
      <c r="D12762" s="17" t="s">
        <v>5509</v>
      </c>
      <c r="E12762" s="16"/>
      <c r="F12762" s="18">
        <f>ROUND((G12755+G12756+G12761)*(1+G2/100),2)</f>
        <v>26.25</v>
      </c>
      <c r="G12762" s="16"/>
    </row>
    <row r="12763" ht="67.5" customHeight="1">
      <c r="A12763" s="19" t="s">
        <v>1411</v>
      </c>
      <c r="B12763" s="20" t="s">
        <v>18</v>
      </c>
      <c r="C12763" s="20" t="s">
        <v>19</v>
      </c>
      <c r="D12763" s="20" t="s">
        <v>1412</v>
      </c>
      <c r="E12763" s="21"/>
      <c r="F12763" s="22">
        <f>F12772</f>
        <v>19.91</v>
      </c>
      <c r="G12763" s="21"/>
    </row>
    <row r="12764" ht="21.0" customHeight="1">
      <c r="A12764" s="11"/>
      <c r="B12764" s="11"/>
      <c r="C12764" s="11"/>
      <c r="D12764" s="10" t="s">
        <v>1413</v>
      </c>
    </row>
    <row r="12765" ht="39.75" customHeight="1">
      <c r="A12765" s="10" t="s">
        <v>1414</v>
      </c>
      <c r="B12765" s="10" t="s">
        <v>42</v>
      </c>
      <c r="C12765" s="10" t="s">
        <v>276</v>
      </c>
      <c r="D12765" s="10" t="s">
        <v>1415</v>
      </c>
      <c r="E12765" s="14">
        <v>0.0175</v>
      </c>
      <c r="F12765" s="15">
        <f>ROUND(86,3)</f>
        <v>86</v>
      </c>
      <c r="G12765" s="12">
        <f t="shared" ref="G12765:G12770" si="1975">ROUND(E12765*F12765,2)</f>
        <v>1.51</v>
      </c>
    </row>
    <row r="12766" ht="21.0" customHeight="1">
      <c r="A12766" s="10" t="s">
        <v>1416</v>
      </c>
      <c r="B12766" s="10" t="s">
        <v>18</v>
      </c>
      <c r="C12766" s="10" t="s">
        <v>23</v>
      </c>
      <c r="D12766" s="10" t="s">
        <v>1417</v>
      </c>
      <c r="E12766" s="14">
        <v>0.4</v>
      </c>
      <c r="F12766" s="15">
        <f>F12770</f>
        <v>43.8</v>
      </c>
      <c r="G12766" s="12">
        <f t="shared" si="1975"/>
        <v>17.52</v>
      </c>
    </row>
    <row r="12767" ht="24.0" customHeight="1">
      <c r="A12767" s="10" t="s">
        <v>1418</v>
      </c>
      <c r="B12767" s="10" t="s">
        <v>26</v>
      </c>
      <c r="C12767" s="10" t="s">
        <v>23</v>
      </c>
      <c r="D12767" s="10" t="s">
        <v>1419</v>
      </c>
      <c r="E12767" s="14">
        <v>1.0</v>
      </c>
      <c r="F12767" s="15">
        <f>ROUND(21,3)</f>
        <v>21</v>
      </c>
      <c r="G12767" s="12">
        <f t="shared" si="1975"/>
        <v>21</v>
      </c>
    </row>
    <row r="12768" ht="24.0" customHeight="1">
      <c r="A12768" s="10" t="s">
        <v>1420</v>
      </c>
      <c r="B12768" s="10" t="s">
        <v>26</v>
      </c>
      <c r="C12768" s="10" t="s">
        <v>23</v>
      </c>
      <c r="D12768" s="10" t="s">
        <v>1421</v>
      </c>
      <c r="E12768" s="14">
        <v>1.0</v>
      </c>
      <c r="F12768" s="15">
        <f t="shared" ref="F12768:F12769" si="1976">ROUND(19,3)</f>
        <v>19</v>
      </c>
      <c r="G12768" s="12">
        <f t="shared" si="1975"/>
        <v>19</v>
      </c>
    </row>
    <row r="12769" ht="24.0" customHeight="1">
      <c r="A12769" s="10" t="s">
        <v>30</v>
      </c>
      <c r="B12769" s="10" t="s">
        <v>26</v>
      </c>
      <c r="C12769" s="10" t="s">
        <v>23</v>
      </c>
      <c r="D12769" s="10" t="s">
        <v>31</v>
      </c>
      <c r="E12769" s="14">
        <v>0.2</v>
      </c>
      <c r="F12769" s="15">
        <f t="shared" si="1976"/>
        <v>19</v>
      </c>
      <c r="G12769" s="12">
        <f t="shared" si="1975"/>
        <v>3.8</v>
      </c>
    </row>
    <row r="12770" ht="15.0" customHeight="1">
      <c r="A12770" s="11"/>
      <c r="B12770" s="11"/>
      <c r="C12770" s="11"/>
      <c r="D12770" s="10" t="s">
        <v>1416</v>
      </c>
      <c r="E12770" s="14">
        <v>0.4</v>
      </c>
      <c r="F12770" s="15">
        <f>ROUND((G12767+G12768+G12769),3)</f>
        <v>43.8</v>
      </c>
      <c r="G12770" s="12">
        <f t="shared" si="1975"/>
        <v>17.52</v>
      </c>
    </row>
    <row r="12771" ht="15.0" customHeight="1">
      <c r="A12771" s="10" t="s">
        <v>32</v>
      </c>
      <c r="B12771" s="10"/>
      <c r="C12771" s="10" t="s">
        <v>33</v>
      </c>
      <c r="D12771" s="10" t="s">
        <v>34</v>
      </c>
      <c r="E12771" s="14">
        <v>5.0</v>
      </c>
      <c r="F12771" s="15">
        <f>ROUND(17.52,3)</f>
        <v>17.52</v>
      </c>
      <c r="G12771" s="12">
        <f>ROUND((E12771*F12771)/100,2)</f>
        <v>0.88</v>
      </c>
    </row>
    <row r="12772" ht="15.0" customHeight="1">
      <c r="A12772" s="16"/>
      <c r="B12772" s="16"/>
      <c r="C12772" s="16"/>
      <c r="D12772" s="17" t="s">
        <v>1411</v>
      </c>
      <c r="E12772" s="16"/>
      <c r="F12772" s="18">
        <f>ROUND((G12765+G12766+G12771)*(1+G2/100),2)</f>
        <v>19.91</v>
      </c>
      <c r="G12772" s="16"/>
    </row>
    <row r="12773" ht="67.5" customHeight="1">
      <c r="A12773" s="19" t="s">
        <v>5511</v>
      </c>
      <c r="B12773" s="20" t="s">
        <v>18</v>
      </c>
      <c r="C12773" s="20" t="s">
        <v>19</v>
      </c>
      <c r="D12773" s="20" t="s">
        <v>5512</v>
      </c>
      <c r="E12773" s="21"/>
      <c r="F12773" s="22">
        <f>F12782</f>
        <v>27.77</v>
      </c>
      <c r="G12773" s="21"/>
    </row>
    <row r="12774" ht="30.0" customHeight="1">
      <c r="A12774" s="11"/>
      <c r="B12774" s="11"/>
      <c r="C12774" s="11"/>
      <c r="D12774" s="10" t="s">
        <v>5513</v>
      </c>
    </row>
    <row r="12775" ht="57.75" customHeight="1">
      <c r="A12775" s="10" t="s">
        <v>5083</v>
      </c>
      <c r="B12775" s="10" t="s">
        <v>42</v>
      </c>
      <c r="C12775" s="10" t="s">
        <v>276</v>
      </c>
      <c r="D12775" s="10" t="s">
        <v>5084</v>
      </c>
      <c r="E12775" s="14">
        <v>0.0275</v>
      </c>
      <c r="F12775" s="15">
        <f>ROUND(173.43,3)</f>
        <v>173.43</v>
      </c>
      <c r="G12775" s="12">
        <f t="shared" ref="G12775:G12780" si="1977">ROUND(E12775*F12775,2)</f>
        <v>4.77</v>
      </c>
    </row>
    <row r="12776" ht="21.0" customHeight="1">
      <c r="A12776" s="10" t="s">
        <v>1416</v>
      </c>
      <c r="B12776" s="10" t="s">
        <v>18</v>
      </c>
      <c r="C12776" s="10" t="s">
        <v>23</v>
      </c>
      <c r="D12776" s="10" t="s">
        <v>1417</v>
      </c>
      <c r="E12776" s="14">
        <v>0.5</v>
      </c>
      <c r="F12776" s="15">
        <f>F12780</f>
        <v>43.8</v>
      </c>
      <c r="G12776" s="12">
        <f t="shared" si="1977"/>
        <v>21.9</v>
      </c>
    </row>
    <row r="12777" ht="24.0" customHeight="1">
      <c r="A12777" s="10" t="s">
        <v>1418</v>
      </c>
      <c r="B12777" s="10" t="s">
        <v>26</v>
      </c>
      <c r="C12777" s="10" t="s">
        <v>23</v>
      </c>
      <c r="D12777" s="10" t="s">
        <v>1419</v>
      </c>
      <c r="E12777" s="14">
        <v>1.0</v>
      </c>
      <c r="F12777" s="15">
        <f>ROUND(21,3)</f>
        <v>21</v>
      </c>
      <c r="G12777" s="12">
        <f t="shared" si="1977"/>
        <v>21</v>
      </c>
    </row>
    <row r="12778" ht="24.0" customHeight="1">
      <c r="A12778" s="10" t="s">
        <v>1420</v>
      </c>
      <c r="B12778" s="10" t="s">
        <v>26</v>
      </c>
      <c r="C12778" s="10" t="s">
        <v>23</v>
      </c>
      <c r="D12778" s="10" t="s">
        <v>1421</v>
      </c>
      <c r="E12778" s="14">
        <v>1.0</v>
      </c>
      <c r="F12778" s="15">
        <f t="shared" ref="F12778:F12779" si="1978">ROUND(19,3)</f>
        <v>19</v>
      </c>
      <c r="G12778" s="12">
        <f t="shared" si="1977"/>
        <v>19</v>
      </c>
    </row>
    <row r="12779" ht="24.0" customHeight="1">
      <c r="A12779" s="10" t="s">
        <v>30</v>
      </c>
      <c r="B12779" s="10" t="s">
        <v>26</v>
      </c>
      <c r="C12779" s="10" t="s">
        <v>23</v>
      </c>
      <c r="D12779" s="10" t="s">
        <v>31</v>
      </c>
      <c r="E12779" s="14">
        <v>0.2</v>
      </c>
      <c r="F12779" s="15">
        <f t="shared" si="1978"/>
        <v>19</v>
      </c>
      <c r="G12779" s="12">
        <f t="shared" si="1977"/>
        <v>3.8</v>
      </c>
    </row>
    <row r="12780" ht="15.0" customHeight="1">
      <c r="A12780" s="11"/>
      <c r="B12780" s="11"/>
      <c r="C12780" s="11"/>
      <c r="D12780" s="10" t="s">
        <v>1416</v>
      </c>
      <c r="E12780" s="14">
        <v>0.5</v>
      </c>
      <c r="F12780" s="15">
        <f>ROUND((G12777+G12778+G12779),3)</f>
        <v>43.8</v>
      </c>
      <c r="G12780" s="12">
        <f t="shared" si="1977"/>
        <v>21.9</v>
      </c>
    </row>
    <row r="12781" ht="15.0" customHeight="1">
      <c r="A12781" s="10" t="s">
        <v>32</v>
      </c>
      <c r="B12781" s="10"/>
      <c r="C12781" s="10" t="s">
        <v>33</v>
      </c>
      <c r="D12781" s="10" t="s">
        <v>34</v>
      </c>
      <c r="E12781" s="14">
        <v>5.0</v>
      </c>
      <c r="F12781" s="15">
        <f>ROUND(21.9,3)</f>
        <v>21.9</v>
      </c>
      <c r="G12781" s="12">
        <f>ROUND((E12781*F12781)/100,2)</f>
        <v>1.1</v>
      </c>
    </row>
    <row r="12782" ht="15.0" customHeight="1">
      <c r="A12782" s="16"/>
      <c r="B12782" s="16"/>
      <c r="C12782" s="16"/>
      <c r="D12782" s="17" t="s">
        <v>5511</v>
      </c>
      <c r="E12782" s="16"/>
      <c r="F12782" s="18">
        <f>ROUND((G12775+G12776+G12781)*(1+G2/100),2)</f>
        <v>27.77</v>
      </c>
      <c r="G12782" s="16"/>
    </row>
    <row r="12783" ht="76.5" customHeight="1">
      <c r="A12783" s="19" t="s">
        <v>5514</v>
      </c>
      <c r="B12783" s="20" t="s">
        <v>18</v>
      </c>
      <c r="C12783" s="20" t="s">
        <v>19</v>
      </c>
      <c r="D12783" s="20" t="s">
        <v>5515</v>
      </c>
      <c r="E12783" s="21"/>
      <c r="F12783" s="22">
        <f>F12792</f>
        <v>18.48</v>
      </c>
      <c r="G12783" s="21"/>
    </row>
    <row r="12784" ht="30.0" customHeight="1">
      <c r="A12784" s="11"/>
      <c r="B12784" s="11"/>
      <c r="C12784" s="11"/>
      <c r="D12784" s="10" t="s">
        <v>5516</v>
      </c>
    </row>
    <row r="12785" ht="39.75" customHeight="1">
      <c r="A12785" s="10" t="s">
        <v>5075</v>
      </c>
      <c r="B12785" s="10" t="s">
        <v>42</v>
      </c>
      <c r="C12785" s="10" t="s">
        <v>276</v>
      </c>
      <c r="D12785" s="10" t="s">
        <v>5076</v>
      </c>
      <c r="E12785" s="14">
        <v>0.01667</v>
      </c>
      <c r="F12785" s="15">
        <f>ROUND(115.33,3)</f>
        <v>115.33</v>
      </c>
      <c r="G12785" s="12">
        <f t="shared" ref="G12785:G12790" si="1979">ROUND(E12785*F12785,2)</f>
        <v>1.92</v>
      </c>
    </row>
    <row r="12786" ht="21.0" customHeight="1">
      <c r="A12786" s="10" t="s">
        <v>1416</v>
      </c>
      <c r="B12786" s="10" t="s">
        <v>18</v>
      </c>
      <c r="C12786" s="10" t="s">
        <v>23</v>
      </c>
      <c r="D12786" s="10" t="s">
        <v>1417</v>
      </c>
      <c r="E12786" s="14">
        <v>0.36</v>
      </c>
      <c r="F12786" s="15">
        <f>F12790</f>
        <v>43.8</v>
      </c>
      <c r="G12786" s="12">
        <f t="shared" si="1979"/>
        <v>15.77</v>
      </c>
    </row>
    <row r="12787" ht="24.0" customHeight="1">
      <c r="A12787" s="10" t="s">
        <v>1418</v>
      </c>
      <c r="B12787" s="10" t="s">
        <v>26</v>
      </c>
      <c r="C12787" s="10" t="s">
        <v>23</v>
      </c>
      <c r="D12787" s="10" t="s">
        <v>1419</v>
      </c>
      <c r="E12787" s="14">
        <v>1.0</v>
      </c>
      <c r="F12787" s="15">
        <f>ROUND(21,3)</f>
        <v>21</v>
      </c>
      <c r="G12787" s="12">
        <f t="shared" si="1979"/>
        <v>21</v>
      </c>
    </row>
    <row r="12788" ht="24.0" customHeight="1">
      <c r="A12788" s="10" t="s">
        <v>1420</v>
      </c>
      <c r="B12788" s="10" t="s">
        <v>26</v>
      </c>
      <c r="C12788" s="10" t="s">
        <v>23</v>
      </c>
      <c r="D12788" s="10" t="s">
        <v>1421</v>
      </c>
      <c r="E12788" s="14">
        <v>1.0</v>
      </c>
      <c r="F12788" s="15">
        <f t="shared" ref="F12788:F12789" si="1980">ROUND(19,3)</f>
        <v>19</v>
      </c>
      <c r="G12788" s="12">
        <f t="shared" si="1979"/>
        <v>19</v>
      </c>
    </row>
    <row r="12789" ht="24.0" customHeight="1">
      <c r="A12789" s="10" t="s">
        <v>30</v>
      </c>
      <c r="B12789" s="10" t="s">
        <v>26</v>
      </c>
      <c r="C12789" s="10" t="s">
        <v>23</v>
      </c>
      <c r="D12789" s="10" t="s">
        <v>31</v>
      </c>
      <c r="E12789" s="14">
        <v>0.2</v>
      </c>
      <c r="F12789" s="15">
        <f t="shared" si="1980"/>
        <v>19</v>
      </c>
      <c r="G12789" s="12">
        <f t="shared" si="1979"/>
        <v>3.8</v>
      </c>
    </row>
    <row r="12790" ht="15.0" customHeight="1">
      <c r="A12790" s="11"/>
      <c r="B12790" s="11"/>
      <c r="C12790" s="11"/>
      <c r="D12790" s="10" t="s">
        <v>1416</v>
      </c>
      <c r="E12790" s="14">
        <v>0.36</v>
      </c>
      <c r="F12790" s="15">
        <f>ROUND((G12787+G12788+G12789),3)</f>
        <v>43.8</v>
      </c>
      <c r="G12790" s="12">
        <f t="shared" si="1979"/>
        <v>15.77</v>
      </c>
    </row>
    <row r="12791" ht="15.0" customHeight="1">
      <c r="A12791" s="10" t="s">
        <v>32</v>
      </c>
      <c r="B12791" s="10"/>
      <c r="C12791" s="10" t="s">
        <v>33</v>
      </c>
      <c r="D12791" s="10" t="s">
        <v>34</v>
      </c>
      <c r="E12791" s="14">
        <v>5.0</v>
      </c>
      <c r="F12791" s="15">
        <f>ROUND(15.77,3)</f>
        <v>15.77</v>
      </c>
      <c r="G12791" s="12">
        <f>ROUND((E12791*F12791)/100,2)</f>
        <v>0.79</v>
      </c>
    </row>
    <row r="12792" ht="15.0" customHeight="1">
      <c r="A12792" s="16"/>
      <c r="B12792" s="16"/>
      <c r="C12792" s="16"/>
      <c r="D12792" s="17" t="s">
        <v>5514</v>
      </c>
      <c r="E12792" s="16"/>
      <c r="F12792" s="18">
        <f>ROUND((G12785+G12786+G12791)*(1+G2/100),2)</f>
        <v>18.48</v>
      </c>
      <c r="G12792" s="16"/>
    </row>
    <row r="12793" ht="67.5" customHeight="1">
      <c r="A12793" s="19" t="s">
        <v>5517</v>
      </c>
      <c r="B12793" s="20" t="s">
        <v>18</v>
      </c>
      <c r="C12793" s="20" t="s">
        <v>19</v>
      </c>
      <c r="D12793" s="20" t="s">
        <v>5518</v>
      </c>
      <c r="E12793" s="21"/>
      <c r="F12793" s="22">
        <f>F12802</f>
        <v>18.57</v>
      </c>
      <c r="G12793" s="21"/>
    </row>
    <row r="12794" ht="30.0" customHeight="1">
      <c r="A12794" s="11"/>
      <c r="B12794" s="11"/>
      <c r="C12794" s="11"/>
      <c r="D12794" s="10" t="s">
        <v>5519</v>
      </c>
    </row>
    <row r="12795" ht="57.75" customHeight="1">
      <c r="A12795" s="10" t="s">
        <v>5083</v>
      </c>
      <c r="B12795" s="10" t="s">
        <v>42</v>
      </c>
      <c r="C12795" s="10" t="s">
        <v>276</v>
      </c>
      <c r="D12795" s="10" t="s">
        <v>5084</v>
      </c>
      <c r="E12795" s="14">
        <v>0.0275</v>
      </c>
      <c r="F12795" s="15">
        <f>ROUND(173.43,3)</f>
        <v>173.43</v>
      </c>
      <c r="G12795" s="12">
        <f t="shared" ref="G12795:G12800" si="1981">ROUND(E12795*F12795,2)</f>
        <v>4.77</v>
      </c>
    </row>
    <row r="12796" ht="21.0" customHeight="1">
      <c r="A12796" s="10" t="s">
        <v>1416</v>
      </c>
      <c r="B12796" s="10" t="s">
        <v>18</v>
      </c>
      <c r="C12796" s="10" t="s">
        <v>23</v>
      </c>
      <c r="D12796" s="10" t="s">
        <v>1417</v>
      </c>
      <c r="E12796" s="14">
        <v>0.3</v>
      </c>
      <c r="F12796" s="15">
        <f>F12800</f>
        <v>43.8</v>
      </c>
      <c r="G12796" s="12">
        <f t="shared" si="1981"/>
        <v>13.14</v>
      </c>
    </row>
    <row r="12797" ht="24.0" customHeight="1">
      <c r="A12797" s="10" t="s">
        <v>1418</v>
      </c>
      <c r="B12797" s="10" t="s">
        <v>26</v>
      </c>
      <c r="C12797" s="10" t="s">
        <v>23</v>
      </c>
      <c r="D12797" s="10" t="s">
        <v>1419</v>
      </c>
      <c r="E12797" s="14">
        <v>1.0</v>
      </c>
      <c r="F12797" s="15">
        <f>ROUND(21,3)</f>
        <v>21</v>
      </c>
      <c r="G12797" s="12">
        <f t="shared" si="1981"/>
        <v>21</v>
      </c>
    </row>
    <row r="12798" ht="24.0" customHeight="1">
      <c r="A12798" s="10" t="s">
        <v>1420</v>
      </c>
      <c r="B12798" s="10" t="s">
        <v>26</v>
      </c>
      <c r="C12798" s="10" t="s">
        <v>23</v>
      </c>
      <c r="D12798" s="10" t="s">
        <v>1421</v>
      </c>
      <c r="E12798" s="14">
        <v>1.0</v>
      </c>
      <c r="F12798" s="15">
        <f t="shared" ref="F12798:F12799" si="1982">ROUND(19,3)</f>
        <v>19</v>
      </c>
      <c r="G12798" s="12">
        <f t="shared" si="1981"/>
        <v>19</v>
      </c>
    </row>
    <row r="12799" ht="24.0" customHeight="1">
      <c r="A12799" s="10" t="s">
        <v>30</v>
      </c>
      <c r="B12799" s="10" t="s">
        <v>26</v>
      </c>
      <c r="C12799" s="10" t="s">
        <v>23</v>
      </c>
      <c r="D12799" s="10" t="s">
        <v>31</v>
      </c>
      <c r="E12799" s="14">
        <v>0.2</v>
      </c>
      <c r="F12799" s="15">
        <f t="shared" si="1982"/>
        <v>19</v>
      </c>
      <c r="G12799" s="12">
        <f t="shared" si="1981"/>
        <v>3.8</v>
      </c>
    </row>
    <row r="12800" ht="15.0" customHeight="1">
      <c r="A12800" s="11"/>
      <c r="B12800" s="11"/>
      <c r="C12800" s="11"/>
      <c r="D12800" s="10" t="s">
        <v>1416</v>
      </c>
      <c r="E12800" s="14">
        <v>0.3</v>
      </c>
      <c r="F12800" s="15">
        <f>ROUND((G12797+G12798+G12799),3)</f>
        <v>43.8</v>
      </c>
      <c r="G12800" s="12">
        <f t="shared" si="1981"/>
        <v>13.14</v>
      </c>
    </row>
    <row r="12801" ht="15.0" customHeight="1">
      <c r="A12801" s="10" t="s">
        <v>32</v>
      </c>
      <c r="B12801" s="10"/>
      <c r="C12801" s="10" t="s">
        <v>33</v>
      </c>
      <c r="D12801" s="10" t="s">
        <v>34</v>
      </c>
      <c r="E12801" s="14">
        <v>5.0</v>
      </c>
      <c r="F12801" s="15">
        <f>ROUND(13.14,3)</f>
        <v>13.14</v>
      </c>
      <c r="G12801" s="12">
        <f>ROUND((E12801*F12801)/100,2)</f>
        <v>0.66</v>
      </c>
    </row>
    <row r="12802" ht="15.0" customHeight="1">
      <c r="A12802" s="16"/>
      <c r="B12802" s="16"/>
      <c r="C12802" s="16"/>
      <c r="D12802" s="17" t="s">
        <v>5517</v>
      </c>
      <c r="E12802" s="16"/>
      <c r="F12802" s="18">
        <f>ROUND((G12795+G12796+G12801)*(1+G2/100),2)</f>
        <v>18.57</v>
      </c>
      <c r="G12802" s="16"/>
    </row>
    <row r="12803" ht="76.5" customHeight="1">
      <c r="A12803" s="19" t="s">
        <v>5520</v>
      </c>
      <c r="B12803" s="20" t="s">
        <v>18</v>
      </c>
      <c r="C12803" s="20" t="s">
        <v>19</v>
      </c>
      <c r="D12803" s="20" t="s">
        <v>5521</v>
      </c>
      <c r="E12803" s="21"/>
      <c r="F12803" s="22">
        <f>F12812</f>
        <v>15.72</v>
      </c>
      <c r="G12803" s="21"/>
    </row>
    <row r="12804" ht="30.0" customHeight="1">
      <c r="A12804" s="11"/>
      <c r="B12804" s="11"/>
      <c r="C12804" s="11"/>
      <c r="D12804" s="10" t="s">
        <v>5522</v>
      </c>
    </row>
    <row r="12805" ht="39.75" customHeight="1">
      <c r="A12805" s="10" t="s">
        <v>5075</v>
      </c>
      <c r="B12805" s="10" t="s">
        <v>42</v>
      </c>
      <c r="C12805" s="10" t="s">
        <v>276</v>
      </c>
      <c r="D12805" s="10" t="s">
        <v>5076</v>
      </c>
      <c r="E12805" s="14">
        <v>0.01667</v>
      </c>
      <c r="F12805" s="15">
        <f>ROUND(115.33,3)</f>
        <v>115.33</v>
      </c>
      <c r="G12805" s="12">
        <f t="shared" ref="G12805:G12810" si="1983">ROUND(E12805*F12805,2)</f>
        <v>1.92</v>
      </c>
    </row>
    <row r="12806" ht="21.0" customHeight="1">
      <c r="A12806" s="10" t="s">
        <v>1416</v>
      </c>
      <c r="B12806" s="10" t="s">
        <v>18</v>
      </c>
      <c r="C12806" s="10" t="s">
        <v>23</v>
      </c>
      <c r="D12806" s="10" t="s">
        <v>1417</v>
      </c>
      <c r="E12806" s="14">
        <v>0.3</v>
      </c>
      <c r="F12806" s="15">
        <f>F12810</f>
        <v>43.8</v>
      </c>
      <c r="G12806" s="12">
        <f t="shared" si="1983"/>
        <v>13.14</v>
      </c>
    </row>
    <row r="12807" ht="24.0" customHeight="1">
      <c r="A12807" s="10" t="s">
        <v>1418</v>
      </c>
      <c r="B12807" s="10" t="s">
        <v>26</v>
      </c>
      <c r="C12807" s="10" t="s">
        <v>23</v>
      </c>
      <c r="D12807" s="10" t="s">
        <v>1419</v>
      </c>
      <c r="E12807" s="14">
        <v>1.0</v>
      </c>
      <c r="F12807" s="15">
        <f>ROUND(21,3)</f>
        <v>21</v>
      </c>
      <c r="G12807" s="12">
        <f t="shared" si="1983"/>
        <v>21</v>
      </c>
    </row>
    <row r="12808" ht="24.0" customHeight="1">
      <c r="A12808" s="10" t="s">
        <v>1420</v>
      </c>
      <c r="B12808" s="10" t="s">
        <v>26</v>
      </c>
      <c r="C12808" s="10" t="s">
        <v>23</v>
      </c>
      <c r="D12808" s="10" t="s">
        <v>1421</v>
      </c>
      <c r="E12808" s="14">
        <v>1.0</v>
      </c>
      <c r="F12808" s="15">
        <f t="shared" ref="F12808:F12809" si="1984">ROUND(19,3)</f>
        <v>19</v>
      </c>
      <c r="G12808" s="12">
        <f t="shared" si="1983"/>
        <v>19</v>
      </c>
    </row>
    <row r="12809" ht="24.0" customHeight="1">
      <c r="A12809" s="10" t="s">
        <v>30</v>
      </c>
      <c r="B12809" s="10" t="s">
        <v>26</v>
      </c>
      <c r="C12809" s="10" t="s">
        <v>23</v>
      </c>
      <c r="D12809" s="10" t="s">
        <v>31</v>
      </c>
      <c r="E12809" s="14">
        <v>0.2</v>
      </c>
      <c r="F12809" s="15">
        <f t="shared" si="1984"/>
        <v>19</v>
      </c>
      <c r="G12809" s="12">
        <f t="shared" si="1983"/>
        <v>3.8</v>
      </c>
    </row>
    <row r="12810" ht="15.0" customHeight="1">
      <c r="A12810" s="11"/>
      <c r="B12810" s="11"/>
      <c r="C12810" s="11"/>
      <c r="D12810" s="10" t="s">
        <v>1416</v>
      </c>
      <c r="E12810" s="14">
        <v>0.3</v>
      </c>
      <c r="F12810" s="15">
        <f>ROUND((G12807+G12808+G12809),3)</f>
        <v>43.8</v>
      </c>
      <c r="G12810" s="12">
        <f t="shared" si="1983"/>
        <v>13.14</v>
      </c>
    </row>
    <row r="12811" ht="15.0" customHeight="1">
      <c r="A12811" s="10" t="s">
        <v>32</v>
      </c>
      <c r="B12811" s="10"/>
      <c r="C12811" s="10" t="s">
        <v>33</v>
      </c>
      <c r="D12811" s="10" t="s">
        <v>34</v>
      </c>
      <c r="E12811" s="14">
        <v>5.0</v>
      </c>
      <c r="F12811" s="15">
        <f>ROUND(13.14,3)</f>
        <v>13.14</v>
      </c>
      <c r="G12811" s="12">
        <f>ROUND((E12811*F12811)/100,2)</f>
        <v>0.66</v>
      </c>
    </row>
    <row r="12812" ht="15.0" customHeight="1">
      <c r="A12812" s="16"/>
      <c r="B12812" s="16"/>
      <c r="C12812" s="16"/>
      <c r="D12812" s="17" t="s">
        <v>5520</v>
      </c>
      <c r="E12812" s="16"/>
      <c r="F12812" s="18">
        <f>ROUND((G12805+G12806+G12811)*(1+G2/100),2)</f>
        <v>15.72</v>
      </c>
      <c r="G12812" s="16"/>
    </row>
    <row r="12813" ht="67.5" customHeight="1">
      <c r="A12813" s="19" t="s">
        <v>5523</v>
      </c>
      <c r="B12813" s="20" t="s">
        <v>18</v>
      </c>
      <c r="C12813" s="20" t="s">
        <v>19</v>
      </c>
      <c r="D12813" s="20" t="s">
        <v>5524</v>
      </c>
      <c r="E12813" s="21"/>
      <c r="F12813" s="22">
        <f>F12822</f>
        <v>25.47</v>
      </c>
      <c r="G12813" s="21"/>
    </row>
    <row r="12814" ht="30.0" customHeight="1">
      <c r="A12814" s="11"/>
      <c r="B12814" s="11"/>
      <c r="C12814" s="11"/>
      <c r="D12814" s="10" t="s">
        <v>5525</v>
      </c>
    </row>
    <row r="12815" ht="57.75" customHeight="1">
      <c r="A12815" s="10" t="s">
        <v>5083</v>
      </c>
      <c r="B12815" s="10" t="s">
        <v>42</v>
      </c>
      <c r="C12815" s="10" t="s">
        <v>276</v>
      </c>
      <c r="D12815" s="10" t="s">
        <v>5084</v>
      </c>
      <c r="E12815" s="14">
        <v>0.0275</v>
      </c>
      <c r="F12815" s="15">
        <f>ROUND(173.43,3)</f>
        <v>173.43</v>
      </c>
      <c r="G12815" s="12">
        <f t="shared" ref="G12815:G12820" si="1985">ROUND(E12815*F12815,2)</f>
        <v>4.77</v>
      </c>
    </row>
    <row r="12816" ht="21.0" customHeight="1">
      <c r="A12816" s="10" t="s">
        <v>1416</v>
      </c>
      <c r="B12816" s="10" t="s">
        <v>18</v>
      </c>
      <c r="C12816" s="10" t="s">
        <v>23</v>
      </c>
      <c r="D12816" s="10" t="s">
        <v>1417</v>
      </c>
      <c r="E12816" s="14">
        <v>0.45</v>
      </c>
      <c r="F12816" s="15">
        <f>F12820</f>
        <v>43.8</v>
      </c>
      <c r="G12816" s="12">
        <f t="shared" si="1985"/>
        <v>19.71</v>
      </c>
    </row>
    <row r="12817" ht="24.0" customHeight="1">
      <c r="A12817" s="10" t="s">
        <v>1418</v>
      </c>
      <c r="B12817" s="10" t="s">
        <v>26</v>
      </c>
      <c r="C12817" s="10" t="s">
        <v>23</v>
      </c>
      <c r="D12817" s="10" t="s">
        <v>1419</v>
      </c>
      <c r="E12817" s="14">
        <v>1.0</v>
      </c>
      <c r="F12817" s="15">
        <f>ROUND(21,3)</f>
        <v>21</v>
      </c>
      <c r="G12817" s="12">
        <f t="shared" si="1985"/>
        <v>21</v>
      </c>
    </row>
    <row r="12818" ht="24.0" customHeight="1">
      <c r="A12818" s="10" t="s">
        <v>1420</v>
      </c>
      <c r="B12818" s="10" t="s">
        <v>26</v>
      </c>
      <c r="C12818" s="10" t="s">
        <v>23</v>
      </c>
      <c r="D12818" s="10" t="s">
        <v>1421</v>
      </c>
      <c r="E12818" s="14">
        <v>1.0</v>
      </c>
      <c r="F12818" s="15">
        <f t="shared" ref="F12818:F12819" si="1986">ROUND(19,3)</f>
        <v>19</v>
      </c>
      <c r="G12818" s="12">
        <f t="shared" si="1985"/>
        <v>19</v>
      </c>
    </row>
    <row r="12819" ht="24.0" customHeight="1">
      <c r="A12819" s="10" t="s">
        <v>30</v>
      </c>
      <c r="B12819" s="10" t="s">
        <v>26</v>
      </c>
      <c r="C12819" s="10" t="s">
        <v>23</v>
      </c>
      <c r="D12819" s="10" t="s">
        <v>31</v>
      </c>
      <c r="E12819" s="14">
        <v>0.2</v>
      </c>
      <c r="F12819" s="15">
        <f t="shared" si="1986"/>
        <v>19</v>
      </c>
      <c r="G12819" s="12">
        <f t="shared" si="1985"/>
        <v>3.8</v>
      </c>
    </row>
    <row r="12820" ht="15.0" customHeight="1">
      <c r="A12820" s="11"/>
      <c r="B12820" s="11"/>
      <c r="C12820" s="11"/>
      <c r="D12820" s="10" t="s">
        <v>1416</v>
      </c>
      <c r="E12820" s="14">
        <v>0.45</v>
      </c>
      <c r="F12820" s="15">
        <f>ROUND((G12817+G12818+G12819),3)</f>
        <v>43.8</v>
      </c>
      <c r="G12820" s="12">
        <f t="shared" si="1985"/>
        <v>19.71</v>
      </c>
    </row>
    <row r="12821" ht="15.0" customHeight="1">
      <c r="A12821" s="10" t="s">
        <v>32</v>
      </c>
      <c r="B12821" s="10"/>
      <c r="C12821" s="10" t="s">
        <v>33</v>
      </c>
      <c r="D12821" s="10" t="s">
        <v>34</v>
      </c>
      <c r="E12821" s="14">
        <v>5.0</v>
      </c>
      <c r="F12821" s="15">
        <f>ROUND(19.71,3)</f>
        <v>19.71</v>
      </c>
      <c r="G12821" s="12">
        <f>ROUND((E12821*F12821)/100,2)</f>
        <v>0.99</v>
      </c>
    </row>
    <row r="12822" ht="15.0" customHeight="1">
      <c r="A12822" s="16"/>
      <c r="B12822" s="16"/>
      <c r="C12822" s="16"/>
      <c r="D12822" s="17" t="s">
        <v>5523</v>
      </c>
      <c r="E12822" s="16"/>
      <c r="F12822" s="18">
        <f>ROUND((G12815+G12816+G12821)*(1+G2/100),2)</f>
        <v>25.47</v>
      </c>
      <c r="G12822" s="16"/>
    </row>
    <row r="12823" ht="76.5" customHeight="1">
      <c r="A12823" s="19" t="s">
        <v>5526</v>
      </c>
      <c r="B12823" s="20" t="s">
        <v>18</v>
      </c>
      <c r="C12823" s="20" t="s">
        <v>19</v>
      </c>
      <c r="D12823" s="20" t="s">
        <v>5527</v>
      </c>
      <c r="E12823" s="21"/>
      <c r="F12823" s="22">
        <f>F12832</f>
        <v>22.62</v>
      </c>
      <c r="G12823" s="21"/>
    </row>
    <row r="12824" ht="30.0" customHeight="1">
      <c r="A12824" s="11"/>
      <c r="B12824" s="11"/>
      <c r="C12824" s="11"/>
      <c r="D12824" s="10" t="s">
        <v>5528</v>
      </c>
    </row>
    <row r="12825" ht="39.75" customHeight="1">
      <c r="A12825" s="10" t="s">
        <v>5075</v>
      </c>
      <c r="B12825" s="10" t="s">
        <v>42</v>
      </c>
      <c r="C12825" s="10" t="s">
        <v>276</v>
      </c>
      <c r="D12825" s="10" t="s">
        <v>5076</v>
      </c>
      <c r="E12825" s="14">
        <v>0.01667</v>
      </c>
      <c r="F12825" s="15">
        <f>ROUND(115.33,3)</f>
        <v>115.33</v>
      </c>
      <c r="G12825" s="12">
        <f t="shared" ref="G12825:G12830" si="1987">ROUND(E12825*F12825,2)</f>
        <v>1.92</v>
      </c>
    </row>
    <row r="12826" ht="21.0" customHeight="1">
      <c r="A12826" s="10" t="s">
        <v>1416</v>
      </c>
      <c r="B12826" s="10" t="s">
        <v>18</v>
      </c>
      <c r="C12826" s="10" t="s">
        <v>23</v>
      </c>
      <c r="D12826" s="10" t="s">
        <v>1417</v>
      </c>
      <c r="E12826" s="14">
        <v>0.45</v>
      </c>
      <c r="F12826" s="15">
        <f>F12830</f>
        <v>43.8</v>
      </c>
      <c r="G12826" s="12">
        <f t="shared" si="1987"/>
        <v>19.71</v>
      </c>
    </row>
    <row r="12827" ht="24.0" customHeight="1">
      <c r="A12827" s="10" t="s">
        <v>1418</v>
      </c>
      <c r="B12827" s="10" t="s">
        <v>26</v>
      </c>
      <c r="C12827" s="10" t="s">
        <v>23</v>
      </c>
      <c r="D12827" s="10" t="s">
        <v>1419</v>
      </c>
      <c r="E12827" s="14">
        <v>1.0</v>
      </c>
      <c r="F12827" s="15">
        <f>ROUND(21,3)</f>
        <v>21</v>
      </c>
      <c r="G12827" s="12">
        <f t="shared" si="1987"/>
        <v>21</v>
      </c>
    </row>
    <row r="12828" ht="24.0" customHeight="1">
      <c r="A12828" s="10" t="s">
        <v>1420</v>
      </c>
      <c r="B12828" s="10" t="s">
        <v>26</v>
      </c>
      <c r="C12828" s="10" t="s">
        <v>23</v>
      </c>
      <c r="D12828" s="10" t="s">
        <v>1421</v>
      </c>
      <c r="E12828" s="14">
        <v>1.0</v>
      </c>
      <c r="F12828" s="15">
        <f t="shared" ref="F12828:F12829" si="1988">ROUND(19,3)</f>
        <v>19</v>
      </c>
      <c r="G12828" s="12">
        <f t="shared" si="1987"/>
        <v>19</v>
      </c>
    </row>
    <row r="12829" ht="24.0" customHeight="1">
      <c r="A12829" s="10" t="s">
        <v>30</v>
      </c>
      <c r="B12829" s="10" t="s">
        <v>26</v>
      </c>
      <c r="C12829" s="10" t="s">
        <v>23</v>
      </c>
      <c r="D12829" s="10" t="s">
        <v>31</v>
      </c>
      <c r="E12829" s="14">
        <v>0.2</v>
      </c>
      <c r="F12829" s="15">
        <f t="shared" si="1988"/>
        <v>19</v>
      </c>
      <c r="G12829" s="12">
        <f t="shared" si="1987"/>
        <v>3.8</v>
      </c>
    </row>
    <row r="12830" ht="15.0" customHeight="1">
      <c r="A12830" s="11"/>
      <c r="B12830" s="11"/>
      <c r="C12830" s="11"/>
      <c r="D12830" s="10" t="s">
        <v>1416</v>
      </c>
      <c r="E12830" s="14">
        <v>0.45</v>
      </c>
      <c r="F12830" s="15">
        <f>ROUND((G12827+G12828+G12829),3)</f>
        <v>43.8</v>
      </c>
      <c r="G12830" s="12">
        <f t="shared" si="1987"/>
        <v>19.71</v>
      </c>
    </row>
    <row r="12831" ht="15.0" customHeight="1">
      <c r="A12831" s="10" t="s">
        <v>32</v>
      </c>
      <c r="B12831" s="10"/>
      <c r="C12831" s="10" t="s">
        <v>33</v>
      </c>
      <c r="D12831" s="10" t="s">
        <v>34</v>
      </c>
      <c r="E12831" s="14">
        <v>5.0</v>
      </c>
      <c r="F12831" s="15">
        <f>ROUND(19.71,3)</f>
        <v>19.71</v>
      </c>
      <c r="G12831" s="12">
        <f>ROUND((E12831*F12831)/100,2)</f>
        <v>0.99</v>
      </c>
    </row>
    <row r="12832" ht="15.0" customHeight="1">
      <c r="A12832" s="16"/>
      <c r="B12832" s="16"/>
      <c r="C12832" s="16"/>
      <c r="D12832" s="17" t="s">
        <v>5526</v>
      </c>
      <c r="E12832" s="16"/>
      <c r="F12832" s="18">
        <f>ROUND((G12825+G12826+G12831)*(1+G2/100),2)</f>
        <v>22.62</v>
      </c>
      <c r="G12832" s="16"/>
    </row>
    <row r="12833" ht="48.75" customHeight="1">
      <c r="A12833" s="19" t="s">
        <v>5529</v>
      </c>
      <c r="B12833" s="20" t="s">
        <v>18</v>
      </c>
      <c r="C12833" s="20" t="s">
        <v>19</v>
      </c>
      <c r="D12833" s="20" t="s">
        <v>5530</v>
      </c>
      <c r="E12833" s="21"/>
      <c r="F12833" s="22">
        <f>F12843</f>
        <v>33.23</v>
      </c>
      <c r="G12833" s="21"/>
    </row>
    <row r="12834" ht="21.0" customHeight="1">
      <c r="A12834" s="11"/>
      <c r="B12834" s="11"/>
      <c r="C12834" s="11"/>
      <c r="D12834" s="10" t="s">
        <v>5531</v>
      </c>
    </row>
    <row r="12835" ht="39.75" customHeight="1">
      <c r="A12835" s="10" t="s">
        <v>5205</v>
      </c>
      <c r="B12835" s="10" t="s">
        <v>42</v>
      </c>
      <c r="C12835" s="10" t="s">
        <v>43</v>
      </c>
      <c r="D12835" s="10" t="s">
        <v>5206</v>
      </c>
      <c r="E12835" s="14">
        <v>0.04</v>
      </c>
      <c r="F12835" s="15">
        <f>ROUND(43.02,3)</f>
        <v>43.02</v>
      </c>
      <c r="G12835" s="12">
        <f t="shared" ref="G12835:G12841" si="1989">ROUND(E12835*F12835,2)</f>
        <v>1.72</v>
      </c>
    </row>
    <row r="12836" ht="39.75" customHeight="1">
      <c r="A12836" s="10" t="s">
        <v>5207</v>
      </c>
      <c r="B12836" s="10" t="s">
        <v>42</v>
      </c>
      <c r="C12836" s="10" t="s">
        <v>43</v>
      </c>
      <c r="D12836" s="10" t="s">
        <v>5208</v>
      </c>
      <c r="E12836" s="14">
        <v>0.08</v>
      </c>
      <c r="F12836" s="15">
        <f>ROUND(71.91,3)</f>
        <v>71.91</v>
      </c>
      <c r="G12836" s="12">
        <f t="shared" si="1989"/>
        <v>5.75</v>
      </c>
    </row>
    <row r="12837" ht="21.0" customHeight="1">
      <c r="A12837" s="10" t="s">
        <v>1416</v>
      </c>
      <c r="B12837" s="10" t="s">
        <v>18</v>
      </c>
      <c r="C12837" s="10" t="s">
        <v>23</v>
      </c>
      <c r="D12837" s="10" t="s">
        <v>1417</v>
      </c>
      <c r="E12837" s="14">
        <v>0.56</v>
      </c>
      <c r="F12837" s="15">
        <f>F12841</f>
        <v>43.8</v>
      </c>
      <c r="G12837" s="12">
        <f t="shared" si="1989"/>
        <v>24.53</v>
      </c>
    </row>
    <row r="12838" ht="24.0" customHeight="1">
      <c r="A12838" s="10" t="s">
        <v>1418</v>
      </c>
      <c r="B12838" s="10" t="s">
        <v>26</v>
      </c>
      <c r="C12838" s="10" t="s">
        <v>23</v>
      </c>
      <c r="D12838" s="10" t="s">
        <v>1419</v>
      </c>
      <c r="E12838" s="14">
        <v>1.0</v>
      </c>
      <c r="F12838" s="15">
        <f>ROUND(21,3)</f>
        <v>21</v>
      </c>
      <c r="G12838" s="12">
        <f t="shared" si="1989"/>
        <v>21</v>
      </c>
    </row>
    <row r="12839" ht="24.0" customHeight="1">
      <c r="A12839" s="10" t="s">
        <v>1420</v>
      </c>
      <c r="B12839" s="10" t="s">
        <v>26</v>
      </c>
      <c r="C12839" s="10" t="s">
        <v>23</v>
      </c>
      <c r="D12839" s="10" t="s">
        <v>1421</v>
      </c>
      <c r="E12839" s="14">
        <v>1.0</v>
      </c>
      <c r="F12839" s="15">
        <f t="shared" ref="F12839:F12840" si="1990">ROUND(19,3)</f>
        <v>19</v>
      </c>
      <c r="G12839" s="12">
        <f t="shared" si="1989"/>
        <v>19</v>
      </c>
    </row>
    <row r="12840" ht="24.0" customHeight="1">
      <c r="A12840" s="10" t="s">
        <v>30</v>
      </c>
      <c r="B12840" s="10" t="s">
        <v>26</v>
      </c>
      <c r="C12840" s="10" t="s">
        <v>23</v>
      </c>
      <c r="D12840" s="10" t="s">
        <v>31</v>
      </c>
      <c r="E12840" s="14">
        <v>0.2</v>
      </c>
      <c r="F12840" s="15">
        <f t="shared" si="1990"/>
        <v>19</v>
      </c>
      <c r="G12840" s="12">
        <f t="shared" si="1989"/>
        <v>3.8</v>
      </c>
    </row>
    <row r="12841" ht="15.0" customHeight="1">
      <c r="A12841" s="11"/>
      <c r="B12841" s="11"/>
      <c r="C12841" s="11"/>
      <c r="D12841" s="10" t="s">
        <v>1416</v>
      </c>
      <c r="E12841" s="14">
        <v>0.56</v>
      </c>
      <c r="F12841" s="15">
        <f>ROUND((G12838+G12839+G12840),3)</f>
        <v>43.8</v>
      </c>
      <c r="G12841" s="12">
        <f t="shared" si="1989"/>
        <v>24.53</v>
      </c>
    </row>
    <row r="12842" ht="15.0" customHeight="1">
      <c r="A12842" s="10" t="s">
        <v>32</v>
      </c>
      <c r="B12842" s="10"/>
      <c r="C12842" s="10" t="s">
        <v>33</v>
      </c>
      <c r="D12842" s="10" t="s">
        <v>34</v>
      </c>
      <c r="E12842" s="14">
        <v>5.0</v>
      </c>
      <c r="F12842" s="15">
        <f>ROUND(24.53,3)</f>
        <v>24.53</v>
      </c>
      <c r="G12842" s="12">
        <f>ROUND((E12842*F12842)/100,2)</f>
        <v>1.23</v>
      </c>
    </row>
    <row r="12843" ht="24.75" customHeight="1">
      <c r="A12843" s="16"/>
      <c r="B12843" s="16"/>
      <c r="C12843" s="16"/>
      <c r="D12843" s="17" t="s">
        <v>5529</v>
      </c>
      <c r="E12843" s="16"/>
      <c r="F12843" s="18">
        <f>ROUND((G12835+G12836+G12837+G12842)*(1+G2/100),2)</f>
        <v>33.23</v>
      </c>
      <c r="G12843" s="16"/>
    </row>
    <row r="12844" ht="39.75" customHeight="1">
      <c r="A12844" s="19" t="s">
        <v>5532</v>
      </c>
      <c r="B12844" s="20" t="s">
        <v>18</v>
      </c>
      <c r="C12844" s="20" t="s">
        <v>19</v>
      </c>
      <c r="D12844" s="20" t="s">
        <v>5533</v>
      </c>
      <c r="E12844" s="21"/>
      <c r="F12844" s="22">
        <f>F12853</f>
        <v>25.95</v>
      </c>
      <c r="G12844" s="21"/>
    </row>
    <row r="12845" ht="12.0" customHeight="1">
      <c r="A12845" s="11"/>
      <c r="B12845" s="11"/>
      <c r="C12845" s="11"/>
      <c r="D12845" s="10" t="s">
        <v>5247</v>
      </c>
    </row>
    <row r="12846" ht="48.75" customHeight="1">
      <c r="A12846" s="10" t="s">
        <v>5248</v>
      </c>
      <c r="B12846" s="10" t="s">
        <v>42</v>
      </c>
      <c r="C12846" s="10" t="s">
        <v>43</v>
      </c>
      <c r="D12846" s="10" t="s">
        <v>5249</v>
      </c>
      <c r="E12846" s="14">
        <v>0.09167</v>
      </c>
      <c r="F12846" s="15">
        <f>ROUND(32.22,3)</f>
        <v>32.22</v>
      </c>
      <c r="G12846" s="12">
        <f t="shared" ref="G12846:G12851" si="1991">ROUND(E12846*F12846,2)</f>
        <v>2.95</v>
      </c>
    </row>
    <row r="12847" ht="21.0" customHeight="1">
      <c r="A12847" s="10" t="s">
        <v>1416</v>
      </c>
      <c r="B12847" s="10" t="s">
        <v>18</v>
      </c>
      <c r="C12847" s="10" t="s">
        <v>23</v>
      </c>
      <c r="D12847" s="10" t="s">
        <v>1417</v>
      </c>
      <c r="E12847" s="14">
        <v>0.5</v>
      </c>
      <c r="F12847" s="15">
        <f>F12851</f>
        <v>43.8</v>
      </c>
      <c r="G12847" s="12">
        <f t="shared" si="1991"/>
        <v>21.9</v>
      </c>
    </row>
    <row r="12848" ht="24.0" customHeight="1">
      <c r="A12848" s="10" t="s">
        <v>1418</v>
      </c>
      <c r="B12848" s="10" t="s">
        <v>26</v>
      </c>
      <c r="C12848" s="10" t="s">
        <v>23</v>
      </c>
      <c r="D12848" s="10" t="s">
        <v>1419</v>
      </c>
      <c r="E12848" s="14">
        <v>1.0</v>
      </c>
      <c r="F12848" s="15">
        <f>ROUND(21,3)</f>
        <v>21</v>
      </c>
      <c r="G12848" s="12">
        <f t="shared" si="1991"/>
        <v>21</v>
      </c>
    </row>
    <row r="12849" ht="24.0" customHeight="1">
      <c r="A12849" s="10" t="s">
        <v>1420</v>
      </c>
      <c r="B12849" s="10" t="s">
        <v>26</v>
      </c>
      <c r="C12849" s="10" t="s">
        <v>23</v>
      </c>
      <c r="D12849" s="10" t="s">
        <v>1421</v>
      </c>
      <c r="E12849" s="14">
        <v>1.0</v>
      </c>
      <c r="F12849" s="15">
        <f t="shared" ref="F12849:F12850" si="1992">ROUND(19,3)</f>
        <v>19</v>
      </c>
      <c r="G12849" s="12">
        <f t="shared" si="1991"/>
        <v>19</v>
      </c>
    </row>
    <row r="12850" ht="24.0" customHeight="1">
      <c r="A12850" s="10" t="s">
        <v>30</v>
      </c>
      <c r="B12850" s="10" t="s">
        <v>26</v>
      </c>
      <c r="C12850" s="10" t="s">
        <v>23</v>
      </c>
      <c r="D12850" s="10" t="s">
        <v>31</v>
      </c>
      <c r="E12850" s="14">
        <v>0.2</v>
      </c>
      <c r="F12850" s="15">
        <f t="shared" si="1992"/>
        <v>19</v>
      </c>
      <c r="G12850" s="12">
        <f t="shared" si="1991"/>
        <v>3.8</v>
      </c>
    </row>
    <row r="12851" ht="15.0" customHeight="1">
      <c r="A12851" s="11"/>
      <c r="B12851" s="11"/>
      <c r="C12851" s="11"/>
      <c r="D12851" s="10" t="s">
        <v>1416</v>
      </c>
      <c r="E12851" s="14">
        <v>0.5</v>
      </c>
      <c r="F12851" s="15">
        <f>ROUND((G12848+G12849+G12850),3)</f>
        <v>43.8</v>
      </c>
      <c r="G12851" s="12">
        <f t="shared" si="1991"/>
        <v>21.9</v>
      </c>
    </row>
    <row r="12852" ht="15.0" customHeight="1">
      <c r="A12852" s="10" t="s">
        <v>32</v>
      </c>
      <c r="B12852" s="10"/>
      <c r="C12852" s="10" t="s">
        <v>33</v>
      </c>
      <c r="D12852" s="10" t="s">
        <v>34</v>
      </c>
      <c r="E12852" s="14">
        <v>5.0</v>
      </c>
      <c r="F12852" s="15">
        <f>ROUND(21.9,3)</f>
        <v>21.9</v>
      </c>
      <c r="G12852" s="12">
        <f>ROUND((E12852*F12852)/100,2)</f>
        <v>1.1</v>
      </c>
    </row>
    <row r="12853" ht="15.0" customHeight="1">
      <c r="A12853" s="16"/>
      <c r="B12853" s="16"/>
      <c r="C12853" s="16"/>
      <c r="D12853" s="17" t="s">
        <v>5532</v>
      </c>
      <c r="E12853" s="16"/>
      <c r="F12853" s="18">
        <f>ROUND((G12846+G12847+G12852)*(1+G2/100),2)</f>
        <v>25.95</v>
      </c>
      <c r="G12853" s="16"/>
    </row>
    <row r="12854" ht="48.75" customHeight="1">
      <c r="A12854" s="19" t="s">
        <v>5534</v>
      </c>
      <c r="B12854" s="20" t="s">
        <v>18</v>
      </c>
      <c r="C12854" s="20" t="s">
        <v>351</v>
      </c>
      <c r="D12854" s="20" t="s">
        <v>5535</v>
      </c>
      <c r="E12854" s="21"/>
      <c r="F12854" s="22">
        <f>F12863</f>
        <v>10.09</v>
      </c>
      <c r="G12854" s="21"/>
    </row>
    <row r="12855" ht="21.0" customHeight="1">
      <c r="A12855" s="11"/>
      <c r="B12855" s="11"/>
      <c r="C12855" s="11"/>
      <c r="D12855" s="10" t="s">
        <v>5536</v>
      </c>
    </row>
    <row r="12856" ht="48.75" customHeight="1">
      <c r="A12856" s="10" t="s">
        <v>5248</v>
      </c>
      <c r="B12856" s="10" t="s">
        <v>42</v>
      </c>
      <c r="C12856" s="10" t="s">
        <v>43</v>
      </c>
      <c r="D12856" s="10" t="s">
        <v>5249</v>
      </c>
      <c r="E12856" s="14">
        <v>0.0275</v>
      </c>
      <c r="F12856" s="15">
        <f>ROUND(32.22,3)</f>
        <v>32.22</v>
      </c>
      <c r="G12856" s="12">
        <f t="shared" ref="G12856:G12861" si="1993">ROUND(E12856*F12856,2)</f>
        <v>0.89</v>
      </c>
    </row>
    <row r="12857" ht="21.0" customHeight="1">
      <c r="A12857" s="10" t="s">
        <v>1416</v>
      </c>
      <c r="B12857" s="10" t="s">
        <v>18</v>
      </c>
      <c r="C12857" s="10" t="s">
        <v>23</v>
      </c>
      <c r="D12857" s="10" t="s">
        <v>1417</v>
      </c>
      <c r="E12857" s="14">
        <v>0.2</v>
      </c>
      <c r="F12857" s="15">
        <f>F12861</f>
        <v>43.8</v>
      </c>
      <c r="G12857" s="12">
        <f t="shared" si="1993"/>
        <v>8.76</v>
      </c>
    </row>
    <row r="12858" ht="24.0" customHeight="1">
      <c r="A12858" s="10" t="s">
        <v>1418</v>
      </c>
      <c r="B12858" s="10" t="s">
        <v>26</v>
      </c>
      <c r="C12858" s="10" t="s">
        <v>23</v>
      </c>
      <c r="D12858" s="10" t="s">
        <v>1419</v>
      </c>
      <c r="E12858" s="14">
        <v>1.0</v>
      </c>
      <c r="F12858" s="15">
        <f>ROUND(21,3)</f>
        <v>21</v>
      </c>
      <c r="G12858" s="12">
        <f t="shared" si="1993"/>
        <v>21</v>
      </c>
    </row>
    <row r="12859" ht="24.0" customHeight="1">
      <c r="A12859" s="10" t="s">
        <v>1420</v>
      </c>
      <c r="B12859" s="10" t="s">
        <v>26</v>
      </c>
      <c r="C12859" s="10" t="s">
        <v>23</v>
      </c>
      <c r="D12859" s="10" t="s">
        <v>1421</v>
      </c>
      <c r="E12859" s="14">
        <v>1.0</v>
      </c>
      <c r="F12859" s="15">
        <f t="shared" ref="F12859:F12860" si="1994">ROUND(19,3)</f>
        <v>19</v>
      </c>
      <c r="G12859" s="12">
        <f t="shared" si="1993"/>
        <v>19</v>
      </c>
    </row>
    <row r="12860" ht="24.0" customHeight="1">
      <c r="A12860" s="10" t="s">
        <v>30</v>
      </c>
      <c r="B12860" s="10" t="s">
        <v>26</v>
      </c>
      <c r="C12860" s="10" t="s">
        <v>23</v>
      </c>
      <c r="D12860" s="10" t="s">
        <v>31</v>
      </c>
      <c r="E12860" s="14">
        <v>0.2</v>
      </c>
      <c r="F12860" s="15">
        <f t="shared" si="1994"/>
        <v>19</v>
      </c>
      <c r="G12860" s="12">
        <f t="shared" si="1993"/>
        <v>3.8</v>
      </c>
    </row>
    <row r="12861" ht="15.0" customHeight="1">
      <c r="A12861" s="11"/>
      <c r="B12861" s="11"/>
      <c r="C12861" s="11"/>
      <c r="D12861" s="10" t="s">
        <v>1416</v>
      </c>
      <c r="E12861" s="14">
        <v>0.2</v>
      </c>
      <c r="F12861" s="15">
        <f>ROUND((G12858+G12859+G12860),3)</f>
        <v>43.8</v>
      </c>
      <c r="G12861" s="12">
        <f t="shared" si="1993"/>
        <v>8.76</v>
      </c>
    </row>
    <row r="12862" ht="15.0" customHeight="1">
      <c r="A12862" s="10" t="s">
        <v>32</v>
      </c>
      <c r="B12862" s="10"/>
      <c r="C12862" s="10" t="s">
        <v>33</v>
      </c>
      <c r="D12862" s="10" t="s">
        <v>34</v>
      </c>
      <c r="E12862" s="14">
        <v>5.0</v>
      </c>
      <c r="F12862" s="15">
        <f>ROUND(8.76,3)</f>
        <v>8.76</v>
      </c>
      <c r="G12862" s="12">
        <f>ROUND((E12862*F12862)/100,2)</f>
        <v>0.44</v>
      </c>
    </row>
    <row r="12863" ht="15.0" customHeight="1">
      <c r="A12863" s="16"/>
      <c r="B12863" s="16"/>
      <c r="C12863" s="16"/>
      <c r="D12863" s="17" t="s">
        <v>5534</v>
      </c>
      <c r="E12863" s="16"/>
      <c r="F12863" s="18">
        <f>ROUND((G12856+G12857+G12862)*(1+G2/100),2)</f>
        <v>10.09</v>
      </c>
      <c r="G12863" s="16"/>
    </row>
    <row r="12864" ht="48.75" customHeight="1">
      <c r="A12864" s="19" t="s">
        <v>5537</v>
      </c>
      <c r="B12864" s="20" t="s">
        <v>18</v>
      </c>
      <c r="C12864" s="20" t="s">
        <v>351</v>
      </c>
      <c r="D12864" s="20" t="s">
        <v>5538</v>
      </c>
      <c r="E12864" s="21"/>
      <c r="F12864" s="22">
        <f>F12873</f>
        <v>11.28</v>
      </c>
      <c r="G12864" s="21"/>
    </row>
    <row r="12865" ht="21.0" customHeight="1">
      <c r="A12865" s="11"/>
      <c r="B12865" s="11"/>
      <c r="C12865" s="11"/>
      <c r="D12865" s="10" t="s">
        <v>5539</v>
      </c>
    </row>
    <row r="12866" ht="48.75" customHeight="1">
      <c r="A12866" s="10" t="s">
        <v>5248</v>
      </c>
      <c r="B12866" s="10" t="s">
        <v>42</v>
      </c>
      <c r="C12866" s="10" t="s">
        <v>43</v>
      </c>
      <c r="D12866" s="10" t="s">
        <v>5249</v>
      </c>
      <c r="E12866" s="14">
        <v>0.036</v>
      </c>
      <c r="F12866" s="15">
        <f>ROUND(32.22,3)</f>
        <v>32.22</v>
      </c>
      <c r="G12866" s="12">
        <f t="shared" ref="G12866:G12871" si="1995">ROUND(E12866*F12866,2)</f>
        <v>1.16</v>
      </c>
    </row>
    <row r="12867" ht="21.0" customHeight="1">
      <c r="A12867" s="10" t="s">
        <v>1416</v>
      </c>
      <c r="B12867" s="10" t="s">
        <v>18</v>
      </c>
      <c r="C12867" s="10" t="s">
        <v>23</v>
      </c>
      <c r="D12867" s="10" t="s">
        <v>1417</v>
      </c>
      <c r="E12867" s="14">
        <v>0.22</v>
      </c>
      <c r="F12867" s="15">
        <f>F12871</f>
        <v>43.8</v>
      </c>
      <c r="G12867" s="12">
        <f t="shared" si="1995"/>
        <v>9.64</v>
      </c>
    </row>
    <row r="12868" ht="24.0" customHeight="1">
      <c r="A12868" s="10" t="s">
        <v>1418</v>
      </c>
      <c r="B12868" s="10" t="s">
        <v>26</v>
      </c>
      <c r="C12868" s="10" t="s">
        <v>23</v>
      </c>
      <c r="D12868" s="10" t="s">
        <v>1419</v>
      </c>
      <c r="E12868" s="14">
        <v>1.0</v>
      </c>
      <c r="F12868" s="15">
        <f>ROUND(21,3)</f>
        <v>21</v>
      </c>
      <c r="G12868" s="12">
        <f t="shared" si="1995"/>
        <v>21</v>
      </c>
    </row>
    <row r="12869" ht="24.0" customHeight="1">
      <c r="A12869" s="10" t="s">
        <v>1420</v>
      </c>
      <c r="B12869" s="10" t="s">
        <v>26</v>
      </c>
      <c r="C12869" s="10" t="s">
        <v>23</v>
      </c>
      <c r="D12869" s="10" t="s">
        <v>1421</v>
      </c>
      <c r="E12869" s="14">
        <v>1.0</v>
      </c>
      <c r="F12869" s="15">
        <f t="shared" ref="F12869:F12870" si="1996">ROUND(19,3)</f>
        <v>19</v>
      </c>
      <c r="G12869" s="12">
        <f t="shared" si="1995"/>
        <v>19</v>
      </c>
    </row>
    <row r="12870" ht="24.0" customHeight="1">
      <c r="A12870" s="10" t="s">
        <v>30</v>
      </c>
      <c r="B12870" s="10" t="s">
        <v>26</v>
      </c>
      <c r="C12870" s="10" t="s">
        <v>23</v>
      </c>
      <c r="D12870" s="10" t="s">
        <v>31</v>
      </c>
      <c r="E12870" s="14">
        <v>0.2</v>
      </c>
      <c r="F12870" s="15">
        <f t="shared" si="1996"/>
        <v>19</v>
      </c>
      <c r="G12870" s="12">
        <f t="shared" si="1995"/>
        <v>3.8</v>
      </c>
    </row>
    <row r="12871" ht="15.0" customHeight="1">
      <c r="A12871" s="11"/>
      <c r="B12871" s="11"/>
      <c r="C12871" s="11"/>
      <c r="D12871" s="10" t="s">
        <v>1416</v>
      </c>
      <c r="E12871" s="14">
        <v>0.22</v>
      </c>
      <c r="F12871" s="15">
        <f>ROUND((G12868+G12869+G12870),3)</f>
        <v>43.8</v>
      </c>
      <c r="G12871" s="12">
        <f t="shared" si="1995"/>
        <v>9.64</v>
      </c>
    </row>
    <row r="12872" ht="15.0" customHeight="1">
      <c r="A12872" s="10" t="s">
        <v>32</v>
      </c>
      <c r="B12872" s="10"/>
      <c r="C12872" s="10" t="s">
        <v>33</v>
      </c>
      <c r="D12872" s="10" t="s">
        <v>34</v>
      </c>
      <c r="E12872" s="14">
        <v>5.0</v>
      </c>
      <c r="F12872" s="15">
        <f>ROUND(9.64,3)</f>
        <v>9.64</v>
      </c>
      <c r="G12872" s="12">
        <f>ROUND((E12872*F12872)/100,2)</f>
        <v>0.48</v>
      </c>
    </row>
    <row r="12873" ht="15.0" customHeight="1">
      <c r="A12873" s="16"/>
      <c r="B12873" s="16"/>
      <c r="C12873" s="16"/>
      <c r="D12873" s="17" t="s">
        <v>5537</v>
      </c>
      <c r="E12873" s="16"/>
      <c r="F12873" s="18">
        <f>ROUND((G12866+G12867+G12872)*(1+G2/100),2)</f>
        <v>11.28</v>
      </c>
      <c r="G12873" s="16"/>
    </row>
    <row r="12874" ht="48.75" customHeight="1">
      <c r="A12874" s="19" t="s">
        <v>5540</v>
      </c>
      <c r="B12874" s="20" t="s">
        <v>18</v>
      </c>
      <c r="C12874" s="20" t="s">
        <v>351</v>
      </c>
      <c r="D12874" s="20" t="s">
        <v>5541</v>
      </c>
      <c r="E12874" s="21"/>
      <c r="F12874" s="22">
        <f>F12883</f>
        <v>14.03</v>
      </c>
      <c r="G12874" s="21"/>
    </row>
    <row r="12875" ht="21.0" customHeight="1">
      <c r="A12875" s="11"/>
      <c r="B12875" s="11"/>
      <c r="C12875" s="11"/>
      <c r="D12875" s="10" t="s">
        <v>5542</v>
      </c>
    </row>
    <row r="12876" ht="48.75" customHeight="1">
      <c r="A12876" s="10" t="s">
        <v>5248</v>
      </c>
      <c r="B12876" s="10" t="s">
        <v>42</v>
      </c>
      <c r="C12876" s="10" t="s">
        <v>43</v>
      </c>
      <c r="D12876" s="10" t="s">
        <v>5249</v>
      </c>
      <c r="E12876" s="14">
        <v>0.036</v>
      </c>
      <c r="F12876" s="15">
        <f>ROUND(32.22,3)</f>
        <v>32.22</v>
      </c>
      <c r="G12876" s="12">
        <f t="shared" ref="G12876:G12881" si="1997">ROUND(E12876*F12876,2)</f>
        <v>1.16</v>
      </c>
    </row>
    <row r="12877" ht="21.0" customHeight="1">
      <c r="A12877" s="10" t="s">
        <v>1416</v>
      </c>
      <c r="B12877" s="10" t="s">
        <v>18</v>
      </c>
      <c r="C12877" s="10" t="s">
        <v>23</v>
      </c>
      <c r="D12877" s="10" t="s">
        <v>1417</v>
      </c>
      <c r="E12877" s="14">
        <v>0.28</v>
      </c>
      <c r="F12877" s="15">
        <f>F12881</f>
        <v>43.8</v>
      </c>
      <c r="G12877" s="12">
        <f t="shared" si="1997"/>
        <v>12.26</v>
      </c>
    </row>
    <row r="12878" ht="24.0" customHeight="1">
      <c r="A12878" s="10" t="s">
        <v>1418</v>
      </c>
      <c r="B12878" s="10" t="s">
        <v>26</v>
      </c>
      <c r="C12878" s="10" t="s">
        <v>23</v>
      </c>
      <c r="D12878" s="10" t="s">
        <v>1419</v>
      </c>
      <c r="E12878" s="14">
        <v>1.0</v>
      </c>
      <c r="F12878" s="15">
        <f>ROUND(21,3)</f>
        <v>21</v>
      </c>
      <c r="G12878" s="12">
        <f t="shared" si="1997"/>
        <v>21</v>
      </c>
    </row>
    <row r="12879" ht="24.0" customHeight="1">
      <c r="A12879" s="10" t="s">
        <v>1420</v>
      </c>
      <c r="B12879" s="10" t="s">
        <v>26</v>
      </c>
      <c r="C12879" s="10" t="s">
        <v>23</v>
      </c>
      <c r="D12879" s="10" t="s">
        <v>1421</v>
      </c>
      <c r="E12879" s="14">
        <v>1.0</v>
      </c>
      <c r="F12879" s="15">
        <f t="shared" ref="F12879:F12880" si="1998">ROUND(19,3)</f>
        <v>19</v>
      </c>
      <c r="G12879" s="12">
        <f t="shared" si="1997"/>
        <v>19</v>
      </c>
    </row>
    <row r="12880" ht="24.0" customHeight="1">
      <c r="A12880" s="10" t="s">
        <v>30</v>
      </c>
      <c r="B12880" s="10" t="s">
        <v>26</v>
      </c>
      <c r="C12880" s="10" t="s">
        <v>23</v>
      </c>
      <c r="D12880" s="10" t="s">
        <v>31</v>
      </c>
      <c r="E12880" s="14">
        <v>0.2</v>
      </c>
      <c r="F12880" s="15">
        <f t="shared" si="1998"/>
        <v>19</v>
      </c>
      <c r="G12880" s="12">
        <f t="shared" si="1997"/>
        <v>3.8</v>
      </c>
    </row>
    <row r="12881" ht="15.0" customHeight="1">
      <c r="A12881" s="11"/>
      <c r="B12881" s="11"/>
      <c r="C12881" s="11"/>
      <c r="D12881" s="10" t="s">
        <v>1416</v>
      </c>
      <c r="E12881" s="14">
        <v>0.28</v>
      </c>
      <c r="F12881" s="15">
        <f>ROUND((G12878+G12879+G12880),3)</f>
        <v>43.8</v>
      </c>
      <c r="G12881" s="12">
        <f t="shared" si="1997"/>
        <v>12.26</v>
      </c>
    </row>
    <row r="12882" ht="15.0" customHeight="1">
      <c r="A12882" s="10" t="s">
        <v>32</v>
      </c>
      <c r="B12882" s="10"/>
      <c r="C12882" s="10" t="s">
        <v>33</v>
      </c>
      <c r="D12882" s="10" t="s">
        <v>34</v>
      </c>
      <c r="E12882" s="14">
        <v>5.0</v>
      </c>
      <c r="F12882" s="15">
        <f>ROUND(12.26,3)</f>
        <v>12.26</v>
      </c>
      <c r="G12882" s="12">
        <f>ROUND((E12882*F12882)/100,2)</f>
        <v>0.61</v>
      </c>
    </row>
    <row r="12883" ht="15.0" customHeight="1">
      <c r="A12883" s="16"/>
      <c r="B12883" s="16"/>
      <c r="C12883" s="16"/>
      <c r="D12883" s="17" t="s">
        <v>5540</v>
      </c>
      <c r="E12883" s="16"/>
      <c r="F12883" s="18">
        <f>ROUND((G12876+G12877+G12882)*(1+G2/100),2)</f>
        <v>14.03</v>
      </c>
      <c r="G12883" s="16"/>
    </row>
    <row r="12884" ht="48.75" customHeight="1">
      <c r="A12884" s="19" t="s">
        <v>5543</v>
      </c>
      <c r="B12884" s="20" t="s">
        <v>18</v>
      </c>
      <c r="C12884" s="20" t="s">
        <v>19</v>
      </c>
      <c r="D12884" s="20" t="s">
        <v>5544</v>
      </c>
      <c r="E12884" s="21"/>
      <c r="F12884" s="22">
        <f>F12894</f>
        <v>28.45</v>
      </c>
      <c r="G12884" s="21"/>
    </row>
    <row r="12885" ht="21.0" customHeight="1">
      <c r="A12885" s="11"/>
      <c r="B12885" s="11"/>
      <c r="C12885" s="11"/>
      <c r="D12885" s="10" t="s">
        <v>5545</v>
      </c>
    </row>
    <row r="12886" ht="30.0" customHeight="1">
      <c r="A12886" s="10" t="s">
        <v>5106</v>
      </c>
      <c r="B12886" s="10" t="s">
        <v>42</v>
      </c>
      <c r="C12886" s="10" t="s">
        <v>43</v>
      </c>
      <c r="D12886" s="10" t="s">
        <v>5107</v>
      </c>
      <c r="E12886" s="14">
        <v>0.05</v>
      </c>
      <c r="F12886" s="15">
        <f>ROUND(32.22,3)</f>
        <v>32.22</v>
      </c>
      <c r="G12886" s="12">
        <f t="shared" ref="G12886:G12892" si="1999">ROUND(E12886*F12886,2)</f>
        <v>1.61</v>
      </c>
    </row>
    <row r="12887" ht="39.75" customHeight="1">
      <c r="A12887" s="10" t="s">
        <v>5108</v>
      </c>
      <c r="B12887" s="10" t="s">
        <v>42</v>
      </c>
      <c r="C12887" s="10" t="s">
        <v>43</v>
      </c>
      <c r="D12887" s="10" t="s">
        <v>5109</v>
      </c>
      <c r="E12887" s="14">
        <v>0.136</v>
      </c>
      <c r="F12887" s="15">
        <f>ROUND(33.05,3)</f>
        <v>33.05</v>
      </c>
      <c r="G12887" s="12">
        <f t="shared" si="1999"/>
        <v>4.49</v>
      </c>
    </row>
    <row r="12888" ht="21.0" customHeight="1">
      <c r="A12888" s="10" t="s">
        <v>1416</v>
      </c>
      <c r="B12888" s="10" t="s">
        <v>18</v>
      </c>
      <c r="C12888" s="10" t="s">
        <v>23</v>
      </c>
      <c r="D12888" s="10" t="s">
        <v>1417</v>
      </c>
      <c r="E12888" s="14">
        <v>0.486</v>
      </c>
      <c r="F12888" s="15">
        <f>F12892</f>
        <v>43.8</v>
      </c>
      <c r="G12888" s="12">
        <f t="shared" si="1999"/>
        <v>21.29</v>
      </c>
    </row>
    <row r="12889" ht="24.0" customHeight="1">
      <c r="A12889" s="10" t="s">
        <v>1418</v>
      </c>
      <c r="B12889" s="10" t="s">
        <v>26</v>
      </c>
      <c r="C12889" s="10" t="s">
        <v>23</v>
      </c>
      <c r="D12889" s="10" t="s">
        <v>1419</v>
      </c>
      <c r="E12889" s="14">
        <v>1.0</v>
      </c>
      <c r="F12889" s="15">
        <f>ROUND(21,3)</f>
        <v>21</v>
      </c>
      <c r="G12889" s="12">
        <f t="shared" si="1999"/>
        <v>21</v>
      </c>
    </row>
    <row r="12890" ht="24.0" customHeight="1">
      <c r="A12890" s="10" t="s">
        <v>1420</v>
      </c>
      <c r="B12890" s="10" t="s">
        <v>26</v>
      </c>
      <c r="C12890" s="10" t="s">
        <v>23</v>
      </c>
      <c r="D12890" s="10" t="s">
        <v>1421</v>
      </c>
      <c r="E12890" s="14">
        <v>1.0</v>
      </c>
      <c r="F12890" s="15">
        <f t="shared" ref="F12890:F12891" si="2000">ROUND(19,3)</f>
        <v>19</v>
      </c>
      <c r="G12890" s="12">
        <f t="shared" si="1999"/>
        <v>19</v>
      </c>
    </row>
    <row r="12891" ht="24.0" customHeight="1">
      <c r="A12891" s="10" t="s">
        <v>30</v>
      </c>
      <c r="B12891" s="10" t="s">
        <v>26</v>
      </c>
      <c r="C12891" s="10" t="s">
        <v>23</v>
      </c>
      <c r="D12891" s="10" t="s">
        <v>31</v>
      </c>
      <c r="E12891" s="14">
        <v>0.2</v>
      </c>
      <c r="F12891" s="15">
        <f t="shared" si="2000"/>
        <v>19</v>
      </c>
      <c r="G12891" s="12">
        <f t="shared" si="1999"/>
        <v>3.8</v>
      </c>
    </row>
    <row r="12892" ht="15.0" customHeight="1">
      <c r="A12892" s="11"/>
      <c r="B12892" s="11"/>
      <c r="C12892" s="11"/>
      <c r="D12892" s="10" t="s">
        <v>1416</v>
      </c>
      <c r="E12892" s="14">
        <v>0.486</v>
      </c>
      <c r="F12892" s="15">
        <f>ROUND((G12889+G12890+G12891),3)</f>
        <v>43.8</v>
      </c>
      <c r="G12892" s="12">
        <f t="shared" si="1999"/>
        <v>21.29</v>
      </c>
    </row>
    <row r="12893" ht="15.0" customHeight="1">
      <c r="A12893" s="10" t="s">
        <v>32</v>
      </c>
      <c r="B12893" s="10"/>
      <c r="C12893" s="10" t="s">
        <v>33</v>
      </c>
      <c r="D12893" s="10" t="s">
        <v>34</v>
      </c>
      <c r="E12893" s="14">
        <v>5.0</v>
      </c>
      <c r="F12893" s="15">
        <f>ROUND(21.29,3)</f>
        <v>21.29</v>
      </c>
      <c r="G12893" s="12">
        <f>ROUND((E12893*F12893)/100,2)</f>
        <v>1.06</v>
      </c>
    </row>
    <row r="12894" ht="15.0" customHeight="1">
      <c r="A12894" s="16"/>
      <c r="B12894" s="16"/>
      <c r="C12894" s="16"/>
      <c r="D12894" s="17" t="s">
        <v>5543</v>
      </c>
      <c r="E12894" s="16"/>
      <c r="F12894" s="18">
        <f>ROUND((G12886+G12887+G12888+G12893)*(1+G2/100),2)</f>
        <v>28.45</v>
      </c>
      <c r="G12894" s="16"/>
    </row>
    <row r="12895" ht="48.75" customHeight="1">
      <c r="A12895" s="19" t="s">
        <v>5546</v>
      </c>
      <c r="B12895" s="20" t="s">
        <v>18</v>
      </c>
      <c r="C12895" s="20" t="s">
        <v>19</v>
      </c>
      <c r="D12895" s="20" t="s">
        <v>5547</v>
      </c>
      <c r="E12895" s="21"/>
      <c r="F12895" s="22">
        <f>F12905</f>
        <v>18.36</v>
      </c>
      <c r="G12895" s="21"/>
    </row>
    <row r="12896" ht="21.0" customHeight="1">
      <c r="A12896" s="11"/>
      <c r="B12896" s="11"/>
      <c r="C12896" s="11"/>
      <c r="D12896" s="10" t="s">
        <v>5548</v>
      </c>
    </row>
    <row r="12897" ht="30.0" customHeight="1">
      <c r="A12897" s="10" t="s">
        <v>5106</v>
      </c>
      <c r="B12897" s="10" t="s">
        <v>42</v>
      </c>
      <c r="C12897" s="10" t="s">
        <v>43</v>
      </c>
      <c r="D12897" s="10" t="s">
        <v>5107</v>
      </c>
      <c r="E12897" s="14">
        <v>0.05</v>
      </c>
      <c r="F12897" s="15">
        <f>ROUND(32.22,3)</f>
        <v>32.22</v>
      </c>
      <c r="G12897" s="12">
        <f t="shared" ref="G12897:G12903" si="2001">ROUND(E12897*F12897,2)</f>
        <v>1.61</v>
      </c>
    </row>
    <row r="12898" ht="39.75" customHeight="1">
      <c r="A12898" s="10" t="s">
        <v>5108</v>
      </c>
      <c r="B12898" s="10" t="s">
        <v>42</v>
      </c>
      <c r="C12898" s="10" t="s">
        <v>43</v>
      </c>
      <c r="D12898" s="10" t="s">
        <v>5109</v>
      </c>
      <c r="E12898" s="14">
        <v>0.136</v>
      </c>
      <c r="F12898" s="15">
        <f>ROUND(33.05,3)</f>
        <v>33.05</v>
      </c>
      <c r="G12898" s="12">
        <f t="shared" si="2001"/>
        <v>4.49</v>
      </c>
    </row>
    <row r="12899" ht="21.0" customHeight="1">
      <c r="A12899" s="10" t="s">
        <v>1416</v>
      </c>
      <c r="B12899" s="10" t="s">
        <v>18</v>
      </c>
      <c r="C12899" s="10" t="s">
        <v>23</v>
      </c>
      <c r="D12899" s="10" t="s">
        <v>1417</v>
      </c>
      <c r="E12899" s="14">
        <v>0.26667</v>
      </c>
      <c r="F12899" s="15">
        <f>F12903</f>
        <v>43.8</v>
      </c>
      <c r="G12899" s="12">
        <f t="shared" si="2001"/>
        <v>11.68</v>
      </c>
    </row>
    <row r="12900" ht="24.0" customHeight="1">
      <c r="A12900" s="10" t="s">
        <v>1418</v>
      </c>
      <c r="B12900" s="10" t="s">
        <v>26</v>
      </c>
      <c r="C12900" s="10" t="s">
        <v>23</v>
      </c>
      <c r="D12900" s="10" t="s">
        <v>1419</v>
      </c>
      <c r="E12900" s="14">
        <v>1.0</v>
      </c>
      <c r="F12900" s="15">
        <f>ROUND(21,3)</f>
        <v>21</v>
      </c>
      <c r="G12900" s="12">
        <f t="shared" si="2001"/>
        <v>21</v>
      </c>
    </row>
    <row r="12901" ht="24.0" customHeight="1">
      <c r="A12901" s="10" t="s">
        <v>1420</v>
      </c>
      <c r="B12901" s="10" t="s">
        <v>26</v>
      </c>
      <c r="C12901" s="10" t="s">
        <v>23</v>
      </c>
      <c r="D12901" s="10" t="s">
        <v>1421</v>
      </c>
      <c r="E12901" s="14">
        <v>1.0</v>
      </c>
      <c r="F12901" s="15">
        <f t="shared" ref="F12901:F12902" si="2002">ROUND(19,3)</f>
        <v>19</v>
      </c>
      <c r="G12901" s="12">
        <f t="shared" si="2001"/>
        <v>19</v>
      </c>
    </row>
    <row r="12902" ht="24.0" customHeight="1">
      <c r="A12902" s="10" t="s">
        <v>30</v>
      </c>
      <c r="B12902" s="10" t="s">
        <v>26</v>
      </c>
      <c r="C12902" s="10" t="s">
        <v>23</v>
      </c>
      <c r="D12902" s="10" t="s">
        <v>31</v>
      </c>
      <c r="E12902" s="14">
        <v>0.2</v>
      </c>
      <c r="F12902" s="15">
        <f t="shared" si="2002"/>
        <v>19</v>
      </c>
      <c r="G12902" s="12">
        <f t="shared" si="2001"/>
        <v>3.8</v>
      </c>
    </row>
    <row r="12903" ht="15.0" customHeight="1">
      <c r="A12903" s="11"/>
      <c r="B12903" s="11"/>
      <c r="C12903" s="11"/>
      <c r="D12903" s="10" t="s">
        <v>1416</v>
      </c>
      <c r="E12903" s="14">
        <v>0.26667</v>
      </c>
      <c r="F12903" s="15">
        <f>ROUND((G12900+G12901+G12902),3)</f>
        <v>43.8</v>
      </c>
      <c r="G12903" s="12">
        <f t="shared" si="2001"/>
        <v>11.68</v>
      </c>
    </row>
    <row r="12904" ht="15.0" customHeight="1">
      <c r="A12904" s="10" t="s">
        <v>32</v>
      </c>
      <c r="B12904" s="10"/>
      <c r="C12904" s="10" t="s">
        <v>33</v>
      </c>
      <c r="D12904" s="10" t="s">
        <v>34</v>
      </c>
      <c r="E12904" s="14">
        <v>5.0</v>
      </c>
      <c r="F12904" s="15">
        <f>ROUND(11.68,3)</f>
        <v>11.68</v>
      </c>
      <c r="G12904" s="12">
        <f>ROUND((E12904*F12904)/100,2)</f>
        <v>0.58</v>
      </c>
    </row>
    <row r="12905" ht="15.0" customHeight="1">
      <c r="A12905" s="16"/>
      <c r="B12905" s="16"/>
      <c r="C12905" s="16"/>
      <c r="D12905" s="17" t="s">
        <v>5546</v>
      </c>
      <c r="E12905" s="16"/>
      <c r="F12905" s="18">
        <f>ROUND((G12897+G12898+G12899+G12904)*(1+G2/100),2)</f>
        <v>18.36</v>
      </c>
      <c r="G12905" s="16"/>
    </row>
    <row r="12906" ht="48.75" customHeight="1">
      <c r="A12906" s="19" t="s">
        <v>5549</v>
      </c>
      <c r="B12906" s="20" t="s">
        <v>18</v>
      </c>
      <c r="C12906" s="20" t="s">
        <v>19</v>
      </c>
      <c r="D12906" s="20" t="s">
        <v>5550</v>
      </c>
      <c r="E12906" s="21"/>
      <c r="F12906" s="22">
        <f>F12916</f>
        <v>22.66</v>
      </c>
      <c r="G12906" s="21"/>
    </row>
    <row r="12907" ht="21.0" customHeight="1">
      <c r="A12907" s="11"/>
      <c r="B12907" s="11"/>
      <c r="C12907" s="11"/>
      <c r="D12907" s="10" t="s">
        <v>5551</v>
      </c>
    </row>
    <row r="12908" ht="30.0" customHeight="1">
      <c r="A12908" s="10" t="s">
        <v>5106</v>
      </c>
      <c r="B12908" s="10" t="s">
        <v>42</v>
      </c>
      <c r="C12908" s="10" t="s">
        <v>43</v>
      </c>
      <c r="D12908" s="10" t="s">
        <v>5107</v>
      </c>
      <c r="E12908" s="14">
        <v>0.05</v>
      </c>
      <c r="F12908" s="15">
        <f>ROUND(32.22,3)</f>
        <v>32.22</v>
      </c>
      <c r="G12908" s="12">
        <f t="shared" ref="G12908:G12914" si="2003">ROUND(E12908*F12908,2)</f>
        <v>1.61</v>
      </c>
    </row>
    <row r="12909" ht="39.75" customHeight="1">
      <c r="A12909" s="10" t="s">
        <v>5108</v>
      </c>
      <c r="B12909" s="10" t="s">
        <v>42</v>
      </c>
      <c r="C12909" s="10" t="s">
        <v>43</v>
      </c>
      <c r="D12909" s="10" t="s">
        <v>5109</v>
      </c>
      <c r="E12909" s="14">
        <v>0.136</v>
      </c>
      <c r="F12909" s="15">
        <f>ROUND(33.05,3)</f>
        <v>33.05</v>
      </c>
      <c r="G12909" s="12">
        <f t="shared" si="2003"/>
        <v>4.49</v>
      </c>
    </row>
    <row r="12910" ht="21.0" customHeight="1">
      <c r="A12910" s="10" t="s">
        <v>1416</v>
      </c>
      <c r="B12910" s="10" t="s">
        <v>18</v>
      </c>
      <c r="C12910" s="10" t="s">
        <v>23</v>
      </c>
      <c r="D12910" s="10" t="s">
        <v>1417</v>
      </c>
      <c r="E12910" s="14">
        <v>0.36</v>
      </c>
      <c r="F12910" s="15">
        <f>F12914</f>
        <v>43.8</v>
      </c>
      <c r="G12910" s="12">
        <f t="shared" si="2003"/>
        <v>15.77</v>
      </c>
    </row>
    <row r="12911" ht="24.0" customHeight="1">
      <c r="A12911" s="10" t="s">
        <v>1418</v>
      </c>
      <c r="B12911" s="10" t="s">
        <v>26</v>
      </c>
      <c r="C12911" s="10" t="s">
        <v>23</v>
      </c>
      <c r="D12911" s="10" t="s">
        <v>1419</v>
      </c>
      <c r="E12911" s="14">
        <v>1.0</v>
      </c>
      <c r="F12911" s="15">
        <f>ROUND(21,3)</f>
        <v>21</v>
      </c>
      <c r="G12911" s="12">
        <f t="shared" si="2003"/>
        <v>21</v>
      </c>
    </row>
    <row r="12912" ht="24.0" customHeight="1">
      <c r="A12912" s="10" t="s">
        <v>1420</v>
      </c>
      <c r="B12912" s="10" t="s">
        <v>26</v>
      </c>
      <c r="C12912" s="10" t="s">
        <v>23</v>
      </c>
      <c r="D12912" s="10" t="s">
        <v>1421</v>
      </c>
      <c r="E12912" s="14">
        <v>1.0</v>
      </c>
      <c r="F12912" s="15">
        <f t="shared" ref="F12912:F12913" si="2004">ROUND(19,3)</f>
        <v>19</v>
      </c>
      <c r="G12912" s="12">
        <f t="shared" si="2003"/>
        <v>19</v>
      </c>
    </row>
    <row r="12913" ht="24.0" customHeight="1">
      <c r="A12913" s="10" t="s">
        <v>30</v>
      </c>
      <c r="B12913" s="10" t="s">
        <v>26</v>
      </c>
      <c r="C12913" s="10" t="s">
        <v>23</v>
      </c>
      <c r="D12913" s="10" t="s">
        <v>31</v>
      </c>
      <c r="E12913" s="14">
        <v>0.2</v>
      </c>
      <c r="F12913" s="15">
        <f t="shared" si="2004"/>
        <v>19</v>
      </c>
      <c r="G12913" s="12">
        <f t="shared" si="2003"/>
        <v>3.8</v>
      </c>
    </row>
    <row r="12914" ht="15.0" customHeight="1">
      <c r="A12914" s="11"/>
      <c r="B12914" s="11"/>
      <c r="C12914" s="11"/>
      <c r="D12914" s="10" t="s">
        <v>1416</v>
      </c>
      <c r="E12914" s="14">
        <v>0.36</v>
      </c>
      <c r="F12914" s="15">
        <f>ROUND((G12911+G12912+G12913),3)</f>
        <v>43.8</v>
      </c>
      <c r="G12914" s="12">
        <f t="shared" si="2003"/>
        <v>15.77</v>
      </c>
    </row>
    <row r="12915" ht="15.0" customHeight="1">
      <c r="A12915" s="10" t="s">
        <v>32</v>
      </c>
      <c r="B12915" s="10"/>
      <c r="C12915" s="10" t="s">
        <v>33</v>
      </c>
      <c r="D12915" s="10" t="s">
        <v>34</v>
      </c>
      <c r="E12915" s="14">
        <v>5.0</v>
      </c>
      <c r="F12915" s="15">
        <f>ROUND(15.77,3)</f>
        <v>15.77</v>
      </c>
      <c r="G12915" s="12">
        <f>ROUND((E12915*F12915)/100,2)</f>
        <v>0.79</v>
      </c>
    </row>
    <row r="12916" ht="15.0" customHeight="1">
      <c r="A12916" s="16"/>
      <c r="B12916" s="16"/>
      <c r="C12916" s="16"/>
      <c r="D12916" s="17" t="s">
        <v>5549</v>
      </c>
      <c r="E12916" s="16"/>
      <c r="F12916" s="18">
        <f>ROUND((G12908+G12909+G12910+G12915)*(1+G2/100),2)</f>
        <v>22.66</v>
      </c>
      <c r="G12916" s="16"/>
    </row>
    <row r="12917" ht="15.0" customHeight="1">
      <c r="A12917" s="23"/>
      <c r="B12917" s="23"/>
      <c r="C12917" s="23"/>
      <c r="D12917" s="32" t="s">
        <v>4932</v>
      </c>
      <c r="E12917" s="33"/>
      <c r="F12917" s="33"/>
      <c r="G12917" s="33"/>
    </row>
    <row r="12918" ht="15.0" customHeight="1">
      <c r="A12918" s="34" t="s">
        <v>5552</v>
      </c>
      <c r="B12918" s="34" t="s">
        <v>10</v>
      </c>
      <c r="C12918" s="35"/>
      <c r="D12918" s="34" t="s">
        <v>5553</v>
      </c>
      <c r="E12918" s="35"/>
      <c r="F12918" s="35"/>
      <c r="G12918" s="35"/>
    </row>
    <row r="12919" ht="21.0" customHeight="1">
      <c r="A12919" s="13" t="s">
        <v>3079</v>
      </c>
      <c r="B12919" s="10" t="s">
        <v>18</v>
      </c>
      <c r="C12919" s="10" t="s">
        <v>251</v>
      </c>
      <c r="D12919" s="10" t="s">
        <v>3080</v>
      </c>
      <c r="E12919" s="11"/>
      <c r="F12919" s="12">
        <f>F12928</f>
        <v>23.21</v>
      </c>
      <c r="G12919" s="11"/>
    </row>
    <row r="12920" ht="39.75" customHeight="1">
      <c r="A12920" s="11"/>
      <c r="B12920" s="11"/>
      <c r="C12920" s="11"/>
      <c r="D12920" s="10" t="s">
        <v>1113</v>
      </c>
    </row>
    <row r="12921" ht="30.0" customHeight="1">
      <c r="A12921" s="10" t="s">
        <v>1051</v>
      </c>
      <c r="B12921" s="10" t="s">
        <v>42</v>
      </c>
      <c r="C12921" s="10" t="s">
        <v>43</v>
      </c>
      <c r="D12921" s="10" t="s">
        <v>1052</v>
      </c>
      <c r="E12921" s="14">
        <v>0.0666</v>
      </c>
      <c r="F12921" s="15">
        <f>ROUND(110.66,3)</f>
        <v>110.66</v>
      </c>
      <c r="G12921" s="12">
        <f t="shared" ref="G12921:G12927" si="2005">ROUND(E12921*F12921,2)</f>
        <v>7.37</v>
      </c>
    </row>
    <row r="12922" ht="24.0" customHeight="1">
      <c r="A12922" s="10" t="s">
        <v>1053</v>
      </c>
      <c r="B12922" s="10" t="s">
        <v>42</v>
      </c>
      <c r="C12922" s="10" t="s">
        <v>43</v>
      </c>
      <c r="D12922" s="10" t="s">
        <v>1054</v>
      </c>
      <c r="E12922" s="14">
        <v>0.11</v>
      </c>
      <c r="F12922" s="15">
        <f>ROUND(4.63,3)</f>
        <v>4.63</v>
      </c>
      <c r="G12922" s="12">
        <f t="shared" si="2005"/>
        <v>0.51</v>
      </c>
    </row>
    <row r="12923" ht="21.0" customHeight="1">
      <c r="A12923" s="10" t="s">
        <v>22</v>
      </c>
      <c r="B12923" s="10" t="s">
        <v>18</v>
      </c>
      <c r="C12923" s="10" t="s">
        <v>23</v>
      </c>
      <c r="D12923" s="10" t="s">
        <v>24</v>
      </c>
      <c r="E12923" s="14">
        <v>0.35</v>
      </c>
      <c r="F12923" s="15">
        <f>F12927</f>
        <v>43.8</v>
      </c>
      <c r="G12923" s="12">
        <f t="shared" si="2005"/>
        <v>15.33</v>
      </c>
    </row>
    <row r="12924" ht="24.0" customHeight="1">
      <c r="A12924" s="10" t="s">
        <v>25</v>
      </c>
      <c r="B12924" s="10" t="s">
        <v>26</v>
      </c>
      <c r="C12924" s="10" t="s">
        <v>23</v>
      </c>
      <c r="D12924" s="10" t="s">
        <v>27</v>
      </c>
      <c r="E12924" s="14">
        <v>1.0</v>
      </c>
      <c r="F12924" s="15">
        <f>ROUND(21,3)</f>
        <v>21</v>
      </c>
      <c r="G12924" s="12">
        <f t="shared" si="2005"/>
        <v>21</v>
      </c>
    </row>
    <row r="12925" ht="24.0" customHeight="1">
      <c r="A12925" s="10" t="s">
        <v>28</v>
      </c>
      <c r="B12925" s="10" t="s">
        <v>26</v>
      </c>
      <c r="C12925" s="10" t="s">
        <v>23</v>
      </c>
      <c r="D12925" s="10" t="s">
        <v>29</v>
      </c>
      <c r="E12925" s="14">
        <v>1.0</v>
      </c>
      <c r="F12925" s="15">
        <f t="shared" ref="F12925:F12926" si="2006">ROUND(19,3)</f>
        <v>19</v>
      </c>
      <c r="G12925" s="12">
        <f t="shared" si="2005"/>
        <v>19</v>
      </c>
    </row>
    <row r="12926" ht="24.0" customHeight="1">
      <c r="A12926" s="10" t="s">
        <v>30</v>
      </c>
      <c r="B12926" s="10" t="s">
        <v>26</v>
      </c>
      <c r="C12926" s="10" t="s">
        <v>23</v>
      </c>
      <c r="D12926" s="10" t="s">
        <v>31</v>
      </c>
      <c r="E12926" s="14">
        <v>0.2</v>
      </c>
      <c r="F12926" s="15">
        <f t="shared" si="2006"/>
        <v>19</v>
      </c>
      <c r="G12926" s="12">
        <f t="shared" si="2005"/>
        <v>3.8</v>
      </c>
    </row>
    <row r="12927" ht="15.0" customHeight="1">
      <c r="A12927" s="11"/>
      <c r="B12927" s="11"/>
      <c r="C12927" s="11"/>
      <c r="D12927" s="10" t="s">
        <v>22</v>
      </c>
      <c r="E12927" s="14">
        <v>0.35</v>
      </c>
      <c r="F12927" s="15">
        <f>ROUND((G12924+G12925+G12926),3)</f>
        <v>43.8</v>
      </c>
      <c r="G12927" s="12">
        <f t="shared" si="2005"/>
        <v>15.33</v>
      </c>
    </row>
    <row r="12928" ht="15.0" customHeight="1">
      <c r="A12928" s="16"/>
      <c r="B12928" s="16"/>
      <c r="C12928" s="16"/>
      <c r="D12928" s="17" t="s">
        <v>3079</v>
      </c>
      <c r="E12928" s="16"/>
      <c r="F12928" s="18">
        <f>ROUND((G12921+G12922+G12923)*(1+G2/100),2)</f>
        <v>23.21</v>
      </c>
      <c r="G12928" s="16"/>
    </row>
    <row r="12929" ht="15.0" customHeight="1">
      <c r="A12929" s="23"/>
      <c r="B12929" s="23"/>
      <c r="C12929" s="23"/>
      <c r="D12929" s="32" t="s">
        <v>5552</v>
      </c>
      <c r="E12929" s="33"/>
      <c r="F12929" s="33"/>
      <c r="G12929" s="33"/>
    </row>
    <row r="12930" ht="15.0" customHeight="1">
      <c r="A12930" s="34" t="s">
        <v>5554</v>
      </c>
      <c r="B12930" s="34" t="s">
        <v>10</v>
      </c>
      <c r="C12930" s="35"/>
      <c r="D12930" s="34" t="s">
        <v>5555</v>
      </c>
      <c r="E12930" s="35"/>
      <c r="F12930" s="35"/>
      <c r="G12930" s="35"/>
    </row>
    <row r="12931" ht="21.0" customHeight="1">
      <c r="A12931" s="13" t="s">
        <v>4450</v>
      </c>
      <c r="B12931" s="10" t="s">
        <v>18</v>
      </c>
      <c r="C12931" s="10" t="s">
        <v>251</v>
      </c>
      <c r="D12931" s="10" t="s">
        <v>4451</v>
      </c>
      <c r="E12931" s="11"/>
      <c r="F12931" s="12">
        <f>F12943</f>
        <v>27.86</v>
      </c>
      <c r="G12931" s="11"/>
    </row>
    <row r="12932" ht="30.0" customHeight="1">
      <c r="A12932" s="11"/>
      <c r="B12932" s="11"/>
      <c r="C12932" s="11"/>
      <c r="D12932" s="10" t="s">
        <v>5556</v>
      </c>
    </row>
    <row r="12933" ht="39.75" customHeight="1">
      <c r="A12933" s="10" t="s">
        <v>2640</v>
      </c>
      <c r="B12933" s="10" t="s">
        <v>42</v>
      </c>
      <c r="C12933" s="10" t="s">
        <v>184</v>
      </c>
      <c r="D12933" s="10" t="s">
        <v>2641</v>
      </c>
      <c r="E12933" s="14">
        <v>1.2</v>
      </c>
      <c r="F12933" s="15">
        <f>ROUND(2.6,3)</f>
        <v>2.6</v>
      </c>
      <c r="G12933" s="12">
        <f t="shared" ref="G12933:G12941" si="2007">ROUND(E12933*F12933,2)</f>
        <v>3.12</v>
      </c>
    </row>
    <row r="12934" ht="30.0" customHeight="1">
      <c r="A12934" s="10" t="s">
        <v>1227</v>
      </c>
      <c r="B12934" s="10" t="s">
        <v>42</v>
      </c>
      <c r="C12934" s="10" t="s">
        <v>226</v>
      </c>
      <c r="D12934" s="10" t="s">
        <v>1228</v>
      </c>
      <c r="E12934" s="14">
        <v>0.0252</v>
      </c>
      <c r="F12934" s="15">
        <f>ROUND(27.5,3)</f>
        <v>27.5</v>
      </c>
      <c r="G12934" s="12">
        <f t="shared" si="2007"/>
        <v>0.69</v>
      </c>
    </row>
    <row r="12935" ht="21.0" customHeight="1">
      <c r="A12935" s="10" t="s">
        <v>1857</v>
      </c>
      <c r="B12935" s="10" t="s">
        <v>42</v>
      </c>
      <c r="C12935" s="10" t="s">
        <v>231</v>
      </c>
      <c r="D12935" s="10" t="s">
        <v>1858</v>
      </c>
      <c r="E12935" s="14">
        <v>0.375</v>
      </c>
      <c r="F12935" s="15">
        <f>ROUND(1.05,3)</f>
        <v>1.05</v>
      </c>
      <c r="G12935" s="12">
        <f t="shared" si="2007"/>
        <v>0.39</v>
      </c>
    </row>
    <row r="12936" ht="39.75" customHeight="1">
      <c r="A12936" s="10" t="s">
        <v>1349</v>
      </c>
      <c r="B12936" s="10" t="s">
        <v>42</v>
      </c>
      <c r="C12936" s="10" t="s">
        <v>231</v>
      </c>
      <c r="D12936" s="10" t="s">
        <v>1350</v>
      </c>
      <c r="E12936" s="14">
        <v>0.15</v>
      </c>
      <c r="F12936" s="15">
        <f>ROUND(4.05,3)</f>
        <v>4.05</v>
      </c>
      <c r="G12936" s="12">
        <f t="shared" si="2007"/>
        <v>0.61</v>
      </c>
    </row>
    <row r="12937" ht="21.0" customHeight="1">
      <c r="A12937" s="10" t="s">
        <v>22</v>
      </c>
      <c r="B12937" s="10" t="s">
        <v>18</v>
      </c>
      <c r="C12937" s="10" t="s">
        <v>23</v>
      </c>
      <c r="D12937" s="10" t="s">
        <v>24</v>
      </c>
      <c r="E12937" s="14">
        <v>0.511</v>
      </c>
      <c r="F12937" s="15">
        <f>F12941</f>
        <v>43.8</v>
      </c>
      <c r="G12937" s="12">
        <f t="shared" si="2007"/>
        <v>22.38</v>
      </c>
    </row>
    <row r="12938" ht="24.0" customHeight="1">
      <c r="A12938" s="10" t="s">
        <v>25</v>
      </c>
      <c r="B12938" s="10" t="s">
        <v>26</v>
      </c>
      <c r="C12938" s="10" t="s">
        <v>23</v>
      </c>
      <c r="D12938" s="10" t="s">
        <v>27</v>
      </c>
      <c r="E12938" s="14">
        <v>1.0</v>
      </c>
      <c r="F12938" s="15">
        <f>ROUND(21,3)</f>
        <v>21</v>
      </c>
      <c r="G12938" s="12">
        <f t="shared" si="2007"/>
        <v>21</v>
      </c>
    </row>
    <row r="12939" ht="24.0" customHeight="1">
      <c r="A12939" s="10" t="s">
        <v>28</v>
      </c>
      <c r="B12939" s="10" t="s">
        <v>26</v>
      </c>
      <c r="C12939" s="10" t="s">
        <v>23</v>
      </c>
      <c r="D12939" s="10" t="s">
        <v>29</v>
      </c>
      <c r="E12939" s="14">
        <v>1.0</v>
      </c>
      <c r="F12939" s="15">
        <f t="shared" ref="F12939:F12940" si="2008">ROUND(19,3)</f>
        <v>19</v>
      </c>
      <c r="G12939" s="12">
        <f t="shared" si="2007"/>
        <v>19</v>
      </c>
    </row>
    <row r="12940" ht="24.0" customHeight="1">
      <c r="A12940" s="10" t="s">
        <v>30</v>
      </c>
      <c r="B12940" s="10" t="s">
        <v>26</v>
      </c>
      <c r="C12940" s="10" t="s">
        <v>23</v>
      </c>
      <c r="D12940" s="10" t="s">
        <v>31</v>
      </c>
      <c r="E12940" s="14">
        <v>0.2</v>
      </c>
      <c r="F12940" s="15">
        <f t="shared" si="2008"/>
        <v>19</v>
      </c>
      <c r="G12940" s="12">
        <f t="shared" si="2007"/>
        <v>3.8</v>
      </c>
    </row>
    <row r="12941" ht="15.0" customHeight="1">
      <c r="A12941" s="11"/>
      <c r="B12941" s="11"/>
      <c r="C12941" s="11"/>
      <c r="D12941" s="10" t="s">
        <v>22</v>
      </c>
      <c r="E12941" s="14">
        <v>0.511</v>
      </c>
      <c r="F12941" s="15">
        <f>ROUND((G12938+G12939+G12940),3)</f>
        <v>43.8</v>
      </c>
      <c r="G12941" s="12">
        <f t="shared" si="2007"/>
        <v>22.38</v>
      </c>
    </row>
    <row r="12942" ht="15.0" customHeight="1">
      <c r="A12942" s="10" t="s">
        <v>32</v>
      </c>
      <c r="B12942" s="10"/>
      <c r="C12942" s="10" t="s">
        <v>33</v>
      </c>
      <c r="D12942" s="10" t="s">
        <v>34</v>
      </c>
      <c r="E12942" s="14">
        <v>3.0</v>
      </c>
      <c r="F12942" s="15">
        <f>ROUND(22.38,3)</f>
        <v>22.38</v>
      </c>
      <c r="G12942" s="12">
        <f>ROUND((E12942*F12942)/100,2)</f>
        <v>0.67</v>
      </c>
    </row>
    <row r="12943" ht="15.0" customHeight="1">
      <c r="A12943" s="16"/>
      <c r="B12943" s="16"/>
      <c r="C12943" s="16"/>
      <c r="D12943" s="17" t="s">
        <v>4450</v>
      </c>
      <c r="E12943" s="16"/>
      <c r="F12943" s="18">
        <f>ROUND((G12933+G12934+G12935+G12936+G12937+G12942)*(1+G2/100),2)</f>
        <v>27.86</v>
      </c>
      <c r="G12943" s="16"/>
    </row>
    <row r="12944" ht="48.75" customHeight="1">
      <c r="A12944" s="19" t="s">
        <v>5557</v>
      </c>
      <c r="B12944" s="20" t="s">
        <v>18</v>
      </c>
      <c r="C12944" s="20" t="s">
        <v>19</v>
      </c>
      <c r="D12944" s="20" t="s">
        <v>5558</v>
      </c>
      <c r="E12944" s="21"/>
      <c r="F12944" s="22">
        <f>F12955</f>
        <v>30.83</v>
      </c>
      <c r="G12944" s="21"/>
    </row>
    <row r="12945" ht="21.0" customHeight="1">
      <c r="A12945" s="11"/>
      <c r="B12945" s="11"/>
      <c r="C12945" s="11"/>
      <c r="D12945" s="10" t="s">
        <v>5559</v>
      </c>
    </row>
    <row r="12946" ht="39.75" customHeight="1">
      <c r="A12946" s="10" t="s">
        <v>2640</v>
      </c>
      <c r="B12946" s="10" t="s">
        <v>42</v>
      </c>
      <c r="C12946" s="10" t="s">
        <v>184</v>
      </c>
      <c r="D12946" s="10" t="s">
        <v>2641</v>
      </c>
      <c r="E12946" s="14">
        <v>0.9072</v>
      </c>
      <c r="F12946" s="15">
        <f>ROUND(2.6,3)</f>
        <v>2.6</v>
      </c>
      <c r="G12946" s="12">
        <f t="shared" ref="G12946:G12953" si="2009">ROUND(E12946*F12946,2)</f>
        <v>2.36</v>
      </c>
    </row>
    <row r="12947" ht="21.0" customHeight="1">
      <c r="A12947" s="10" t="s">
        <v>1857</v>
      </c>
      <c r="B12947" s="10" t="s">
        <v>42</v>
      </c>
      <c r="C12947" s="10" t="s">
        <v>231</v>
      </c>
      <c r="D12947" s="10" t="s">
        <v>1858</v>
      </c>
      <c r="E12947" s="14">
        <v>0.75</v>
      </c>
      <c r="F12947" s="15">
        <f>ROUND(1.05,3)</f>
        <v>1.05</v>
      </c>
      <c r="G12947" s="12">
        <f t="shared" si="2009"/>
        <v>0.79</v>
      </c>
    </row>
    <row r="12948" ht="30.0" customHeight="1">
      <c r="A12948" s="10" t="s">
        <v>1227</v>
      </c>
      <c r="B12948" s="10" t="s">
        <v>42</v>
      </c>
      <c r="C12948" s="10" t="s">
        <v>226</v>
      </c>
      <c r="D12948" s="10" t="s">
        <v>1228</v>
      </c>
      <c r="E12948" s="14">
        <v>0.022</v>
      </c>
      <c r="F12948" s="15">
        <f>ROUND(27.5,3)</f>
        <v>27.5</v>
      </c>
      <c r="G12948" s="12">
        <f t="shared" si="2009"/>
        <v>0.61</v>
      </c>
    </row>
    <row r="12949" ht="21.0" customHeight="1">
      <c r="A12949" s="10" t="s">
        <v>22</v>
      </c>
      <c r="B12949" s="10" t="s">
        <v>18</v>
      </c>
      <c r="C12949" s="10" t="s">
        <v>23</v>
      </c>
      <c r="D12949" s="10" t="s">
        <v>24</v>
      </c>
      <c r="E12949" s="14">
        <v>0.6</v>
      </c>
      <c r="F12949" s="15">
        <f>F12953</f>
        <v>43.8</v>
      </c>
      <c r="G12949" s="12">
        <f t="shared" si="2009"/>
        <v>26.28</v>
      </c>
    </row>
    <row r="12950" ht="24.0" customHeight="1">
      <c r="A12950" s="10" t="s">
        <v>25</v>
      </c>
      <c r="B12950" s="10" t="s">
        <v>26</v>
      </c>
      <c r="C12950" s="10" t="s">
        <v>23</v>
      </c>
      <c r="D12950" s="10" t="s">
        <v>27</v>
      </c>
      <c r="E12950" s="14">
        <v>1.0</v>
      </c>
      <c r="F12950" s="15">
        <f>ROUND(21,3)</f>
        <v>21</v>
      </c>
      <c r="G12950" s="12">
        <f t="shared" si="2009"/>
        <v>21</v>
      </c>
    </row>
    <row r="12951" ht="24.0" customHeight="1">
      <c r="A12951" s="10" t="s">
        <v>28</v>
      </c>
      <c r="B12951" s="10" t="s">
        <v>26</v>
      </c>
      <c r="C12951" s="10" t="s">
        <v>23</v>
      </c>
      <c r="D12951" s="10" t="s">
        <v>29</v>
      </c>
      <c r="E12951" s="14">
        <v>1.0</v>
      </c>
      <c r="F12951" s="15">
        <f t="shared" ref="F12951:F12952" si="2010">ROUND(19,3)</f>
        <v>19</v>
      </c>
      <c r="G12951" s="12">
        <f t="shared" si="2009"/>
        <v>19</v>
      </c>
    </row>
    <row r="12952" ht="24.0" customHeight="1">
      <c r="A12952" s="10" t="s">
        <v>30</v>
      </c>
      <c r="B12952" s="10" t="s">
        <v>26</v>
      </c>
      <c r="C12952" s="10" t="s">
        <v>23</v>
      </c>
      <c r="D12952" s="10" t="s">
        <v>31</v>
      </c>
      <c r="E12952" s="14">
        <v>0.2</v>
      </c>
      <c r="F12952" s="15">
        <f t="shared" si="2010"/>
        <v>19</v>
      </c>
      <c r="G12952" s="12">
        <f t="shared" si="2009"/>
        <v>3.8</v>
      </c>
    </row>
    <row r="12953" ht="15.0" customHeight="1">
      <c r="A12953" s="11"/>
      <c r="B12953" s="11"/>
      <c r="C12953" s="11"/>
      <c r="D12953" s="10" t="s">
        <v>22</v>
      </c>
      <c r="E12953" s="14">
        <v>0.6</v>
      </c>
      <c r="F12953" s="15">
        <f>ROUND((G12950+G12951+G12952),3)</f>
        <v>43.8</v>
      </c>
      <c r="G12953" s="12">
        <f t="shared" si="2009"/>
        <v>26.28</v>
      </c>
    </row>
    <row r="12954" ht="15.0" customHeight="1">
      <c r="A12954" s="10" t="s">
        <v>32</v>
      </c>
      <c r="B12954" s="10"/>
      <c r="C12954" s="10" t="s">
        <v>33</v>
      </c>
      <c r="D12954" s="10" t="s">
        <v>34</v>
      </c>
      <c r="E12954" s="14">
        <v>3.0</v>
      </c>
      <c r="F12954" s="15">
        <f>ROUND(26.28,3)</f>
        <v>26.28</v>
      </c>
      <c r="G12954" s="12">
        <f>ROUND((E12954*F12954)/100,2)</f>
        <v>0.79</v>
      </c>
    </row>
    <row r="12955" ht="15.0" customHeight="1">
      <c r="A12955" s="16"/>
      <c r="B12955" s="16"/>
      <c r="C12955" s="16"/>
      <c r="D12955" s="17" t="s">
        <v>5557</v>
      </c>
      <c r="E12955" s="16"/>
      <c r="F12955" s="18">
        <f>ROUND((G12946+G12947+G12948+G12949+G12954)*(1+G2/100),2)</f>
        <v>30.83</v>
      </c>
      <c r="G12955" s="16"/>
    </row>
    <row r="12956" ht="57.75" customHeight="1">
      <c r="A12956" s="19" t="s">
        <v>5560</v>
      </c>
      <c r="B12956" s="20" t="s">
        <v>18</v>
      </c>
      <c r="C12956" s="20" t="s">
        <v>19</v>
      </c>
      <c r="D12956" s="20" t="s">
        <v>5561</v>
      </c>
      <c r="E12956" s="21"/>
      <c r="F12956" s="22">
        <f>F12967</f>
        <v>44.36</v>
      </c>
      <c r="G12956" s="21"/>
    </row>
    <row r="12957" ht="21.0" customHeight="1">
      <c r="A12957" s="11"/>
      <c r="B12957" s="11"/>
      <c r="C12957" s="11"/>
      <c r="D12957" s="10" t="s">
        <v>5562</v>
      </c>
    </row>
    <row r="12958" ht="39.75" customHeight="1">
      <c r="A12958" s="10" t="s">
        <v>2640</v>
      </c>
      <c r="B12958" s="10" t="s">
        <v>42</v>
      </c>
      <c r="C12958" s="10" t="s">
        <v>184</v>
      </c>
      <c r="D12958" s="10" t="s">
        <v>2641</v>
      </c>
      <c r="E12958" s="14">
        <v>0.9072</v>
      </c>
      <c r="F12958" s="15">
        <f>ROUND(2.6,3)</f>
        <v>2.6</v>
      </c>
      <c r="G12958" s="12">
        <f t="shared" ref="G12958:G12965" si="2011">ROUND(E12958*F12958,2)</f>
        <v>2.36</v>
      </c>
    </row>
    <row r="12959" ht="21.0" customHeight="1">
      <c r="A12959" s="10" t="s">
        <v>1857</v>
      </c>
      <c r="B12959" s="10" t="s">
        <v>42</v>
      </c>
      <c r="C12959" s="10" t="s">
        <v>231</v>
      </c>
      <c r="D12959" s="10" t="s">
        <v>1858</v>
      </c>
      <c r="E12959" s="14">
        <v>0.75</v>
      </c>
      <c r="F12959" s="15">
        <f>ROUND(1.05,3)</f>
        <v>1.05</v>
      </c>
      <c r="G12959" s="12">
        <f t="shared" si="2011"/>
        <v>0.79</v>
      </c>
    </row>
    <row r="12960" ht="30.0" customHeight="1">
      <c r="A12960" s="10" t="s">
        <v>1227</v>
      </c>
      <c r="B12960" s="10" t="s">
        <v>42</v>
      </c>
      <c r="C12960" s="10" t="s">
        <v>226</v>
      </c>
      <c r="D12960" s="10" t="s">
        <v>1228</v>
      </c>
      <c r="E12960" s="14">
        <v>0.022</v>
      </c>
      <c r="F12960" s="15">
        <f>ROUND(27.5,3)</f>
        <v>27.5</v>
      </c>
      <c r="G12960" s="12">
        <f t="shared" si="2011"/>
        <v>0.61</v>
      </c>
    </row>
    <row r="12961" ht="21.0" customHeight="1">
      <c r="A12961" s="10" t="s">
        <v>22</v>
      </c>
      <c r="B12961" s="10" t="s">
        <v>18</v>
      </c>
      <c r="C12961" s="10" t="s">
        <v>23</v>
      </c>
      <c r="D12961" s="10" t="s">
        <v>24</v>
      </c>
      <c r="E12961" s="14">
        <v>0.9</v>
      </c>
      <c r="F12961" s="15">
        <f>F12965</f>
        <v>43.8</v>
      </c>
      <c r="G12961" s="12">
        <f t="shared" si="2011"/>
        <v>39.42</v>
      </c>
    </row>
    <row r="12962" ht="24.0" customHeight="1">
      <c r="A12962" s="10" t="s">
        <v>25</v>
      </c>
      <c r="B12962" s="10" t="s">
        <v>26</v>
      </c>
      <c r="C12962" s="10" t="s">
        <v>23</v>
      </c>
      <c r="D12962" s="10" t="s">
        <v>27</v>
      </c>
      <c r="E12962" s="14">
        <v>1.0</v>
      </c>
      <c r="F12962" s="15">
        <f>ROUND(21,3)</f>
        <v>21</v>
      </c>
      <c r="G12962" s="12">
        <f t="shared" si="2011"/>
        <v>21</v>
      </c>
    </row>
    <row r="12963" ht="24.0" customHeight="1">
      <c r="A12963" s="10" t="s">
        <v>28</v>
      </c>
      <c r="B12963" s="10" t="s">
        <v>26</v>
      </c>
      <c r="C12963" s="10" t="s">
        <v>23</v>
      </c>
      <c r="D12963" s="10" t="s">
        <v>29</v>
      </c>
      <c r="E12963" s="14">
        <v>1.0</v>
      </c>
      <c r="F12963" s="15">
        <f t="shared" ref="F12963:F12964" si="2012">ROUND(19,3)</f>
        <v>19</v>
      </c>
      <c r="G12963" s="12">
        <f t="shared" si="2011"/>
        <v>19</v>
      </c>
    </row>
    <row r="12964" ht="24.0" customHeight="1">
      <c r="A12964" s="10" t="s">
        <v>30</v>
      </c>
      <c r="B12964" s="10" t="s">
        <v>26</v>
      </c>
      <c r="C12964" s="10" t="s">
        <v>23</v>
      </c>
      <c r="D12964" s="10" t="s">
        <v>31</v>
      </c>
      <c r="E12964" s="14">
        <v>0.2</v>
      </c>
      <c r="F12964" s="15">
        <f t="shared" si="2012"/>
        <v>19</v>
      </c>
      <c r="G12964" s="12">
        <f t="shared" si="2011"/>
        <v>3.8</v>
      </c>
    </row>
    <row r="12965" ht="15.0" customHeight="1">
      <c r="A12965" s="11"/>
      <c r="B12965" s="11"/>
      <c r="C12965" s="11"/>
      <c r="D12965" s="10" t="s">
        <v>22</v>
      </c>
      <c r="E12965" s="14">
        <v>0.9</v>
      </c>
      <c r="F12965" s="15">
        <f>ROUND((G12962+G12963+G12964),3)</f>
        <v>43.8</v>
      </c>
      <c r="G12965" s="12">
        <f t="shared" si="2011"/>
        <v>39.42</v>
      </c>
    </row>
    <row r="12966" ht="15.0" customHeight="1">
      <c r="A12966" s="10" t="s">
        <v>32</v>
      </c>
      <c r="B12966" s="10"/>
      <c r="C12966" s="10" t="s">
        <v>33</v>
      </c>
      <c r="D12966" s="10" t="s">
        <v>34</v>
      </c>
      <c r="E12966" s="14">
        <v>3.0</v>
      </c>
      <c r="F12966" s="15">
        <f>ROUND(39.42,3)</f>
        <v>39.42</v>
      </c>
      <c r="G12966" s="12">
        <f>ROUND((E12966*F12966)/100,2)</f>
        <v>1.18</v>
      </c>
    </row>
    <row r="12967" ht="15.0" customHeight="1">
      <c r="A12967" s="16"/>
      <c r="B12967" s="16"/>
      <c r="C12967" s="16"/>
      <c r="D12967" s="17" t="s">
        <v>5560</v>
      </c>
      <c r="E12967" s="16"/>
      <c r="F12967" s="18">
        <f>ROUND((G12958+G12959+G12960+G12961+G12966)*(1+G2/100),2)</f>
        <v>44.36</v>
      </c>
      <c r="G12967" s="16"/>
    </row>
    <row r="12968" ht="48.75" customHeight="1">
      <c r="A12968" s="19" t="s">
        <v>5563</v>
      </c>
      <c r="B12968" s="20" t="s">
        <v>18</v>
      </c>
      <c r="C12968" s="20" t="s">
        <v>19</v>
      </c>
      <c r="D12968" s="20" t="s">
        <v>5564</v>
      </c>
      <c r="E12968" s="21"/>
      <c r="F12968" s="22">
        <f>F12979</f>
        <v>34.42</v>
      </c>
      <c r="G12968" s="21"/>
    </row>
    <row r="12969" ht="21.0" customHeight="1">
      <c r="A12969" s="11"/>
      <c r="B12969" s="11"/>
      <c r="C12969" s="11"/>
      <c r="D12969" s="10" t="s">
        <v>5565</v>
      </c>
    </row>
    <row r="12970" ht="39.75" customHeight="1">
      <c r="A12970" s="10" t="s">
        <v>2640</v>
      </c>
      <c r="B12970" s="10" t="s">
        <v>42</v>
      </c>
      <c r="C12970" s="10" t="s">
        <v>184</v>
      </c>
      <c r="D12970" s="10" t="s">
        <v>2641</v>
      </c>
      <c r="E12970" s="14">
        <v>0.9072</v>
      </c>
      <c r="F12970" s="15">
        <f>ROUND(2.6,3)</f>
        <v>2.6</v>
      </c>
      <c r="G12970" s="12">
        <f t="shared" ref="G12970:G12977" si="2013">ROUND(E12970*F12970,2)</f>
        <v>2.36</v>
      </c>
    </row>
    <row r="12971" ht="21.0" customHeight="1">
      <c r="A12971" s="10" t="s">
        <v>1857</v>
      </c>
      <c r="B12971" s="10" t="s">
        <v>42</v>
      </c>
      <c r="C12971" s="10" t="s">
        <v>231</v>
      </c>
      <c r="D12971" s="10" t="s">
        <v>1858</v>
      </c>
      <c r="E12971" s="14">
        <v>0.75</v>
      </c>
      <c r="F12971" s="15">
        <f>ROUND(1.05,3)</f>
        <v>1.05</v>
      </c>
      <c r="G12971" s="12">
        <f t="shared" si="2013"/>
        <v>0.79</v>
      </c>
    </row>
    <row r="12972" ht="30.0" customHeight="1">
      <c r="A12972" s="10" t="s">
        <v>1227</v>
      </c>
      <c r="B12972" s="10" t="s">
        <v>42</v>
      </c>
      <c r="C12972" s="10" t="s">
        <v>226</v>
      </c>
      <c r="D12972" s="10" t="s">
        <v>1228</v>
      </c>
      <c r="E12972" s="14">
        <v>0.022</v>
      </c>
      <c r="F12972" s="15">
        <f>ROUND(27.5,3)</f>
        <v>27.5</v>
      </c>
      <c r="G12972" s="12">
        <f t="shared" si="2013"/>
        <v>0.61</v>
      </c>
    </row>
    <row r="12973" ht="21.0" customHeight="1">
      <c r="A12973" s="10" t="s">
        <v>22</v>
      </c>
      <c r="B12973" s="10" t="s">
        <v>18</v>
      </c>
      <c r="C12973" s="10" t="s">
        <v>23</v>
      </c>
      <c r="D12973" s="10" t="s">
        <v>24</v>
      </c>
      <c r="E12973" s="14">
        <v>0.66667</v>
      </c>
      <c r="F12973" s="15">
        <f>F12977</f>
        <v>43.8</v>
      </c>
      <c r="G12973" s="12">
        <f t="shared" si="2013"/>
        <v>29.2</v>
      </c>
    </row>
    <row r="12974" ht="24.0" customHeight="1">
      <c r="A12974" s="10" t="s">
        <v>25</v>
      </c>
      <c r="B12974" s="10" t="s">
        <v>26</v>
      </c>
      <c r="C12974" s="10" t="s">
        <v>23</v>
      </c>
      <c r="D12974" s="10" t="s">
        <v>27</v>
      </c>
      <c r="E12974" s="14">
        <v>1.0</v>
      </c>
      <c r="F12974" s="15">
        <f>ROUND(21,3)</f>
        <v>21</v>
      </c>
      <c r="G12974" s="12">
        <f t="shared" si="2013"/>
        <v>21</v>
      </c>
    </row>
    <row r="12975" ht="24.0" customHeight="1">
      <c r="A12975" s="10" t="s">
        <v>28</v>
      </c>
      <c r="B12975" s="10" t="s">
        <v>26</v>
      </c>
      <c r="C12975" s="10" t="s">
        <v>23</v>
      </c>
      <c r="D12975" s="10" t="s">
        <v>29</v>
      </c>
      <c r="E12975" s="14">
        <v>1.0</v>
      </c>
      <c r="F12975" s="15">
        <f t="shared" ref="F12975:F12976" si="2014">ROUND(19,3)</f>
        <v>19</v>
      </c>
      <c r="G12975" s="12">
        <f t="shared" si="2013"/>
        <v>19</v>
      </c>
    </row>
    <row r="12976" ht="24.0" customHeight="1">
      <c r="A12976" s="10" t="s">
        <v>30</v>
      </c>
      <c r="B12976" s="10" t="s">
        <v>26</v>
      </c>
      <c r="C12976" s="10" t="s">
        <v>23</v>
      </c>
      <c r="D12976" s="10" t="s">
        <v>31</v>
      </c>
      <c r="E12976" s="14">
        <v>0.2</v>
      </c>
      <c r="F12976" s="15">
        <f t="shared" si="2014"/>
        <v>19</v>
      </c>
      <c r="G12976" s="12">
        <f t="shared" si="2013"/>
        <v>3.8</v>
      </c>
    </row>
    <row r="12977" ht="15.0" customHeight="1">
      <c r="A12977" s="11"/>
      <c r="B12977" s="11"/>
      <c r="C12977" s="11"/>
      <c r="D12977" s="10" t="s">
        <v>22</v>
      </c>
      <c r="E12977" s="14">
        <v>0.66667</v>
      </c>
      <c r="F12977" s="15">
        <f>ROUND((G12974+G12975+G12976),3)</f>
        <v>43.8</v>
      </c>
      <c r="G12977" s="12">
        <f t="shared" si="2013"/>
        <v>29.2</v>
      </c>
    </row>
    <row r="12978" ht="15.0" customHeight="1">
      <c r="A12978" s="10" t="s">
        <v>32</v>
      </c>
      <c r="B12978" s="10"/>
      <c r="C12978" s="10" t="s">
        <v>33</v>
      </c>
      <c r="D12978" s="10" t="s">
        <v>34</v>
      </c>
      <c r="E12978" s="14">
        <v>5.0</v>
      </c>
      <c r="F12978" s="15">
        <f>ROUND(29.2,3)</f>
        <v>29.2</v>
      </c>
      <c r="G12978" s="12">
        <f>ROUND((E12978*F12978)/100,2)</f>
        <v>1.46</v>
      </c>
    </row>
    <row r="12979" ht="15.0" customHeight="1">
      <c r="A12979" s="16"/>
      <c r="B12979" s="16"/>
      <c r="C12979" s="16"/>
      <c r="D12979" s="17" t="s">
        <v>5563</v>
      </c>
      <c r="E12979" s="16"/>
      <c r="F12979" s="18">
        <f>ROUND((G12970+G12971+G12972+G12973+G12978)*(1+G2/100),2)</f>
        <v>34.42</v>
      </c>
      <c r="G12979" s="16"/>
    </row>
    <row r="12980" ht="57.75" customHeight="1">
      <c r="A12980" s="19" t="s">
        <v>5566</v>
      </c>
      <c r="B12980" s="20" t="s">
        <v>18</v>
      </c>
      <c r="C12980" s="20" t="s">
        <v>19</v>
      </c>
      <c r="D12980" s="20" t="s">
        <v>5567</v>
      </c>
      <c r="E12980" s="21"/>
      <c r="F12980" s="22">
        <f>F12991</f>
        <v>46.53</v>
      </c>
      <c r="G12980" s="21"/>
    </row>
    <row r="12981" ht="21.0" customHeight="1">
      <c r="A12981" s="11"/>
      <c r="B12981" s="11"/>
      <c r="C12981" s="11"/>
      <c r="D12981" s="10" t="s">
        <v>5568</v>
      </c>
    </row>
    <row r="12982" ht="39.75" customHeight="1">
      <c r="A12982" s="10" t="s">
        <v>2640</v>
      </c>
      <c r="B12982" s="10" t="s">
        <v>42</v>
      </c>
      <c r="C12982" s="10" t="s">
        <v>184</v>
      </c>
      <c r="D12982" s="10" t="s">
        <v>2641</v>
      </c>
      <c r="E12982" s="14">
        <v>0.9072</v>
      </c>
      <c r="F12982" s="15">
        <f>ROUND(2.6,3)</f>
        <v>2.6</v>
      </c>
      <c r="G12982" s="12">
        <f t="shared" ref="G12982:G12989" si="2015">ROUND(E12982*F12982,2)</f>
        <v>2.36</v>
      </c>
    </row>
    <row r="12983" ht="21.0" customHeight="1">
      <c r="A12983" s="10" t="s">
        <v>1857</v>
      </c>
      <c r="B12983" s="10" t="s">
        <v>42</v>
      </c>
      <c r="C12983" s="10" t="s">
        <v>231</v>
      </c>
      <c r="D12983" s="10" t="s">
        <v>1858</v>
      </c>
      <c r="E12983" s="14">
        <v>0.75</v>
      </c>
      <c r="F12983" s="15">
        <f>ROUND(1.05,3)</f>
        <v>1.05</v>
      </c>
      <c r="G12983" s="12">
        <f t="shared" si="2015"/>
        <v>0.79</v>
      </c>
    </row>
    <row r="12984" ht="30.0" customHeight="1">
      <c r="A12984" s="10" t="s">
        <v>1227</v>
      </c>
      <c r="B12984" s="10" t="s">
        <v>42</v>
      </c>
      <c r="C12984" s="10" t="s">
        <v>226</v>
      </c>
      <c r="D12984" s="10" t="s">
        <v>1228</v>
      </c>
      <c r="E12984" s="14">
        <v>0.022</v>
      </c>
      <c r="F12984" s="15">
        <f>ROUND(27.5,3)</f>
        <v>27.5</v>
      </c>
      <c r="G12984" s="12">
        <f t="shared" si="2015"/>
        <v>0.61</v>
      </c>
    </row>
    <row r="12985" ht="21.0" customHeight="1">
      <c r="A12985" s="10" t="s">
        <v>22</v>
      </c>
      <c r="B12985" s="10" t="s">
        <v>18</v>
      </c>
      <c r="C12985" s="10" t="s">
        <v>23</v>
      </c>
      <c r="D12985" s="10" t="s">
        <v>24</v>
      </c>
      <c r="E12985" s="14">
        <v>0.93</v>
      </c>
      <c r="F12985" s="15">
        <f>F12989</f>
        <v>43.8</v>
      </c>
      <c r="G12985" s="12">
        <f t="shared" si="2015"/>
        <v>40.73</v>
      </c>
    </row>
    <row r="12986" ht="24.0" customHeight="1">
      <c r="A12986" s="10" t="s">
        <v>25</v>
      </c>
      <c r="B12986" s="10" t="s">
        <v>26</v>
      </c>
      <c r="C12986" s="10" t="s">
        <v>23</v>
      </c>
      <c r="D12986" s="10" t="s">
        <v>27</v>
      </c>
      <c r="E12986" s="14">
        <v>1.0</v>
      </c>
      <c r="F12986" s="15">
        <f>ROUND(21,3)</f>
        <v>21</v>
      </c>
      <c r="G12986" s="12">
        <f t="shared" si="2015"/>
        <v>21</v>
      </c>
    </row>
    <row r="12987" ht="24.0" customHeight="1">
      <c r="A12987" s="10" t="s">
        <v>28</v>
      </c>
      <c r="B12987" s="10" t="s">
        <v>26</v>
      </c>
      <c r="C12987" s="10" t="s">
        <v>23</v>
      </c>
      <c r="D12987" s="10" t="s">
        <v>29</v>
      </c>
      <c r="E12987" s="14">
        <v>1.0</v>
      </c>
      <c r="F12987" s="15">
        <f t="shared" ref="F12987:F12988" si="2016">ROUND(19,3)</f>
        <v>19</v>
      </c>
      <c r="G12987" s="12">
        <f t="shared" si="2015"/>
        <v>19</v>
      </c>
    </row>
    <row r="12988" ht="24.0" customHeight="1">
      <c r="A12988" s="10" t="s">
        <v>30</v>
      </c>
      <c r="B12988" s="10" t="s">
        <v>26</v>
      </c>
      <c r="C12988" s="10" t="s">
        <v>23</v>
      </c>
      <c r="D12988" s="10" t="s">
        <v>31</v>
      </c>
      <c r="E12988" s="14">
        <v>0.2</v>
      </c>
      <c r="F12988" s="15">
        <f t="shared" si="2016"/>
        <v>19</v>
      </c>
      <c r="G12988" s="12">
        <f t="shared" si="2015"/>
        <v>3.8</v>
      </c>
    </row>
    <row r="12989" ht="15.0" customHeight="1">
      <c r="A12989" s="11"/>
      <c r="B12989" s="11"/>
      <c r="C12989" s="11"/>
      <c r="D12989" s="10" t="s">
        <v>22</v>
      </c>
      <c r="E12989" s="14">
        <v>0.93</v>
      </c>
      <c r="F12989" s="15">
        <f>ROUND((G12986+G12987+G12988),3)</f>
        <v>43.8</v>
      </c>
      <c r="G12989" s="12">
        <f t="shared" si="2015"/>
        <v>40.73</v>
      </c>
    </row>
    <row r="12990" ht="15.0" customHeight="1">
      <c r="A12990" s="10" t="s">
        <v>32</v>
      </c>
      <c r="B12990" s="10"/>
      <c r="C12990" s="10" t="s">
        <v>33</v>
      </c>
      <c r="D12990" s="10" t="s">
        <v>34</v>
      </c>
      <c r="E12990" s="14">
        <v>5.0</v>
      </c>
      <c r="F12990" s="15">
        <f>ROUND(40.73,3)</f>
        <v>40.73</v>
      </c>
      <c r="G12990" s="12">
        <f>ROUND((E12990*F12990)/100,2)</f>
        <v>2.04</v>
      </c>
    </row>
    <row r="12991" ht="15.0" customHeight="1">
      <c r="A12991" s="16"/>
      <c r="B12991" s="16"/>
      <c r="C12991" s="16"/>
      <c r="D12991" s="17" t="s">
        <v>5566</v>
      </c>
      <c r="E12991" s="16"/>
      <c r="F12991" s="18">
        <f>ROUND((G12982+G12983+G12984+G12985+G12990)*(1+G2/100),2)</f>
        <v>46.53</v>
      </c>
      <c r="G12991" s="16"/>
    </row>
    <row r="12992" ht="48.75" customHeight="1">
      <c r="A12992" s="19" t="s">
        <v>5569</v>
      </c>
      <c r="B12992" s="20" t="s">
        <v>18</v>
      </c>
      <c r="C12992" s="20" t="s">
        <v>19</v>
      </c>
      <c r="D12992" s="20" t="s">
        <v>5570</v>
      </c>
      <c r="E12992" s="21"/>
      <c r="F12992" s="22">
        <f>F13003</f>
        <v>42.98</v>
      </c>
      <c r="G12992" s="21"/>
    </row>
    <row r="12993" ht="21.0" customHeight="1">
      <c r="A12993" s="11"/>
      <c r="B12993" s="11"/>
      <c r="C12993" s="11"/>
      <c r="D12993" s="10" t="s">
        <v>5571</v>
      </c>
    </row>
    <row r="12994" ht="39.75" customHeight="1">
      <c r="A12994" s="10" t="s">
        <v>2640</v>
      </c>
      <c r="B12994" s="10" t="s">
        <v>42</v>
      </c>
      <c r="C12994" s="10" t="s">
        <v>184</v>
      </c>
      <c r="D12994" s="10" t="s">
        <v>2641</v>
      </c>
      <c r="E12994" s="14">
        <v>1.134</v>
      </c>
      <c r="F12994" s="15">
        <f>ROUND(2.6,3)</f>
        <v>2.6</v>
      </c>
      <c r="G12994" s="12">
        <f t="shared" ref="G12994:G13001" si="2017">ROUND(E12994*F12994,2)</f>
        <v>2.95</v>
      </c>
    </row>
    <row r="12995" ht="21.0" customHeight="1">
      <c r="A12995" s="10" t="s">
        <v>1857</v>
      </c>
      <c r="B12995" s="10" t="s">
        <v>42</v>
      </c>
      <c r="C12995" s="10" t="s">
        <v>231</v>
      </c>
      <c r="D12995" s="10" t="s">
        <v>1858</v>
      </c>
      <c r="E12995" s="14">
        <v>0.75</v>
      </c>
      <c r="F12995" s="15">
        <f>ROUND(1.05,3)</f>
        <v>1.05</v>
      </c>
      <c r="G12995" s="12">
        <f t="shared" si="2017"/>
        <v>0.79</v>
      </c>
    </row>
    <row r="12996" ht="30.0" customHeight="1">
      <c r="A12996" s="10" t="s">
        <v>1227</v>
      </c>
      <c r="B12996" s="10" t="s">
        <v>42</v>
      </c>
      <c r="C12996" s="10" t="s">
        <v>226</v>
      </c>
      <c r="D12996" s="10" t="s">
        <v>1228</v>
      </c>
      <c r="E12996" s="14">
        <v>0.022</v>
      </c>
      <c r="F12996" s="15">
        <f>ROUND(27.5,3)</f>
        <v>27.5</v>
      </c>
      <c r="G12996" s="12">
        <f t="shared" si="2017"/>
        <v>0.61</v>
      </c>
    </row>
    <row r="12997" ht="21.0" customHeight="1">
      <c r="A12997" s="10" t="s">
        <v>22</v>
      </c>
      <c r="B12997" s="10" t="s">
        <v>18</v>
      </c>
      <c r="C12997" s="10" t="s">
        <v>23</v>
      </c>
      <c r="D12997" s="10" t="s">
        <v>24</v>
      </c>
      <c r="E12997" s="14">
        <v>0.84</v>
      </c>
      <c r="F12997" s="15">
        <f>F13001</f>
        <v>43.8</v>
      </c>
      <c r="G12997" s="12">
        <f t="shared" si="2017"/>
        <v>36.79</v>
      </c>
    </row>
    <row r="12998" ht="24.0" customHeight="1">
      <c r="A12998" s="10" t="s">
        <v>25</v>
      </c>
      <c r="B12998" s="10" t="s">
        <v>26</v>
      </c>
      <c r="C12998" s="10" t="s">
        <v>23</v>
      </c>
      <c r="D12998" s="10" t="s">
        <v>27</v>
      </c>
      <c r="E12998" s="14">
        <v>1.0</v>
      </c>
      <c r="F12998" s="15">
        <f>ROUND(21,3)</f>
        <v>21</v>
      </c>
      <c r="G12998" s="12">
        <f t="shared" si="2017"/>
        <v>21</v>
      </c>
    </row>
    <row r="12999" ht="24.0" customHeight="1">
      <c r="A12999" s="10" t="s">
        <v>28</v>
      </c>
      <c r="B12999" s="10" t="s">
        <v>26</v>
      </c>
      <c r="C12999" s="10" t="s">
        <v>23</v>
      </c>
      <c r="D12999" s="10" t="s">
        <v>29</v>
      </c>
      <c r="E12999" s="14">
        <v>1.0</v>
      </c>
      <c r="F12999" s="15">
        <f t="shared" ref="F12999:F13000" si="2018">ROUND(19,3)</f>
        <v>19</v>
      </c>
      <c r="G12999" s="12">
        <f t="shared" si="2017"/>
        <v>19</v>
      </c>
    </row>
    <row r="13000" ht="24.0" customHeight="1">
      <c r="A13000" s="10" t="s">
        <v>30</v>
      </c>
      <c r="B13000" s="10" t="s">
        <v>26</v>
      </c>
      <c r="C13000" s="10" t="s">
        <v>23</v>
      </c>
      <c r="D13000" s="10" t="s">
        <v>31</v>
      </c>
      <c r="E13000" s="14">
        <v>0.2</v>
      </c>
      <c r="F13000" s="15">
        <f t="shared" si="2018"/>
        <v>19</v>
      </c>
      <c r="G13000" s="12">
        <f t="shared" si="2017"/>
        <v>3.8</v>
      </c>
    </row>
    <row r="13001" ht="15.0" customHeight="1">
      <c r="A13001" s="11"/>
      <c r="B13001" s="11"/>
      <c r="C13001" s="11"/>
      <c r="D13001" s="10" t="s">
        <v>22</v>
      </c>
      <c r="E13001" s="14">
        <v>0.84</v>
      </c>
      <c r="F13001" s="15">
        <f>ROUND((G12998+G12999+G13000),3)</f>
        <v>43.8</v>
      </c>
      <c r="G13001" s="12">
        <f t="shared" si="2017"/>
        <v>36.79</v>
      </c>
    </row>
    <row r="13002" ht="15.0" customHeight="1">
      <c r="A13002" s="10" t="s">
        <v>32</v>
      </c>
      <c r="B13002" s="10"/>
      <c r="C13002" s="10" t="s">
        <v>33</v>
      </c>
      <c r="D13002" s="10" t="s">
        <v>34</v>
      </c>
      <c r="E13002" s="14">
        <v>5.0</v>
      </c>
      <c r="F13002" s="15">
        <f>ROUND(36.79,3)</f>
        <v>36.79</v>
      </c>
      <c r="G13002" s="12">
        <f>ROUND((E13002*F13002)/100,2)</f>
        <v>1.84</v>
      </c>
    </row>
    <row r="13003" ht="15.0" customHeight="1">
      <c r="A13003" s="16"/>
      <c r="B13003" s="16"/>
      <c r="C13003" s="16"/>
      <c r="D13003" s="17" t="s">
        <v>5569</v>
      </c>
      <c r="E13003" s="16"/>
      <c r="F13003" s="18">
        <f>ROUND((G12994+G12995+G12996+G12997+G13002)*(1+G2/100),2)</f>
        <v>42.98</v>
      </c>
      <c r="G13003" s="16"/>
    </row>
    <row r="13004" ht="57.75" customHeight="1">
      <c r="A13004" s="19" t="s">
        <v>5572</v>
      </c>
      <c r="B13004" s="20" t="s">
        <v>18</v>
      </c>
      <c r="C13004" s="20" t="s">
        <v>19</v>
      </c>
      <c r="D13004" s="20" t="s">
        <v>5573</v>
      </c>
      <c r="E13004" s="21"/>
      <c r="F13004" s="22">
        <f>F13015</f>
        <v>58.61</v>
      </c>
      <c r="G13004" s="21"/>
    </row>
    <row r="13005" ht="21.0" customHeight="1">
      <c r="A13005" s="11"/>
      <c r="B13005" s="11"/>
      <c r="C13005" s="11"/>
      <c r="D13005" s="10" t="s">
        <v>5574</v>
      </c>
    </row>
    <row r="13006" ht="39.75" customHeight="1">
      <c r="A13006" s="10" t="s">
        <v>2640</v>
      </c>
      <c r="B13006" s="10" t="s">
        <v>42</v>
      </c>
      <c r="C13006" s="10" t="s">
        <v>184</v>
      </c>
      <c r="D13006" s="10" t="s">
        <v>2641</v>
      </c>
      <c r="E13006" s="14">
        <v>1.134</v>
      </c>
      <c r="F13006" s="15">
        <f>ROUND(2.6,3)</f>
        <v>2.6</v>
      </c>
      <c r="G13006" s="12">
        <f t="shared" ref="G13006:G13013" si="2019">ROUND(E13006*F13006,2)</f>
        <v>2.95</v>
      </c>
    </row>
    <row r="13007" ht="21.0" customHeight="1">
      <c r="A13007" s="10" t="s">
        <v>1857</v>
      </c>
      <c r="B13007" s="10" t="s">
        <v>42</v>
      </c>
      <c r="C13007" s="10" t="s">
        <v>231</v>
      </c>
      <c r="D13007" s="10" t="s">
        <v>1858</v>
      </c>
      <c r="E13007" s="14">
        <v>0.75</v>
      </c>
      <c r="F13007" s="15">
        <f>ROUND(1.05,3)</f>
        <v>1.05</v>
      </c>
      <c r="G13007" s="12">
        <f t="shared" si="2019"/>
        <v>0.79</v>
      </c>
    </row>
    <row r="13008" ht="30.0" customHeight="1">
      <c r="A13008" s="10" t="s">
        <v>1227</v>
      </c>
      <c r="B13008" s="10" t="s">
        <v>42</v>
      </c>
      <c r="C13008" s="10" t="s">
        <v>226</v>
      </c>
      <c r="D13008" s="10" t="s">
        <v>1228</v>
      </c>
      <c r="E13008" s="14">
        <v>0.022</v>
      </c>
      <c r="F13008" s="15">
        <f>ROUND(27.5,3)</f>
        <v>27.5</v>
      </c>
      <c r="G13008" s="12">
        <f t="shared" si="2019"/>
        <v>0.61</v>
      </c>
    </row>
    <row r="13009" ht="21.0" customHeight="1">
      <c r="A13009" s="10" t="s">
        <v>22</v>
      </c>
      <c r="B13009" s="10" t="s">
        <v>18</v>
      </c>
      <c r="C13009" s="10" t="s">
        <v>23</v>
      </c>
      <c r="D13009" s="10" t="s">
        <v>24</v>
      </c>
      <c r="E13009" s="14">
        <v>1.18</v>
      </c>
      <c r="F13009" s="15">
        <f>F13013</f>
        <v>43.8</v>
      </c>
      <c r="G13009" s="12">
        <f t="shared" si="2019"/>
        <v>51.68</v>
      </c>
    </row>
    <row r="13010" ht="24.0" customHeight="1">
      <c r="A13010" s="10" t="s">
        <v>25</v>
      </c>
      <c r="B13010" s="10" t="s">
        <v>26</v>
      </c>
      <c r="C13010" s="10" t="s">
        <v>23</v>
      </c>
      <c r="D13010" s="10" t="s">
        <v>27</v>
      </c>
      <c r="E13010" s="14">
        <v>1.0</v>
      </c>
      <c r="F13010" s="15">
        <f>ROUND(21,3)</f>
        <v>21</v>
      </c>
      <c r="G13010" s="12">
        <f t="shared" si="2019"/>
        <v>21</v>
      </c>
    </row>
    <row r="13011" ht="24.0" customHeight="1">
      <c r="A13011" s="10" t="s">
        <v>28</v>
      </c>
      <c r="B13011" s="10" t="s">
        <v>26</v>
      </c>
      <c r="C13011" s="10" t="s">
        <v>23</v>
      </c>
      <c r="D13011" s="10" t="s">
        <v>29</v>
      </c>
      <c r="E13011" s="14">
        <v>1.0</v>
      </c>
      <c r="F13011" s="15">
        <f t="shared" ref="F13011:F13012" si="2020">ROUND(19,3)</f>
        <v>19</v>
      </c>
      <c r="G13011" s="12">
        <f t="shared" si="2019"/>
        <v>19</v>
      </c>
    </row>
    <row r="13012" ht="24.0" customHeight="1">
      <c r="A13012" s="10" t="s">
        <v>30</v>
      </c>
      <c r="B13012" s="10" t="s">
        <v>26</v>
      </c>
      <c r="C13012" s="10" t="s">
        <v>23</v>
      </c>
      <c r="D13012" s="10" t="s">
        <v>31</v>
      </c>
      <c r="E13012" s="14">
        <v>0.2</v>
      </c>
      <c r="F13012" s="15">
        <f t="shared" si="2020"/>
        <v>19</v>
      </c>
      <c r="G13012" s="12">
        <f t="shared" si="2019"/>
        <v>3.8</v>
      </c>
    </row>
    <row r="13013" ht="15.0" customHeight="1">
      <c r="A13013" s="11"/>
      <c r="B13013" s="11"/>
      <c r="C13013" s="11"/>
      <c r="D13013" s="10" t="s">
        <v>22</v>
      </c>
      <c r="E13013" s="14">
        <v>1.18</v>
      </c>
      <c r="F13013" s="15">
        <f>ROUND((G13010+G13011+G13012),3)</f>
        <v>43.8</v>
      </c>
      <c r="G13013" s="12">
        <f t="shared" si="2019"/>
        <v>51.68</v>
      </c>
    </row>
    <row r="13014" ht="15.0" customHeight="1">
      <c r="A13014" s="10" t="s">
        <v>32</v>
      </c>
      <c r="B13014" s="10"/>
      <c r="C13014" s="10" t="s">
        <v>33</v>
      </c>
      <c r="D13014" s="10" t="s">
        <v>34</v>
      </c>
      <c r="E13014" s="14">
        <v>5.0</v>
      </c>
      <c r="F13014" s="15">
        <f>ROUND(51.68,3)</f>
        <v>51.68</v>
      </c>
      <c r="G13014" s="12">
        <f>ROUND((E13014*F13014)/100,2)</f>
        <v>2.58</v>
      </c>
    </row>
    <row r="13015" ht="15.0" customHeight="1">
      <c r="A13015" s="16"/>
      <c r="B13015" s="16"/>
      <c r="C13015" s="16"/>
      <c r="D13015" s="17" t="s">
        <v>5572</v>
      </c>
      <c r="E13015" s="16"/>
      <c r="F13015" s="18">
        <f>ROUND((G13006+G13007+G13008+G13009+G13014)*(1+G2/100),2)</f>
        <v>58.61</v>
      </c>
      <c r="G13015" s="16"/>
    </row>
    <row r="13016" ht="48.75" customHeight="1">
      <c r="A13016" s="19" t="s">
        <v>5575</v>
      </c>
      <c r="B13016" s="20" t="s">
        <v>18</v>
      </c>
      <c r="C13016" s="20" t="s">
        <v>19</v>
      </c>
      <c r="D13016" s="20" t="s">
        <v>5576</v>
      </c>
      <c r="E13016" s="21"/>
      <c r="F13016" s="22">
        <f>F13027</f>
        <v>36.54</v>
      </c>
      <c r="G13016" s="21"/>
    </row>
    <row r="13017" ht="21.0" customHeight="1">
      <c r="A13017" s="11"/>
      <c r="B13017" s="11"/>
      <c r="C13017" s="11"/>
      <c r="D13017" s="10" t="s">
        <v>5577</v>
      </c>
    </row>
    <row r="13018" ht="39.75" customHeight="1">
      <c r="A13018" s="10" t="s">
        <v>2640</v>
      </c>
      <c r="B13018" s="10" t="s">
        <v>42</v>
      </c>
      <c r="C13018" s="10" t="s">
        <v>184</v>
      </c>
      <c r="D13018" s="10" t="s">
        <v>2641</v>
      </c>
      <c r="E13018" s="14">
        <v>1.134</v>
      </c>
      <c r="F13018" s="15">
        <f>ROUND(2.6,3)</f>
        <v>2.6</v>
      </c>
      <c r="G13018" s="12">
        <f t="shared" ref="G13018:G13025" si="2021">ROUND(E13018*F13018,2)</f>
        <v>2.95</v>
      </c>
    </row>
    <row r="13019" ht="21.0" customHeight="1">
      <c r="A13019" s="10" t="s">
        <v>1857</v>
      </c>
      <c r="B13019" s="10" t="s">
        <v>42</v>
      </c>
      <c r="C13019" s="10" t="s">
        <v>231</v>
      </c>
      <c r="D13019" s="10" t="s">
        <v>1858</v>
      </c>
      <c r="E13019" s="14">
        <v>0.75</v>
      </c>
      <c r="F13019" s="15">
        <f>ROUND(1.05,3)</f>
        <v>1.05</v>
      </c>
      <c r="G13019" s="12">
        <f t="shared" si="2021"/>
        <v>0.79</v>
      </c>
    </row>
    <row r="13020" ht="30.0" customHeight="1">
      <c r="A13020" s="10" t="s">
        <v>1227</v>
      </c>
      <c r="B13020" s="10" t="s">
        <v>42</v>
      </c>
      <c r="C13020" s="10" t="s">
        <v>226</v>
      </c>
      <c r="D13020" s="10" t="s">
        <v>1228</v>
      </c>
      <c r="E13020" s="14">
        <v>0.022</v>
      </c>
      <c r="F13020" s="15">
        <f>ROUND(27.5,3)</f>
        <v>27.5</v>
      </c>
      <c r="G13020" s="12">
        <f t="shared" si="2021"/>
        <v>0.61</v>
      </c>
    </row>
    <row r="13021" ht="21.0" customHeight="1">
      <c r="A13021" s="10" t="s">
        <v>22</v>
      </c>
      <c r="B13021" s="10" t="s">
        <v>18</v>
      </c>
      <c r="C13021" s="10" t="s">
        <v>23</v>
      </c>
      <c r="D13021" s="10" t="s">
        <v>24</v>
      </c>
      <c r="E13021" s="14">
        <v>0.7</v>
      </c>
      <c r="F13021" s="15">
        <f>F13025</f>
        <v>43.8</v>
      </c>
      <c r="G13021" s="12">
        <f t="shared" si="2021"/>
        <v>30.66</v>
      </c>
    </row>
    <row r="13022" ht="24.0" customHeight="1">
      <c r="A13022" s="10" t="s">
        <v>25</v>
      </c>
      <c r="B13022" s="10" t="s">
        <v>26</v>
      </c>
      <c r="C13022" s="10" t="s">
        <v>23</v>
      </c>
      <c r="D13022" s="10" t="s">
        <v>27</v>
      </c>
      <c r="E13022" s="14">
        <v>1.0</v>
      </c>
      <c r="F13022" s="15">
        <f>ROUND(21,3)</f>
        <v>21</v>
      </c>
      <c r="G13022" s="12">
        <f t="shared" si="2021"/>
        <v>21</v>
      </c>
    </row>
    <row r="13023" ht="24.0" customHeight="1">
      <c r="A13023" s="10" t="s">
        <v>28</v>
      </c>
      <c r="B13023" s="10" t="s">
        <v>26</v>
      </c>
      <c r="C13023" s="10" t="s">
        <v>23</v>
      </c>
      <c r="D13023" s="10" t="s">
        <v>29</v>
      </c>
      <c r="E13023" s="14">
        <v>1.0</v>
      </c>
      <c r="F13023" s="15">
        <f t="shared" ref="F13023:F13024" si="2022">ROUND(19,3)</f>
        <v>19</v>
      </c>
      <c r="G13023" s="12">
        <f t="shared" si="2021"/>
        <v>19</v>
      </c>
    </row>
    <row r="13024" ht="24.0" customHeight="1">
      <c r="A13024" s="10" t="s">
        <v>30</v>
      </c>
      <c r="B13024" s="10" t="s">
        <v>26</v>
      </c>
      <c r="C13024" s="10" t="s">
        <v>23</v>
      </c>
      <c r="D13024" s="10" t="s">
        <v>31</v>
      </c>
      <c r="E13024" s="14">
        <v>0.2</v>
      </c>
      <c r="F13024" s="15">
        <f t="shared" si="2022"/>
        <v>19</v>
      </c>
      <c r="G13024" s="12">
        <f t="shared" si="2021"/>
        <v>3.8</v>
      </c>
    </row>
    <row r="13025" ht="15.0" customHeight="1">
      <c r="A13025" s="11"/>
      <c r="B13025" s="11"/>
      <c r="C13025" s="11"/>
      <c r="D13025" s="10" t="s">
        <v>22</v>
      </c>
      <c r="E13025" s="14">
        <v>0.7</v>
      </c>
      <c r="F13025" s="15">
        <f>ROUND((G13022+G13023+G13024),3)</f>
        <v>43.8</v>
      </c>
      <c r="G13025" s="12">
        <f t="shared" si="2021"/>
        <v>30.66</v>
      </c>
    </row>
    <row r="13026" ht="15.0" customHeight="1">
      <c r="A13026" s="10" t="s">
        <v>32</v>
      </c>
      <c r="B13026" s="10"/>
      <c r="C13026" s="10" t="s">
        <v>33</v>
      </c>
      <c r="D13026" s="10" t="s">
        <v>34</v>
      </c>
      <c r="E13026" s="14">
        <v>5.0</v>
      </c>
      <c r="F13026" s="15">
        <f>ROUND(30.66,3)</f>
        <v>30.66</v>
      </c>
      <c r="G13026" s="12">
        <f>ROUND((E13026*F13026)/100,2)</f>
        <v>1.53</v>
      </c>
    </row>
    <row r="13027" ht="15.0" customHeight="1">
      <c r="A13027" s="16"/>
      <c r="B13027" s="16"/>
      <c r="C13027" s="16"/>
      <c r="D13027" s="17" t="s">
        <v>5575</v>
      </c>
      <c r="E13027" s="16"/>
      <c r="F13027" s="18">
        <f>ROUND((G13018+G13019+G13020+G13021+G13026)*(1+G2/100),2)</f>
        <v>36.54</v>
      </c>
      <c r="G13027" s="16"/>
    </row>
    <row r="13028" ht="57.75" customHeight="1">
      <c r="A13028" s="19" t="s">
        <v>5578</v>
      </c>
      <c r="B13028" s="20" t="s">
        <v>18</v>
      </c>
      <c r="C13028" s="20" t="s">
        <v>19</v>
      </c>
      <c r="D13028" s="20" t="s">
        <v>5579</v>
      </c>
      <c r="E13028" s="21"/>
      <c r="F13028" s="22">
        <f>F13039</f>
        <v>48.96</v>
      </c>
      <c r="G13028" s="21"/>
    </row>
    <row r="13029" ht="21.0" customHeight="1">
      <c r="A13029" s="11"/>
      <c r="B13029" s="11"/>
      <c r="C13029" s="11"/>
      <c r="D13029" s="10" t="s">
        <v>5580</v>
      </c>
    </row>
    <row r="13030" ht="39.75" customHeight="1">
      <c r="A13030" s="10" t="s">
        <v>2640</v>
      </c>
      <c r="B13030" s="10" t="s">
        <v>42</v>
      </c>
      <c r="C13030" s="10" t="s">
        <v>184</v>
      </c>
      <c r="D13030" s="10" t="s">
        <v>2641</v>
      </c>
      <c r="E13030" s="14">
        <v>1.134</v>
      </c>
      <c r="F13030" s="15">
        <f>ROUND(2.6,3)</f>
        <v>2.6</v>
      </c>
      <c r="G13030" s="12">
        <f t="shared" ref="G13030:G13037" si="2023">ROUND(E13030*F13030,2)</f>
        <v>2.95</v>
      </c>
    </row>
    <row r="13031" ht="21.0" customHeight="1">
      <c r="A13031" s="10" t="s">
        <v>1857</v>
      </c>
      <c r="B13031" s="10" t="s">
        <v>42</v>
      </c>
      <c r="C13031" s="10" t="s">
        <v>231</v>
      </c>
      <c r="D13031" s="10" t="s">
        <v>1858</v>
      </c>
      <c r="E13031" s="14">
        <v>0.75</v>
      </c>
      <c r="F13031" s="15">
        <f>ROUND(1.05,3)</f>
        <v>1.05</v>
      </c>
      <c r="G13031" s="12">
        <f t="shared" si="2023"/>
        <v>0.79</v>
      </c>
    </row>
    <row r="13032" ht="30.0" customHeight="1">
      <c r="A13032" s="10" t="s">
        <v>1227</v>
      </c>
      <c r="B13032" s="10" t="s">
        <v>42</v>
      </c>
      <c r="C13032" s="10" t="s">
        <v>226</v>
      </c>
      <c r="D13032" s="10" t="s">
        <v>1228</v>
      </c>
      <c r="E13032" s="14">
        <v>0.022</v>
      </c>
      <c r="F13032" s="15">
        <f>ROUND(27.5,3)</f>
        <v>27.5</v>
      </c>
      <c r="G13032" s="12">
        <f t="shared" si="2023"/>
        <v>0.61</v>
      </c>
    </row>
    <row r="13033" ht="21.0" customHeight="1">
      <c r="A13033" s="10" t="s">
        <v>22</v>
      </c>
      <c r="B13033" s="10" t="s">
        <v>18</v>
      </c>
      <c r="C13033" s="10" t="s">
        <v>23</v>
      </c>
      <c r="D13033" s="10" t="s">
        <v>24</v>
      </c>
      <c r="E13033" s="14">
        <v>0.97</v>
      </c>
      <c r="F13033" s="15">
        <f>F13037</f>
        <v>43.8</v>
      </c>
      <c r="G13033" s="12">
        <f t="shared" si="2023"/>
        <v>42.49</v>
      </c>
    </row>
    <row r="13034" ht="24.0" customHeight="1">
      <c r="A13034" s="10" t="s">
        <v>25</v>
      </c>
      <c r="B13034" s="10" t="s">
        <v>26</v>
      </c>
      <c r="C13034" s="10" t="s">
        <v>23</v>
      </c>
      <c r="D13034" s="10" t="s">
        <v>27</v>
      </c>
      <c r="E13034" s="14">
        <v>1.0</v>
      </c>
      <c r="F13034" s="15">
        <f>ROUND(21,3)</f>
        <v>21</v>
      </c>
      <c r="G13034" s="12">
        <f t="shared" si="2023"/>
        <v>21</v>
      </c>
    </row>
    <row r="13035" ht="24.0" customHeight="1">
      <c r="A13035" s="10" t="s">
        <v>28</v>
      </c>
      <c r="B13035" s="10" t="s">
        <v>26</v>
      </c>
      <c r="C13035" s="10" t="s">
        <v>23</v>
      </c>
      <c r="D13035" s="10" t="s">
        <v>29</v>
      </c>
      <c r="E13035" s="14">
        <v>1.0</v>
      </c>
      <c r="F13035" s="15">
        <f t="shared" ref="F13035:F13036" si="2024">ROUND(19,3)</f>
        <v>19</v>
      </c>
      <c r="G13035" s="12">
        <f t="shared" si="2023"/>
        <v>19</v>
      </c>
    </row>
    <row r="13036" ht="24.0" customHeight="1">
      <c r="A13036" s="10" t="s">
        <v>30</v>
      </c>
      <c r="B13036" s="10" t="s">
        <v>26</v>
      </c>
      <c r="C13036" s="10" t="s">
        <v>23</v>
      </c>
      <c r="D13036" s="10" t="s">
        <v>31</v>
      </c>
      <c r="E13036" s="14">
        <v>0.2</v>
      </c>
      <c r="F13036" s="15">
        <f t="shared" si="2024"/>
        <v>19</v>
      </c>
      <c r="G13036" s="12">
        <f t="shared" si="2023"/>
        <v>3.8</v>
      </c>
    </row>
    <row r="13037" ht="15.0" customHeight="1">
      <c r="A13037" s="11"/>
      <c r="B13037" s="11"/>
      <c r="C13037" s="11"/>
      <c r="D13037" s="10" t="s">
        <v>22</v>
      </c>
      <c r="E13037" s="14">
        <v>0.97</v>
      </c>
      <c r="F13037" s="15">
        <f>ROUND((G13034+G13035+G13036),3)</f>
        <v>43.8</v>
      </c>
      <c r="G13037" s="12">
        <f t="shared" si="2023"/>
        <v>42.49</v>
      </c>
    </row>
    <row r="13038" ht="15.0" customHeight="1">
      <c r="A13038" s="10" t="s">
        <v>32</v>
      </c>
      <c r="B13038" s="10"/>
      <c r="C13038" s="10" t="s">
        <v>33</v>
      </c>
      <c r="D13038" s="10" t="s">
        <v>34</v>
      </c>
      <c r="E13038" s="14">
        <v>5.0</v>
      </c>
      <c r="F13038" s="15">
        <f>ROUND(42.49,3)</f>
        <v>42.49</v>
      </c>
      <c r="G13038" s="12">
        <f>ROUND((E13038*F13038)/100,2)</f>
        <v>2.12</v>
      </c>
    </row>
    <row r="13039" ht="15.0" customHeight="1">
      <c r="A13039" s="16"/>
      <c r="B13039" s="16"/>
      <c r="C13039" s="16"/>
      <c r="D13039" s="17" t="s">
        <v>5578</v>
      </c>
      <c r="E13039" s="16"/>
      <c r="F13039" s="18">
        <f>ROUND((G13030+G13031+G13032+G13033+G13038)*(1+G2/100),2)</f>
        <v>48.96</v>
      </c>
      <c r="G13039" s="16"/>
    </row>
    <row r="13040" ht="15.0" customHeight="1">
      <c r="A13040" s="23"/>
      <c r="B13040" s="23"/>
      <c r="C13040" s="23"/>
      <c r="D13040" s="32" t="s">
        <v>5554</v>
      </c>
      <c r="E13040" s="33"/>
      <c r="F13040" s="33"/>
      <c r="G13040" s="33"/>
    </row>
    <row r="13041" ht="15.0" customHeight="1">
      <c r="A13041" s="34" t="s">
        <v>5581</v>
      </c>
      <c r="B13041" s="34" t="s">
        <v>10</v>
      </c>
      <c r="C13041" s="35"/>
      <c r="D13041" s="34" t="s">
        <v>5582</v>
      </c>
      <c r="E13041" s="35"/>
      <c r="F13041" s="35"/>
      <c r="G13041" s="35"/>
    </row>
    <row r="13042" ht="21.0" customHeight="1">
      <c r="A13042" s="13" t="s">
        <v>5583</v>
      </c>
      <c r="B13042" s="10" t="s">
        <v>18</v>
      </c>
      <c r="C13042" s="10" t="s">
        <v>251</v>
      </c>
      <c r="D13042" s="10" t="s">
        <v>5584</v>
      </c>
      <c r="E13042" s="11"/>
      <c r="F13042" s="12">
        <f>F13054</f>
        <v>29.14</v>
      </c>
      <c r="G13042" s="11"/>
    </row>
    <row r="13043" ht="39.75" customHeight="1">
      <c r="A13043" s="11"/>
      <c r="B13043" s="11"/>
      <c r="C13043" s="11"/>
      <c r="D13043" s="10" t="s">
        <v>5585</v>
      </c>
    </row>
    <row r="13044" ht="30.0" customHeight="1">
      <c r="A13044" s="10" t="s">
        <v>1938</v>
      </c>
      <c r="B13044" s="10" t="s">
        <v>42</v>
      </c>
      <c r="C13044" s="10" t="s">
        <v>1939</v>
      </c>
      <c r="D13044" s="10" t="s">
        <v>1940</v>
      </c>
      <c r="E13044" s="14">
        <v>0.06</v>
      </c>
      <c r="F13044" s="15">
        <f>ROUND(29.17,3)</f>
        <v>29.17</v>
      </c>
      <c r="G13044" s="12">
        <f t="shared" ref="G13044:G13052" si="2025">ROUND(E13044*F13044,2)</f>
        <v>1.75</v>
      </c>
    </row>
    <row r="13045" ht="30.0" customHeight="1">
      <c r="A13045" s="10" t="s">
        <v>1227</v>
      </c>
      <c r="B13045" s="10" t="s">
        <v>42</v>
      </c>
      <c r="C13045" s="10" t="s">
        <v>226</v>
      </c>
      <c r="D13045" s="10" t="s">
        <v>1228</v>
      </c>
      <c r="E13045" s="14">
        <v>0.0252</v>
      </c>
      <c r="F13045" s="15">
        <f>ROUND(27.5,3)</f>
        <v>27.5</v>
      </c>
      <c r="G13045" s="12">
        <f t="shared" si="2025"/>
        <v>0.69</v>
      </c>
    </row>
    <row r="13046" ht="30.0" customHeight="1">
      <c r="A13046" s="10" t="s">
        <v>2152</v>
      </c>
      <c r="B13046" s="10" t="s">
        <v>42</v>
      </c>
      <c r="C13046" s="10" t="s">
        <v>276</v>
      </c>
      <c r="D13046" s="10" t="s">
        <v>2153</v>
      </c>
      <c r="E13046" s="14">
        <v>0.175</v>
      </c>
      <c r="F13046" s="15">
        <f>ROUND(55.5,3)</f>
        <v>55.5</v>
      </c>
      <c r="G13046" s="12">
        <f t="shared" si="2025"/>
        <v>9.71</v>
      </c>
    </row>
    <row r="13047" ht="30.0" customHeight="1">
      <c r="A13047" s="10" t="s">
        <v>2154</v>
      </c>
      <c r="B13047" s="10" t="s">
        <v>42</v>
      </c>
      <c r="C13047" s="10" t="s">
        <v>276</v>
      </c>
      <c r="D13047" s="10" t="s">
        <v>2155</v>
      </c>
      <c r="E13047" s="14">
        <v>0.035</v>
      </c>
      <c r="F13047" s="15">
        <f>ROUND(60.4,3)</f>
        <v>60.4</v>
      </c>
      <c r="G13047" s="12">
        <f t="shared" si="2025"/>
        <v>2.11</v>
      </c>
    </row>
    <row r="13048" ht="21.0" customHeight="1">
      <c r="A13048" s="10" t="s">
        <v>22</v>
      </c>
      <c r="B13048" s="10" t="s">
        <v>18</v>
      </c>
      <c r="C13048" s="10" t="s">
        <v>23</v>
      </c>
      <c r="D13048" s="10" t="s">
        <v>24</v>
      </c>
      <c r="E13048" s="14">
        <v>0.33</v>
      </c>
      <c r="F13048" s="15">
        <f>F13052</f>
        <v>43.8</v>
      </c>
      <c r="G13048" s="12">
        <f t="shared" si="2025"/>
        <v>14.45</v>
      </c>
    </row>
    <row r="13049" ht="24.0" customHeight="1">
      <c r="A13049" s="10" t="s">
        <v>25</v>
      </c>
      <c r="B13049" s="10" t="s">
        <v>26</v>
      </c>
      <c r="C13049" s="10" t="s">
        <v>23</v>
      </c>
      <c r="D13049" s="10" t="s">
        <v>27</v>
      </c>
      <c r="E13049" s="14">
        <v>1.0</v>
      </c>
      <c r="F13049" s="15">
        <f>ROUND(21,3)</f>
        <v>21</v>
      </c>
      <c r="G13049" s="12">
        <f t="shared" si="2025"/>
        <v>21</v>
      </c>
    </row>
    <row r="13050" ht="24.0" customHeight="1">
      <c r="A13050" s="10" t="s">
        <v>28</v>
      </c>
      <c r="B13050" s="10" t="s">
        <v>26</v>
      </c>
      <c r="C13050" s="10" t="s">
        <v>23</v>
      </c>
      <c r="D13050" s="10" t="s">
        <v>29</v>
      </c>
      <c r="E13050" s="14">
        <v>1.0</v>
      </c>
      <c r="F13050" s="15">
        <f t="shared" ref="F13050:F13051" si="2026">ROUND(19,3)</f>
        <v>19</v>
      </c>
      <c r="G13050" s="12">
        <f t="shared" si="2025"/>
        <v>19</v>
      </c>
    </row>
    <row r="13051" ht="24.0" customHeight="1">
      <c r="A13051" s="10" t="s">
        <v>30</v>
      </c>
      <c r="B13051" s="10" t="s">
        <v>26</v>
      </c>
      <c r="C13051" s="10" t="s">
        <v>23</v>
      </c>
      <c r="D13051" s="10" t="s">
        <v>31</v>
      </c>
      <c r="E13051" s="14">
        <v>0.2</v>
      </c>
      <c r="F13051" s="15">
        <f t="shared" si="2026"/>
        <v>19</v>
      </c>
      <c r="G13051" s="12">
        <f t="shared" si="2025"/>
        <v>3.8</v>
      </c>
    </row>
    <row r="13052" ht="15.0" customHeight="1">
      <c r="A13052" s="11"/>
      <c r="B13052" s="11"/>
      <c r="C13052" s="11"/>
      <c r="D13052" s="10" t="s">
        <v>22</v>
      </c>
      <c r="E13052" s="14">
        <v>0.33</v>
      </c>
      <c r="F13052" s="15">
        <f>ROUND((G13049+G13050+G13051),3)</f>
        <v>43.8</v>
      </c>
      <c r="G13052" s="12">
        <f t="shared" si="2025"/>
        <v>14.45</v>
      </c>
    </row>
    <row r="13053" ht="15.0" customHeight="1">
      <c r="A13053" s="10" t="s">
        <v>32</v>
      </c>
      <c r="B13053" s="10"/>
      <c r="C13053" s="10" t="s">
        <v>33</v>
      </c>
      <c r="D13053" s="10" t="s">
        <v>34</v>
      </c>
      <c r="E13053" s="14">
        <v>3.0</v>
      </c>
      <c r="F13053" s="15">
        <f>ROUND(14.45,3)</f>
        <v>14.45</v>
      </c>
      <c r="G13053" s="12">
        <f>ROUND((E13053*F13053)/100,2)</f>
        <v>0.43</v>
      </c>
    </row>
    <row r="13054" ht="15.0" customHeight="1">
      <c r="A13054" s="16"/>
      <c r="B13054" s="16"/>
      <c r="C13054" s="16"/>
      <c r="D13054" s="17" t="s">
        <v>5583</v>
      </c>
      <c r="E13054" s="16"/>
      <c r="F13054" s="18">
        <f>ROUND((G13044+G13045+G13046+G13047+G13048+G13053)*(1+G2/100),2)</f>
        <v>29.14</v>
      </c>
      <c r="G13054" s="16"/>
    </row>
    <row r="13055" ht="30.0" customHeight="1">
      <c r="A13055" s="19" t="s">
        <v>5586</v>
      </c>
      <c r="B13055" s="20" t="s">
        <v>18</v>
      </c>
      <c r="C13055" s="20" t="s">
        <v>251</v>
      </c>
      <c r="D13055" s="20" t="s">
        <v>5587</v>
      </c>
      <c r="E13055" s="21"/>
      <c r="F13055" s="22">
        <f>F13067</f>
        <v>39.75</v>
      </c>
      <c r="G13055" s="21"/>
    </row>
    <row r="13056" ht="39.75" customHeight="1">
      <c r="A13056" s="11"/>
      <c r="B13056" s="11"/>
      <c r="C13056" s="11"/>
      <c r="D13056" s="10" t="s">
        <v>5588</v>
      </c>
    </row>
    <row r="13057" ht="30.0" customHeight="1">
      <c r="A13057" s="10" t="s">
        <v>1938</v>
      </c>
      <c r="B13057" s="10" t="s">
        <v>42</v>
      </c>
      <c r="C13057" s="10" t="s">
        <v>1939</v>
      </c>
      <c r="D13057" s="10" t="s">
        <v>1940</v>
      </c>
      <c r="E13057" s="14">
        <v>0.06</v>
      </c>
      <c r="F13057" s="15">
        <f>ROUND(29.17,3)</f>
        <v>29.17</v>
      </c>
      <c r="G13057" s="12">
        <f t="shared" ref="G13057:G13065" si="2027">ROUND(E13057*F13057,2)</f>
        <v>1.75</v>
      </c>
    </row>
    <row r="13058" ht="30.0" customHeight="1">
      <c r="A13058" s="10" t="s">
        <v>1227</v>
      </c>
      <c r="B13058" s="10" t="s">
        <v>42</v>
      </c>
      <c r="C13058" s="10" t="s">
        <v>226</v>
      </c>
      <c r="D13058" s="10" t="s">
        <v>1228</v>
      </c>
      <c r="E13058" s="14">
        <v>0.0252</v>
      </c>
      <c r="F13058" s="15">
        <f>ROUND(27.5,3)</f>
        <v>27.5</v>
      </c>
      <c r="G13058" s="12">
        <f t="shared" si="2027"/>
        <v>0.69</v>
      </c>
    </row>
    <row r="13059" ht="30.0" customHeight="1">
      <c r="A13059" s="10" t="s">
        <v>2152</v>
      </c>
      <c r="B13059" s="10" t="s">
        <v>42</v>
      </c>
      <c r="C13059" s="10" t="s">
        <v>276</v>
      </c>
      <c r="D13059" s="10" t="s">
        <v>2153</v>
      </c>
      <c r="E13059" s="14">
        <v>0.175</v>
      </c>
      <c r="F13059" s="15">
        <f>ROUND(55.5,3)</f>
        <v>55.5</v>
      </c>
      <c r="G13059" s="12">
        <f t="shared" si="2027"/>
        <v>9.71</v>
      </c>
    </row>
    <row r="13060" ht="30.0" customHeight="1">
      <c r="A13060" s="10" t="s">
        <v>2154</v>
      </c>
      <c r="B13060" s="10" t="s">
        <v>42</v>
      </c>
      <c r="C13060" s="10" t="s">
        <v>276</v>
      </c>
      <c r="D13060" s="10" t="s">
        <v>2155</v>
      </c>
      <c r="E13060" s="14">
        <v>0.035</v>
      </c>
      <c r="F13060" s="15">
        <f>ROUND(60.4,3)</f>
        <v>60.4</v>
      </c>
      <c r="G13060" s="12">
        <f t="shared" si="2027"/>
        <v>2.11</v>
      </c>
    </row>
    <row r="13061" ht="24.0" customHeight="1">
      <c r="A13061" s="10" t="s">
        <v>286</v>
      </c>
      <c r="B13061" s="10" t="s">
        <v>18</v>
      </c>
      <c r="C13061" s="10" t="s">
        <v>23</v>
      </c>
      <c r="D13061" s="10" t="s">
        <v>287</v>
      </c>
      <c r="E13061" s="14">
        <v>0.5</v>
      </c>
      <c r="F13061" s="15">
        <f>F13065</f>
        <v>49.5</v>
      </c>
      <c r="G13061" s="12">
        <f t="shared" si="2027"/>
        <v>24.75</v>
      </c>
    </row>
    <row r="13062" ht="24.0" customHeight="1">
      <c r="A13062" s="10" t="s">
        <v>288</v>
      </c>
      <c r="B13062" s="10" t="s">
        <v>26</v>
      </c>
      <c r="C13062" s="10" t="s">
        <v>23</v>
      </c>
      <c r="D13062" s="10" t="s">
        <v>289</v>
      </c>
      <c r="E13062" s="14">
        <v>1.0</v>
      </c>
      <c r="F13062" s="15">
        <f>ROUND(21,3)</f>
        <v>21</v>
      </c>
      <c r="G13062" s="12">
        <f t="shared" si="2027"/>
        <v>21</v>
      </c>
    </row>
    <row r="13063" ht="24.0" customHeight="1">
      <c r="A13063" s="10" t="s">
        <v>290</v>
      </c>
      <c r="B13063" s="10" t="s">
        <v>26</v>
      </c>
      <c r="C13063" s="10" t="s">
        <v>23</v>
      </c>
      <c r="D13063" s="10" t="s">
        <v>291</v>
      </c>
      <c r="E13063" s="14">
        <v>1.0</v>
      </c>
      <c r="F13063" s="15">
        <f t="shared" ref="F13063:F13064" si="2028">ROUND(19,3)</f>
        <v>19</v>
      </c>
      <c r="G13063" s="12">
        <f t="shared" si="2027"/>
        <v>19</v>
      </c>
    </row>
    <row r="13064" ht="24.0" customHeight="1">
      <c r="A13064" s="10" t="s">
        <v>292</v>
      </c>
      <c r="B13064" s="10" t="s">
        <v>26</v>
      </c>
      <c r="C13064" s="10" t="s">
        <v>23</v>
      </c>
      <c r="D13064" s="10" t="s">
        <v>293</v>
      </c>
      <c r="E13064" s="14">
        <v>0.5</v>
      </c>
      <c r="F13064" s="15">
        <f t="shared" si="2028"/>
        <v>19</v>
      </c>
      <c r="G13064" s="12">
        <f t="shared" si="2027"/>
        <v>9.5</v>
      </c>
    </row>
    <row r="13065" ht="15.0" customHeight="1">
      <c r="A13065" s="11"/>
      <c r="B13065" s="11"/>
      <c r="C13065" s="11"/>
      <c r="D13065" s="10" t="s">
        <v>286</v>
      </c>
      <c r="E13065" s="14">
        <v>0.5</v>
      </c>
      <c r="F13065" s="15">
        <f>ROUND((G13062+G13063+G13064),3)</f>
        <v>49.5</v>
      </c>
      <c r="G13065" s="12">
        <f t="shared" si="2027"/>
        <v>24.75</v>
      </c>
    </row>
    <row r="13066" ht="15.0" customHeight="1">
      <c r="A13066" s="10" t="s">
        <v>32</v>
      </c>
      <c r="B13066" s="10"/>
      <c r="C13066" s="10" t="s">
        <v>33</v>
      </c>
      <c r="D13066" s="10" t="s">
        <v>34</v>
      </c>
      <c r="E13066" s="14">
        <v>3.0</v>
      </c>
      <c r="F13066" s="15">
        <f>ROUND(24.75,3)</f>
        <v>24.75</v>
      </c>
      <c r="G13066" s="12">
        <f>ROUND((E13066*F13066)/100,2)</f>
        <v>0.74</v>
      </c>
    </row>
    <row r="13067" ht="15.0" customHeight="1">
      <c r="A13067" s="16"/>
      <c r="B13067" s="16"/>
      <c r="C13067" s="16"/>
      <c r="D13067" s="17" t="s">
        <v>5586</v>
      </c>
      <c r="E13067" s="16"/>
      <c r="F13067" s="18">
        <f>ROUND((G13057+G13058+G13059+G13060+G13061+G13066)*(1+G2/100),2)</f>
        <v>39.75</v>
      </c>
      <c r="G13067" s="16"/>
    </row>
    <row r="13068" ht="21.0" customHeight="1">
      <c r="A13068" s="19" t="s">
        <v>5589</v>
      </c>
      <c r="B13068" s="20" t="s">
        <v>18</v>
      </c>
      <c r="C13068" s="20" t="s">
        <v>251</v>
      </c>
      <c r="D13068" s="20" t="s">
        <v>5590</v>
      </c>
      <c r="E13068" s="21"/>
      <c r="F13068" s="22">
        <f>F13078</f>
        <v>30.81</v>
      </c>
      <c r="G13068" s="21"/>
    </row>
    <row r="13069" ht="39.75" customHeight="1">
      <c r="A13069" s="11"/>
      <c r="B13069" s="11"/>
      <c r="C13069" s="11"/>
      <c r="D13069" s="10" t="s">
        <v>5591</v>
      </c>
    </row>
    <row r="13070" ht="39.75" customHeight="1">
      <c r="A13070" s="10" t="s">
        <v>1901</v>
      </c>
      <c r="B13070" s="10" t="s">
        <v>42</v>
      </c>
      <c r="C13070" s="10" t="s">
        <v>276</v>
      </c>
      <c r="D13070" s="10" t="s">
        <v>1902</v>
      </c>
      <c r="E13070" s="14">
        <v>0.032</v>
      </c>
      <c r="F13070" s="15">
        <f>ROUND(94.92,3)</f>
        <v>94.92</v>
      </c>
      <c r="G13070" s="12">
        <f t="shared" ref="G13070:G13076" si="2029">ROUND(E13070*F13070,2)</f>
        <v>3.04</v>
      </c>
    </row>
    <row r="13071" ht="30.0" customHeight="1">
      <c r="A13071" s="10" t="s">
        <v>5592</v>
      </c>
      <c r="B13071" s="10" t="s">
        <v>42</v>
      </c>
      <c r="C13071" s="10" t="s">
        <v>5593</v>
      </c>
      <c r="D13071" s="10" t="s">
        <v>5594</v>
      </c>
      <c r="E13071" s="14">
        <v>0.108</v>
      </c>
      <c r="F13071" s="15">
        <f>ROUND(119.32,3)</f>
        <v>119.32</v>
      </c>
      <c r="G13071" s="12">
        <f t="shared" si="2029"/>
        <v>12.89</v>
      </c>
    </row>
    <row r="13072" ht="21.0" customHeight="1">
      <c r="A13072" s="10" t="s">
        <v>22</v>
      </c>
      <c r="B13072" s="10" t="s">
        <v>18</v>
      </c>
      <c r="C13072" s="10" t="s">
        <v>23</v>
      </c>
      <c r="D13072" s="10" t="s">
        <v>24</v>
      </c>
      <c r="E13072" s="14">
        <v>0.33</v>
      </c>
      <c r="F13072" s="15">
        <f>F13076</f>
        <v>43.8</v>
      </c>
      <c r="G13072" s="12">
        <f t="shared" si="2029"/>
        <v>14.45</v>
      </c>
    </row>
    <row r="13073" ht="24.0" customHeight="1">
      <c r="A13073" s="10" t="s">
        <v>25</v>
      </c>
      <c r="B13073" s="10" t="s">
        <v>26</v>
      </c>
      <c r="C13073" s="10" t="s">
        <v>23</v>
      </c>
      <c r="D13073" s="10" t="s">
        <v>27</v>
      </c>
      <c r="E13073" s="14">
        <v>1.0</v>
      </c>
      <c r="F13073" s="15">
        <f>ROUND(21,3)</f>
        <v>21</v>
      </c>
      <c r="G13073" s="12">
        <f t="shared" si="2029"/>
        <v>21</v>
      </c>
    </row>
    <row r="13074" ht="24.0" customHeight="1">
      <c r="A13074" s="10" t="s">
        <v>28</v>
      </c>
      <c r="B13074" s="10" t="s">
        <v>26</v>
      </c>
      <c r="C13074" s="10" t="s">
        <v>23</v>
      </c>
      <c r="D13074" s="10" t="s">
        <v>29</v>
      </c>
      <c r="E13074" s="14">
        <v>1.0</v>
      </c>
      <c r="F13074" s="15">
        <f t="shared" ref="F13074:F13075" si="2030">ROUND(19,3)</f>
        <v>19</v>
      </c>
      <c r="G13074" s="12">
        <f t="shared" si="2029"/>
        <v>19</v>
      </c>
    </row>
    <row r="13075" ht="24.0" customHeight="1">
      <c r="A13075" s="10" t="s">
        <v>30</v>
      </c>
      <c r="B13075" s="10" t="s">
        <v>26</v>
      </c>
      <c r="C13075" s="10" t="s">
        <v>23</v>
      </c>
      <c r="D13075" s="10" t="s">
        <v>31</v>
      </c>
      <c r="E13075" s="14">
        <v>0.2</v>
      </c>
      <c r="F13075" s="15">
        <f t="shared" si="2030"/>
        <v>19</v>
      </c>
      <c r="G13075" s="12">
        <f t="shared" si="2029"/>
        <v>3.8</v>
      </c>
    </row>
    <row r="13076" ht="15.0" customHeight="1">
      <c r="A13076" s="11"/>
      <c r="B13076" s="11"/>
      <c r="C13076" s="11"/>
      <c r="D13076" s="10" t="s">
        <v>22</v>
      </c>
      <c r="E13076" s="14">
        <v>0.33</v>
      </c>
      <c r="F13076" s="15">
        <f>ROUND((G13073+G13074+G13075),3)</f>
        <v>43.8</v>
      </c>
      <c r="G13076" s="12">
        <f t="shared" si="2029"/>
        <v>14.45</v>
      </c>
    </row>
    <row r="13077" ht="15.0" customHeight="1">
      <c r="A13077" s="10" t="s">
        <v>32</v>
      </c>
      <c r="B13077" s="10"/>
      <c r="C13077" s="10" t="s">
        <v>33</v>
      </c>
      <c r="D13077" s="10" t="s">
        <v>34</v>
      </c>
      <c r="E13077" s="14">
        <v>3.0</v>
      </c>
      <c r="F13077" s="15">
        <f>ROUND(14.45,3)</f>
        <v>14.45</v>
      </c>
      <c r="G13077" s="12">
        <f>ROUND((E13077*F13077)/100,2)</f>
        <v>0.43</v>
      </c>
    </row>
    <row r="13078" ht="15.0" customHeight="1">
      <c r="A13078" s="16"/>
      <c r="B13078" s="16"/>
      <c r="C13078" s="16"/>
      <c r="D13078" s="17" t="s">
        <v>5589</v>
      </c>
      <c r="E13078" s="16"/>
      <c r="F13078" s="18">
        <f>ROUND((G13070+G13071+G13072+G13077)*(1+G2/100),2)</f>
        <v>30.81</v>
      </c>
      <c r="G13078" s="16"/>
    </row>
    <row r="13079" ht="21.0" customHeight="1">
      <c r="A13079" s="19" t="s">
        <v>5595</v>
      </c>
      <c r="B13079" s="20" t="s">
        <v>18</v>
      </c>
      <c r="C13079" s="20" t="s">
        <v>251</v>
      </c>
      <c r="D13079" s="20" t="s">
        <v>5596</v>
      </c>
      <c r="E13079" s="21"/>
      <c r="F13079" s="22">
        <f>F13089</f>
        <v>35.19</v>
      </c>
      <c r="G13079" s="21"/>
    </row>
    <row r="13080" ht="12.0" customHeight="1">
      <c r="A13080" s="11"/>
      <c r="B13080" s="11"/>
      <c r="C13080" s="11"/>
      <c r="D13080" s="10" t="s">
        <v>5597</v>
      </c>
    </row>
    <row r="13081" ht="39.75" customHeight="1">
      <c r="A13081" s="10" t="s">
        <v>1901</v>
      </c>
      <c r="B13081" s="10" t="s">
        <v>42</v>
      </c>
      <c r="C13081" s="10" t="s">
        <v>276</v>
      </c>
      <c r="D13081" s="10" t="s">
        <v>1902</v>
      </c>
      <c r="E13081" s="14">
        <v>0.032</v>
      </c>
      <c r="F13081" s="15">
        <f>ROUND(94.92,3)</f>
        <v>94.92</v>
      </c>
      <c r="G13081" s="12">
        <f t="shared" ref="G13081:G13087" si="2031">ROUND(E13081*F13081,2)</f>
        <v>3.04</v>
      </c>
    </row>
    <row r="13082" ht="48.75" customHeight="1">
      <c r="A13082" s="10" t="s">
        <v>1903</v>
      </c>
      <c r="B13082" s="10" t="s">
        <v>42</v>
      </c>
      <c r="C13082" s="10" t="s">
        <v>276</v>
      </c>
      <c r="D13082" s="10" t="s">
        <v>1904</v>
      </c>
      <c r="E13082" s="14">
        <v>0.14</v>
      </c>
      <c r="F13082" s="15">
        <f>ROUND(123.34,3)</f>
        <v>123.34</v>
      </c>
      <c r="G13082" s="12">
        <f t="shared" si="2031"/>
        <v>17.27</v>
      </c>
    </row>
    <row r="13083" ht="21.0" customHeight="1">
      <c r="A13083" s="10" t="s">
        <v>22</v>
      </c>
      <c r="B13083" s="10" t="s">
        <v>18</v>
      </c>
      <c r="C13083" s="10" t="s">
        <v>23</v>
      </c>
      <c r="D13083" s="10" t="s">
        <v>24</v>
      </c>
      <c r="E13083" s="14">
        <v>0.33</v>
      </c>
      <c r="F13083" s="15">
        <f>F13087</f>
        <v>43.8</v>
      </c>
      <c r="G13083" s="12">
        <f t="shared" si="2031"/>
        <v>14.45</v>
      </c>
    </row>
    <row r="13084" ht="24.0" customHeight="1">
      <c r="A13084" s="10" t="s">
        <v>25</v>
      </c>
      <c r="B13084" s="10" t="s">
        <v>26</v>
      </c>
      <c r="C13084" s="10" t="s">
        <v>23</v>
      </c>
      <c r="D13084" s="10" t="s">
        <v>27</v>
      </c>
      <c r="E13084" s="14">
        <v>1.0</v>
      </c>
      <c r="F13084" s="15">
        <f>ROUND(21,3)</f>
        <v>21</v>
      </c>
      <c r="G13084" s="12">
        <f t="shared" si="2031"/>
        <v>21</v>
      </c>
    </row>
    <row r="13085" ht="24.0" customHeight="1">
      <c r="A13085" s="10" t="s">
        <v>28</v>
      </c>
      <c r="B13085" s="10" t="s">
        <v>26</v>
      </c>
      <c r="C13085" s="10" t="s">
        <v>23</v>
      </c>
      <c r="D13085" s="10" t="s">
        <v>29</v>
      </c>
      <c r="E13085" s="14">
        <v>1.0</v>
      </c>
      <c r="F13085" s="15">
        <f t="shared" ref="F13085:F13086" si="2032">ROUND(19,3)</f>
        <v>19</v>
      </c>
      <c r="G13085" s="12">
        <f t="shared" si="2031"/>
        <v>19</v>
      </c>
    </row>
    <row r="13086" ht="24.0" customHeight="1">
      <c r="A13086" s="10" t="s">
        <v>30</v>
      </c>
      <c r="B13086" s="10" t="s">
        <v>26</v>
      </c>
      <c r="C13086" s="10" t="s">
        <v>23</v>
      </c>
      <c r="D13086" s="10" t="s">
        <v>31</v>
      </c>
      <c r="E13086" s="14">
        <v>0.2</v>
      </c>
      <c r="F13086" s="15">
        <f t="shared" si="2032"/>
        <v>19</v>
      </c>
      <c r="G13086" s="12">
        <f t="shared" si="2031"/>
        <v>3.8</v>
      </c>
    </row>
    <row r="13087" ht="15.0" customHeight="1">
      <c r="A13087" s="11"/>
      <c r="B13087" s="11"/>
      <c r="C13087" s="11"/>
      <c r="D13087" s="10" t="s">
        <v>22</v>
      </c>
      <c r="E13087" s="14">
        <v>0.33</v>
      </c>
      <c r="F13087" s="15">
        <f>ROUND((G13084+G13085+G13086),3)</f>
        <v>43.8</v>
      </c>
      <c r="G13087" s="12">
        <f t="shared" si="2031"/>
        <v>14.45</v>
      </c>
    </row>
    <row r="13088" ht="15.0" customHeight="1">
      <c r="A13088" s="10" t="s">
        <v>32</v>
      </c>
      <c r="B13088" s="10"/>
      <c r="C13088" s="10" t="s">
        <v>33</v>
      </c>
      <c r="D13088" s="10" t="s">
        <v>34</v>
      </c>
      <c r="E13088" s="14">
        <v>3.0</v>
      </c>
      <c r="F13088" s="15">
        <f>ROUND(14.45,3)</f>
        <v>14.45</v>
      </c>
      <c r="G13088" s="12">
        <f>ROUND((E13088*F13088)/100,2)</f>
        <v>0.43</v>
      </c>
    </row>
    <row r="13089" ht="15.0" customHeight="1">
      <c r="A13089" s="16"/>
      <c r="B13089" s="16"/>
      <c r="C13089" s="16"/>
      <c r="D13089" s="17" t="s">
        <v>5595</v>
      </c>
      <c r="E13089" s="16"/>
      <c r="F13089" s="18">
        <f>ROUND((G13081+G13082+G13083+G13088)*(1+G2/100),2)</f>
        <v>35.19</v>
      </c>
      <c r="G13089" s="16"/>
    </row>
    <row r="13090" ht="21.0" customHeight="1">
      <c r="A13090" s="19" t="s">
        <v>5598</v>
      </c>
      <c r="B13090" s="20" t="s">
        <v>18</v>
      </c>
      <c r="C13090" s="20" t="s">
        <v>251</v>
      </c>
      <c r="D13090" s="20" t="s">
        <v>5599</v>
      </c>
      <c r="E13090" s="21"/>
      <c r="F13090" s="22">
        <f>F13100</f>
        <v>33.74</v>
      </c>
      <c r="G13090" s="21"/>
    </row>
    <row r="13091" ht="21.0" customHeight="1">
      <c r="A13091" s="11"/>
      <c r="B13091" s="11"/>
      <c r="C13091" s="11"/>
      <c r="D13091" s="10" t="s">
        <v>5600</v>
      </c>
    </row>
    <row r="13092" ht="39.75" customHeight="1">
      <c r="A13092" s="10" t="s">
        <v>1901</v>
      </c>
      <c r="B13092" s="10" t="s">
        <v>42</v>
      </c>
      <c r="C13092" s="10" t="s">
        <v>276</v>
      </c>
      <c r="D13092" s="10" t="s">
        <v>1902</v>
      </c>
      <c r="E13092" s="14">
        <v>0.02</v>
      </c>
      <c r="F13092" s="15">
        <f>ROUND(94.92,3)</f>
        <v>94.92</v>
      </c>
      <c r="G13092" s="12">
        <f t="shared" ref="G13092:G13098" si="2033">ROUND(E13092*F13092,2)</f>
        <v>1.9</v>
      </c>
    </row>
    <row r="13093" ht="48.75" customHeight="1">
      <c r="A13093" s="10" t="s">
        <v>5601</v>
      </c>
      <c r="B13093" s="10" t="s">
        <v>42</v>
      </c>
      <c r="C13093" s="10" t="s">
        <v>276</v>
      </c>
      <c r="D13093" s="10" t="s">
        <v>5602</v>
      </c>
      <c r="E13093" s="14">
        <v>0.12</v>
      </c>
      <c r="F13093" s="15">
        <f>ROUND(114.95,3)</f>
        <v>114.95</v>
      </c>
      <c r="G13093" s="12">
        <f t="shared" si="2033"/>
        <v>13.79</v>
      </c>
    </row>
    <row r="13094" ht="21.0" customHeight="1">
      <c r="A13094" s="10" t="s">
        <v>22</v>
      </c>
      <c r="B13094" s="10" t="s">
        <v>18</v>
      </c>
      <c r="C13094" s="10" t="s">
        <v>23</v>
      </c>
      <c r="D13094" s="10" t="s">
        <v>24</v>
      </c>
      <c r="E13094" s="14">
        <v>0.4</v>
      </c>
      <c r="F13094" s="15">
        <f>F13098</f>
        <v>43.8</v>
      </c>
      <c r="G13094" s="12">
        <f t="shared" si="2033"/>
        <v>17.52</v>
      </c>
    </row>
    <row r="13095" ht="24.0" customHeight="1">
      <c r="A13095" s="10" t="s">
        <v>25</v>
      </c>
      <c r="B13095" s="10" t="s">
        <v>26</v>
      </c>
      <c r="C13095" s="10" t="s">
        <v>23</v>
      </c>
      <c r="D13095" s="10" t="s">
        <v>27</v>
      </c>
      <c r="E13095" s="14">
        <v>1.0</v>
      </c>
      <c r="F13095" s="15">
        <f>ROUND(21,3)</f>
        <v>21</v>
      </c>
      <c r="G13095" s="12">
        <f t="shared" si="2033"/>
        <v>21</v>
      </c>
    </row>
    <row r="13096" ht="24.0" customHeight="1">
      <c r="A13096" s="10" t="s">
        <v>28</v>
      </c>
      <c r="B13096" s="10" t="s">
        <v>26</v>
      </c>
      <c r="C13096" s="10" t="s">
        <v>23</v>
      </c>
      <c r="D13096" s="10" t="s">
        <v>29</v>
      </c>
      <c r="E13096" s="14">
        <v>1.0</v>
      </c>
      <c r="F13096" s="15">
        <f t="shared" ref="F13096:F13097" si="2034">ROUND(19,3)</f>
        <v>19</v>
      </c>
      <c r="G13096" s="12">
        <f t="shared" si="2033"/>
        <v>19</v>
      </c>
    </row>
    <row r="13097" ht="24.0" customHeight="1">
      <c r="A13097" s="10" t="s">
        <v>30</v>
      </c>
      <c r="B13097" s="10" t="s">
        <v>26</v>
      </c>
      <c r="C13097" s="10" t="s">
        <v>23</v>
      </c>
      <c r="D13097" s="10" t="s">
        <v>31</v>
      </c>
      <c r="E13097" s="14">
        <v>0.2</v>
      </c>
      <c r="F13097" s="15">
        <f t="shared" si="2034"/>
        <v>19</v>
      </c>
      <c r="G13097" s="12">
        <f t="shared" si="2033"/>
        <v>3.8</v>
      </c>
    </row>
    <row r="13098" ht="15.0" customHeight="1">
      <c r="A13098" s="11"/>
      <c r="B13098" s="11"/>
      <c r="C13098" s="11"/>
      <c r="D13098" s="10" t="s">
        <v>22</v>
      </c>
      <c r="E13098" s="14">
        <v>0.4</v>
      </c>
      <c r="F13098" s="15">
        <f>ROUND((G13095+G13096+G13097),3)</f>
        <v>43.8</v>
      </c>
      <c r="G13098" s="12">
        <f t="shared" si="2033"/>
        <v>17.52</v>
      </c>
    </row>
    <row r="13099" ht="15.0" customHeight="1">
      <c r="A13099" s="10" t="s">
        <v>32</v>
      </c>
      <c r="B13099" s="10"/>
      <c r="C13099" s="10" t="s">
        <v>33</v>
      </c>
      <c r="D13099" s="10" t="s">
        <v>34</v>
      </c>
      <c r="E13099" s="14">
        <v>3.0</v>
      </c>
      <c r="F13099" s="15">
        <f>ROUND(17.52,3)</f>
        <v>17.52</v>
      </c>
      <c r="G13099" s="12">
        <f>ROUND((E13099*F13099)/100,2)</f>
        <v>0.53</v>
      </c>
    </row>
    <row r="13100" ht="15.0" customHeight="1">
      <c r="A13100" s="16"/>
      <c r="B13100" s="16"/>
      <c r="C13100" s="16"/>
      <c r="D13100" s="17" t="s">
        <v>5598</v>
      </c>
      <c r="E13100" s="16"/>
      <c r="F13100" s="18">
        <f>ROUND((G13092+G13093+G13094+G13099)*(1+G2/100),2)</f>
        <v>33.74</v>
      </c>
      <c r="G13100" s="16"/>
    </row>
    <row r="13101" ht="30.0" customHeight="1">
      <c r="A13101" s="19" t="s">
        <v>5603</v>
      </c>
      <c r="B13101" s="20" t="s">
        <v>18</v>
      </c>
      <c r="C13101" s="20" t="s">
        <v>251</v>
      </c>
      <c r="D13101" s="20" t="s">
        <v>5604</v>
      </c>
      <c r="E13101" s="21"/>
      <c r="F13101" s="22">
        <f>F13115</f>
        <v>46.45</v>
      </c>
      <c r="G13101" s="21"/>
    </row>
    <row r="13102" ht="39.75" customHeight="1">
      <c r="A13102" s="11"/>
      <c r="B13102" s="11"/>
      <c r="C13102" s="11"/>
      <c r="D13102" s="10" t="s">
        <v>5605</v>
      </c>
    </row>
    <row r="13103" ht="30.0" customHeight="1">
      <c r="A13103" s="10" t="s">
        <v>1895</v>
      </c>
      <c r="B13103" s="10" t="s">
        <v>42</v>
      </c>
      <c r="C13103" s="10" t="s">
        <v>184</v>
      </c>
      <c r="D13103" s="10" t="s">
        <v>1896</v>
      </c>
      <c r="E13103" s="14">
        <v>0.504</v>
      </c>
      <c r="F13103" s="15">
        <f>ROUND(28,3)</f>
        <v>28</v>
      </c>
      <c r="G13103" s="12">
        <f t="shared" ref="G13103:G13113" si="2035">ROUND(E13103*F13103,2)</f>
        <v>14.11</v>
      </c>
    </row>
    <row r="13104" ht="39.75" customHeight="1">
      <c r="A13104" s="10" t="s">
        <v>1901</v>
      </c>
      <c r="B13104" s="10" t="s">
        <v>42</v>
      </c>
      <c r="C13104" s="10" t="s">
        <v>276</v>
      </c>
      <c r="D13104" s="10" t="s">
        <v>1902</v>
      </c>
      <c r="E13104" s="14">
        <v>0.04</v>
      </c>
      <c r="F13104" s="15">
        <f>ROUND(94.92,3)</f>
        <v>94.92</v>
      </c>
      <c r="G13104" s="12">
        <f t="shared" si="2035"/>
        <v>3.8</v>
      </c>
    </row>
    <row r="13105" ht="30.0" customHeight="1">
      <c r="A13105" s="10" t="s">
        <v>1929</v>
      </c>
      <c r="B13105" s="10" t="s">
        <v>42</v>
      </c>
      <c r="C13105" s="10" t="s">
        <v>184</v>
      </c>
      <c r="D13105" s="10" t="s">
        <v>1930</v>
      </c>
      <c r="E13105" s="14">
        <v>0.3</v>
      </c>
      <c r="F13105" s="15">
        <f>ROUND(10.18,3)</f>
        <v>10.18</v>
      </c>
      <c r="G13105" s="12">
        <f t="shared" si="2035"/>
        <v>3.05</v>
      </c>
    </row>
    <row r="13106" ht="30.0" customHeight="1">
      <c r="A13106" s="10" t="s">
        <v>1899</v>
      </c>
      <c r="B13106" s="10" t="s">
        <v>42</v>
      </c>
      <c r="C13106" s="10" t="s">
        <v>226</v>
      </c>
      <c r="D13106" s="10" t="s">
        <v>1900</v>
      </c>
      <c r="E13106" s="14">
        <v>0.022</v>
      </c>
      <c r="F13106" s="15">
        <f>ROUND(75.52,3)</f>
        <v>75.52</v>
      </c>
      <c r="G13106" s="12">
        <f t="shared" si="2035"/>
        <v>1.66</v>
      </c>
    </row>
    <row r="13107" ht="21.0" customHeight="1">
      <c r="A13107" s="10" t="s">
        <v>1857</v>
      </c>
      <c r="B13107" s="10" t="s">
        <v>42</v>
      </c>
      <c r="C13107" s="10" t="s">
        <v>231</v>
      </c>
      <c r="D13107" s="10" t="s">
        <v>1858</v>
      </c>
      <c r="E13107" s="14">
        <v>0.375</v>
      </c>
      <c r="F13107" s="15">
        <f>ROUND(1.05,3)</f>
        <v>1.05</v>
      </c>
      <c r="G13107" s="12">
        <f t="shared" si="2035"/>
        <v>0.39</v>
      </c>
    </row>
    <row r="13108" ht="21.0" customHeight="1">
      <c r="A13108" s="10" t="s">
        <v>5606</v>
      </c>
      <c r="B13108" s="10" t="s">
        <v>42</v>
      </c>
      <c r="C13108" s="10" t="s">
        <v>304</v>
      </c>
      <c r="D13108" s="10" t="s">
        <v>5607</v>
      </c>
      <c r="E13108" s="14">
        <v>0.5</v>
      </c>
      <c r="F13108" s="15">
        <f>ROUND(1.76,3)</f>
        <v>1.76</v>
      </c>
      <c r="G13108" s="12">
        <f t="shared" si="2035"/>
        <v>0.88</v>
      </c>
    </row>
    <row r="13109" ht="21.0" customHeight="1">
      <c r="A13109" s="10" t="s">
        <v>22</v>
      </c>
      <c r="B13109" s="10" t="s">
        <v>18</v>
      </c>
      <c r="C13109" s="10" t="s">
        <v>23</v>
      </c>
      <c r="D13109" s="10" t="s">
        <v>24</v>
      </c>
      <c r="E13109" s="14">
        <v>0.5</v>
      </c>
      <c r="F13109" s="15">
        <f>F13113</f>
        <v>43.8</v>
      </c>
      <c r="G13109" s="12">
        <f t="shared" si="2035"/>
        <v>21.9</v>
      </c>
    </row>
    <row r="13110" ht="24.0" customHeight="1">
      <c r="A13110" s="10" t="s">
        <v>25</v>
      </c>
      <c r="B13110" s="10" t="s">
        <v>26</v>
      </c>
      <c r="C13110" s="10" t="s">
        <v>23</v>
      </c>
      <c r="D13110" s="10" t="s">
        <v>27</v>
      </c>
      <c r="E13110" s="14">
        <v>1.0</v>
      </c>
      <c r="F13110" s="15">
        <f>ROUND(21,3)</f>
        <v>21</v>
      </c>
      <c r="G13110" s="12">
        <f t="shared" si="2035"/>
        <v>21</v>
      </c>
    </row>
    <row r="13111" ht="24.0" customHeight="1">
      <c r="A13111" s="10" t="s">
        <v>28</v>
      </c>
      <c r="B13111" s="10" t="s">
        <v>26</v>
      </c>
      <c r="C13111" s="10" t="s">
        <v>23</v>
      </c>
      <c r="D13111" s="10" t="s">
        <v>29</v>
      </c>
      <c r="E13111" s="14">
        <v>1.0</v>
      </c>
      <c r="F13111" s="15">
        <f t="shared" ref="F13111:F13112" si="2036">ROUND(19,3)</f>
        <v>19</v>
      </c>
      <c r="G13111" s="12">
        <f t="shared" si="2035"/>
        <v>19</v>
      </c>
    </row>
    <row r="13112" ht="24.0" customHeight="1">
      <c r="A13112" s="10" t="s">
        <v>30</v>
      </c>
      <c r="B13112" s="10" t="s">
        <v>26</v>
      </c>
      <c r="C13112" s="10" t="s">
        <v>23</v>
      </c>
      <c r="D13112" s="10" t="s">
        <v>31</v>
      </c>
      <c r="E13112" s="14">
        <v>0.2</v>
      </c>
      <c r="F13112" s="15">
        <f t="shared" si="2036"/>
        <v>19</v>
      </c>
      <c r="G13112" s="12">
        <f t="shared" si="2035"/>
        <v>3.8</v>
      </c>
    </row>
    <row r="13113" ht="15.0" customHeight="1">
      <c r="A13113" s="11"/>
      <c r="B13113" s="11"/>
      <c r="C13113" s="11"/>
      <c r="D13113" s="10" t="s">
        <v>22</v>
      </c>
      <c r="E13113" s="14">
        <v>0.5</v>
      </c>
      <c r="F13113" s="15">
        <f>ROUND((G13110+G13111+G13112),3)</f>
        <v>43.8</v>
      </c>
      <c r="G13113" s="12">
        <f t="shared" si="2035"/>
        <v>21.9</v>
      </c>
    </row>
    <row r="13114" ht="15.0" customHeight="1">
      <c r="A13114" s="10" t="s">
        <v>32</v>
      </c>
      <c r="B13114" s="10"/>
      <c r="C13114" s="10" t="s">
        <v>33</v>
      </c>
      <c r="D13114" s="10" t="s">
        <v>34</v>
      </c>
      <c r="E13114" s="14">
        <v>3.0</v>
      </c>
      <c r="F13114" s="15">
        <f>ROUND(21.9,3)</f>
        <v>21.9</v>
      </c>
      <c r="G13114" s="12">
        <f>ROUND((E13114*F13114)/100,2)</f>
        <v>0.66</v>
      </c>
    </row>
    <row r="13115" ht="15.0" customHeight="1">
      <c r="A13115" s="16"/>
      <c r="B13115" s="16"/>
      <c r="C13115" s="16"/>
      <c r="D13115" s="17" t="s">
        <v>5603</v>
      </c>
      <c r="E13115" s="16"/>
      <c r="F13115" s="18">
        <f>ROUND((G13103+G13104+G13105+G13106+G13107+G13108+G13109+G13114)*(1+G2/100),2)</f>
        <v>46.45</v>
      </c>
      <c r="G13115" s="16"/>
    </row>
    <row r="13116" ht="21.0" customHeight="1">
      <c r="A13116" s="19" t="s">
        <v>5608</v>
      </c>
      <c r="B13116" s="20" t="s">
        <v>18</v>
      </c>
      <c r="C13116" s="20" t="s">
        <v>251</v>
      </c>
      <c r="D13116" s="20" t="s">
        <v>5609</v>
      </c>
      <c r="E13116" s="21"/>
      <c r="F13116" s="22">
        <f>F13131</f>
        <v>34.03</v>
      </c>
      <c r="G13116" s="21"/>
    </row>
    <row r="13117" ht="76.5" customHeight="1">
      <c r="A13117" s="11"/>
      <c r="B13117" s="11"/>
      <c r="C13117" s="11"/>
      <c r="D13117" s="10" t="s">
        <v>5610</v>
      </c>
    </row>
    <row r="13118" ht="30.0" customHeight="1">
      <c r="A13118" s="10" t="s">
        <v>2140</v>
      </c>
      <c r="B13118" s="10" t="s">
        <v>42</v>
      </c>
      <c r="C13118" s="10" t="s">
        <v>276</v>
      </c>
      <c r="D13118" s="10" t="s">
        <v>2141</v>
      </c>
      <c r="E13118" s="14">
        <v>0.015</v>
      </c>
      <c r="F13118" s="15">
        <f>ROUND(143.22,3)</f>
        <v>143.22</v>
      </c>
      <c r="G13118" s="12">
        <f t="shared" ref="G13118:G13129" si="2037">ROUND(E13118*F13118,2)</f>
        <v>2.15</v>
      </c>
    </row>
    <row r="13119" ht="39.75" customHeight="1">
      <c r="A13119" s="10" t="s">
        <v>2024</v>
      </c>
      <c r="B13119" s="10" t="s">
        <v>42</v>
      </c>
      <c r="C13119" s="10" t="s">
        <v>184</v>
      </c>
      <c r="D13119" s="10" t="s">
        <v>2025</v>
      </c>
      <c r="E13119" s="14">
        <v>0.24</v>
      </c>
      <c r="F13119" s="15">
        <f>ROUND(11.26,3)</f>
        <v>11.26</v>
      </c>
      <c r="G13119" s="12">
        <f t="shared" si="2037"/>
        <v>2.7</v>
      </c>
    </row>
    <row r="13120" ht="30.0" customHeight="1">
      <c r="A13120" s="10" t="s">
        <v>1899</v>
      </c>
      <c r="B13120" s="10" t="s">
        <v>42</v>
      </c>
      <c r="C13120" s="10" t="s">
        <v>226</v>
      </c>
      <c r="D13120" s="10" t="s">
        <v>1900</v>
      </c>
      <c r="E13120" s="14">
        <v>0.022</v>
      </c>
      <c r="F13120" s="15">
        <f>ROUND(75.52,3)</f>
        <v>75.52</v>
      </c>
      <c r="G13120" s="12">
        <f t="shared" si="2037"/>
        <v>1.66</v>
      </c>
    </row>
    <row r="13121" ht="57.75" customHeight="1">
      <c r="A13121" s="10" t="s">
        <v>5611</v>
      </c>
      <c r="B13121" s="10" t="s">
        <v>42</v>
      </c>
      <c r="C13121" s="10" t="s">
        <v>1207</v>
      </c>
      <c r="D13121" s="10" t="s">
        <v>5612</v>
      </c>
      <c r="E13121" s="14">
        <v>5.0</v>
      </c>
      <c r="F13121" s="15">
        <f>ROUND(0.92,3)</f>
        <v>0.92</v>
      </c>
      <c r="G13121" s="12">
        <f t="shared" si="2037"/>
        <v>4.6</v>
      </c>
    </row>
    <row r="13122" ht="30.0" customHeight="1">
      <c r="A13122" s="10" t="s">
        <v>2028</v>
      </c>
      <c r="B13122" s="10" t="s">
        <v>42</v>
      </c>
      <c r="C13122" s="10" t="s">
        <v>1997</v>
      </c>
      <c r="D13122" s="10" t="s">
        <v>2029</v>
      </c>
      <c r="E13122" s="14">
        <v>0.24</v>
      </c>
      <c r="F13122" s="15">
        <f>ROUND(2.8,3)</f>
        <v>2.8</v>
      </c>
      <c r="G13122" s="12">
        <f t="shared" si="2037"/>
        <v>0.67</v>
      </c>
    </row>
    <row r="13123" ht="39.75" customHeight="1">
      <c r="A13123" s="10" t="s">
        <v>1996</v>
      </c>
      <c r="B13123" s="10" t="s">
        <v>42</v>
      </c>
      <c r="C13123" s="10" t="s">
        <v>1997</v>
      </c>
      <c r="D13123" s="10" t="s">
        <v>1998</v>
      </c>
      <c r="E13123" s="14">
        <v>0.1237</v>
      </c>
      <c r="F13123" s="15">
        <f>ROUND(5.04,3)</f>
        <v>5.04</v>
      </c>
      <c r="G13123" s="12">
        <f t="shared" si="2037"/>
        <v>0.62</v>
      </c>
    </row>
    <row r="13124" ht="30.0" customHeight="1">
      <c r="A13124" s="10" t="s">
        <v>2026</v>
      </c>
      <c r="B13124" s="10" t="s">
        <v>42</v>
      </c>
      <c r="C13124" s="10" t="s">
        <v>1997</v>
      </c>
      <c r="D13124" s="10" t="s">
        <v>2027</v>
      </c>
      <c r="E13124" s="14">
        <v>0.12</v>
      </c>
      <c r="F13124" s="15">
        <f>ROUND(11.1,3)</f>
        <v>11.1</v>
      </c>
      <c r="G13124" s="12">
        <f t="shared" si="2037"/>
        <v>1.33</v>
      </c>
    </row>
    <row r="13125" ht="21.0" customHeight="1">
      <c r="A13125" s="10" t="s">
        <v>22</v>
      </c>
      <c r="B13125" s="10" t="s">
        <v>18</v>
      </c>
      <c r="C13125" s="10" t="s">
        <v>23</v>
      </c>
      <c r="D13125" s="10" t="s">
        <v>24</v>
      </c>
      <c r="E13125" s="14">
        <v>0.45</v>
      </c>
      <c r="F13125" s="15">
        <f>F13129</f>
        <v>43.8</v>
      </c>
      <c r="G13125" s="12">
        <f t="shared" si="2037"/>
        <v>19.71</v>
      </c>
    </row>
    <row r="13126" ht="24.0" customHeight="1">
      <c r="A13126" s="10" t="s">
        <v>25</v>
      </c>
      <c r="B13126" s="10" t="s">
        <v>26</v>
      </c>
      <c r="C13126" s="10" t="s">
        <v>23</v>
      </c>
      <c r="D13126" s="10" t="s">
        <v>27</v>
      </c>
      <c r="E13126" s="14">
        <v>1.0</v>
      </c>
      <c r="F13126" s="15">
        <f>ROUND(21,3)</f>
        <v>21</v>
      </c>
      <c r="G13126" s="12">
        <f t="shared" si="2037"/>
        <v>21</v>
      </c>
    </row>
    <row r="13127" ht="24.0" customHeight="1">
      <c r="A13127" s="10" t="s">
        <v>28</v>
      </c>
      <c r="B13127" s="10" t="s">
        <v>26</v>
      </c>
      <c r="C13127" s="10" t="s">
        <v>23</v>
      </c>
      <c r="D13127" s="10" t="s">
        <v>29</v>
      </c>
      <c r="E13127" s="14">
        <v>1.0</v>
      </c>
      <c r="F13127" s="15">
        <f t="shared" ref="F13127:F13128" si="2038">ROUND(19,3)</f>
        <v>19</v>
      </c>
      <c r="G13127" s="12">
        <f t="shared" si="2037"/>
        <v>19</v>
      </c>
    </row>
    <row r="13128" ht="24.0" customHeight="1">
      <c r="A13128" s="10" t="s">
        <v>30</v>
      </c>
      <c r="B13128" s="10" t="s">
        <v>26</v>
      </c>
      <c r="C13128" s="10" t="s">
        <v>23</v>
      </c>
      <c r="D13128" s="10" t="s">
        <v>31</v>
      </c>
      <c r="E13128" s="14">
        <v>0.2</v>
      </c>
      <c r="F13128" s="15">
        <f t="shared" si="2038"/>
        <v>19</v>
      </c>
      <c r="G13128" s="12">
        <f t="shared" si="2037"/>
        <v>3.8</v>
      </c>
    </row>
    <row r="13129" ht="15.0" customHeight="1">
      <c r="A13129" s="11"/>
      <c r="B13129" s="11"/>
      <c r="C13129" s="11"/>
      <c r="D13129" s="10" t="s">
        <v>22</v>
      </c>
      <c r="E13129" s="14">
        <v>0.45</v>
      </c>
      <c r="F13129" s="15">
        <f>ROUND((G13126+G13127+G13128),3)</f>
        <v>43.8</v>
      </c>
      <c r="G13129" s="12">
        <f t="shared" si="2037"/>
        <v>19.71</v>
      </c>
    </row>
    <row r="13130" ht="15.0" customHeight="1">
      <c r="A13130" s="10" t="s">
        <v>32</v>
      </c>
      <c r="B13130" s="10"/>
      <c r="C13130" s="10" t="s">
        <v>33</v>
      </c>
      <c r="D13130" s="10" t="s">
        <v>34</v>
      </c>
      <c r="E13130" s="14">
        <v>3.0</v>
      </c>
      <c r="F13130" s="15">
        <f>ROUND(19.71,3)</f>
        <v>19.71</v>
      </c>
      <c r="G13130" s="12">
        <f>ROUND((E13130*F13130)/100,2)</f>
        <v>0.59</v>
      </c>
    </row>
    <row r="13131" ht="15.0" customHeight="1">
      <c r="A13131" s="16"/>
      <c r="B13131" s="16"/>
      <c r="C13131" s="16"/>
      <c r="D13131" s="17" t="s">
        <v>5608</v>
      </c>
      <c r="E13131" s="16"/>
      <c r="F13131" s="18">
        <f>ROUND((G13118+G13119+G13120+G13121+G13122+G13123+G13124+G13125+G13130)*(1+G2/100),2)</f>
        <v>34.03</v>
      </c>
      <c r="G13131" s="16"/>
    </row>
    <row r="13132" ht="30.0" customHeight="1">
      <c r="A13132" s="19" t="s">
        <v>5613</v>
      </c>
      <c r="B13132" s="20" t="s">
        <v>18</v>
      </c>
      <c r="C13132" s="20" t="s">
        <v>251</v>
      </c>
      <c r="D13132" s="20" t="s">
        <v>5614</v>
      </c>
      <c r="E13132" s="21"/>
      <c r="F13132" s="22">
        <f>F13147</f>
        <v>48.14</v>
      </c>
      <c r="G13132" s="21"/>
    </row>
    <row r="13133" ht="76.5" customHeight="1">
      <c r="A13133" s="11"/>
      <c r="B13133" s="11"/>
      <c r="C13133" s="11"/>
      <c r="D13133" s="10" t="s">
        <v>5615</v>
      </c>
    </row>
    <row r="13134" ht="30.0" customHeight="1">
      <c r="A13134" s="10" t="s">
        <v>2140</v>
      </c>
      <c r="B13134" s="10" t="s">
        <v>42</v>
      </c>
      <c r="C13134" s="10" t="s">
        <v>276</v>
      </c>
      <c r="D13134" s="10" t="s">
        <v>2141</v>
      </c>
      <c r="E13134" s="14">
        <v>0.015</v>
      </c>
      <c r="F13134" s="15">
        <f>ROUND(143.22,3)</f>
        <v>143.22</v>
      </c>
      <c r="G13134" s="12">
        <f t="shared" ref="G13134:G13145" si="2039">ROUND(E13134*F13134,2)</f>
        <v>2.15</v>
      </c>
    </row>
    <row r="13135" ht="39.75" customHeight="1">
      <c r="A13135" s="10" t="s">
        <v>2024</v>
      </c>
      <c r="B13135" s="10" t="s">
        <v>42</v>
      </c>
      <c r="C13135" s="10" t="s">
        <v>184</v>
      </c>
      <c r="D13135" s="10" t="s">
        <v>2025</v>
      </c>
      <c r="E13135" s="14">
        <v>0.24</v>
      </c>
      <c r="F13135" s="15">
        <f>ROUND(11.26,3)</f>
        <v>11.26</v>
      </c>
      <c r="G13135" s="12">
        <f t="shared" si="2039"/>
        <v>2.7</v>
      </c>
    </row>
    <row r="13136" ht="30.0" customHeight="1">
      <c r="A13136" s="10" t="s">
        <v>1899</v>
      </c>
      <c r="B13136" s="10" t="s">
        <v>42</v>
      </c>
      <c r="C13136" s="10" t="s">
        <v>226</v>
      </c>
      <c r="D13136" s="10" t="s">
        <v>1900</v>
      </c>
      <c r="E13136" s="14">
        <v>0.022</v>
      </c>
      <c r="F13136" s="15">
        <f>ROUND(75.52,3)</f>
        <v>75.52</v>
      </c>
      <c r="G13136" s="12">
        <f t="shared" si="2039"/>
        <v>1.66</v>
      </c>
    </row>
    <row r="13137" ht="57.75" customHeight="1">
      <c r="A13137" s="10" t="s">
        <v>5611</v>
      </c>
      <c r="B13137" s="10" t="s">
        <v>42</v>
      </c>
      <c r="C13137" s="10" t="s">
        <v>1207</v>
      </c>
      <c r="D13137" s="10" t="s">
        <v>5612</v>
      </c>
      <c r="E13137" s="14">
        <v>5.0</v>
      </c>
      <c r="F13137" s="15">
        <f>ROUND(0.92,3)</f>
        <v>0.92</v>
      </c>
      <c r="G13137" s="12">
        <f t="shared" si="2039"/>
        <v>4.6</v>
      </c>
    </row>
    <row r="13138" ht="30.0" customHeight="1">
      <c r="A13138" s="10" t="s">
        <v>2028</v>
      </c>
      <c r="B13138" s="10" t="s">
        <v>42</v>
      </c>
      <c r="C13138" s="10" t="s">
        <v>1997</v>
      </c>
      <c r="D13138" s="10" t="s">
        <v>2029</v>
      </c>
      <c r="E13138" s="14">
        <v>0.24</v>
      </c>
      <c r="F13138" s="15">
        <f>ROUND(2.8,3)</f>
        <v>2.8</v>
      </c>
      <c r="G13138" s="12">
        <f t="shared" si="2039"/>
        <v>0.67</v>
      </c>
    </row>
    <row r="13139" ht="39.75" customHeight="1">
      <c r="A13139" s="10" t="s">
        <v>1996</v>
      </c>
      <c r="B13139" s="10" t="s">
        <v>42</v>
      </c>
      <c r="C13139" s="10" t="s">
        <v>1997</v>
      </c>
      <c r="D13139" s="10" t="s">
        <v>1998</v>
      </c>
      <c r="E13139" s="14">
        <v>0.1237</v>
      </c>
      <c r="F13139" s="15">
        <f>ROUND(5.04,3)</f>
        <v>5.04</v>
      </c>
      <c r="G13139" s="12">
        <f t="shared" si="2039"/>
        <v>0.62</v>
      </c>
    </row>
    <row r="13140" ht="30.0" customHeight="1">
      <c r="A13140" s="10" t="s">
        <v>2026</v>
      </c>
      <c r="B13140" s="10" t="s">
        <v>42</v>
      </c>
      <c r="C13140" s="10" t="s">
        <v>1997</v>
      </c>
      <c r="D13140" s="10" t="s">
        <v>2027</v>
      </c>
      <c r="E13140" s="14">
        <v>0.12</v>
      </c>
      <c r="F13140" s="15">
        <f>ROUND(11.1,3)</f>
        <v>11.1</v>
      </c>
      <c r="G13140" s="12">
        <f t="shared" si="2039"/>
        <v>1.33</v>
      </c>
    </row>
    <row r="13141" ht="24.0" customHeight="1">
      <c r="A13141" s="10" t="s">
        <v>286</v>
      </c>
      <c r="B13141" s="10" t="s">
        <v>18</v>
      </c>
      <c r="C13141" s="10" t="s">
        <v>23</v>
      </c>
      <c r="D13141" s="10" t="s">
        <v>287</v>
      </c>
      <c r="E13141" s="14">
        <v>0.675</v>
      </c>
      <c r="F13141" s="15">
        <f>F13145</f>
        <v>49.5</v>
      </c>
      <c r="G13141" s="12">
        <f t="shared" si="2039"/>
        <v>33.41</v>
      </c>
    </row>
    <row r="13142" ht="24.0" customHeight="1">
      <c r="A13142" s="10" t="s">
        <v>288</v>
      </c>
      <c r="B13142" s="10" t="s">
        <v>26</v>
      </c>
      <c r="C13142" s="10" t="s">
        <v>23</v>
      </c>
      <c r="D13142" s="10" t="s">
        <v>289</v>
      </c>
      <c r="E13142" s="14">
        <v>1.0</v>
      </c>
      <c r="F13142" s="15">
        <f>ROUND(21,3)</f>
        <v>21</v>
      </c>
      <c r="G13142" s="12">
        <f t="shared" si="2039"/>
        <v>21</v>
      </c>
    </row>
    <row r="13143" ht="24.0" customHeight="1">
      <c r="A13143" s="10" t="s">
        <v>290</v>
      </c>
      <c r="B13143" s="10" t="s">
        <v>26</v>
      </c>
      <c r="C13143" s="10" t="s">
        <v>23</v>
      </c>
      <c r="D13143" s="10" t="s">
        <v>291</v>
      </c>
      <c r="E13143" s="14">
        <v>1.0</v>
      </c>
      <c r="F13143" s="15">
        <f t="shared" ref="F13143:F13144" si="2040">ROUND(19,3)</f>
        <v>19</v>
      </c>
      <c r="G13143" s="12">
        <f t="shared" si="2039"/>
        <v>19</v>
      </c>
    </row>
    <row r="13144" ht="24.0" customHeight="1">
      <c r="A13144" s="10" t="s">
        <v>292</v>
      </c>
      <c r="B13144" s="10" t="s">
        <v>26</v>
      </c>
      <c r="C13144" s="10" t="s">
        <v>23</v>
      </c>
      <c r="D13144" s="10" t="s">
        <v>293</v>
      </c>
      <c r="E13144" s="14">
        <v>0.5</v>
      </c>
      <c r="F13144" s="15">
        <f t="shared" si="2040"/>
        <v>19</v>
      </c>
      <c r="G13144" s="12">
        <f t="shared" si="2039"/>
        <v>9.5</v>
      </c>
    </row>
    <row r="13145" ht="15.0" customHeight="1">
      <c r="A13145" s="11"/>
      <c r="B13145" s="11"/>
      <c r="C13145" s="11"/>
      <c r="D13145" s="10" t="s">
        <v>286</v>
      </c>
      <c r="E13145" s="14">
        <v>0.675</v>
      </c>
      <c r="F13145" s="15">
        <f>ROUND((G13142+G13143+G13144),3)</f>
        <v>49.5</v>
      </c>
      <c r="G13145" s="12">
        <f t="shared" si="2039"/>
        <v>33.41</v>
      </c>
    </row>
    <row r="13146" ht="15.0" customHeight="1">
      <c r="A13146" s="10" t="s">
        <v>32</v>
      </c>
      <c r="B13146" s="10"/>
      <c r="C13146" s="10" t="s">
        <v>33</v>
      </c>
      <c r="D13146" s="10" t="s">
        <v>34</v>
      </c>
      <c r="E13146" s="14">
        <v>3.0</v>
      </c>
      <c r="F13146" s="15">
        <f>ROUND(33.41,3)</f>
        <v>33.41</v>
      </c>
      <c r="G13146" s="12">
        <f>ROUND((E13146*F13146)/100,2)</f>
        <v>1</v>
      </c>
    </row>
    <row r="13147" ht="15.0" customHeight="1">
      <c r="A13147" s="16"/>
      <c r="B13147" s="16"/>
      <c r="C13147" s="16"/>
      <c r="D13147" s="17" t="s">
        <v>5613</v>
      </c>
      <c r="E13147" s="16"/>
      <c r="F13147" s="18">
        <f>ROUND((G13134+G13135+G13136+G13137+G13138+G13139+G13140+G13141+G13146)*(1+G2/100),2)</f>
        <v>48.14</v>
      </c>
      <c r="G13147" s="16"/>
    </row>
    <row r="13148" ht="30.0" customHeight="1">
      <c r="A13148" s="19" t="s">
        <v>5616</v>
      </c>
      <c r="B13148" s="20" t="s">
        <v>18</v>
      </c>
      <c r="C13148" s="20" t="s">
        <v>251</v>
      </c>
      <c r="D13148" s="20" t="s">
        <v>5617</v>
      </c>
      <c r="E13148" s="21"/>
      <c r="F13148" s="22">
        <f>F13164</f>
        <v>40.15</v>
      </c>
      <c r="G13148" s="21"/>
    </row>
    <row r="13149" ht="67.5" customHeight="1">
      <c r="A13149" s="11"/>
      <c r="B13149" s="11"/>
      <c r="C13149" s="11"/>
      <c r="D13149" s="10" t="s">
        <v>5618</v>
      </c>
    </row>
    <row r="13150" ht="30.0" customHeight="1">
      <c r="A13150" s="10" t="s">
        <v>2140</v>
      </c>
      <c r="B13150" s="10" t="s">
        <v>42</v>
      </c>
      <c r="C13150" s="10" t="s">
        <v>276</v>
      </c>
      <c r="D13150" s="10" t="s">
        <v>2141</v>
      </c>
      <c r="E13150" s="14">
        <v>0.015</v>
      </c>
      <c r="F13150" s="15">
        <f>ROUND(143.22,3)</f>
        <v>143.22</v>
      </c>
      <c r="G13150" s="12">
        <f t="shared" ref="G13150:G13162" si="2041">ROUND(E13150*F13150,2)</f>
        <v>2.15</v>
      </c>
    </row>
    <row r="13151" ht="39.75" customHeight="1">
      <c r="A13151" s="10" t="s">
        <v>2024</v>
      </c>
      <c r="B13151" s="10" t="s">
        <v>42</v>
      </c>
      <c r="C13151" s="10" t="s">
        <v>184</v>
      </c>
      <c r="D13151" s="10" t="s">
        <v>2025</v>
      </c>
      <c r="E13151" s="14">
        <v>0.24</v>
      </c>
      <c r="F13151" s="15">
        <f>ROUND(11.26,3)</f>
        <v>11.26</v>
      </c>
      <c r="G13151" s="12">
        <f t="shared" si="2041"/>
        <v>2.7</v>
      </c>
    </row>
    <row r="13152" ht="30.0" customHeight="1">
      <c r="A13152" s="10" t="s">
        <v>1899</v>
      </c>
      <c r="B13152" s="10" t="s">
        <v>42</v>
      </c>
      <c r="C13152" s="10" t="s">
        <v>226</v>
      </c>
      <c r="D13152" s="10" t="s">
        <v>1900</v>
      </c>
      <c r="E13152" s="14">
        <v>0.022</v>
      </c>
      <c r="F13152" s="15">
        <f>ROUND(75.52,3)</f>
        <v>75.52</v>
      </c>
      <c r="G13152" s="12">
        <f t="shared" si="2041"/>
        <v>1.66</v>
      </c>
    </row>
    <row r="13153" ht="48.75" customHeight="1">
      <c r="A13153" s="10" t="s">
        <v>5619</v>
      </c>
      <c r="B13153" s="10" t="s">
        <v>42</v>
      </c>
      <c r="C13153" s="10" t="s">
        <v>521</v>
      </c>
      <c r="D13153" s="10" t="s">
        <v>5620</v>
      </c>
      <c r="E13153" s="14">
        <v>0.225</v>
      </c>
      <c r="F13153" s="15">
        <f>ROUND(6.75,3)</f>
        <v>6.75</v>
      </c>
      <c r="G13153" s="12">
        <f t="shared" si="2041"/>
        <v>1.52</v>
      </c>
    </row>
    <row r="13154" ht="48.75" customHeight="1">
      <c r="A13154" s="10" t="s">
        <v>5601</v>
      </c>
      <c r="B13154" s="10" t="s">
        <v>42</v>
      </c>
      <c r="C13154" s="10" t="s">
        <v>276</v>
      </c>
      <c r="D13154" s="10" t="s">
        <v>5602</v>
      </c>
      <c r="E13154" s="14">
        <v>0.08</v>
      </c>
      <c r="F13154" s="15">
        <f>ROUND(114.95,3)</f>
        <v>114.95</v>
      </c>
      <c r="G13154" s="12">
        <f t="shared" si="2041"/>
        <v>9.2</v>
      </c>
    </row>
    <row r="13155" ht="30.0" customHeight="1">
      <c r="A13155" s="10" t="s">
        <v>2028</v>
      </c>
      <c r="B13155" s="10" t="s">
        <v>42</v>
      </c>
      <c r="C13155" s="10" t="s">
        <v>1997</v>
      </c>
      <c r="D13155" s="10" t="s">
        <v>2029</v>
      </c>
      <c r="E13155" s="14">
        <v>0.24</v>
      </c>
      <c r="F13155" s="15">
        <f>ROUND(2.8,3)</f>
        <v>2.8</v>
      </c>
      <c r="G13155" s="12">
        <f t="shared" si="2041"/>
        <v>0.67</v>
      </c>
    </row>
    <row r="13156" ht="39.75" customHeight="1">
      <c r="A13156" s="10" t="s">
        <v>1996</v>
      </c>
      <c r="B13156" s="10" t="s">
        <v>42</v>
      </c>
      <c r="C13156" s="10" t="s">
        <v>1997</v>
      </c>
      <c r="D13156" s="10" t="s">
        <v>1998</v>
      </c>
      <c r="E13156" s="14">
        <v>0.1237</v>
      </c>
      <c r="F13156" s="15">
        <f>ROUND(5.04,3)</f>
        <v>5.04</v>
      </c>
      <c r="G13156" s="12">
        <f t="shared" si="2041"/>
        <v>0.62</v>
      </c>
    </row>
    <row r="13157" ht="30.0" customHeight="1">
      <c r="A13157" s="10" t="s">
        <v>2026</v>
      </c>
      <c r="B13157" s="10" t="s">
        <v>42</v>
      </c>
      <c r="C13157" s="10" t="s">
        <v>1997</v>
      </c>
      <c r="D13157" s="10" t="s">
        <v>2027</v>
      </c>
      <c r="E13157" s="14">
        <v>0.12</v>
      </c>
      <c r="F13157" s="15">
        <f>ROUND(11.1,3)</f>
        <v>11.1</v>
      </c>
      <c r="G13157" s="12">
        <f t="shared" si="2041"/>
        <v>1.33</v>
      </c>
    </row>
    <row r="13158" ht="21.0" customHeight="1">
      <c r="A13158" s="10" t="s">
        <v>22</v>
      </c>
      <c r="B13158" s="10" t="s">
        <v>18</v>
      </c>
      <c r="C13158" s="10" t="s">
        <v>23</v>
      </c>
      <c r="D13158" s="10" t="s">
        <v>24</v>
      </c>
      <c r="E13158" s="14">
        <v>0.45</v>
      </c>
      <c r="F13158" s="15">
        <f>F13162</f>
        <v>43.8</v>
      </c>
      <c r="G13158" s="12">
        <f t="shared" si="2041"/>
        <v>19.71</v>
      </c>
    </row>
    <row r="13159" ht="24.0" customHeight="1">
      <c r="A13159" s="10" t="s">
        <v>25</v>
      </c>
      <c r="B13159" s="10" t="s">
        <v>26</v>
      </c>
      <c r="C13159" s="10" t="s">
        <v>23</v>
      </c>
      <c r="D13159" s="10" t="s">
        <v>27</v>
      </c>
      <c r="E13159" s="14">
        <v>1.0</v>
      </c>
      <c r="F13159" s="15">
        <f>ROUND(21,3)</f>
        <v>21</v>
      </c>
      <c r="G13159" s="12">
        <f t="shared" si="2041"/>
        <v>21</v>
      </c>
    </row>
    <row r="13160" ht="24.0" customHeight="1">
      <c r="A13160" s="10" t="s">
        <v>28</v>
      </c>
      <c r="B13160" s="10" t="s">
        <v>26</v>
      </c>
      <c r="C13160" s="10" t="s">
        <v>23</v>
      </c>
      <c r="D13160" s="10" t="s">
        <v>29</v>
      </c>
      <c r="E13160" s="14">
        <v>1.0</v>
      </c>
      <c r="F13160" s="15">
        <f t="shared" ref="F13160:F13161" si="2042">ROUND(19,3)</f>
        <v>19</v>
      </c>
      <c r="G13160" s="12">
        <f t="shared" si="2041"/>
        <v>19</v>
      </c>
    </row>
    <row r="13161" ht="24.0" customHeight="1">
      <c r="A13161" s="10" t="s">
        <v>30</v>
      </c>
      <c r="B13161" s="10" t="s">
        <v>26</v>
      </c>
      <c r="C13161" s="10" t="s">
        <v>23</v>
      </c>
      <c r="D13161" s="10" t="s">
        <v>31</v>
      </c>
      <c r="E13161" s="14">
        <v>0.2</v>
      </c>
      <c r="F13161" s="15">
        <f t="shared" si="2042"/>
        <v>19</v>
      </c>
      <c r="G13161" s="12">
        <f t="shared" si="2041"/>
        <v>3.8</v>
      </c>
    </row>
    <row r="13162" ht="15.0" customHeight="1">
      <c r="A13162" s="11"/>
      <c r="B13162" s="11"/>
      <c r="C13162" s="11"/>
      <c r="D13162" s="10" t="s">
        <v>22</v>
      </c>
      <c r="E13162" s="14">
        <v>0.45</v>
      </c>
      <c r="F13162" s="15">
        <f>ROUND((G13159+G13160+G13161),3)</f>
        <v>43.8</v>
      </c>
      <c r="G13162" s="12">
        <f t="shared" si="2041"/>
        <v>19.71</v>
      </c>
    </row>
    <row r="13163" ht="15.0" customHeight="1">
      <c r="A13163" s="10" t="s">
        <v>32</v>
      </c>
      <c r="B13163" s="10"/>
      <c r="C13163" s="10" t="s">
        <v>33</v>
      </c>
      <c r="D13163" s="10" t="s">
        <v>34</v>
      </c>
      <c r="E13163" s="14">
        <v>3.0</v>
      </c>
      <c r="F13163" s="15">
        <f>ROUND(19.71,3)</f>
        <v>19.71</v>
      </c>
      <c r="G13163" s="12">
        <f>ROUND((E13163*F13163)/100,2)</f>
        <v>0.59</v>
      </c>
    </row>
    <row r="13164" ht="15.0" customHeight="1">
      <c r="A13164" s="16"/>
      <c r="B13164" s="16"/>
      <c r="C13164" s="16"/>
      <c r="D13164" s="17" t="s">
        <v>5616</v>
      </c>
      <c r="E13164" s="16"/>
      <c r="F13164" s="18">
        <f>ROUND((G13150+G13151+G13152+G13153+G13154+G13155+G13156+G13157+G13158+G13163)*(1+G2/100),2)</f>
        <v>40.15</v>
      </c>
      <c r="G13164" s="16"/>
    </row>
    <row r="13165" ht="21.0" customHeight="1">
      <c r="A13165" s="19" t="s">
        <v>5621</v>
      </c>
      <c r="B13165" s="20" t="s">
        <v>18</v>
      </c>
      <c r="C13165" s="20" t="s">
        <v>251</v>
      </c>
      <c r="D13165" s="20" t="s">
        <v>5622</v>
      </c>
      <c r="E13165" s="21"/>
      <c r="F13165" s="22">
        <f>F13182</f>
        <v>90.65</v>
      </c>
      <c r="G13165" s="21"/>
    </row>
    <row r="13166" ht="95.25" customHeight="1">
      <c r="A13166" s="11"/>
      <c r="B13166" s="11"/>
      <c r="C13166" s="11"/>
      <c r="D13166" s="10" t="s">
        <v>5623</v>
      </c>
    </row>
    <row r="13167" ht="30.0" customHeight="1">
      <c r="A13167" s="10" t="s">
        <v>2140</v>
      </c>
      <c r="B13167" s="10" t="s">
        <v>42</v>
      </c>
      <c r="C13167" s="10" t="s">
        <v>276</v>
      </c>
      <c r="D13167" s="10" t="s">
        <v>2141</v>
      </c>
      <c r="E13167" s="14">
        <v>0.015</v>
      </c>
      <c r="F13167" s="15">
        <f>ROUND(143.22,3)</f>
        <v>143.22</v>
      </c>
      <c r="G13167" s="12">
        <f t="shared" ref="G13167:G13180" si="2043">ROUND(E13167*F13167,2)</f>
        <v>2.15</v>
      </c>
    </row>
    <row r="13168" ht="39.75" customHeight="1">
      <c r="A13168" s="10" t="s">
        <v>2024</v>
      </c>
      <c r="B13168" s="10" t="s">
        <v>42</v>
      </c>
      <c r="C13168" s="10" t="s">
        <v>184</v>
      </c>
      <c r="D13168" s="10" t="s">
        <v>2025</v>
      </c>
      <c r="E13168" s="14">
        <v>0.24</v>
      </c>
      <c r="F13168" s="15">
        <f>ROUND(11.26,3)</f>
        <v>11.26</v>
      </c>
      <c r="G13168" s="12">
        <f t="shared" si="2043"/>
        <v>2.7</v>
      </c>
    </row>
    <row r="13169" ht="30.0" customHeight="1">
      <c r="A13169" s="10" t="s">
        <v>1899</v>
      </c>
      <c r="B13169" s="10" t="s">
        <v>42</v>
      </c>
      <c r="C13169" s="10" t="s">
        <v>226</v>
      </c>
      <c r="D13169" s="10" t="s">
        <v>1900</v>
      </c>
      <c r="E13169" s="14">
        <v>0.02182</v>
      </c>
      <c r="F13169" s="15">
        <f>ROUND(75.52,3)</f>
        <v>75.52</v>
      </c>
      <c r="G13169" s="12">
        <f t="shared" si="2043"/>
        <v>1.65</v>
      </c>
    </row>
    <row r="13170" ht="39.75" customHeight="1">
      <c r="A13170" s="10" t="s">
        <v>2030</v>
      </c>
      <c r="B13170" s="10" t="s">
        <v>42</v>
      </c>
      <c r="C13170" s="10" t="s">
        <v>184</v>
      </c>
      <c r="D13170" s="10" t="s">
        <v>2031</v>
      </c>
      <c r="E13170" s="14">
        <v>0.336</v>
      </c>
      <c r="F13170" s="15">
        <f>ROUND(133.31,3)</f>
        <v>133.31</v>
      </c>
      <c r="G13170" s="12">
        <f t="shared" si="2043"/>
        <v>44.79</v>
      </c>
    </row>
    <row r="13171" ht="39.75" customHeight="1">
      <c r="A13171" s="10" t="s">
        <v>2032</v>
      </c>
      <c r="B13171" s="10" t="s">
        <v>42</v>
      </c>
      <c r="C13171" s="10" t="s">
        <v>226</v>
      </c>
      <c r="D13171" s="10" t="s">
        <v>2033</v>
      </c>
      <c r="E13171" s="14">
        <v>0.022</v>
      </c>
      <c r="F13171" s="15">
        <f>ROUND(301.4,3)</f>
        <v>301.4</v>
      </c>
      <c r="G13171" s="12">
        <f t="shared" si="2043"/>
        <v>6.63</v>
      </c>
    </row>
    <row r="13172" ht="30.0" customHeight="1">
      <c r="A13172" s="10" t="s">
        <v>5624</v>
      </c>
      <c r="B13172" s="10" t="s">
        <v>42</v>
      </c>
      <c r="C13172" s="10" t="s">
        <v>304</v>
      </c>
      <c r="D13172" s="10" t="s">
        <v>5625</v>
      </c>
      <c r="E13172" s="14">
        <v>0.025</v>
      </c>
      <c r="F13172" s="15">
        <f>ROUND(121.54,3)</f>
        <v>121.54</v>
      </c>
      <c r="G13172" s="12">
        <f t="shared" si="2043"/>
        <v>3.04</v>
      </c>
    </row>
    <row r="13173" ht="30.0" customHeight="1">
      <c r="A13173" s="10" t="s">
        <v>2026</v>
      </c>
      <c r="B13173" s="10" t="s">
        <v>42</v>
      </c>
      <c r="C13173" s="10" t="s">
        <v>1997</v>
      </c>
      <c r="D13173" s="10" t="s">
        <v>2027</v>
      </c>
      <c r="E13173" s="14">
        <v>0.12</v>
      </c>
      <c r="F13173" s="15">
        <f>ROUND(11.1,3)</f>
        <v>11.1</v>
      </c>
      <c r="G13173" s="12">
        <f t="shared" si="2043"/>
        <v>1.33</v>
      </c>
    </row>
    <row r="13174" ht="30.0" customHeight="1">
      <c r="A13174" s="10" t="s">
        <v>2028</v>
      </c>
      <c r="B13174" s="10" t="s">
        <v>42</v>
      </c>
      <c r="C13174" s="10" t="s">
        <v>1997</v>
      </c>
      <c r="D13174" s="10" t="s">
        <v>2029</v>
      </c>
      <c r="E13174" s="14">
        <v>0.24</v>
      </c>
      <c r="F13174" s="15">
        <f>ROUND(2.8,3)</f>
        <v>2.8</v>
      </c>
      <c r="G13174" s="12">
        <f t="shared" si="2043"/>
        <v>0.67</v>
      </c>
    </row>
    <row r="13175" ht="39.75" customHeight="1">
      <c r="A13175" s="10" t="s">
        <v>1996</v>
      </c>
      <c r="B13175" s="10" t="s">
        <v>42</v>
      </c>
      <c r="C13175" s="10" t="s">
        <v>1997</v>
      </c>
      <c r="D13175" s="10" t="s">
        <v>1998</v>
      </c>
      <c r="E13175" s="14">
        <v>0.1237</v>
      </c>
      <c r="F13175" s="15">
        <f>ROUND(5.04,3)</f>
        <v>5.04</v>
      </c>
      <c r="G13175" s="12">
        <f t="shared" si="2043"/>
        <v>0.62</v>
      </c>
    </row>
    <row r="13176" ht="21.0" customHeight="1">
      <c r="A13176" s="10" t="s">
        <v>22</v>
      </c>
      <c r="B13176" s="10" t="s">
        <v>18</v>
      </c>
      <c r="C13176" s="10" t="s">
        <v>23</v>
      </c>
      <c r="D13176" s="10" t="s">
        <v>24</v>
      </c>
      <c r="E13176" s="14">
        <v>0.6</v>
      </c>
      <c r="F13176" s="15">
        <f>F13180</f>
        <v>43.8</v>
      </c>
      <c r="G13176" s="12">
        <f t="shared" si="2043"/>
        <v>26.28</v>
      </c>
    </row>
    <row r="13177" ht="24.0" customHeight="1">
      <c r="A13177" s="10" t="s">
        <v>25</v>
      </c>
      <c r="B13177" s="10" t="s">
        <v>26</v>
      </c>
      <c r="C13177" s="10" t="s">
        <v>23</v>
      </c>
      <c r="D13177" s="10" t="s">
        <v>27</v>
      </c>
      <c r="E13177" s="14">
        <v>1.0</v>
      </c>
      <c r="F13177" s="15">
        <f>ROUND(21,3)</f>
        <v>21</v>
      </c>
      <c r="G13177" s="12">
        <f t="shared" si="2043"/>
        <v>21</v>
      </c>
    </row>
    <row r="13178" ht="24.0" customHeight="1">
      <c r="A13178" s="10" t="s">
        <v>28</v>
      </c>
      <c r="B13178" s="10" t="s">
        <v>26</v>
      </c>
      <c r="C13178" s="10" t="s">
        <v>23</v>
      </c>
      <c r="D13178" s="10" t="s">
        <v>29</v>
      </c>
      <c r="E13178" s="14">
        <v>1.0</v>
      </c>
      <c r="F13178" s="15">
        <f t="shared" ref="F13178:F13179" si="2044">ROUND(19,3)</f>
        <v>19</v>
      </c>
      <c r="G13178" s="12">
        <f t="shared" si="2043"/>
        <v>19</v>
      </c>
    </row>
    <row r="13179" ht="24.0" customHeight="1">
      <c r="A13179" s="10" t="s">
        <v>30</v>
      </c>
      <c r="B13179" s="10" t="s">
        <v>26</v>
      </c>
      <c r="C13179" s="10" t="s">
        <v>23</v>
      </c>
      <c r="D13179" s="10" t="s">
        <v>31</v>
      </c>
      <c r="E13179" s="14">
        <v>0.2</v>
      </c>
      <c r="F13179" s="15">
        <f t="shared" si="2044"/>
        <v>19</v>
      </c>
      <c r="G13179" s="12">
        <f t="shared" si="2043"/>
        <v>3.8</v>
      </c>
    </row>
    <row r="13180" ht="15.0" customHeight="1">
      <c r="A13180" s="11"/>
      <c r="B13180" s="11"/>
      <c r="C13180" s="11"/>
      <c r="D13180" s="10" t="s">
        <v>22</v>
      </c>
      <c r="E13180" s="14">
        <v>0.6</v>
      </c>
      <c r="F13180" s="15">
        <f>ROUND((G13177+G13178+G13179),3)</f>
        <v>43.8</v>
      </c>
      <c r="G13180" s="12">
        <f t="shared" si="2043"/>
        <v>26.28</v>
      </c>
    </row>
    <row r="13181" ht="15.0" customHeight="1">
      <c r="A13181" s="10" t="s">
        <v>32</v>
      </c>
      <c r="B13181" s="10"/>
      <c r="C13181" s="10" t="s">
        <v>33</v>
      </c>
      <c r="D13181" s="10" t="s">
        <v>34</v>
      </c>
      <c r="E13181" s="14">
        <v>3.0</v>
      </c>
      <c r="F13181" s="15">
        <f>ROUND(26.28,3)</f>
        <v>26.28</v>
      </c>
      <c r="G13181" s="12">
        <f>ROUND((E13181*F13181)/100,2)</f>
        <v>0.79</v>
      </c>
    </row>
    <row r="13182" ht="15.0" customHeight="1">
      <c r="A13182" s="16"/>
      <c r="B13182" s="16"/>
      <c r="C13182" s="16"/>
      <c r="D13182" s="17" t="s">
        <v>5621</v>
      </c>
      <c r="E13182" s="16"/>
      <c r="F13182" s="18">
        <f>ROUND((G13167+G13168+G13169+G13170+G13171+G13172+G13173+G13174+G13175+G13176+G13181)*(1+G2/100),2)</f>
        <v>90.65</v>
      </c>
      <c r="G13182" s="16"/>
    </row>
    <row r="13183" ht="48.75" customHeight="1">
      <c r="A13183" s="19" t="s">
        <v>5626</v>
      </c>
      <c r="B13183" s="20" t="s">
        <v>18</v>
      </c>
      <c r="C13183" s="20" t="s">
        <v>19</v>
      </c>
      <c r="D13183" s="20" t="s">
        <v>5627</v>
      </c>
      <c r="E13183" s="21"/>
      <c r="F13183" s="22">
        <f>F13193</f>
        <v>71.99</v>
      </c>
      <c r="G13183" s="21"/>
    </row>
    <row r="13184" ht="21.0" customHeight="1">
      <c r="A13184" s="11"/>
      <c r="B13184" s="11"/>
      <c r="C13184" s="11"/>
      <c r="D13184" s="10" t="s">
        <v>5628</v>
      </c>
    </row>
    <row r="13185" ht="30.0" customHeight="1">
      <c r="A13185" s="10" t="s">
        <v>2152</v>
      </c>
      <c r="B13185" s="10" t="s">
        <v>42</v>
      </c>
      <c r="C13185" s="10" t="s">
        <v>276</v>
      </c>
      <c r="D13185" s="10" t="s">
        <v>2153</v>
      </c>
      <c r="E13185" s="14">
        <v>0.2</v>
      </c>
      <c r="F13185" s="15">
        <f>ROUND(55.5,3)</f>
        <v>55.5</v>
      </c>
      <c r="G13185" s="12">
        <f t="shared" ref="G13185:G13191" si="2045">ROUND(E13185*F13185,2)</f>
        <v>11.1</v>
      </c>
    </row>
    <row r="13186" ht="30.0" customHeight="1">
      <c r="A13186" s="10" t="s">
        <v>2154</v>
      </c>
      <c r="B13186" s="10" t="s">
        <v>42</v>
      </c>
      <c r="C13186" s="10" t="s">
        <v>276</v>
      </c>
      <c r="D13186" s="10" t="s">
        <v>2155</v>
      </c>
      <c r="E13186" s="14">
        <v>0.3</v>
      </c>
      <c r="F13186" s="15">
        <f>ROUND(60.4,3)</f>
        <v>60.4</v>
      </c>
      <c r="G13186" s="12">
        <f t="shared" si="2045"/>
        <v>18.12</v>
      </c>
    </row>
    <row r="13187" ht="21.0" customHeight="1">
      <c r="A13187" s="10" t="s">
        <v>22</v>
      </c>
      <c r="B13187" s="10" t="s">
        <v>18</v>
      </c>
      <c r="C13187" s="10" t="s">
        <v>23</v>
      </c>
      <c r="D13187" s="10" t="s">
        <v>24</v>
      </c>
      <c r="E13187" s="14">
        <v>0.93</v>
      </c>
      <c r="F13187" s="15">
        <f>F13191</f>
        <v>43.8</v>
      </c>
      <c r="G13187" s="12">
        <f t="shared" si="2045"/>
        <v>40.73</v>
      </c>
    </row>
    <row r="13188" ht="24.0" customHeight="1">
      <c r="A13188" s="10" t="s">
        <v>25</v>
      </c>
      <c r="B13188" s="10" t="s">
        <v>26</v>
      </c>
      <c r="C13188" s="10" t="s">
        <v>23</v>
      </c>
      <c r="D13188" s="10" t="s">
        <v>27</v>
      </c>
      <c r="E13188" s="14">
        <v>1.0</v>
      </c>
      <c r="F13188" s="15">
        <f>ROUND(21,3)</f>
        <v>21</v>
      </c>
      <c r="G13188" s="12">
        <f t="shared" si="2045"/>
        <v>21</v>
      </c>
    </row>
    <row r="13189" ht="24.0" customHeight="1">
      <c r="A13189" s="10" t="s">
        <v>28</v>
      </c>
      <c r="B13189" s="10" t="s">
        <v>26</v>
      </c>
      <c r="C13189" s="10" t="s">
        <v>23</v>
      </c>
      <c r="D13189" s="10" t="s">
        <v>29</v>
      </c>
      <c r="E13189" s="14">
        <v>1.0</v>
      </c>
      <c r="F13189" s="15">
        <f t="shared" ref="F13189:F13190" si="2046">ROUND(19,3)</f>
        <v>19</v>
      </c>
      <c r="G13189" s="12">
        <f t="shared" si="2045"/>
        <v>19</v>
      </c>
    </row>
    <row r="13190" ht="24.0" customHeight="1">
      <c r="A13190" s="10" t="s">
        <v>30</v>
      </c>
      <c r="B13190" s="10" t="s">
        <v>26</v>
      </c>
      <c r="C13190" s="10" t="s">
        <v>23</v>
      </c>
      <c r="D13190" s="10" t="s">
        <v>31</v>
      </c>
      <c r="E13190" s="14">
        <v>0.2</v>
      </c>
      <c r="F13190" s="15">
        <f t="shared" si="2046"/>
        <v>19</v>
      </c>
      <c r="G13190" s="12">
        <f t="shared" si="2045"/>
        <v>3.8</v>
      </c>
    </row>
    <row r="13191" ht="15.0" customHeight="1">
      <c r="A13191" s="11"/>
      <c r="B13191" s="11"/>
      <c r="C13191" s="11"/>
      <c r="D13191" s="10" t="s">
        <v>22</v>
      </c>
      <c r="E13191" s="14">
        <v>0.93</v>
      </c>
      <c r="F13191" s="15">
        <f>ROUND((G13188+G13189+G13190),3)</f>
        <v>43.8</v>
      </c>
      <c r="G13191" s="12">
        <f t="shared" si="2045"/>
        <v>40.73</v>
      </c>
    </row>
    <row r="13192" ht="15.0" customHeight="1">
      <c r="A13192" s="10" t="s">
        <v>32</v>
      </c>
      <c r="B13192" s="10"/>
      <c r="C13192" s="10" t="s">
        <v>33</v>
      </c>
      <c r="D13192" s="10" t="s">
        <v>34</v>
      </c>
      <c r="E13192" s="14">
        <v>5.0</v>
      </c>
      <c r="F13192" s="15">
        <f>ROUND(40.73,3)</f>
        <v>40.73</v>
      </c>
      <c r="G13192" s="12">
        <f>ROUND((E13192*F13192)/100,2)</f>
        <v>2.04</v>
      </c>
    </row>
    <row r="13193" ht="15.0" customHeight="1">
      <c r="A13193" s="16"/>
      <c r="B13193" s="16"/>
      <c r="C13193" s="16"/>
      <c r="D13193" s="17" t="s">
        <v>5626</v>
      </c>
      <c r="E13193" s="16"/>
      <c r="F13193" s="18">
        <f>ROUND((G13185+G13186+G13187+G13192)*(1+G2/100),2)</f>
        <v>71.99</v>
      </c>
      <c r="G13193" s="16"/>
    </row>
    <row r="13194" ht="48.75" customHeight="1">
      <c r="A13194" s="19" t="s">
        <v>5629</v>
      </c>
      <c r="B13194" s="20" t="s">
        <v>18</v>
      </c>
      <c r="C13194" s="20" t="s">
        <v>19</v>
      </c>
      <c r="D13194" s="20" t="s">
        <v>5630</v>
      </c>
      <c r="E13194" s="21"/>
      <c r="F13194" s="22">
        <f>F13204</f>
        <v>53.75</v>
      </c>
      <c r="G13194" s="21"/>
    </row>
    <row r="13195" ht="21.0" customHeight="1">
      <c r="A13195" s="11"/>
      <c r="B13195" s="11"/>
      <c r="C13195" s="11"/>
      <c r="D13195" s="10" t="s">
        <v>5631</v>
      </c>
    </row>
    <row r="13196" ht="30.0" customHeight="1">
      <c r="A13196" s="10" t="s">
        <v>2152</v>
      </c>
      <c r="B13196" s="10" t="s">
        <v>42</v>
      </c>
      <c r="C13196" s="10" t="s">
        <v>276</v>
      </c>
      <c r="D13196" s="10" t="s">
        <v>2153</v>
      </c>
      <c r="E13196" s="14">
        <v>0.2</v>
      </c>
      <c r="F13196" s="15">
        <f>ROUND(55.5,3)</f>
        <v>55.5</v>
      </c>
      <c r="G13196" s="12">
        <f t="shared" ref="G13196:G13202" si="2047">ROUND(E13196*F13196,2)</f>
        <v>11.1</v>
      </c>
    </row>
    <row r="13197" ht="30.0" customHeight="1">
      <c r="A13197" s="10" t="s">
        <v>2154</v>
      </c>
      <c r="B13197" s="10" t="s">
        <v>42</v>
      </c>
      <c r="C13197" s="10" t="s">
        <v>276</v>
      </c>
      <c r="D13197" s="10" t="s">
        <v>2155</v>
      </c>
      <c r="E13197" s="14">
        <v>0.3</v>
      </c>
      <c r="F13197" s="15">
        <f>ROUND(60.4,3)</f>
        <v>60.4</v>
      </c>
      <c r="G13197" s="12">
        <f t="shared" si="2047"/>
        <v>18.12</v>
      </c>
    </row>
    <row r="13198" ht="21.0" customHeight="1">
      <c r="A13198" s="10" t="s">
        <v>22</v>
      </c>
      <c r="B13198" s="10" t="s">
        <v>18</v>
      </c>
      <c r="C13198" s="10" t="s">
        <v>23</v>
      </c>
      <c r="D13198" s="10" t="s">
        <v>24</v>
      </c>
      <c r="E13198" s="14">
        <v>0.53333</v>
      </c>
      <c r="F13198" s="15">
        <f>F13202</f>
        <v>43.8</v>
      </c>
      <c r="G13198" s="12">
        <f t="shared" si="2047"/>
        <v>23.36</v>
      </c>
    </row>
    <row r="13199" ht="24.0" customHeight="1">
      <c r="A13199" s="10" t="s">
        <v>25</v>
      </c>
      <c r="B13199" s="10" t="s">
        <v>26</v>
      </c>
      <c r="C13199" s="10" t="s">
        <v>23</v>
      </c>
      <c r="D13199" s="10" t="s">
        <v>27</v>
      </c>
      <c r="E13199" s="14">
        <v>1.0</v>
      </c>
      <c r="F13199" s="15">
        <f>ROUND(21,3)</f>
        <v>21</v>
      </c>
      <c r="G13199" s="12">
        <f t="shared" si="2047"/>
        <v>21</v>
      </c>
    </row>
    <row r="13200" ht="24.0" customHeight="1">
      <c r="A13200" s="10" t="s">
        <v>28</v>
      </c>
      <c r="B13200" s="10" t="s">
        <v>26</v>
      </c>
      <c r="C13200" s="10" t="s">
        <v>23</v>
      </c>
      <c r="D13200" s="10" t="s">
        <v>29</v>
      </c>
      <c r="E13200" s="14">
        <v>1.0</v>
      </c>
      <c r="F13200" s="15">
        <f t="shared" ref="F13200:F13201" si="2048">ROUND(19,3)</f>
        <v>19</v>
      </c>
      <c r="G13200" s="12">
        <f t="shared" si="2047"/>
        <v>19</v>
      </c>
    </row>
    <row r="13201" ht="24.0" customHeight="1">
      <c r="A13201" s="10" t="s">
        <v>30</v>
      </c>
      <c r="B13201" s="10" t="s">
        <v>26</v>
      </c>
      <c r="C13201" s="10" t="s">
        <v>23</v>
      </c>
      <c r="D13201" s="10" t="s">
        <v>31</v>
      </c>
      <c r="E13201" s="14">
        <v>0.2</v>
      </c>
      <c r="F13201" s="15">
        <f t="shared" si="2048"/>
        <v>19</v>
      </c>
      <c r="G13201" s="12">
        <f t="shared" si="2047"/>
        <v>3.8</v>
      </c>
    </row>
    <row r="13202" ht="15.0" customHeight="1">
      <c r="A13202" s="11"/>
      <c r="B13202" s="11"/>
      <c r="C13202" s="11"/>
      <c r="D13202" s="10" t="s">
        <v>22</v>
      </c>
      <c r="E13202" s="14">
        <v>0.53333</v>
      </c>
      <c r="F13202" s="15">
        <f>ROUND((G13199+G13200+G13201),3)</f>
        <v>43.8</v>
      </c>
      <c r="G13202" s="12">
        <f t="shared" si="2047"/>
        <v>23.36</v>
      </c>
    </row>
    <row r="13203" ht="15.0" customHeight="1">
      <c r="A13203" s="10" t="s">
        <v>32</v>
      </c>
      <c r="B13203" s="10"/>
      <c r="C13203" s="10" t="s">
        <v>33</v>
      </c>
      <c r="D13203" s="10" t="s">
        <v>34</v>
      </c>
      <c r="E13203" s="14">
        <v>5.0</v>
      </c>
      <c r="F13203" s="15">
        <f>ROUND(23.36,3)</f>
        <v>23.36</v>
      </c>
      <c r="G13203" s="12">
        <f>ROUND((E13203*F13203)/100,2)</f>
        <v>1.17</v>
      </c>
    </row>
    <row r="13204" ht="15.0" customHeight="1">
      <c r="A13204" s="16"/>
      <c r="B13204" s="16"/>
      <c r="C13204" s="16"/>
      <c r="D13204" s="17" t="s">
        <v>5629</v>
      </c>
      <c r="E13204" s="16"/>
      <c r="F13204" s="18">
        <f>ROUND((G13196+G13197+G13198+G13203)*(1+G2/100),2)</f>
        <v>53.75</v>
      </c>
      <c r="G13204" s="16"/>
    </row>
    <row r="13205" ht="48.75" customHeight="1">
      <c r="A13205" s="19" t="s">
        <v>5632</v>
      </c>
      <c r="B13205" s="20" t="s">
        <v>18</v>
      </c>
      <c r="C13205" s="20" t="s">
        <v>19</v>
      </c>
      <c r="D13205" s="20" t="s">
        <v>5633</v>
      </c>
      <c r="E13205" s="21"/>
      <c r="F13205" s="22">
        <f>F13215</f>
        <v>63.71</v>
      </c>
      <c r="G13205" s="21"/>
    </row>
    <row r="13206" ht="21.0" customHeight="1">
      <c r="A13206" s="11"/>
      <c r="B13206" s="11"/>
      <c r="C13206" s="11"/>
      <c r="D13206" s="10" t="s">
        <v>5634</v>
      </c>
    </row>
    <row r="13207" ht="30.0" customHeight="1">
      <c r="A13207" s="10" t="s">
        <v>2152</v>
      </c>
      <c r="B13207" s="10" t="s">
        <v>42</v>
      </c>
      <c r="C13207" s="10" t="s">
        <v>276</v>
      </c>
      <c r="D13207" s="10" t="s">
        <v>2153</v>
      </c>
      <c r="E13207" s="14">
        <v>0.2</v>
      </c>
      <c r="F13207" s="15">
        <f>ROUND(55.5,3)</f>
        <v>55.5</v>
      </c>
      <c r="G13207" s="12">
        <f t="shared" ref="G13207:G13213" si="2049">ROUND(E13207*F13207,2)</f>
        <v>11.1</v>
      </c>
    </row>
    <row r="13208" ht="30.0" customHeight="1">
      <c r="A13208" s="10" t="s">
        <v>2154</v>
      </c>
      <c r="B13208" s="10" t="s">
        <v>42</v>
      </c>
      <c r="C13208" s="10" t="s">
        <v>276</v>
      </c>
      <c r="D13208" s="10" t="s">
        <v>2155</v>
      </c>
      <c r="E13208" s="14">
        <v>0.3</v>
      </c>
      <c r="F13208" s="15">
        <f>ROUND(60.4,3)</f>
        <v>60.4</v>
      </c>
      <c r="G13208" s="12">
        <f t="shared" si="2049"/>
        <v>18.12</v>
      </c>
    </row>
    <row r="13209" ht="21.0" customHeight="1">
      <c r="A13209" s="10" t="s">
        <v>22</v>
      </c>
      <c r="B13209" s="10" t="s">
        <v>18</v>
      </c>
      <c r="C13209" s="10" t="s">
        <v>23</v>
      </c>
      <c r="D13209" s="10" t="s">
        <v>24</v>
      </c>
      <c r="E13209" s="14">
        <v>0.75</v>
      </c>
      <c r="F13209" s="15">
        <f>F13213</f>
        <v>43.8</v>
      </c>
      <c r="G13209" s="12">
        <f t="shared" si="2049"/>
        <v>32.85</v>
      </c>
    </row>
    <row r="13210" ht="24.0" customHeight="1">
      <c r="A13210" s="10" t="s">
        <v>25</v>
      </c>
      <c r="B13210" s="10" t="s">
        <v>26</v>
      </c>
      <c r="C13210" s="10" t="s">
        <v>23</v>
      </c>
      <c r="D13210" s="10" t="s">
        <v>27</v>
      </c>
      <c r="E13210" s="14">
        <v>1.0</v>
      </c>
      <c r="F13210" s="15">
        <f>ROUND(21,3)</f>
        <v>21</v>
      </c>
      <c r="G13210" s="12">
        <f t="shared" si="2049"/>
        <v>21</v>
      </c>
    </row>
    <row r="13211" ht="24.0" customHeight="1">
      <c r="A13211" s="10" t="s">
        <v>28</v>
      </c>
      <c r="B13211" s="10" t="s">
        <v>26</v>
      </c>
      <c r="C13211" s="10" t="s">
        <v>23</v>
      </c>
      <c r="D13211" s="10" t="s">
        <v>29</v>
      </c>
      <c r="E13211" s="14">
        <v>1.0</v>
      </c>
      <c r="F13211" s="15">
        <f t="shared" ref="F13211:F13212" si="2050">ROUND(19,3)</f>
        <v>19</v>
      </c>
      <c r="G13211" s="12">
        <f t="shared" si="2049"/>
        <v>19</v>
      </c>
    </row>
    <row r="13212" ht="24.0" customHeight="1">
      <c r="A13212" s="10" t="s">
        <v>30</v>
      </c>
      <c r="B13212" s="10" t="s">
        <v>26</v>
      </c>
      <c r="C13212" s="10" t="s">
        <v>23</v>
      </c>
      <c r="D13212" s="10" t="s">
        <v>31</v>
      </c>
      <c r="E13212" s="14">
        <v>0.2</v>
      </c>
      <c r="F13212" s="15">
        <f t="shared" si="2050"/>
        <v>19</v>
      </c>
      <c r="G13212" s="12">
        <f t="shared" si="2049"/>
        <v>3.8</v>
      </c>
    </row>
    <row r="13213" ht="15.0" customHeight="1">
      <c r="A13213" s="11"/>
      <c r="B13213" s="11"/>
      <c r="C13213" s="11"/>
      <c r="D13213" s="10" t="s">
        <v>22</v>
      </c>
      <c r="E13213" s="14">
        <v>0.75</v>
      </c>
      <c r="F13213" s="15">
        <f>ROUND((G13210+G13211+G13212),3)</f>
        <v>43.8</v>
      </c>
      <c r="G13213" s="12">
        <f t="shared" si="2049"/>
        <v>32.85</v>
      </c>
    </row>
    <row r="13214" ht="15.0" customHeight="1">
      <c r="A13214" s="10" t="s">
        <v>32</v>
      </c>
      <c r="B13214" s="10"/>
      <c r="C13214" s="10" t="s">
        <v>33</v>
      </c>
      <c r="D13214" s="10" t="s">
        <v>34</v>
      </c>
      <c r="E13214" s="14">
        <v>5.0</v>
      </c>
      <c r="F13214" s="15">
        <f>ROUND(32.85,3)</f>
        <v>32.85</v>
      </c>
      <c r="G13214" s="12">
        <f>ROUND((E13214*F13214)/100,2)</f>
        <v>1.64</v>
      </c>
    </row>
    <row r="13215" ht="15.0" customHeight="1">
      <c r="A13215" s="16"/>
      <c r="B13215" s="16"/>
      <c r="C13215" s="16"/>
      <c r="D13215" s="17" t="s">
        <v>5632</v>
      </c>
      <c r="E13215" s="16"/>
      <c r="F13215" s="18">
        <f>ROUND((G13207+G13208+G13209+G13214)*(1+G2/100),2)</f>
        <v>63.71</v>
      </c>
      <c r="G13215" s="16"/>
    </row>
    <row r="13216" ht="15.0" customHeight="1">
      <c r="A13216" s="23"/>
      <c r="B13216" s="23"/>
      <c r="C13216" s="23"/>
      <c r="D13216" s="32" t="s">
        <v>5581</v>
      </c>
      <c r="E13216" s="33"/>
      <c r="F13216" s="33"/>
      <c r="G13216" s="33"/>
    </row>
    <row r="13217" ht="15.0" customHeight="1">
      <c r="A13217" s="34" t="s">
        <v>5635</v>
      </c>
      <c r="B13217" s="34" t="s">
        <v>10</v>
      </c>
      <c r="C13217" s="35"/>
      <c r="D13217" s="34" t="s">
        <v>5636</v>
      </c>
      <c r="E13217" s="35"/>
      <c r="F13217" s="35"/>
      <c r="G13217" s="35"/>
    </row>
    <row r="13218" ht="21.0" customHeight="1">
      <c r="A13218" s="13" t="s">
        <v>4785</v>
      </c>
      <c r="B13218" s="10" t="s">
        <v>18</v>
      </c>
      <c r="C13218" s="10" t="s">
        <v>251</v>
      </c>
      <c r="D13218" s="10" t="s">
        <v>4786</v>
      </c>
      <c r="E13218" s="11"/>
      <c r="F13218" s="12">
        <f>F13230</f>
        <v>29.36</v>
      </c>
      <c r="G13218" s="11"/>
    </row>
    <row r="13219" ht="30.0" customHeight="1">
      <c r="A13219" s="11"/>
      <c r="B13219" s="11"/>
      <c r="C13219" s="11"/>
      <c r="D13219" s="10" t="s">
        <v>1854</v>
      </c>
    </row>
    <row r="13220" ht="30.0" customHeight="1">
      <c r="A13220" s="10" t="s">
        <v>1855</v>
      </c>
      <c r="B13220" s="10" t="s">
        <v>42</v>
      </c>
      <c r="C13220" s="10" t="s">
        <v>184</v>
      </c>
      <c r="D13220" s="10" t="s">
        <v>1856</v>
      </c>
      <c r="E13220" s="14">
        <v>1.2</v>
      </c>
      <c r="F13220" s="15">
        <f>ROUND(3.85,3)</f>
        <v>3.85</v>
      </c>
      <c r="G13220" s="12">
        <f t="shared" ref="G13220:G13228" si="2051">ROUND(E13220*F13220,2)</f>
        <v>4.62</v>
      </c>
    </row>
    <row r="13221" ht="30.0" customHeight="1">
      <c r="A13221" s="10" t="s">
        <v>1227</v>
      </c>
      <c r="B13221" s="10" t="s">
        <v>42</v>
      </c>
      <c r="C13221" s="10" t="s">
        <v>226</v>
      </c>
      <c r="D13221" s="10" t="s">
        <v>1228</v>
      </c>
      <c r="E13221" s="14">
        <v>0.0252</v>
      </c>
      <c r="F13221" s="15">
        <f>ROUND(27.5,3)</f>
        <v>27.5</v>
      </c>
      <c r="G13221" s="12">
        <f t="shared" si="2051"/>
        <v>0.69</v>
      </c>
    </row>
    <row r="13222" ht="21.0" customHeight="1">
      <c r="A13222" s="10" t="s">
        <v>1857</v>
      </c>
      <c r="B13222" s="10" t="s">
        <v>42</v>
      </c>
      <c r="C13222" s="10" t="s">
        <v>231</v>
      </c>
      <c r="D13222" s="10" t="s">
        <v>1858</v>
      </c>
      <c r="E13222" s="14">
        <v>0.375</v>
      </c>
      <c r="F13222" s="15">
        <f>ROUND(1.05,3)</f>
        <v>1.05</v>
      </c>
      <c r="G13222" s="12">
        <f t="shared" si="2051"/>
        <v>0.39</v>
      </c>
    </row>
    <row r="13223" ht="39.75" customHeight="1">
      <c r="A13223" s="10" t="s">
        <v>1349</v>
      </c>
      <c r="B13223" s="10" t="s">
        <v>42</v>
      </c>
      <c r="C13223" s="10" t="s">
        <v>231</v>
      </c>
      <c r="D13223" s="10" t="s">
        <v>1350</v>
      </c>
      <c r="E13223" s="14">
        <v>0.15</v>
      </c>
      <c r="F13223" s="15">
        <f>ROUND(4.05,3)</f>
        <v>4.05</v>
      </c>
      <c r="G13223" s="12">
        <f t="shared" si="2051"/>
        <v>0.61</v>
      </c>
    </row>
    <row r="13224" ht="21.0" customHeight="1">
      <c r="A13224" s="10" t="s">
        <v>22</v>
      </c>
      <c r="B13224" s="10" t="s">
        <v>18</v>
      </c>
      <c r="C13224" s="10" t="s">
        <v>23</v>
      </c>
      <c r="D13224" s="10" t="s">
        <v>24</v>
      </c>
      <c r="E13224" s="14">
        <v>0.511</v>
      </c>
      <c r="F13224" s="15">
        <f>F13228</f>
        <v>43.8</v>
      </c>
      <c r="G13224" s="12">
        <f t="shared" si="2051"/>
        <v>22.38</v>
      </c>
    </row>
    <row r="13225" ht="24.0" customHeight="1">
      <c r="A13225" s="10" t="s">
        <v>25</v>
      </c>
      <c r="B13225" s="10" t="s">
        <v>26</v>
      </c>
      <c r="C13225" s="10" t="s">
        <v>23</v>
      </c>
      <c r="D13225" s="10" t="s">
        <v>27</v>
      </c>
      <c r="E13225" s="14">
        <v>1.0</v>
      </c>
      <c r="F13225" s="15">
        <f>ROUND(21,3)</f>
        <v>21</v>
      </c>
      <c r="G13225" s="12">
        <f t="shared" si="2051"/>
        <v>21</v>
      </c>
    </row>
    <row r="13226" ht="24.0" customHeight="1">
      <c r="A13226" s="10" t="s">
        <v>28</v>
      </c>
      <c r="B13226" s="10" t="s">
        <v>26</v>
      </c>
      <c r="C13226" s="10" t="s">
        <v>23</v>
      </c>
      <c r="D13226" s="10" t="s">
        <v>29</v>
      </c>
      <c r="E13226" s="14">
        <v>1.0</v>
      </c>
      <c r="F13226" s="15">
        <f t="shared" ref="F13226:F13227" si="2052">ROUND(19,3)</f>
        <v>19</v>
      </c>
      <c r="G13226" s="12">
        <f t="shared" si="2051"/>
        <v>19</v>
      </c>
    </row>
    <row r="13227" ht="24.0" customHeight="1">
      <c r="A13227" s="10" t="s">
        <v>30</v>
      </c>
      <c r="B13227" s="10" t="s">
        <v>26</v>
      </c>
      <c r="C13227" s="10" t="s">
        <v>23</v>
      </c>
      <c r="D13227" s="10" t="s">
        <v>31</v>
      </c>
      <c r="E13227" s="14">
        <v>0.2</v>
      </c>
      <c r="F13227" s="15">
        <f t="shared" si="2052"/>
        <v>19</v>
      </c>
      <c r="G13227" s="12">
        <f t="shared" si="2051"/>
        <v>3.8</v>
      </c>
    </row>
    <row r="13228" ht="15.0" customHeight="1">
      <c r="A13228" s="11"/>
      <c r="B13228" s="11"/>
      <c r="C13228" s="11"/>
      <c r="D13228" s="10" t="s">
        <v>22</v>
      </c>
      <c r="E13228" s="14">
        <v>0.511</v>
      </c>
      <c r="F13228" s="15">
        <f>ROUND((G13225+G13226+G13227),3)</f>
        <v>43.8</v>
      </c>
      <c r="G13228" s="12">
        <f t="shared" si="2051"/>
        <v>22.38</v>
      </c>
    </row>
    <row r="13229" ht="15.0" customHeight="1">
      <c r="A13229" s="10" t="s">
        <v>32</v>
      </c>
      <c r="B13229" s="10"/>
      <c r="C13229" s="10" t="s">
        <v>33</v>
      </c>
      <c r="D13229" s="10" t="s">
        <v>34</v>
      </c>
      <c r="E13229" s="14">
        <v>3.0</v>
      </c>
      <c r="F13229" s="15">
        <f>ROUND(22.38,3)</f>
        <v>22.38</v>
      </c>
      <c r="G13229" s="12">
        <f>ROUND((E13229*F13229)/100,2)</f>
        <v>0.67</v>
      </c>
    </row>
    <row r="13230" ht="15.0" customHeight="1">
      <c r="A13230" s="16"/>
      <c r="B13230" s="16"/>
      <c r="C13230" s="16"/>
      <c r="D13230" s="17" t="s">
        <v>4785</v>
      </c>
      <c r="E13230" s="16"/>
      <c r="F13230" s="18">
        <f>ROUND((G13220+G13221+G13222+G13223+G13224+G13229)*(1+G2/100),2)</f>
        <v>29.36</v>
      </c>
      <c r="G13230" s="16"/>
    </row>
    <row r="13231" ht="30.0" customHeight="1">
      <c r="A13231" s="19" t="s">
        <v>5637</v>
      </c>
      <c r="B13231" s="20" t="s">
        <v>18</v>
      </c>
      <c r="C13231" s="20" t="s">
        <v>251</v>
      </c>
      <c r="D13231" s="20" t="s">
        <v>5638</v>
      </c>
      <c r="E13231" s="21"/>
      <c r="F13231" s="22">
        <f>F13243</f>
        <v>45.31</v>
      </c>
      <c r="G13231" s="21"/>
    </row>
    <row r="13232" ht="21.0" customHeight="1">
      <c r="A13232" s="11"/>
      <c r="B13232" s="11"/>
      <c r="C13232" s="11"/>
      <c r="D13232" s="10" t="s">
        <v>5639</v>
      </c>
    </row>
    <row r="13233" ht="30.0" customHeight="1">
      <c r="A13233" s="10" t="s">
        <v>1855</v>
      </c>
      <c r="B13233" s="10" t="s">
        <v>42</v>
      </c>
      <c r="C13233" s="10" t="s">
        <v>184</v>
      </c>
      <c r="D13233" s="10" t="s">
        <v>1856</v>
      </c>
      <c r="E13233" s="14">
        <v>1.2</v>
      </c>
      <c r="F13233" s="15">
        <f>ROUND(3.85,3)</f>
        <v>3.85</v>
      </c>
      <c r="G13233" s="12">
        <f t="shared" ref="G13233:G13241" si="2053">ROUND(E13233*F13233,2)</f>
        <v>4.62</v>
      </c>
    </row>
    <row r="13234" ht="30.0" customHeight="1">
      <c r="A13234" s="10" t="s">
        <v>1227</v>
      </c>
      <c r="B13234" s="10" t="s">
        <v>42</v>
      </c>
      <c r="C13234" s="10" t="s">
        <v>226</v>
      </c>
      <c r="D13234" s="10" t="s">
        <v>1228</v>
      </c>
      <c r="E13234" s="14">
        <v>0.022</v>
      </c>
      <c r="F13234" s="15">
        <f>ROUND(27.5,3)</f>
        <v>27.5</v>
      </c>
      <c r="G13234" s="12">
        <f t="shared" si="2053"/>
        <v>0.61</v>
      </c>
    </row>
    <row r="13235" ht="21.0" customHeight="1">
      <c r="A13235" s="10" t="s">
        <v>1857</v>
      </c>
      <c r="B13235" s="10" t="s">
        <v>42</v>
      </c>
      <c r="C13235" s="10" t="s">
        <v>231</v>
      </c>
      <c r="D13235" s="10" t="s">
        <v>1858</v>
      </c>
      <c r="E13235" s="14">
        <v>0.375</v>
      </c>
      <c r="F13235" s="15">
        <f>ROUND(1.05,3)</f>
        <v>1.05</v>
      </c>
      <c r="G13235" s="12">
        <f t="shared" si="2053"/>
        <v>0.39</v>
      </c>
    </row>
    <row r="13236" ht="39.75" customHeight="1">
      <c r="A13236" s="10" t="s">
        <v>1349</v>
      </c>
      <c r="B13236" s="10" t="s">
        <v>42</v>
      </c>
      <c r="C13236" s="10" t="s">
        <v>231</v>
      </c>
      <c r="D13236" s="10" t="s">
        <v>1350</v>
      </c>
      <c r="E13236" s="14">
        <v>0.15</v>
      </c>
      <c r="F13236" s="15">
        <f>ROUND(4.05,3)</f>
        <v>4.05</v>
      </c>
      <c r="G13236" s="12">
        <f t="shared" si="2053"/>
        <v>0.61</v>
      </c>
    </row>
    <row r="13237" ht="24.0" customHeight="1">
      <c r="A13237" s="10" t="s">
        <v>286</v>
      </c>
      <c r="B13237" s="10" t="s">
        <v>18</v>
      </c>
      <c r="C13237" s="10" t="s">
        <v>23</v>
      </c>
      <c r="D13237" s="10" t="s">
        <v>287</v>
      </c>
      <c r="E13237" s="14">
        <v>0.7665</v>
      </c>
      <c r="F13237" s="15">
        <f>F13241</f>
        <v>49.5</v>
      </c>
      <c r="G13237" s="12">
        <f t="shared" si="2053"/>
        <v>37.94</v>
      </c>
    </row>
    <row r="13238" ht="24.0" customHeight="1">
      <c r="A13238" s="10" t="s">
        <v>288</v>
      </c>
      <c r="B13238" s="10" t="s">
        <v>26</v>
      </c>
      <c r="C13238" s="10" t="s">
        <v>23</v>
      </c>
      <c r="D13238" s="10" t="s">
        <v>289</v>
      </c>
      <c r="E13238" s="14">
        <v>1.0</v>
      </c>
      <c r="F13238" s="15">
        <f>ROUND(21,3)</f>
        <v>21</v>
      </c>
      <c r="G13238" s="12">
        <f t="shared" si="2053"/>
        <v>21</v>
      </c>
    </row>
    <row r="13239" ht="24.0" customHeight="1">
      <c r="A13239" s="10" t="s">
        <v>290</v>
      </c>
      <c r="B13239" s="10" t="s">
        <v>26</v>
      </c>
      <c r="C13239" s="10" t="s">
        <v>23</v>
      </c>
      <c r="D13239" s="10" t="s">
        <v>291</v>
      </c>
      <c r="E13239" s="14">
        <v>1.0</v>
      </c>
      <c r="F13239" s="15">
        <f t="shared" ref="F13239:F13240" si="2054">ROUND(19,3)</f>
        <v>19</v>
      </c>
      <c r="G13239" s="12">
        <f t="shared" si="2053"/>
        <v>19</v>
      </c>
    </row>
    <row r="13240" ht="24.0" customHeight="1">
      <c r="A13240" s="10" t="s">
        <v>292</v>
      </c>
      <c r="B13240" s="10" t="s">
        <v>26</v>
      </c>
      <c r="C13240" s="10" t="s">
        <v>23</v>
      </c>
      <c r="D13240" s="10" t="s">
        <v>293</v>
      </c>
      <c r="E13240" s="14">
        <v>0.5</v>
      </c>
      <c r="F13240" s="15">
        <f t="shared" si="2054"/>
        <v>19</v>
      </c>
      <c r="G13240" s="12">
        <f t="shared" si="2053"/>
        <v>9.5</v>
      </c>
    </row>
    <row r="13241" ht="15.0" customHeight="1">
      <c r="A13241" s="11"/>
      <c r="B13241" s="11"/>
      <c r="C13241" s="11"/>
      <c r="D13241" s="10" t="s">
        <v>286</v>
      </c>
      <c r="E13241" s="14">
        <v>0.7665</v>
      </c>
      <c r="F13241" s="15">
        <f>ROUND((G13238+G13239+G13240),3)</f>
        <v>49.5</v>
      </c>
      <c r="G13241" s="12">
        <f t="shared" si="2053"/>
        <v>37.94</v>
      </c>
    </row>
    <row r="13242" ht="15.0" customHeight="1">
      <c r="A13242" s="10" t="s">
        <v>32</v>
      </c>
      <c r="B13242" s="10"/>
      <c r="C13242" s="10" t="s">
        <v>33</v>
      </c>
      <c r="D13242" s="10" t="s">
        <v>34</v>
      </c>
      <c r="E13242" s="14">
        <v>3.0</v>
      </c>
      <c r="F13242" s="15">
        <f>ROUND(37.94,3)</f>
        <v>37.94</v>
      </c>
      <c r="G13242" s="12">
        <f>ROUND((E13242*F13242)/100,2)</f>
        <v>1.14</v>
      </c>
    </row>
    <row r="13243" ht="15.0" customHeight="1">
      <c r="A13243" s="16"/>
      <c r="B13243" s="16"/>
      <c r="C13243" s="16"/>
      <c r="D13243" s="17" t="s">
        <v>5637</v>
      </c>
      <c r="E13243" s="16"/>
      <c r="F13243" s="18">
        <f>ROUND((G13233+G13234+G13235+G13236+G13237+G13242)*(1+G2/100),2)</f>
        <v>45.31</v>
      </c>
      <c r="G13243" s="16"/>
    </row>
    <row r="13244" ht="21.0" customHeight="1">
      <c r="A13244" s="19" t="s">
        <v>5640</v>
      </c>
      <c r="B13244" s="20" t="s">
        <v>18</v>
      </c>
      <c r="C13244" s="20" t="s">
        <v>251</v>
      </c>
      <c r="D13244" s="20" t="s">
        <v>5641</v>
      </c>
      <c r="E13244" s="21"/>
      <c r="F13244" s="22">
        <f>F13256</f>
        <v>15.01</v>
      </c>
      <c r="G13244" s="21"/>
    </row>
    <row r="13245" ht="30.0" customHeight="1">
      <c r="A13245" s="11"/>
      <c r="B13245" s="11"/>
      <c r="C13245" s="11"/>
      <c r="D13245" s="10" t="s">
        <v>5642</v>
      </c>
    </row>
    <row r="13246" ht="30.0" customHeight="1">
      <c r="A13246" s="10" t="s">
        <v>1855</v>
      </c>
      <c r="B13246" s="10" t="s">
        <v>42</v>
      </c>
      <c r="C13246" s="10" t="s">
        <v>184</v>
      </c>
      <c r="D13246" s="10" t="s">
        <v>1856</v>
      </c>
      <c r="E13246" s="14">
        <v>0.55</v>
      </c>
      <c r="F13246" s="15">
        <f>ROUND(3.85,3)</f>
        <v>3.85</v>
      </c>
      <c r="G13246" s="12">
        <f t="shared" ref="G13246:G13254" si="2055">ROUND(E13246*F13246,2)</f>
        <v>2.12</v>
      </c>
    </row>
    <row r="13247" ht="30.0" customHeight="1">
      <c r="A13247" s="10" t="s">
        <v>1227</v>
      </c>
      <c r="B13247" s="10" t="s">
        <v>42</v>
      </c>
      <c r="C13247" s="10" t="s">
        <v>226</v>
      </c>
      <c r="D13247" s="10" t="s">
        <v>1228</v>
      </c>
      <c r="E13247" s="14">
        <v>0.022</v>
      </c>
      <c r="F13247" s="15">
        <f>ROUND(27.5,3)</f>
        <v>27.5</v>
      </c>
      <c r="G13247" s="12">
        <f t="shared" si="2055"/>
        <v>0.61</v>
      </c>
    </row>
    <row r="13248" ht="21.0" customHeight="1">
      <c r="A13248" s="10" t="s">
        <v>1857</v>
      </c>
      <c r="B13248" s="10" t="s">
        <v>42</v>
      </c>
      <c r="C13248" s="10" t="s">
        <v>231</v>
      </c>
      <c r="D13248" s="10" t="s">
        <v>1858</v>
      </c>
      <c r="E13248" s="14">
        <v>0.375</v>
      </c>
      <c r="F13248" s="15">
        <f>ROUND(1.05,3)</f>
        <v>1.05</v>
      </c>
      <c r="G13248" s="12">
        <f t="shared" si="2055"/>
        <v>0.39</v>
      </c>
    </row>
    <row r="13249" ht="39.75" customHeight="1">
      <c r="A13249" s="10" t="s">
        <v>1349</v>
      </c>
      <c r="B13249" s="10" t="s">
        <v>42</v>
      </c>
      <c r="C13249" s="10" t="s">
        <v>231</v>
      </c>
      <c r="D13249" s="10" t="s">
        <v>1350</v>
      </c>
      <c r="E13249" s="14">
        <v>0.15</v>
      </c>
      <c r="F13249" s="15">
        <f>ROUND(4.05,3)</f>
        <v>4.05</v>
      </c>
      <c r="G13249" s="12">
        <f t="shared" si="2055"/>
        <v>0.61</v>
      </c>
    </row>
    <row r="13250" ht="21.0" customHeight="1">
      <c r="A13250" s="10" t="s">
        <v>22</v>
      </c>
      <c r="B13250" s="10" t="s">
        <v>18</v>
      </c>
      <c r="C13250" s="10" t="s">
        <v>23</v>
      </c>
      <c r="D13250" s="10" t="s">
        <v>24</v>
      </c>
      <c r="E13250" s="14">
        <v>0.25</v>
      </c>
      <c r="F13250" s="15">
        <f>F13254</f>
        <v>43.8</v>
      </c>
      <c r="G13250" s="12">
        <f t="shared" si="2055"/>
        <v>10.95</v>
      </c>
    </row>
    <row r="13251" ht="24.0" customHeight="1">
      <c r="A13251" s="10" t="s">
        <v>25</v>
      </c>
      <c r="B13251" s="10" t="s">
        <v>26</v>
      </c>
      <c r="C13251" s="10" t="s">
        <v>23</v>
      </c>
      <c r="D13251" s="10" t="s">
        <v>27</v>
      </c>
      <c r="E13251" s="14">
        <v>1.0</v>
      </c>
      <c r="F13251" s="15">
        <f>ROUND(21,3)</f>
        <v>21</v>
      </c>
      <c r="G13251" s="12">
        <f t="shared" si="2055"/>
        <v>21</v>
      </c>
    </row>
    <row r="13252" ht="24.0" customHeight="1">
      <c r="A13252" s="10" t="s">
        <v>28</v>
      </c>
      <c r="B13252" s="10" t="s">
        <v>26</v>
      </c>
      <c r="C13252" s="10" t="s">
        <v>23</v>
      </c>
      <c r="D13252" s="10" t="s">
        <v>29</v>
      </c>
      <c r="E13252" s="14">
        <v>1.0</v>
      </c>
      <c r="F13252" s="15">
        <f t="shared" ref="F13252:F13253" si="2056">ROUND(19,3)</f>
        <v>19</v>
      </c>
      <c r="G13252" s="12">
        <f t="shared" si="2055"/>
        <v>19</v>
      </c>
    </row>
    <row r="13253" ht="24.0" customHeight="1">
      <c r="A13253" s="10" t="s">
        <v>30</v>
      </c>
      <c r="B13253" s="10" t="s">
        <v>26</v>
      </c>
      <c r="C13253" s="10" t="s">
        <v>23</v>
      </c>
      <c r="D13253" s="10" t="s">
        <v>31</v>
      </c>
      <c r="E13253" s="14">
        <v>0.2</v>
      </c>
      <c r="F13253" s="15">
        <f t="shared" si="2056"/>
        <v>19</v>
      </c>
      <c r="G13253" s="12">
        <f t="shared" si="2055"/>
        <v>3.8</v>
      </c>
    </row>
    <row r="13254" ht="15.0" customHeight="1">
      <c r="A13254" s="11"/>
      <c r="B13254" s="11"/>
      <c r="C13254" s="11"/>
      <c r="D13254" s="10" t="s">
        <v>22</v>
      </c>
      <c r="E13254" s="14">
        <v>0.25</v>
      </c>
      <c r="F13254" s="15">
        <f>ROUND((G13251+G13252+G13253),3)</f>
        <v>43.8</v>
      </c>
      <c r="G13254" s="12">
        <f t="shared" si="2055"/>
        <v>10.95</v>
      </c>
    </row>
    <row r="13255" ht="15.0" customHeight="1">
      <c r="A13255" s="10" t="s">
        <v>32</v>
      </c>
      <c r="B13255" s="10"/>
      <c r="C13255" s="10" t="s">
        <v>33</v>
      </c>
      <c r="D13255" s="10" t="s">
        <v>34</v>
      </c>
      <c r="E13255" s="14">
        <v>3.0</v>
      </c>
      <c r="F13255" s="15">
        <f>ROUND(10.95,3)</f>
        <v>10.95</v>
      </c>
      <c r="G13255" s="12">
        <f>ROUND((E13255*F13255)/100,2)</f>
        <v>0.33</v>
      </c>
    </row>
    <row r="13256" ht="15.0" customHeight="1">
      <c r="A13256" s="16"/>
      <c r="B13256" s="16"/>
      <c r="C13256" s="16"/>
      <c r="D13256" s="17" t="s">
        <v>5640</v>
      </c>
      <c r="E13256" s="16"/>
      <c r="F13256" s="18">
        <f>ROUND((G13246+G13247+G13248+G13249+G13250+G13255)*(1+G2/100),2)</f>
        <v>15.01</v>
      </c>
      <c r="G13256" s="16"/>
    </row>
    <row r="13257" ht="30.0" customHeight="1">
      <c r="A13257" s="19" t="s">
        <v>5643</v>
      </c>
      <c r="B13257" s="20" t="s">
        <v>18</v>
      </c>
      <c r="C13257" s="20" t="s">
        <v>251</v>
      </c>
      <c r="D13257" s="20" t="s">
        <v>5644</v>
      </c>
      <c r="E13257" s="21"/>
      <c r="F13257" s="22">
        <f>F13269</f>
        <v>25.66</v>
      </c>
      <c r="G13257" s="21"/>
    </row>
    <row r="13258" ht="21.0" customHeight="1">
      <c r="A13258" s="11"/>
      <c r="B13258" s="11"/>
      <c r="C13258" s="11"/>
      <c r="D13258" s="10" t="s">
        <v>5645</v>
      </c>
    </row>
    <row r="13259" ht="30.0" customHeight="1">
      <c r="A13259" s="10" t="s">
        <v>1855</v>
      </c>
      <c r="B13259" s="10" t="s">
        <v>42</v>
      </c>
      <c r="C13259" s="10" t="s">
        <v>184</v>
      </c>
      <c r="D13259" s="10" t="s">
        <v>1856</v>
      </c>
      <c r="E13259" s="14">
        <v>0.55</v>
      </c>
      <c r="F13259" s="15">
        <f>ROUND(3.85,3)</f>
        <v>3.85</v>
      </c>
      <c r="G13259" s="12">
        <f t="shared" ref="G13259:G13267" si="2057">ROUND(E13259*F13259,2)</f>
        <v>2.12</v>
      </c>
    </row>
    <row r="13260" ht="30.0" customHeight="1">
      <c r="A13260" s="10" t="s">
        <v>1227</v>
      </c>
      <c r="B13260" s="10" t="s">
        <v>42</v>
      </c>
      <c r="C13260" s="10" t="s">
        <v>226</v>
      </c>
      <c r="D13260" s="10" t="s">
        <v>1228</v>
      </c>
      <c r="E13260" s="14">
        <v>0.022</v>
      </c>
      <c r="F13260" s="15">
        <f>ROUND(27.5,3)</f>
        <v>27.5</v>
      </c>
      <c r="G13260" s="12">
        <f t="shared" si="2057"/>
        <v>0.61</v>
      </c>
    </row>
    <row r="13261" ht="21.0" customHeight="1">
      <c r="A13261" s="10" t="s">
        <v>1857</v>
      </c>
      <c r="B13261" s="10" t="s">
        <v>42</v>
      </c>
      <c r="C13261" s="10" t="s">
        <v>231</v>
      </c>
      <c r="D13261" s="10" t="s">
        <v>1858</v>
      </c>
      <c r="E13261" s="14">
        <v>0.375</v>
      </c>
      <c r="F13261" s="15">
        <f>ROUND(1.05,3)</f>
        <v>1.05</v>
      </c>
      <c r="G13261" s="12">
        <f t="shared" si="2057"/>
        <v>0.39</v>
      </c>
    </row>
    <row r="13262" ht="39.75" customHeight="1">
      <c r="A13262" s="10" t="s">
        <v>1349</v>
      </c>
      <c r="B13262" s="10" t="s">
        <v>42</v>
      </c>
      <c r="C13262" s="10" t="s">
        <v>231</v>
      </c>
      <c r="D13262" s="10" t="s">
        <v>1350</v>
      </c>
      <c r="E13262" s="14">
        <v>0.15</v>
      </c>
      <c r="F13262" s="15">
        <f>ROUND(4.05,3)</f>
        <v>4.05</v>
      </c>
      <c r="G13262" s="12">
        <f t="shared" si="2057"/>
        <v>0.61</v>
      </c>
    </row>
    <row r="13263" ht="24.0" customHeight="1">
      <c r="A13263" s="10" t="s">
        <v>286</v>
      </c>
      <c r="B13263" s="10" t="s">
        <v>18</v>
      </c>
      <c r="C13263" s="10" t="s">
        <v>23</v>
      </c>
      <c r="D13263" s="10" t="s">
        <v>287</v>
      </c>
      <c r="E13263" s="14">
        <v>0.43</v>
      </c>
      <c r="F13263" s="15">
        <f>F13267</f>
        <v>49.5</v>
      </c>
      <c r="G13263" s="12">
        <f t="shared" si="2057"/>
        <v>21.29</v>
      </c>
    </row>
    <row r="13264" ht="24.0" customHeight="1">
      <c r="A13264" s="10" t="s">
        <v>288</v>
      </c>
      <c r="B13264" s="10" t="s">
        <v>26</v>
      </c>
      <c r="C13264" s="10" t="s">
        <v>23</v>
      </c>
      <c r="D13264" s="10" t="s">
        <v>289</v>
      </c>
      <c r="E13264" s="14">
        <v>1.0</v>
      </c>
      <c r="F13264" s="15">
        <f>ROUND(21,3)</f>
        <v>21</v>
      </c>
      <c r="G13264" s="12">
        <f t="shared" si="2057"/>
        <v>21</v>
      </c>
    </row>
    <row r="13265" ht="24.0" customHeight="1">
      <c r="A13265" s="10" t="s">
        <v>290</v>
      </c>
      <c r="B13265" s="10" t="s">
        <v>26</v>
      </c>
      <c r="C13265" s="10" t="s">
        <v>23</v>
      </c>
      <c r="D13265" s="10" t="s">
        <v>291</v>
      </c>
      <c r="E13265" s="14">
        <v>1.0</v>
      </c>
      <c r="F13265" s="15">
        <f t="shared" ref="F13265:F13266" si="2058">ROUND(19,3)</f>
        <v>19</v>
      </c>
      <c r="G13265" s="12">
        <f t="shared" si="2057"/>
        <v>19</v>
      </c>
    </row>
    <row r="13266" ht="24.0" customHeight="1">
      <c r="A13266" s="10" t="s">
        <v>292</v>
      </c>
      <c r="B13266" s="10" t="s">
        <v>26</v>
      </c>
      <c r="C13266" s="10" t="s">
        <v>23</v>
      </c>
      <c r="D13266" s="10" t="s">
        <v>293</v>
      </c>
      <c r="E13266" s="14">
        <v>0.5</v>
      </c>
      <c r="F13266" s="15">
        <f t="shared" si="2058"/>
        <v>19</v>
      </c>
      <c r="G13266" s="12">
        <f t="shared" si="2057"/>
        <v>9.5</v>
      </c>
    </row>
    <row r="13267" ht="15.0" customHeight="1">
      <c r="A13267" s="11"/>
      <c r="B13267" s="11"/>
      <c r="C13267" s="11"/>
      <c r="D13267" s="10" t="s">
        <v>286</v>
      </c>
      <c r="E13267" s="14">
        <v>0.43</v>
      </c>
      <c r="F13267" s="15">
        <f>ROUND((G13264+G13265+G13266),3)</f>
        <v>49.5</v>
      </c>
      <c r="G13267" s="12">
        <f t="shared" si="2057"/>
        <v>21.29</v>
      </c>
    </row>
    <row r="13268" ht="15.0" customHeight="1">
      <c r="A13268" s="10" t="s">
        <v>32</v>
      </c>
      <c r="B13268" s="10"/>
      <c r="C13268" s="10" t="s">
        <v>33</v>
      </c>
      <c r="D13268" s="10" t="s">
        <v>34</v>
      </c>
      <c r="E13268" s="14">
        <v>3.0</v>
      </c>
      <c r="F13268" s="15">
        <f>ROUND(21.29,3)</f>
        <v>21.29</v>
      </c>
      <c r="G13268" s="12">
        <f>ROUND((E13268*F13268)/100,2)</f>
        <v>0.64</v>
      </c>
    </row>
    <row r="13269" ht="15.0" customHeight="1">
      <c r="A13269" s="16"/>
      <c r="B13269" s="16"/>
      <c r="C13269" s="16"/>
      <c r="D13269" s="17" t="s">
        <v>5643</v>
      </c>
      <c r="E13269" s="16"/>
      <c r="F13269" s="18">
        <f>ROUND((G13259+G13260+G13261+G13262+G13263+G13268)*(1+G2/100),2)</f>
        <v>25.66</v>
      </c>
      <c r="G13269" s="16"/>
    </row>
    <row r="13270" ht="15.0" customHeight="1">
      <c r="A13270" s="23"/>
      <c r="B13270" s="23"/>
      <c r="C13270" s="23"/>
      <c r="D13270" s="32" t="s">
        <v>5635</v>
      </c>
      <c r="E13270" s="33"/>
      <c r="F13270" s="33"/>
      <c r="G13270" s="33"/>
    </row>
    <row r="13271" ht="15.0" customHeight="1">
      <c r="A13271" s="34" t="s">
        <v>5646</v>
      </c>
      <c r="B13271" s="34" t="s">
        <v>10</v>
      </c>
      <c r="C13271" s="35"/>
      <c r="D13271" s="34" t="s">
        <v>5647</v>
      </c>
      <c r="E13271" s="35"/>
      <c r="F13271" s="35"/>
      <c r="G13271" s="35"/>
    </row>
    <row r="13272" ht="21.0" customHeight="1">
      <c r="A13272" s="13" t="s">
        <v>5648</v>
      </c>
      <c r="B13272" s="10" t="s">
        <v>18</v>
      </c>
      <c r="C13272" s="10" t="s">
        <v>251</v>
      </c>
      <c r="D13272" s="10" t="s">
        <v>5649</v>
      </c>
      <c r="E13272" s="11"/>
      <c r="F13272" s="12">
        <f>F13284</f>
        <v>30.48</v>
      </c>
      <c r="G13272" s="11"/>
    </row>
    <row r="13273" ht="57.75" customHeight="1">
      <c r="A13273" s="11"/>
      <c r="B13273" s="11"/>
      <c r="C13273" s="11"/>
      <c r="D13273" s="10" t="s">
        <v>5650</v>
      </c>
    </row>
    <row r="13274" ht="30.0" customHeight="1">
      <c r="A13274" s="10" t="s">
        <v>5651</v>
      </c>
      <c r="B13274" s="10" t="s">
        <v>42</v>
      </c>
      <c r="C13274" s="10" t="s">
        <v>184</v>
      </c>
      <c r="D13274" s="10" t="s">
        <v>5652</v>
      </c>
      <c r="E13274" s="14">
        <v>1.25</v>
      </c>
      <c r="F13274" s="15">
        <f>ROUND(5.21,3)</f>
        <v>5.21</v>
      </c>
      <c r="G13274" s="12">
        <f t="shared" ref="G13274:G13282" si="2059">ROUND(E13274*F13274,2)</f>
        <v>6.51</v>
      </c>
    </row>
    <row r="13275" ht="30.0" customHeight="1">
      <c r="A13275" s="10" t="s">
        <v>1227</v>
      </c>
      <c r="B13275" s="10" t="s">
        <v>42</v>
      </c>
      <c r="C13275" s="10" t="s">
        <v>226</v>
      </c>
      <c r="D13275" s="10" t="s">
        <v>1228</v>
      </c>
      <c r="E13275" s="14">
        <v>0.022</v>
      </c>
      <c r="F13275" s="15">
        <f>ROUND(27.5,3)</f>
        <v>27.5</v>
      </c>
      <c r="G13275" s="12">
        <f t="shared" si="2059"/>
        <v>0.61</v>
      </c>
    </row>
    <row r="13276" ht="21.0" customHeight="1">
      <c r="A13276" s="10" t="s">
        <v>1857</v>
      </c>
      <c r="B13276" s="10" t="s">
        <v>42</v>
      </c>
      <c r="C13276" s="10" t="s">
        <v>231</v>
      </c>
      <c r="D13276" s="10" t="s">
        <v>1858</v>
      </c>
      <c r="E13276" s="14">
        <v>0.375</v>
      </c>
      <c r="F13276" s="15">
        <f>ROUND(1.05,3)</f>
        <v>1.05</v>
      </c>
      <c r="G13276" s="12">
        <f t="shared" si="2059"/>
        <v>0.39</v>
      </c>
    </row>
    <row r="13277" ht="39.75" customHeight="1">
      <c r="A13277" s="10" t="s">
        <v>1349</v>
      </c>
      <c r="B13277" s="10" t="s">
        <v>42</v>
      </c>
      <c r="C13277" s="10" t="s">
        <v>231</v>
      </c>
      <c r="D13277" s="10" t="s">
        <v>1350</v>
      </c>
      <c r="E13277" s="14">
        <v>0.1</v>
      </c>
      <c r="F13277" s="15">
        <f>ROUND(4.05,3)</f>
        <v>4.05</v>
      </c>
      <c r="G13277" s="12">
        <f t="shared" si="2059"/>
        <v>0.41</v>
      </c>
    </row>
    <row r="13278" ht="21.0" customHeight="1">
      <c r="A13278" s="10" t="s">
        <v>22</v>
      </c>
      <c r="B13278" s="10" t="s">
        <v>18</v>
      </c>
      <c r="C13278" s="10" t="s">
        <v>23</v>
      </c>
      <c r="D13278" s="10" t="s">
        <v>24</v>
      </c>
      <c r="E13278" s="14">
        <v>0.5</v>
      </c>
      <c r="F13278" s="15">
        <f>F13282</f>
        <v>43.8</v>
      </c>
      <c r="G13278" s="12">
        <f t="shared" si="2059"/>
        <v>21.9</v>
      </c>
    </row>
    <row r="13279" ht="24.0" customHeight="1">
      <c r="A13279" s="10" t="s">
        <v>25</v>
      </c>
      <c r="B13279" s="10" t="s">
        <v>26</v>
      </c>
      <c r="C13279" s="10" t="s">
        <v>23</v>
      </c>
      <c r="D13279" s="10" t="s">
        <v>27</v>
      </c>
      <c r="E13279" s="14">
        <v>1.0</v>
      </c>
      <c r="F13279" s="15">
        <f>ROUND(21,3)</f>
        <v>21</v>
      </c>
      <c r="G13279" s="12">
        <f t="shared" si="2059"/>
        <v>21</v>
      </c>
    </row>
    <row r="13280" ht="24.0" customHeight="1">
      <c r="A13280" s="10" t="s">
        <v>28</v>
      </c>
      <c r="B13280" s="10" t="s">
        <v>26</v>
      </c>
      <c r="C13280" s="10" t="s">
        <v>23</v>
      </c>
      <c r="D13280" s="10" t="s">
        <v>29</v>
      </c>
      <c r="E13280" s="14">
        <v>1.0</v>
      </c>
      <c r="F13280" s="15">
        <f t="shared" ref="F13280:F13281" si="2060">ROUND(19,3)</f>
        <v>19</v>
      </c>
      <c r="G13280" s="12">
        <f t="shared" si="2059"/>
        <v>19</v>
      </c>
    </row>
    <row r="13281" ht="24.0" customHeight="1">
      <c r="A13281" s="10" t="s">
        <v>30</v>
      </c>
      <c r="B13281" s="10" t="s">
        <v>26</v>
      </c>
      <c r="C13281" s="10" t="s">
        <v>23</v>
      </c>
      <c r="D13281" s="10" t="s">
        <v>31</v>
      </c>
      <c r="E13281" s="14">
        <v>0.2</v>
      </c>
      <c r="F13281" s="15">
        <f t="shared" si="2060"/>
        <v>19</v>
      </c>
      <c r="G13281" s="12">
        <f t="shared" si="2059"/>
        <v>3.8</v>
      </c>
    </row>
    <row r="13282" ht="15.0" customHeight="1">
      <c r="A13282" s="11"/>
      <c r="B13282" s="11"/>
      <c r="C13282" s="11"/>
      <c r="D13282" s="10" t="s">
        <v>22</v>
      </c>
      <c r="E13282" s="14">
        <v>0.5</v>
      </c>
      <c r="F13282" s="15">
        <f>ROUND((G13279+G13280+G13281),3)</f>
        <v>43.8</v>
      </c>
      <c r="G13282" s="12">
        <f t="shared" si="2059"/>
        <v>21.9</v>
      </c>
    </row>
    <row r="13283" ht="15.0" customHeight="1">
      <c r="A13283" s="10" t="s">
        <v>32</v>
      </c>
      <c r="B13283" s="10"/>
      <c r="C13283" s="10" t="s">
        <v>33</v>
      </c>
      <c r="D13283" s="10" t="s">
        <v>34</v>
      </c>
      <c r="E13283" s="14">
        <v>3.0</v>
      </c>
      <c r="F13283" s="15">
        <f>ROUND(21.9,3)</f>
        <v>21.9</v>
      </c>
      <c r="G13283" s="12">
        <f>ROUND((E13283*F13283)/100,2)</f>
        <v>0.66</v>
      </c>
    </row>
    <row r="13284" ht="15.0" customHeight="1">
      <c r="A13284" s="16"/>
      <c r="B13284" s="16"/>
      <c r="C13284" s="16"/>
      <c r="D13284" s="17" t="s">
        <v>5648</v>
      </c>
      <c r="E13284" s="16"/>
      <c r="F13284" s="18">
        <f>ROUND((G13274+G13275+G13276+G13277+G13278+G13283)*(1+G2/100),2)</f>
        <v>30.48</v>
      </c>
      <c r="G13284" s="16"/>
    </row>
    <row r="13285" ht="30.0" customHeight="1">
      <c r="A13285" s="19" t="s">
        <v>5653</v>
      </c>
      <c r="B13285" s="20" t="s">
        <v>18</v>
      </c>
      <c r="C13285" s="20" t="s">
        <v>251</v>
      </c>
      <c r="D13285" s="20" t="s">
        <v>5654</v>
      </c>
      <c r="E13285" s="21"/>
      <c r="F13285" s="22">
        <f>F13297</f>
        <v>46.84</v>
      </c>
      <c r="G13285" s="21"/>
    </row>
    <row r="13286" ht="57.75" customHeight="1">
      <c r="A13286" s="11"/>
      <c r="B13286" s="11"/>
      <c r="C13286" s="11"/>
      <c r="D13286" s="10" t="s">
        <v>5655</v>
      </c>
    </row>
    <row r="13287" ht="30.0" customHeight="1">
      <c r="A13287" s="10" t="s">
        <v>5651</v>
      </c>
      <c r="B13287" s="10" t="s">
        <v>42</v>
      </c>
      <c r="C13287" s="10" t="s">
        <v>184</v>
      </c>
      <c r="D13287" s="10" t="s">
        <v>5652</v>
      </c>
      <c r="E13287" s="14">
        <v>1.38</v>
      </c>
      <c r="F13287" s="15">
        <f>ROUND(5.21,3)</f>
        <v>5.21</v>
      </c>
      <c r="G13287" s="12">
        <f t="shared" ref="G13287:G13295" si="2061">ROUND(E13287*F13287,2)</f>
        <v>7.19</v>
      </c>
    </row>
    <row r="13288" ht="30.0" customHeight="1">
      <c r="A13288" s="10" t="s">
        <v>1227</v>
      </c>
      <c r="B13288" s="10" t="s">
        <v>42</v>
      </c>
      <c r="C13288" s="10" t="s">
        <v>226</v>
      </c>
      <c r="D13288" s="10" t="s">
        <v>1228</v>
      </c>
      <c r="E13288" s="14">
        <v>0.022</v>
      </c>
      <c r="F13288" s="15">
        <f>ROUND(27.5,3)</f>
        <v>27.5</v>
      </c>
      <c r="G13288" s="12">
        <f t="shared" si="2061"/>
        <v>0.61</v>
      </c>
    </row>
    <row r="13289" ht="21.0" customHeight="1">
      <c r="A13289" s="10" t="s">
        <v>1857</v>
      </c>
      <c r="B13289" s="10" t="s">
        <v>42</v>
      </c>
      <c r="C13289" s="10" t="s">
        <v>231</v>
      </c>
      <c r="D13289" s="10" t="s">
        <v>1858</v>
      </c>
      <c r="E13289" s="14">
        <v>0.375</v>
      </c>
      <c r="F13289" s="15">
        <f>ROUND(1.05,3)</f>
        <v>1.05</v>
      </c>
      <c r="G13289" s="12">
        <f t="shared" si="2061"/>
        <v>0.39</v>
      </c>
    </row>
    <row r="13290" ht="39.75" customHeight="1">
      <c r="A13290" s="10" t="s">
        <v>1349</v>
      </c>
      <c r="B13290" s="10" t="s">
        <v>42</v>
      </c>
      <c r="C13290" s="10" t="s">
        <v>231</v>
      </c>
      <c r="D13290" s="10" t="s">
        <v>1350</v>
      </c>
      <c r="E13290" s="14">
        <v>0.1</v>
      </c>
      <c r="F13290" s="15">
        <f>ROUND(4.05,3)</f>
        <v>4.05</v>
      </c>
      <c r="G13290" s="12">
        <f t="shared" si="2061"/>
        <v>0.41</v>
      </c>
    </row>
    <row r="13291" ht="24.0" customHeight="1">
      <c r="A13291" s="10" t="s">
        <v>286</v>
      </c>
      <c r="B13291" s="10" t="s">
        <v>18</v>
      </c>
      <c r="C13291" s="10" t="s">
        <v>23</v>
      </c>
      <c r="D13291" s="10" t="s">
        <v>287</v>
      </c>
      <c r="E13291" s="14">
        <v>0.75</v>
      </c>
      <c r="F13291" s="15">
        <f>F13295</f>
        <v>49.5</v>
      </c>
      <c r="G13291" s="12">
        <f t="shared" si="2061"/>
        <v>37.13</v>
      </c>
    </row>
    <row r="13292" ht="24.0" customHeight="1">
      <c r="A13292" s="10" t="s">
        <v>288</v>
      </c>
      <c r="B13292" s="10" t="s">
        <v>26</v>
      </c>
      <c r="C13292" s="10" t="s">
        <v>23</v>
      </c>
      <c r="D13292" s="10" t="s">
        <v>289</v>
      </c>
      <c r="E13292" s="14">
        <v>1.0</v>
      </c>
      <c r="F13292" s="15">
        <f>ROUND(21,3)</f>
        <v>21</v>
      </c>
      <c r="G13292" s="12">
        <f t="shared" si="2061"/>
        <v>21</v>
      </c>
    </row>
    <row r="13293" ht="24.0" customHeight="1">
      <c r="A13293" s="10" t="s">
        <v>290</v>
      </c>
      <c r="B13293" s="10" t="s">
        <v>26</v>
      </c>
      <c r="C13293" s="10" t="s">
        <v>23</v>
      </c>
      <c r="D13293" s="10" t="s">
        <v>291</v>
      </c>
      <c r="E13293" s="14">
        <v>1.0</v>
      </c>
      <c r="F13293" s="15">
        <f t="shared" ref="F13293:F13294" si="2062">ROUND(19,3)</f>
        <v>19</v>
      </c>
      <c r="G13293" s="12">
        <f t="shared" si="2061"/>
        <v>19</v>
      </c>
    </row>
    <row r="13294" ht="24.0" customHeight="1">
      <c r="A13294" s="10" t="s">
        <v>292</v>
      </c>
      <c r="B13294" s="10" t="s">
        <v>26</v>
      </c>
      <c r="C13294" s="10" t="s">
        <v>23</v>
      </c>
      <c r="D13294" s="10" t="s">
        <v>293</v>
      </c>
      <c r="E13294" s="14">
        <v>0.5</v>
      </c>
      <c r="F13294" s="15">
        <f t="shared" si="2062"/>
        <v>19</v>
      </c>
      <c r="G13294" s="12">
        <f t="shared" si="2061"/>
        <v>9.5</v>
      </c>
    </row>
    <row r="13295" ht="15.0" customHeight="1">
      <c r="A13295" s="11"/>
      <c r="B13295" s="11"/>
      <c r="C13295" s="11"/>
      <c r="D13295" s="10" t="s">
        <v>286</v>
      </c>
      <c r="E13295" s="14">
        <v>0.75</v>
      </c>
      <c r="F13295" s="15">
        <f>ROUND((G13292+G13293+G13294),3)</f>
        <v>49.5</v>
      </c>
      <c r="G13295" s="12">
        <f t="shared" si="2061"/>
        <v>37.13</v>
      </c>
    </row>
    <row r="13296" ht="15.0" customHeight="1">
      <c r="A13296" s="10" t="s">
        <v>32</v>
      </c>
      <c r="B13296" s="10"/>
      <c r="C13296" s="10" t="s">
        <v>33</v>
      </c>
      <c r="D13296" s="10" t="s">
        <v>34</v>
      </c>
      <c r="E13296" s="14">
        <v>3.0</v>
      </c>
      <c r="F13296" s="15">
        <f>ROUND(37.13,3)</f>
        <v>37.13</v>
      </c>
      <c r="G13296" s="12">
        <f>ROUND((E13296*F13296)/100,2)</f>
        <v>1.11</v>
      </c>
    </row>
    <row r="13297" ht="15.0" customHeight="1">
      <c r="A13297" s="16"/>
      <c r="B13297" s="16"/>
      <c r="C13297" s="16"/>
      <c r="D13297" s="17" t="s">
        <v>5653</v>
      </c>
      <c r="E13297" s="16"/>
      <c r="F13297" s="18">
        <f>ROUND((G13287+G13288+G13289+G13290+G13291+G13296)*(1+G2/100),2)</f>
        <v>46.84</v>
      </c>
      <c r="G13297" s="16"/>
    </row>
    <row r="13298" ht="21.0" customHeight="1">
      <c r="A13298" s="19" t="s">
        <v>5656</v>
      </c>
      <c r="B13298" s="20" t="s">
        <v>18</v>
      </c>
      <c r="C13298" s="20" t="s">
        <v>251</v>
      </c>
      <c r="D13298" s="20" t="s">
        <v>5657</v>
      </c>
      <c r="E13298" s="21"/>
      <c r="F13298" s="22">
        <f>F13311</f>
        <v>31.45</v>
      </c>
      <c r="G13298" s="21"/>
    </row>
    <row r="13299" ht="57.75" customHeight="1">
      <c r="A13299" s="11"/>
      <c r="B13299" s="11"/>
      <c r="C13299" s="11"/>
      <c r="D13299" s="10" t="s">
        <v>5658</v>
      </c>
    </row>
    <row r="13300" ht="39.75" customHeight="1">
      <c r="A13300" s="10" t="s">
        <v>2142</v>
      </c>
      <c r="B13300" s="10" t="s">
        <v>42</v>
      </c>
      <c r="C13300" s="10" t="s">
        <v>184</v>
      </c>
      <c r="D13300" s="10" t="s">
        <v>2143</v>
      </c>
      <c r="E13300" s="14">
        <v>0.92</v>
      </c>
      <c r="F13300" s="15">
        <f>ROUND(6.8,3)</f>
        <v>6.8</v>
      </c>
      <c r="G13300" s="12">
        <f t="shared" ref="G13300:G13309" si="2063">ROUND(E13300*F13300,2)</f>
        <v>6.26</v>
      </c>
    </row>
    <row r="13301" ht="30.0" customHeight="1">
      <c r="A13301" s="10" t="s">
        <v>1227</v>
      </c>
      <c r="B13301" s="10" t="s">
        <v>42</v>
      </c>
      <c r="C13301" s="10" t="s">
        <v>226</v>
      </c>
      <c r="D13301" s="10" t="s">
        <v>1228</v>
      </c>
      <c r="E13301" s="14">
        <v>0.022</v>
      </c>
      <c r="F13301" s="15">
        <f>ROUND(27.5,3)</f>
        <v>27.5</v>
      </c>
      <c r="G13301" s="12">
        <f t="shared" si="2063"/>
        <v>0.61</v>
      </c>
    </row>
    <row r="13302" ht="21.0" customHeight="1">
      <c r="A13302" s="10" t="s">
        <v>1857</v>
      </c>
      <c r="B13302" s="10" t="s">
        <v>42</v>
      </c>
      <c r="C13302" s="10" t="s">
        <v>231</v>
      </c>
      <c r="D13302" s="10" t="s">
        <v>1858</v>
      </c>
      <c r="E13302" s="14">
        <v>0.33</v>
      </c>
      <c r="F13302" s="15">
        <f>ROUND(1.05,3)</f>
        <v>1.05</v>
      </c>
      <c r="G13302" s="12">
        <f t="shared" si="2063"/>
        <v>0.35</v>
      </c>
    </row>
    <row r="13303" ht="30.0" customHeight="1">
      <c r="A13303" s="10" t="s">
        <v>2028</v>
      </c>
      <c r="B13303" s="10" t="s">
        <v>42</v>
      </c>
      <c r="C13303" s="10" t="s">
        <v>1997</v>
      </c>
      <c r="D13303" s="10" t="s">
        <v>2029</v>
      </c>
      <c r="E13303" s="14">
        <v>0.2</v>
      </c>
      <c r="F13303" s="15">
        <f>ROUND(2.8,3)</f>
        <v>2.8</v>
      </c>
      <c r="G13303" s="12">
        <f t="shared" si="2063"/>
        <v>0.56</v>
      </c>
    </row>
    <row r="13304" ht="30.0" customHeight="1">
      <c r="A13304" s="10" t="s">
        <v>2026</v>
      </c>
      <c r="B13304" s="10" t="s">
        <v>42</v>
      </c>
      <c r="C13304" s="10" t="s">
        <v>1997</v>
      </c>
      <c r="D13304" s="10" t="s">
        <v>2027</v>
      </c>
      <c r="E13304" s="14">
        <v>0.1</v>
      </c>
      <c r="F13304" s="15">
        <f>ROUND(11.1,3)</f>
        <v>11.1</v>
      </c>
      <c r="G13304" s="12">
        <f t="shared" si="2063"/>
        <v>1.11</v>
      </c>
    </row>
    <row r="13305" ht="21.0" customHeight="1">
      <c r="A13305" s="10" t="s">
        <v>22</v>
      </c>
      <c r="B13305" s="10" t="s">
        <v>18</v>
      </c>
      <c r="C13305" s="10" t="s">
        <v>23</v>
      </c>
      <c r="D13305" s="10" t="s">
        <v>24</v>
      </c>
      <c r="E13305" s="14">
        <v>0.5</v>
      </c>
      <c r="F13305" s="15">
        <f>F13309</f>
        <v>43.8</v>
      </c>
      <c r="G13305" s="12">
        <f t="shared" si="2063"/>
        <v>21.9</v>
      </c>
    </row>
    <row r="13306" ht="24.0" customHeight="1">
      <c r="A13306" s="10" t="s">
        <v>25</v>
      </c>
      <c r="B13306" s="10" t="s">
        <v>26</v>
      </c>
      <c r="C13306" s="10" t="s">
        <v>23</v>
      </c>
      <c r="D13306" s="10" t="s">
        <v>27</v>
      </c>
      <c r="E13306" s="14">
        <v>1.0</v>
      </c>
      <c r="F13306" s="15">
        <f>ROUND(21,3)</f>
        <v>21</v>
      </c>
      <c r="G13306" s="12">
        <f t="shared" si="2063"/>
        <v>21</v>
      </c>
    </row>
    <row r="13307" ht="24.0" customHeight="1">
      <c r="A13307" s="10" t="s">
        <v>28</v>
      </c>
      <c r="B13307" s="10" t="s">
        <v>26</v>
      </c>
      <c r="C13307" s="10" t="s">
        <v>23</v>
      </c>
      <c r="D13307" s="10" t="s">
        <v>29</v>
      </c>
      <c r="E13307" s="14">
        <v>1.0</v>
      </c>
      <c r="F13307" s="15">
        <f t="shared" ref="F13307:F13308" si="2064">ROUND(19,3)</f>
        <v>19</v>
      </c>
      <c r="G13307" s="12">
        <f t="shared" si="2063"/>
        <v>19</v>
      </c>
    </row>
    <row r="13308" ht="24.0" customHeight="1">
      <c r="A13308" s="10" t="s">
        <v>30</v>
      </c>
      <c r="B13308" s="10" t="s">
        <v>26</v>
      </c>
      <c r="C13308" s="10" t="s">
        <v>23</v>
      </c>
      <c r="D13308" s="10" t="s">
        <v>31</v>
      </c>
      <c r="E13308" s="14">
        <v>0.2</v>
      </c>
      <c r="F13308" s="15">
        <f t="shared" si="2064"/>
        <v>19</v>
      </c>
      <c r="G13308" s="12">
        <f t="shared" si="2063"/>
        <v>3.8</v>
      </c>
    </row>
    <row r="13309" ht="15.0" customHeight="1">
      <c r="A13309" s="11"/>
      <c r="B13309" s="11"/>
      <c r="C13309" s="11"/>
      <c r="D13309" s="10" t="s">
        <v>22</v>
      </c>
      <c r="E13309" s="14">
        <v>0.5</v>
      </c>
      <c r="F13309" s="15">
        <f>ROUND((G13306+G13307+G13308),3)</f>
        <v>43.8</v>
      </c>
      <c r="G13309" s="12">
        <f t="shared" si="2063"/>
        <v>21.9</v>
      </c>
    </row>
    <row r="13310" ht="15.0" customHeight="1">
      <c r="A13310" s="10" t="s">
        <v>32</v>
      </c>
      <c r="B13310" s="10"/>
      <c r="C13310" s="10" t="s">
        <v>33</v>
      </c>
      <c r="D13310" s="10" t="s">
        <v>34</v>
      </c>
      <c r="E13310" s="14">
        <v>3.0</v>
      </c>
      <c r="F13310" s="15">
        <f>ROUND(21.9,3)</f>
        <v>21.9</v>
      </c>
      <c r="G13310" s="12">
        <f>ROUND((E13310*F13310)/100,2)</f>
        <v>0.66</v>
      </c>
    </row>
    <row r="13311" ht="15.0" customHeight="1">
      <c r="A13311" s="16"/>
      <c r="B13311" s="16"/>
      <c r="C13311" s="16"/>
      <c r="D13311" s="17" t="s">
        <v>5656</v>
      </c>
      <c r="E13311" s="16"/>
      <c r="F13311" s="18">
        <f>ROUND((G13300+G13301+G13302+G13303+G13304+G13305+G13310)*(1+G2/100),2)</f>
        <v>31.45</v>
      </c>
      <c r="G13311" s="16"/>
    </row>
    <row r="13312" ht="30.0" customHeight="1">
      <c r="A13312" s="19" t="s">
        <v>5659</v>
      </c>
      <c r="B13312" s="20" t="s">
        <v>18</v>
      </c>
      <c r="C13312" s="20" t="s">
        <v>251</v>
      </c>
      <c r="D13312" s="20" t="s">
        <v>5660</v>
      </c>
      <c r="E13312" s="21"/>
      <c r="F13312" s="22">
        <f>F13325</f>
        <v>47.67</v>
      </c>
      <c r="G13312" s="21"/>
    </row>
    <row r="13313" ht="57.75" customHeight="1">
      <c r="A13313" s="11"/>
      <c r="B13313" s="11"/>
      <c r="C13313" s="11"/>
      <c r="D13313" s="10" t="s">
        <v>5661</v>
      </c>
    </row>
    <row r="13314" ht="39.75" customHeight="1">
      <c r="A13314" s="10" t="s">
        <v>2142</v>
      </c>
      <c r="B13314" s="10" t="s">
        <v>42</v>
      </c>
      <c r="C13314" s="10" t="s">
        <v>184</v>
      </c>
      <c r="D13314" s="10" t="s">
        <v>2143</v>
      </c>
      <c r="E13314" s="14">
        <v>1.0</v>
      </c>
      <c r="F13314" s="15">
        <f>ROUND(6.8,3)</f>
        <v>6.8</v>
      </c>
      <c r="G13314" s="12">
        <f t="shared" ref="G13314:G13323" si="2065">ROUND(E13314*F13314,2)</f>
        <v>6.8</v>
      </c>
    </row>
    <row r="13315" ht="30.0" customHeight="1">
      <c r="A13315" s="10" t="s">
        <v>1227</v>
      </c>
      <c r="B13315" s="10" t="s">
        <v>42</v>
      </c>
      <c r="C13315" s="10" t="s">
        <v>226</v>
      </c>
      <c r="D13315" s="10" t="s">
        <v>1228</v>
      </c>
      <c r="E13315" s="14">
        <v>0.022</v>
      </c>
      <c r="F13315" s="15">
        <f>ROUND(27.5,3)</f>
        <v>27.5</v>
      </c>
      <c r="G13315" s="12">
        <f t="shared" si="2065"/>
        <v>0.61</v>
      </c>
    </row>
    <row r="13316" ht="21.0" customHeight="1">
      <c r="A13316" s="10" t="s">
        <v>1857</v>
      </c>
      <c r="B13316" s="10" t="s">
        <v>42</v>
      </c>
      <c r="C13316" s="10" t="s">
        <v>231</v>
      </c>
      <c r="D13316" s="10" t="s">
        <v>1858</v>
      </c>
      <c r="E13316" s="14">
        <v>0.33</v>
      </c>
      <c r="F13316" s="15">
        <f>ROUND(1.05,3)</f>
        <v>1.05</v>
      </c>
      <c r="G13316" s="12">
        <f t="shared" si="2065"/>
        <v>0.35</v>
      </c>
    </row>
    <row r="13317" ht="30.0" customHeight="1">
      <c r="A13317" s="10" t="s">
        <v>2028</v>
      </c>
      <c r="B13317" s="10" t="s">
        <v>42</v>
      </c>
      <c r="C13317" s="10" t="s">
        <v>1997</v>
      </c>
      <c r="D13317" s="10" t="s">
        <v>2029</v>
      </c>
      <c r="E13317" s="14">
        <v>0.2</v>
      </c>
      <c r="F13317" s="15">
        <f>ROUND(2.8,3)</f>
        <v>2.8</v>
      </c>
      <c r="G13317" s="12">
        <f t="shared" si="2065"/>
        <v>0.56</v>
      </c>
    </row>
    <row r="13318" ht="30.0" customHeight="1">
      <c r="A13318" s="10" t="s">
        <v>2026</v>
      </c>
      <c r="B13318" s="10" t="s">
        <v>42</v>
      </c>
      <c r="C13318" s="10" t="s">
        <v>1997</v>
      </c>
      <c r="D13318" s="10" t="s">
        <v>2027</v>
      </c>
      <c r="E13318" s="14">
        <v>0.1</v>
      </c>
      <c r="F13318" s="15">
        <f>ROUND(11.1,3)</f>
        <v>11.1</v>
      </c>
      <c r="G13318" s="12">
        <f t="shared" si="2065"/>
        <v>1.11</v>
      </c>
    </row>
    <row r="13319" ht="24.0" customHeight="1">
      <c r="A13319" s="10" t="s">
        <v>286</v>
      </c>
      <c r="B13319" s="10" t="s">
        <v>18</v>
      </c>
      <c r="C13319" s="10" t="s">
        <v>23</v>
      </c>
      <c r="D13319" s="10" t="s">
        <v>287</v>
      </c>
      <c r="E13319" s="14">
        <v>0.75</v>
      </c>
      <c r="F13319" s="15">
        <f>F13323</f>
        <v>49.5</v>
      </c>
      <c r="G13319" s="12">
        <f t="shared" si="2065"/>
        <v>37.13</v>
      </c>
    </row>
    <row r="13320" ht="24.0" customHeight="1">
      <c r="A13320" s="10" t="s">
        <v>288</v>
      </c>
      <c r="B13320" s="10" t="s">
        <v>26</v>
      </c>
      <c r="C13320" s="10" t="s">
        <v>23</v>
      </c>
      <c r="D13320" s="10" t="s">
        <v>289</v>
      </c>
      <c r="E13320" s="14">
        <v>1.0</v>
      </c>
      <c r="F13320" s="15">
        <f>ROUND(21,3)</f>
        <v>21</v>
      </c>
      <c r="G13320" s="12">
        <f t="shared" si="2065"/>
        <v>21</v>
      </c>
    </row>
    <row r="13321" ht="24.0" customHeight="1">
      <c r="A13321" s="10" t="s">
        <v>290</v>
      </c>
      <c r="B13321" s="10" t="s">
        <v>26</v>
      </c>
      <c r="C13321" s="10" t="s">
        <v>23</v>
      </c>
      <c r="D13321" s="10" t="s">
        <v>291</v>
      </c>
      <c r="E13321" s="14">
        <v>1.0</v>
      </c>
      <c r="F13321" s="15">
        <f t="shared" ref="F13321:F13322" si="2066">ROUND(19,3)</f>
        <v>19</v>
      </c>
      <c r="G13321" s="12">
        <f t="shared" si="2065"/>
        <v>19</v>
      </c>
    </row>
    <row r="13322" ht="24.0" customHeight="1">
      <c r="A13322" s="10" t="s">
        <v>292</v>
      </c>
      <c r="B13322" s="10" t="s">
        <v>26</v>
      </c>
      <c r="C13322" s="10" t="s">
        <v>23</v>
      </c>
      <c r="D13322" s="10" t="s">
        <v>293</v>
      </c>
      <c r="E13322" s="14">
        <v>0.5</v>
      </c>
      <c r="F13322" s="15">
        <f t="shared" si="2066"/>
        <v>19</v>
      </c>
      <c r="G13322" s="12">
        <f t="shared" si="2065"/>
        <v>9.5</v>
      </c>
    </row>
    <row r="13323" ht="15.0" customHeight="1">
      <c r="A13323" s="11"/>
      <c r="B13323" s="11"/>
      <c r="C13323" s="11"/>
      <c r="D13323" s="10" t="s">
        <v>286</v>
      </c>
      <c r="E13323" s="14">
        <v>0.75</v>
      </c>
      <c r="F13323" s="15">
        <f>ROUND((G13320+G13321+G13322),3)</f>
        <v>49.5</v>
      </c>
      <c r="G13323" s="12">
        <f t="shared" si="2065"/>
        <v>37.13</v>
      </c>
    </row>
    <row r="13324" ht="15.0" customHeight="1">
      <c r="A13324" s="10" t="s">
        <v>32</v>
      </c>
      <c r="B13324" s="10"/>
      <c r="C13324" s="10" t="s">
        <v>33</v>
      </c>
      <c r="D13324" s="10" t="s">
        <v>34</v>
      </c>
      <c r="E13324" s="14">
        <v>3.0</v>
      </c>
      <c r="F13324" s="15">
        <f>ROUND(37.13,3)</f>
        <v>37.13</v>
      </c>
      <c r="G13324" s="12">
        <f>ROUND((E13324*F13324)/100,2)</f>
        <v>1.11</v>
      </c>
    </row>
    <row r="13325" ht="15.0" customHeight="1">
      <c r="A13325" s="16"/>
      <c r="B13325" s="16"/>
      <c r="C13325" s="16"/>
      <c r="D13325" s="17" t="s">
        <v>5659</v>
      </c>
      <c r="E13325" s="16"/>
      <c r="F13325" s="18">
        <f>ROUND((G13314+G13315+G13316+G13317+G13318+G13319+G13324)*(1+G2/100),2)</f>
        <v>47.67</v>
      </c>
      <c r="G13325" s="16"/>
    </row>
    <row r="13326" ht="30.0" customHeight="1">
      <c r="A13326" s="19" t="s">
        <v>5662</v>
      </c>
      <c r="B13326" s="20" t="s">
        <v>18</v>
      </c>
      <c r="C13326" s="20" t="s">
        <v>251</v>
      </c>
      <c r="D13326" s="20" t="s">
        <v>5663</v>
      </c>
      <c r="E13326" s="21"/>
      <c r="F13326" s="22">
        <f>F13339</f>
        <v>19.23</v>
      </c>
      <c r="G13326" s="21"/>
    </row>
    <row r="13327" ht="57.75" customHeight="1">
      <c r="A13327" s="11"/>
      <c r="B13327" s="11"/>
      <c r="C13327" s="11"/>
      <c r="D13327" s="10" t="s">
        <v>5664</v>
      </c>
    </row>
    <row r="13328" ht="39.75" customHeight="1">
      <c r="A13328" s="10" t="s">
        <v>1994</v>
      </c>
      <c r="B13328" s="10" t="s">
        <v>42</v>
      </c>
      <c r="C13328" s="10" t="s">
        <v>184</v>
      </c>
      <c r="D13328" s="10" t="s">
        <v>1995</v>
      </c>
      <c r="E13328" s="14">
        <v>0.34</v>
      </c>
      <c r="F13328" s="15">
        <f>ROUND(15.2,3)</f>
        <v>15.2</v>
      </c>
      <c r="G13328" s="12">
        <f t="shared" ref="G13328:G13337" si="2067">ROUND(E13328*F13328,2)</f>
        <v>5.17</v>
      </c>
    </row>
    <row r="13329" ht="30.0" customHeight="1">
      <c r="A13329" s="10" t="s">
        <v>1227</v>
      </c>
      <c r="B13329" s="10" t="s">
        <v>42</v>
      </c>
      <c r="C13329" s="10" t="s">
        <v>226</v>
      </c>
      <c r="D13329" s="10" t="s">
        <v>1228</v>
      </c>
      <c r="E13329" s="14">
        <v>0.022</v>
      </c>
      <c r="F13329" s="15">
        <f>ROUND(27.5,3)</f>
        <v>27.5</v>
      </c>
      <c r="G13329" s="12">
        <f t="shared" si="2067"/>
        <v>0.61</v>
      </c>
    </row>
    <row r="13330" ht="21.0" customHeight="1">
      <c r="A13330" s="10" t="s">
        <v>1857</v>
      </c>
      <c r="B13330" s="10" t="s">
        <v>42</v>
      </c>
      <c r="C13330" s="10" t="s">
        <v>231</v>
      </c>
      <c r="D13330" s="10" t="s">
        <v>1858</v>
      </c>
      <c r="E13330" s="14">
        <v>0.375</v>
      </c>
      <c r="F13330" s="15">
        <f>ROUND(1.05,3)</f>
        <v>1.05</v>
      </c>
      <c r="G13330" s="12">
        <f t="shared" si="2067"/>
        <v>0.39</v>
      </c>
    </row>
    <row r="13331" ht="30.0" customHeight="1">
      <c r="A13331" s="10" t="s">
        <v>2028</v>
      </c>
      <c r="B13331" s="10" t="s">
        <v>42</v>
      </c>
      <c r="C13331" s="10" t="s">
        <v>1997</v>
      </c>
      <c r="D13331" s="10" t="s">
        <v>2029</v>
      </c>
      <c r="E13331" s="14">
        <v>0.24</v>
      </c>
      <c r="F13331" s="15">
        <f>ROUND(2.8,3)</f>
        <v>2.8</v>
      </c>
      <c r="G13331" s="12">
        <f t="shared" si="2067"/>
        <v>0.67</v>
      </c>
    </row>
    <row r="13332" ht="30.0" customHeight="1">
      <c r="A13332" s="10" t="s">
        <v>2026</v>
      </c>
      <c r="B13332" s="10" t="s">
        <v>42</v>
      </c>
      <c r="C13332" s="10" t="s">
        <v>1997</v>
      </c>
      <c r="D13332" s="10" t="s">
        <v>2027</v>
      </c>
      <c r="E13332" s="14">
        <v>0.1</v>
      </c>
      <c r="F13332" s="15">
        <f>ROUND(11.1,3)</f>
        <v>11.1</v>
      </c>
      <c r="G13332" s="12">
        <f t="shared" si="2067"/>
        <v>1.11</v>
      </c>
    </row>
    <row r="13333" ht="21.0" customHeight="1">
      <c r="A13333" s="10" t="s">
        <v>22</v>
      </c>
      <c r="B13333" s="10" t="s">
        <v>18</v>
      </c>
      <c r="C13333" s="10" t="s">
        <v>23</v>
      </c>
      <c r="D13333" s="10" t="s">
        <v>24</v>
      </c>
      <c r="E13333" s="14">
        <v>0.25</v>
      </c>
      <c r="F13333" s="15">
        <f>F13337</f>
        <v>43.8</v>
      </c>
      <c r="G13333" s="12">
        <f t="shared" si="2067"/>
        <v>10.95</v>
      </c>
    </row>
    <row r="13334" ht="24.0" customHeight="1">
      <c r="A13334" s="10" t="s">
        <v>25</v>
      </c>
      <c r="B13334" s="10" t="s">
        <v>26</v>
      </c>
      <c r="C13334" s="10" t="s">
        <v>23</v>
      </c>
      <c r="D13334" s="10" t="s">
        <v>27</v>
      </c>
      <c r="E13334" s="14">
        <v>1.0</v>
      </c>
      <c r="F13334" s="15">
        <f>ROUND(21,3)</f>
        <v>21</v>
      </c>
      <c r="G13334" s="12">
        <f t="shared" si="2067"/>
        <v>21</v>
      </c>
    </row>
    <row r="13335" ht="24.0" customHeight="1">
      <c r="A13335" s="10" t="s">
        <v>28</v>
      </c>
      <c r="B13335" s="10" t="s">
        <v>26</v>
      </c>
      <c r="C13335" s="10" t="s">
        <v>23</v>
      </c>
      <c r="D13335" s="10" t="s">
        <v>29</v>
      </c>
      <c r="E13335" s="14">
        <v>1.0</v>
      </c>
      <c r="F13335" s="15">
        <f t="shared" ref="F13335:F13336" si="2068">ROUND(19,3)</f>
        <v>19</v>
      </c>
      <c r="G13335" s="12">
        <f t="shared" si="2067"/>
        <v>19</v>
      </c>
    </row>
    <row r="13336" ht="24.0" customHeight="1">
      <c r="A13336" s="10" t="s">
        <v>30</v>
      </c>
      <c r="B13336" s="10" t="s">
        <v>26</v>
      </c>
      <c r="C13336" s="10" t="s">
        <v>23</v>
      </c>
      <c r="D13336" s="10" t="s">
        <v>31</v>
      </c>
      <c r="E13336" s="14">
        <v>0.2</v>
      </c>
      <c r="F13336" s="15">
        <f t="shared" si="2068"/>
        <v>19</v>
      </c>
      <c r="G13336" s="12">
        <f t="shared" si="2067"/>
        <v>3.8</v>
      </c>
    </row>
    <row r="13337" ht="15.0" customHeight="1">
      <c r="A13337" s="11"/>
      <c r="B13337" s="11"/>
      <c r="C13337" s="11"/>
      <c r="D13337" s="10" t="s">
        <v>22</v>
      </c>
      <c r="E13337" s="14">
        <v>0.25</v>
      </c>
      <c r="F13337" s="15">
        <f>ROUND((G13334+G13335+G13336),3)</f>
        <v>43.8</v>
      </c>
      <c r="G13337" s="12">
        <f t="shared" si="2067"/>
        <v>10.95</v>
      </c>
    </row>
    <row r="13338" ht="15.0" customHeight="1">
      <c r="A13338" s="10" t="s">
        <v>32</v>
      </c>
      <c r="B13338" s="10"/>
      <c r="C13338" s="10" t="s">
        <v>33</v>
      </c>
      <c r="D13338" s="10" t="s">
        <v>34</v>
      </c>
      <c r="E13338" s="14">
        <v>3.0</v>
      </c>
      <c r="F13338" s="15">
        <f>ROUND(10.95,3)</f>
        <v>10.95</v>
      </c>
      <c r="G13338" s="12">
        <f>ROUND((E13338*F13338)/100,2)</f>
        <v>0.33</v>
      </c>
    </row>
    <row r="13339" ht="15.0" customHeight="1">
      <c r="A13339" s="16"/>
      <c r="B13339" s="16"/>
      <c r="C13339" s="16"/>
      <c r="D13339" s="17" t="s">
        <v>5662</v>
      </c>
      <c r="E13339" s="16"/>
      <c r="F13339" s="18">
        <f>ROUND((G13328+G13329+G13330+G13331+G13332+G13333+G13338)*(1+G2/100),2)</f>
        <v>19.23</v>
      </c>
      <c r="G13339" s="16"/>
    </row>
    <row r="13340" ht="30.0" customHeight="1">
      <c r="A13340" s="19" t="s">
        <v>5665</v>
      </c>
      <c r="B13340" s="20" t="s">
        <v>18</v>
      </c>
      <c r="C13340" s="20" t="s">
        <v>251</v>
      </c>
      <c r="D13340" s="20" t="s">
        <v>5666</v>
      </c>
      <c r="E13340" s="21"/>
      <c r="F13340" s="22">
        <f>F13352</f>
        <v>14.96</v>
      </c>
      <c r="G13340" s="21"/>
    </row>
    <row r="13341" ht="57.75" customHeight="1">
      <c r="A13341" s="11"/>
      <c r="B13341" s="11"/>
      <c r="C13341" s="11"/>
      <c r="D13341" s="10" t="s">
        <v>5667</v>
      </c>
    </row>
    <row r="13342" ht="30.0" customHeight="1">
      <c r="A13342" s="10" t="s">
        <v>5668</v>
      </c>
      <c r="B13342" s="10" t="s">
        <v>42</v>
      </c>
      <c r="C13342" s="10" t="s">
        <v>184</v>
      </c>
      <c r="D13342" s="10" t="s">
        <v>5669</v>
      </c>
      <c r="E13342" s="14">
        <v>0.44</v>
      </c>
      <c r="F13342" s="15">
        <f>ROUND(5.15,3)</f>
        <v>5.15</v>
      </c>
      <c r="G13342" s="12">
        <f t="shared" ref="G13342:G13350" si="2069">ROUND(E13342*F13342,2)</f>
        <v>2.27</v>
      </c>
    </row>
    <row r="13343" ht="30.0" customHeight="1">
      <c r="A13343" s="10" t="s">
        <v>1227</v>
      </c>
      <c r="B13343" s="10" t="s">
        <v>42</v>
      </c>
      <c r="C13343" s="10" t="s">
        <v>226</v>
      </c>
      <c r="D13343" s="10" t="s">
        <v>1228</v>
      </c>
      <c r="E13343" s="14">
        <v>0.022</v>
      </c>
      <c r="F13343" s="15">
        <f>ROUND(27.5,3)</f>
        <v>27.5</v>
      </c>
      <c r="G13343" s="12">
        <f t="shared" si="2069"/>
        <v>0.61</v>
      </c>
    </row>
    <row r="13344" ht="21.0" customHeight="1">
      <c r="A13344" s="10" t="s">
        <v>1857</v>
      </c>
      <c r="B13344" s="10" t="s">
        <v>42</v>
      </c>
      <c r="C13344" s="10" t="s">
        <v>231</v>
      </c>
      <c r="D13344" s="10" t="s">
        <v>1858</v>
      </c>
      <c r="E13344" s="14">
        <v>0.375</v>
      </c>
      <c r="F13344" s="15">
        <f>ROUND(1.05,3)</f>
        <v>1.05</v>
      </c>
      <c r="G13344" s="12">
        <f t="shared" si="2069"/>
        <v>0.39</v>
      </c>
    </row>
    <row r="13345" ht="39.75" customHeight="1">
      <c r="A13345" s="10" t="s">
        <v>1349</v>
      </c>
      <c r="B13345" s="10" t="s">
        <v>42</v>
      </c>
      <c r="C13345" s="10" t="s">
        <v>231</v>
      </c>
      <c r="D13345" s="10" t="s">
        <v>1350</v>
      </c>
      <c r="E13345" s="14">
        <v>0.1</v>
      </c>
      <c r="F13345" s="15">
        <f>ROUND(4.05,3)</f>
        <v>4.05</v>
      </c>
      <c r="G13345" s="12">
        <f t="shared" si="2069"/>
        <v>0.41</v>
      </c>
    </row>
    <row r="13346" ht="21.0" customHeight="1">
      <c r="A13346" s="10" t="s">
        <v>22</v>
      </c>
      <c r="B13346" s="10" t="s">
        <v>18</v>
      </c>
      <c r="C13346" s="10" t="s">
        <v>23</v>
      </c>
      <c r="D13346" s="10" t="s">
        <v>24</v>
      </c>
      <c r="E13346" s="14">
        <v>0.25</v>
      </c>
      <c r="F13346" s="15">
        <f>F13350</f>
        <v>43.8</v>
      </c>
      <c r="G13346" s="12">
        <f t="shared" si="2069"/>
        <v>10.95</v>
      </c>
    </row>
    <row r="13347" ht="24.0" customHeight="1">
      <c r="A13347" s="10" t="s">
        <v>25</v>
      </c>
      <c r="B13347" s="10" t="s">
        <v>26</v>
      </c>
      <c r="C13347" s="10" t="s">
        <v>23</v>
      </c>
      <c r="D13347" s="10" t="s">
        <v>27</v>
      </c>
      <c r="E13347" s="14">
        <v>1.0</v>
      </c>
      <c r="F13347" s="15">
        <f>ROUND(21,3)</f>
        <v>21</v>
      </c>
      <c r="G13347" s="12">
        <f t="shared" si="2069"/>
        <v>21</v>
      </c>
    </row>
    <row r="13348" ht="24.0" customHeight="1">
      <c r="A13348" s="10" t="s">
        <v>28</v>
      </c>
      <c r="B13348" s="10" t="s">
        <v>26</v>
      </c>
      <c r="C13348" s="10" t="s">
        <v>23</v>
      </c>
      <c r="D13348" s="10" t="s">
        <v>29</v>
      </c>
      <c r="E13348" s="14">
        <v>1.0</v>
      </c>
      <c r="F13348" s="15">
        <f t="shared" ref="F13348:F13349" si="2070">ROUND(19,3)</f>
        <v>19</v>
      </c>
      <c r="G13348" s="12">
        <f t="shared" si="2069"/>
        <v>19</v>
      </c>
    </row>
    <row r="13349" ht="24.0" customHeight="1">
      <c r="A13349" s="10" t="s">
        <v>30</v>
      </c>
      <c r="B13349" s="10" t="s">
        <v>26</v>
      </c>
      <c r="C13349" s="10" t="s">
        <v>23</v>
      </c>
      <c r="D13349" s="10" t="s">
        <v>31</v>
      </c>
      <c r="E13349" s="14">
        <v>0.2</v>
      </c>
      <c r="F13349" s="15">
        <f t="shared" si="2070"/>
        <v>19</v>
      </c>
      <c r="G13349" s="12">
        <f t="shared" si="2069"/>
        <v>3.8</v>
      </c>
    </row>
    <row r="13350" ht="15.0" customHeight="1">
      <c r="A13350" s="11"/>
      <c r="B13350" s="11"/>
      <c r="C13350" s="11"/>
      <c r="D13350" s="10" t="s">
        <v>22</v>
      </c>
      <c r="E13350" s="14">
        <v>0.25</v>
      </c>
      <c r="F13350" s="15">
        <f>ROUND((G13347+G13348+G13349),3)</f>
        <v>43.8</v>
      </c>
      <c r="G13350" s="12">
        <f t="shared" si="2069"/>
        <v>10.95</v>
      </c>
    </row>
    <row r="13351" ht="15.0" customHeight="1">
      <c r="A13351" s="10" t="s">
        <v>32</v>
      </c>
      <c r="B13351" s="10"/>
      <c r="C13351" s="10" t="s">
        <v>33</v>
      </c>
      <c r="D13351" s="10" t="s">
        <v>34</v>
      </c>
      <c r="E13351" s="14">
        <v>3.0</v>
      </c>
      <c r="F13351" s="15">
        <f>ROUND(10.95,3)</f>
        <v>10.95</v>
      </c>
      <c r="G13351" s="12">
        <f>ROUND((E13351*F13351)/100,2)</f>
        <v>0.33</v>
      </c>
    </row>
    <row r="13352" ht="15.0" customHeight="1">
      <c r="A13352" s="16"/>
      <c r="B13352" s="16"/>
      <c r="C13352" s="16"/>
      <c r="D13352" s="17" t="s">
        <v>5665</v>
      </c>
      <c r="E13352" s="16"/>
      <c r="F13352" s="18">
        <f>ROUND((G13342+G13343+G13344+G13345+G13346+G13351)*(1+G2/100),2)</f>
        <v>14.96</v>
      </c>
      <c r="G13352" s="16"/>
    </row>
    <row r="13353" ht="30.0" customHeight="1">
      <c r="A13353" s="19" t="s">
        <v>5670</v>
      </c>
      <c r="B13353" s="20" t="s">
        <v>18</v>
      </c>
      <c r="C13353" s="20" t="s">
        <v>251</v>
      </c>
      <c r="D13353" s="20" t="s">
        <v>5671</v>
      </c>
      <c r="E13353" s="21"/>
      <c r="F13353" s="22">
        <f>F13365</f>
        <v>25.09</v>
      </c>
      <c r="G13353" s="21"/>
    </row>
    <row r="13354" ht="57.75" customHeight="1">
      <c r="A13354" s="11"/>
      <c r="B13354" s="11"/>
      <c r="C13354" s="11"/>
      <c r="D13354" s="10" t="s">
        <v>5672</v>
      </c>
    </row>
    <row r="13355" ht="30.0" customHeight="1">
      <c r="A13355" s="10" t="s">
        <v>5668</v>
      </c>
      <c r="B13355" s="10" t="s">
        <v>42</v>
      </c>
      <c r="C13355" s="10" t="s">
        <v>184</v>
      </c>
      <c r="D13355" s="10" t="s">
        <v>5669</v>
      </c>
      <c r="E13355" s="14">
        <v>0.44</v>
      </c>
      <c r="F13355" s="15">
        <f>ROUND(5.15,3)</f>
        <v>5.15</v>
      </c>
      <c r="G13355" s="12">
        <f t="shared" ref="G13355:G13363" si="2071">ROUND(E13355*F13355,2)</f>
        <v>2.27</v>
      </c>
    </row>
    <row r="13356" ht="30.0" customHeight="1">
      <c r="A13356" s="10" t="s">
        <v>1227</v>
      </c>
      <c r="B13356" s="10" t="s">
        <v>42</v>
      </c>
      <c r="C13356" s="10" t="s">
        <v>226</v>
      </c>
      <c r="D13356" s="10" t="s">
        <v>1228</v>
      </c>
      <c r="E13356" s="14">
        <v>0.022</v>
      </c>
      <c r="F13356" s="15">
        <f>ROUND(27.5,3)</f>
        <v>27.5</v>
      </c>
      <c r="G13356" s="12">
        <f t="shared" si="2071"/>
        <v>0.61</v>
      </c>
    </row>
    <row r="13357" ht="21.0" customHeight="1">
      <c r="A13357" s="10" t="s">
        <v>1857</v>
      </c>
      <c r="B13357" s="10" t="s">
        <v>42</v>
      </c>
      <c r="C13357" s="10" t="s">
        <v>231</v>
      </c>
      <c r="D13357" s="10" t="s">
        <v>1858</v>
      </c>
      <c r="E13357" s="14">
        <v>0.375</v>
      </c>
      <c r="F13357" s="15">
        <f>ROUND(1.05,3)</f>
        <v>1.05</v>
      </c>
      <c r="G13357" s="12">
        <f t="shared" si="2071"/>
        <v>0.39</v>
      </c>
    </row>
    <row r="13358" ht="39.75" customHeight="1">
      <c r="A13358" s="10" t="s">
        <v>1349</v>
      </c>
      <c r="B13358" s="10" t="s">
        <v>42</v>
      </c>
      <c r="C13358" s="10" t="s">
        <v>231</v>
      </c>
      <c r="D13358" s="10" t="s">
        <v>1350</v>
      </c>
      <c r="E13358" s="14">
        <v>0.1</v>
      </c>
      <c r="F13358" s="15">
        <f>ROUND(4.05,3)</f>
        <v>4.05</v>
      </c>
      <c r="G13358" s="12">
        <f t="shared" si="2071"/>
        <v>0.41</v>
      </c>
    </row>
    <row r="13359" ht="24.0" customHeight="1">
      <c r="A13359" s="10" t="s">
        <v>286</v>
      </c>
      <c r="B13359" s="10" t="s">
        <v>18</v>
      </c>
      <c r="C13359" s="10" t="s">
        <v>23</v>
      </c>
      <c r="D13359" s="10" t="s">
        <v>287</v>
      </c>
      <c r="E13359" s="14">
        <v>0.42</v>
      </c>
      <c r="F13359" s="15">
        <f>F13363</f>
        <v>49.5</v>
      </c>
      <c r="G13359" s="12">
        <f t="shared" si="2071"/>
        <v>20.79</v>
      </c>
    </row>
    <row r="13360" ht="24.0" customHeight="1">
      <c r="A13360" s="10" t="s">
        <v>288</v>
      </c>
      <c r="B13360" s="10" t="s">
        <v>26</v>
      </c>
      <c r="C13360" s="10" t="s">
        <v>23</v>
      </c>
      <c r="D13360" s="10" t="s">
        <v>289</v>
      </c>
      <c r="E13360" s="14">
        <v>1.0</v>
      </c>
      <c r="F13360" s="15">
        <f>ROUND(21,3)</f>
        <v>21</v>
      </c>
      <c r="G13360" s="12">
        <f t="shared" si="2071"/>
        <v>21</v>
      </c>
    </row>
    <row r="13361" ht="24.0" customHeight="1">
      <c r="A13361" s="10" t="s">
        <v>290</v>
      </c>
      <c r="B13361" s="10" t="s">
        <v>26</v>
      </c>
      <c r="C13361" s="10" t="s">
        <v>23</v>
      </c>
      <c r="D13361" s="10" t="s">
        <v>291</v>
      </c>
      <c r="E13361" s="14">
        <v>1.0</v>
      </c>
      <c r="F13361" s="15">
        <f t="shared" ref="F13361:F13362" si="2072">ROUND(19,3)</f>
        <v>19</v>
      </c>
      <c r="G13361" s="12">
        <f t="shared" si="2071"/>
        <v>19</v>
      </c>
    </row>
    <row r="13362" ht="24.0" customHeight="1">
      <c r="A13362" s="10" t="s">
        <v>292</v>
      </c>
      <c r="B13362" s="10" t="s">
        <v>26</v>
      </c>
      <c r="C13362" s="10" t="s">
        <v>23</v>
      </c>
      <c r="D13362" s="10" t="s">
        <v>293</v>
      </c>
      <c r="E13362" s="14">
        <v>0.5</v>
      </c>
      <c r="F13362" s="15">
        <f t="shared" si="2072"/>
        <v>19</v>
      </c>
      <c r="G13362" s="12">
        <f t="shared" si="2071"/>
        <v>9.5</v>
      </c>
    </row>
    <row r="13363" ht="15.0" customHeight="1">
      <c r="A13363" s="11"/>
      <c r="B13363" s="11"/>
      <c r="C13363" s="11"/>
      <c r="D13363" s="10" t="s">
        <v>286</v>
      </c>
      <c r="E13363" s="14">
        <v>0.42</v>
      </c>
      <c r="F13363" s="15">
        <f>ROUND((G13360+G13361+G13362),3)</f>
        <v>49.5</v>
      </c>
      <c r="G13363" s="12">
        <f t="shared" si="2071"/>
        <v>20.79</v>
      </c>
    </row>
    <row r="13364" ht="15.0" customHeight="1">
      <c r="A13364" s="10" t="s">
        <v>32</v>
      </c>
      <c r="B13364" s="10"/>
      <c r="C13364" s="10" t="s">
        <v>33</v>
      </c>
      <c r="D13364" s="10" t="s">
        <v>34</v>
      </c>
      <c r="E13364" s="14">
        <v>3.0</v>
      </c>
      <c r="F13364" s="15">
        <f>ROUND(20.79,3)</f>
        <v>20.79</v>
      </c>
      <c r="G13364" s="12">
        <f>ROUND((E13364*F13364)/100,2)</f>
        <v>0.62</v>
      </c>
    </row>
    <row r="13365" ht="15.0" customHeight="1">
      <c r="A13365" s="16"/>
      <c r="B13365" s="16"/>
      <c r="C13365" s="16"/>
      <c r="D13365" s="17" t="s">
        <v>5670</v>
      </c>
      <c r="E13365" s="16"/>
      <c r="F13365" s="18">
        <f>ROUND((G13355+G13356+G13357+G13358+G13359+G13364)*(1+G2/100),2)</f>
        <v>25.09</v>
      </c>
      <c r="G13365" s="16"/>
    </row>
    <row r="13366" ht="21.0" customHeight="1">
      <c r="A13366" s="19" t="s">
        <v>5673</v>
      </c>
      <c r="B13366" s="20" t="s">
        <v>18</v>
      </c>
      <c r="C13366" s="20" t="s">
        <v>251</v>
      </c>
      <c r="D13366" s="20" t="s">
        <v>5674</v>
      </c>
      <c r="E13366" s="21"/>
      <c r="F13366" s="22">
        <f>F13380</f>
        <v>53.23</v>
      </c>
      <c r="G13366" s="21"/>
    </row>
    <row r="13367" ht="67.5" customHeight="1">
      <c r="A13367" s="11"/>
      <c r="B13367" s="11"/>
      <c r="C13367" s="11"/>
      <c r="D13367" s="10" t="s">
        <v>5675</v>
      </c>
    </row>
    <row r="13368" ht="39.75" customHeight="1">
      <c r="A13368" s="10" t="s">
        <v>1992</v>
      </c>
      <c r="B13368" s="10" t="s">
        <v>42</v>
      </c>
      <c r="C13368" s="10" t="s">
        <v>184</v>
      </c>
      <c r="D13368" s="10" t="s">
        <v>1993</v>
      </c>
      <c r="E13368" s="14">
        <v>0.92</v>
      </c>
      <c r="F13368" s="15">
        <f>ROUND(10.46,3)</f>
        <v>10.46</v>
      </c>
      <c r="G13368" s="12">
        <f t="shared" ref="G13368:G13378" si="2073">ROUND(E13368*F13368,2)</f>
        <v>9.62</v>
      </c>
    </row>
    <row r="13369" ht="39.75" customHeight="1">
      <c r="A13369" s="10" t="s">
        <v>1994</v>
      </c>
      <c r="B13369" s="10" t="s">
        <v>42</v>
      </c>
      <c r="C13369" s="10" t="s">
        <v>184</v>
      </c>
      <c r="D13369" s="10" t="s">
        <v>1995</v>
      </c>
      <c r="E13369" s="14">
        <v>0.34</v>
      </c>
      <c r="F13369" s="15">
        <f>ROUND(15.2,3)</f>
        <v>15.2</v>
      </c>
      <c r="G13369" s="12">
        <f t="shared" si="2073"/>
        <v>5.17</v>
      </c>
    </row>
    <row r="13370" ht="30.0" customHeight="1">
      <c r="A13370" s="10" t="s">
        <v>1227</v>
      </c>
      <c r="B13370" s="10" t="s">
        <v>42</v>
      </c>
      <c r="C13370" s="10" t="s">
        <v>226</v>
      </c>
      <c r="D13370" s="10" t="s">
        <v>1228</v>
      </c>
      <c r="E13370" s="14">
        <v>0.022</v>
      </c>
      <c r="F13370" s="15">
        <f>ROUND(27.5,3)</f>
        <v>27.5</v>
      </c>
      <c r="G13370" s="12">
        <f t="shared" si="2073"/>
        <v>0.61</v>
      </c>
    </row>
    <row r="13371" ht="39.75" customHeight="1">
      <c r="A13371" s="10" t="s">
        <v>1349</v>
      </c>
      <c r="B13371" s="10" t="s">
        <v>42</v>
      </c>
      <c r="C13371" s="10" t="s">
        <v>231</v>
      </c>
      <c r="D13371" s="10" t="s">
        <v>1350</v>
      </c>
      <c r="E13371" s="14">
        <v>0.12</v>
      </c>
      <c r="F13371" s="15">
        <f>ROUND(4.05,3)</f>
        <v>4.05</v>
      </c>
      <c r="G13371" s="12">
        <f t="shared" si="2073"/>
        <v>0.49</v>
      </c>
    </row>
    <row r="13372" ht="39.75" customHeight="1">
      <c r="A13372" s="10" t="s">
        <v>1315</v>
      </c>
      <c r="B13372" s="10" t="s">
        <v>42</v>
      </c>
      <c r="C13372" s="10" t="s">
        <v>231</v>
      </c>
      <c r="D13372" s="10" t="s">
        <v>1316</v>
      </c>
      <c r="E13372" s="14">
        <v>0.24</v>
      </c>
      <c r="F13372" s="15">
        <f>ROUND(2.63,3)</f>
        <v>2.63</v>
      </c>
      <c r="G13372" s="12">
        <f t="shared" si="2073"/>
        <v>0.63</v>
      </c>
    </row>
    <row r="13373" ht="39.75" customHeight="1">
      <c r="A13373" s="10" t="s">
        <v>1996</v>
      </c>
      <c r="B13373" s="10" t="s">
        <v>42</v>
      </c>
      <c r="C13373" s="10" t="s">
        <v>1997</v>
      </c>
      <c r="D13373" s="10" t="s">
        <v>1998</v>
      </c>
      <c r="E13373" s="14">
        <v>0.1237</v>
      </c>
      <c r="F13373" s="15">
        <f>ROUND(5.04,3)</f>
        <v>5.04</v>
      </c>
      <c r="G13373" s="12">
        <f t="shared" si="2073"/>
        <v>0.62</v>
      </c>
    </row>
    <row r="13374" ht="21.0" customHeight="1">
      <c r="A13374" s="10" t="s">
        <v>22</v>
      </c>
      <c r="B13374" s="10" t="s">
        <v>18</v>
      </c>
      <c r="C13374" s="10" t="s">
        <v>23</v>
      </c>
      <c r="D13374" s="10" t="s">
        <v>24</v>
      </c>
      <c r="E13374" s="14">
        <v>0.8</v>
      </c>
      <c r="F13374" s="15">
        <f>F13378</f>
        <v>43.8</v>
      </c>
      <c r="G13374" s="12">
        <f t="shared" si="2073"/>
        <v>35.04</v>
      </c>
    </row>
    <row r="13375" ht="24.0" customHeight="1">
      <c r="A13375" s="10" t="s">
        <v>25</v>
      </c>
      <c r="B13375" s="10" t="s">
        <v>26</v>
      </c>
      <c r="C13375" s="10" t="s">
        <v>23</v>
      </c>
      <c r="D13375" s="10" t="s">
        <v>27</v>
      </c>
      <c r="E13375" s="14">
        <v>1.0</v>
      </c>
      <c r="F13375" s="15">
        <f>ROUND(21,3)</f>
        <v>21</v>
      </c>
      <c r="G13375" s="12">
        <f t="shared" si="2073"/>
        <v>21</v>
      </c>
    </row>
    <row r="13376" ht="24.0" customHeight="1">
      <c r="A13376" s="10" t="s">
        <v>28</v>
      </c>
      <c r="B13376" s="10" t="s">
        <v>26</v>
      </c>
      <c r="C13376" s="10" t="s">
        <v>23</v>
      </c>
      <c r="D13376" s="10" t="s">
        <v>29</v>
      </c>
      <c r="E13376" s="14">
        <v>1.0</v>
      </c>
      <c r="F13376" s="15">
        <f t="shared" ref="F13376:F13377" si="2074">ROUND(19,3)</f>
        <v>19</v>
      </c>
      <c r="G13376" s="12">
        <f t="shared" si="2073"/>
        <v>19</v>
      </c>
    </row>
    <row r="13377" ht="24.0" customHeight="1">
      <c r="A13377" s="10" t="s">
        <v>30</v>
      </c>
      <c r="B13377" s="10" t="s">
        <v>26</v>
      </c>
      <c r="C13377" s="10" t="s">
        <v>23</v>
      </c>
      <c r="D13377" s="10" t="s">
        <v>31</v>
      </c>
      <c r="E13377" s="14">
        <v>0.2</v>
      </c>
      <c r="F13377" s="15">
        <f t="shared" si="2074"/>
        <v>19</v>
      </c>
      <c r="G13377" s="12">
        <f t="shared" si="2073"/>
        <v>3.8</v>
      </c>
    </row>
    <row r="13378" ht="15.0" customHeight="1">
      <c r="A13378" s="11"/>
      <c r="B13378" s="11"/>
      <c r="C13378" s="11"/>
      <c r="D13378" s="10" t="s">
        <v>22</v>
      </c>
      <c r="E13378" s="14">
        <v>0.8</v>
      </c>
      <c r="F13378" s="15">
        <f>ROUND((G13375+G13376+G13377),3)</f>
        <v>43.8</v>
      </c>
      <c r="G13378" s="12">
        <f t="shared" si="2073"/>
        <v>35.04</v>
      </c>
    </row>
    <row r="13379" ht="15.0" customHeight="1">
      <c r="A13379" s="10" t="s">
        <v>32</v>
      </c>
      <c r="B13379" s="10"/>
      <c r="C13379" s="10" t="s">
        <v>33</v>
      </c>
      <c r="D13379" s="10" t="s">
        <v>34</v>
      </c>
      <c r="E13379" s="14">
        <v>3.0</v>
      </c>
      <c r="F13379" s="15">
        <f>ROUND(35.04,3)</f>
        <v>35.04</v>
      </c>
      <c r="G13379" s="12">
        <f>ROUND((E13379*F13379)/100,2)</f>
        <v>1.05</v>
      </c>
    </row>
    <row r="13380" ht="15.0" customHeight="1">
      <c r="A13380" s="16"/>
      <c r="B13380" s="16"/>
      <c r="C13380" s="16"/>
      <c r="D13380" s="17" t="s">
        <v>5673</v>
      </c>
      <c r="E13380" s="16"/>
      <c r="F13380" s="18">
        <f>ROUND((G13368+G13369+G13370+G13371+G13372+G13373+G13374+G13379)*(1+G2/100),2)</f>
        <v>53.23</v>
      </c>
      <c r="G13380" s="16"/>
    </row>
    <row r="13381" ht="21.0" customHeight="1">
      <c r="A13381" s="19" t="s">
        <v>5676</v>
      </c>
      <c r="B13381" s="20" t="s">
        <v>18</v>
      </c>
      <c r="C13381" s="20" t="s">
        <v>251</v>
      </c>
      <c r="D13381" s="20" t="s">
        <v>5677</v>
      </c>
      <c r="E13381" s="21"/>
      <c r="F13381" s="22">
        <f>F13392</f>
        <v>40.57</v>
      </c>
      <c r="G13381" s="21"/>
    </row>
    <row r="13382" ht="21.0" customHeight="1">
      <c r="A13382" s="11"/>
      <c r="B13382" s="11"/>
      <c r="C13382" s="11"/>
      <c r="D13382" s="10" t="s">
        <v>5678</v>
      </c>
    </row>
    <row r="13383" ht="30.0" customHeight="1">
      <c r="A13383" s="10" t="s">
        <v>1964</v>
      </c>
      <c r="B13383" s="10" t="s">
        <v>42</v>
      </c>
      <c r="C13383" s="10" t="s">
        <v>184</v>
      </c>
      <c r="D13383" s="10" t="s">
        <v>1965</v>
      </c>
      <c r="E13383" s="14">
        <v>1.0</v>
      </c>
      <c r="F13383" s="15">
        <f>ROUND(10.67,3)</f>
        <v>10.67</v>
      </c>
      <c r="G13383" s="12">
        <f t="shared" ref="G13383:G13390" si="2075">ROUND(E13383*F13383,2)</f>
        <v>10.67</v>
      </c>
    </row>
    <row r="13384" ht="30.0" customHeight="1">
      <c r="A13384" s="10" t="s">
        <v>1227</v>
      </c>
      <c r="B13384" s="10" t="s">
        <v>42</v>
      </c>
      <c r="C13384" s="10" t="s">
        <v>226</v>
      </c>
      <c r="D13384" s="10" t="s">
        <v>1228</v>
      </c>
      <c r="E13384" s="14">
        <v>0.022</v>
      </c>
      <c r="F13384" s="15">
        <f>ROUND(27.5,3)</f>
        <v>27.5</v>
      </c>
      <c r="G13384" s="12">
        <f t="shared" si="2075"/>
        <v>0.61</v>
      </c>
    </row>
    <row r="13385" ht="21.0" customHeight="1">
      <c r="A13385" s="10" t="s">
        <v>1857</v>
      </c>
      <c r="B13385" s="10" t="s">
        <v>42</v>
      </c>
      <c r="C13385" s="10" t="s">
        <v>231</v>
      </c>
      <c r="D13385" s="10" t="s">
        <v>1858</v>
      </c>
      <c r="E13385" s="14">
        <v>0.4</v>
      </c>
      <c r="F13385" s="15">
        <f>ROUND(1.05,3)</f>
        <v>1.05</v>
      </c>
      <c r="G13385" s="12">
        <f t="shared" si="2075"/>
        <v>0.42</v>
      </c>
    </row>
    <row r="13386" ht="21.0" customHeight="1">
      <c r="A13386" s="10" t="s">
        <v>22</v>
      </c>
      <c r="B13386" s="10" t="s">
        <v>18</v>
      </c>
      <c r="C13386" s="10" t="s">
        <v>23</v>
      </c>
      <c r="D13386" s="10" t="s">
        <v>24</v>
      </c>
      <c r="E13386" s="14">
        <v>0.64</v>
      </c>
      <c r="F13386" s="15">
        <f>F13390</f>
        <v>43.8</v>
      </c>
      <c r="G13386" s="12">
        <f t="shared" si="2075"/>
        <v>28.03</v>
      </c>
    </row>
    <row r="13387" ht="24.0" customHeight="1">
      <c r="A13387" s="10" t="s">
        <v>25</v>
      </c>
      <c r="B13387" s="10" t="s">
        <v>26</v>
      </c>
      <c r="C13387" s="10" t="s">
        <v>23</v>
      </c>
      <c r="D13387" s="10" t="s">
        <v>27</v>
      </c>
      <c r="E13387" s="14">
        <v>1.0</v>
      </c>
      <c r="F13387" s="15">
        <f>ROUND(21,3)</f>
        <v>21</v>
      </c>
      <c r="G13387" s="12">
        <f t="shared" si="2075"/>
        <v>21</v>
      </c>
    </row>
    <row r="13388" ht="24.0" customHeight="1">
      <c r="A13388" s="10" t="s">
        <v>28</v>
      </c>
      <c r="B13388" s="10" t="s">
        <v>26</v>
      </c>
      <c r="C13388" s="10" t="s">
        <v>23</v>
      </c>
      <c r="D13388" s="10" t="s">
        <v>29</v>
      </c>
      <c r="E13388" s="14">
        <v>1.0</v>
      </c>
      <c r="F13388" s="15">
        <f t="shared" ref="F13388:F13389" si="2076">ROUND(19,3)</f>
        <v>19</v>
      </c>
      <c r="G13388" s="12">
        <f t="shared" si="2075"/>
        <v>19</v>
      </c>
    </row>
    <row r="13389" ht="24.0" customHeight="1">
      <c r="A13389" s="10" t="s">
        <v>30</v>
      </c>
      <c r="B13389" s="10" t="s">
        <v>26</v>
      </c>
      <c r="C13389" s="10" t="s">
        <v>23</v>
      </c>
      <c r="D13389" s="10" t="s">
        <v>31</v>
      </c>
      <c r="E13389" s="14">
        <v>0.2</v>
      </c>
      <c r="F13389" s="15">
        <f t="shared" si="2076"/>
        <v>19</v>
      </c>
      <c r="G13389" s="12">
        <f t="shared" si="2075"/>
        <v>3.8</v>
      </c>
    </row>
    <row r="13390" ht="15.0" customHeight="1">
      <c r="A13390" s="11"/>
      <c r="B13390" s="11"/>
      <c r="C13390" s="11"/>
      <c r="D13390" s="10" t="s">
        <v>22</v>
      </c>
      <c r="E13390" s="14">
        <v>0.64</v>
      </c>
      <c r="F13390" s="15">
        <f>ROUND((G13387+G13388+G13389),3)</f>
        <v>43.8</v>
      </c>
      <c r="G13390" s="12">
        <f t="shared" si="2075"/>
        <v>28.03</v>
      </c>
    </row>
    <row r="13391" ht="15.0" customHeight="1">
      <c r="A13391" s="10" t="s">
        <v>32</v>
      </c>
      <c r="B13391" s="10"/>
      <c r="C13391" s="10" t="s">
        <v>33</v>
      </c>
      <c r="D13391" s="10" t="s">
        <v>34</v>
      </c>
      <c r="E13391" s="14">
        <v>3.0</v>
      </c>
      <c r="F13391" s="15">
        <f>ROUND(28.03,3)</f>
        <v>28.03</v>
      </c>
      <c r="G13391" s="12">
        <f>ROUND((E13391*F13391)/100,2)</f>
        <v>0.84</v>
      </c>
    </row>
    <row r="13392" ht="15.0" customHeight="1">
      <c r="A13392" s="16"/>
      <c r="B13392" s="16"/>
      <c r="C13392" s="16"/>
      <c r="D13392" s="17" t="s">
        <v>5676</v>
      </c>
      <c r="E13392" s="16"/>
      <c r="F13392" s="18">
        <f>ROUND((G13383+G13384+G13385+G13386+G13391)*(1+G2/100),2)</f>
        <v>40.57</v>
      </c>
      <c r="G13392" s="16"/>
    </row>
    <row r="13393" ht="21.0" customHeight="1">
      <c r="A13393" s="19" t="s">
        <v>5679</v>
      </c>
      <c r="B13393" s="20" t="s">
        <v>18</v>
      </c>
      <c r="C13393" s="20" t="s">
        <v>251</v>
      </c>
      <c r="D13393" s="20" t="s">
        <v>5680</v>
      </c>
      <c r="E13393" s="21"/>
      <c r="F13393" s="22">
        <f>F13406</f>
        <v>131.69</v>
      </c>
      <c r="G13393" s="21"/>
    </row>
    <row r="13394" ht="168.75" customHeight="1">
      <c r="A13394" s="11"/>
      <c r="B13394" s="11"/>
      <c r="C13394" s="11"/>
      <c r="D13394" s="10" t="s">
        <v>5681</v>
      </c>
    </row>
    <row r="13395" ht="21.0" customHeight="1">
      <c r="A13395" s="10" t="s">
        <v>5682</v>
      </c>
      <c r="B13395" s="10" t="s">
        <v>42</v>
      </c>
      <c r="C13395" s="10" t="s">
        <v>5683</v>
      </c>
      <c r="D13395" s="10" t="s">
        <v>5684</v>
      </c>
      <c r="E13395" s="14">
        <v>0.714</v>
      </c>
      <c r="F13395" s="15">
        <f>ROUND(14.1,3)</f>
        <v>14.1</v>
      </c>
      <c r="G13395" s="12">
        <f t="shared" ref="G13395:G13404" si="2077">ROUND(E13395*F13395,2)</f>
        <v>10.07</v>
      </c>
    </row>
    <row r="13396" ht="30.0" customHeight="1">
      <c r="A13396" s="10" t="s">
        <v>1227</v>
      </c>
      <c r="B13396" s="10" t="s">
        <v>42</v>
      </c>
      <c r="C13396" s="10" t="s">
        <v>226</v>
      </c>
      <c r="D13396" s="10" t="s">
        <v>1228</v>
      </c>
      <c r="E13396" s="14">
        <v>0.02</v>
      </c>
      <c r="F13396" s="15">
        <f>ROUND(27.5,3)</f>
        <v>27.5</v>
      </c>
      <c r="G13396" s="12">
        <f t="shared" si="2077"/>
        <v>0.55</v>
      </c>
    </row>
    <row r="13397" ht="21.0" customHeight="1">
      <c r="A13397" s="10" t="s">
        <v>5685</v>
      </c>
      <c r="B13397" s="10" t="s">
        <v>42</v>
      </c>
      <c r="C13397" s="10" t="s">
        <v>5683</v>
      </c>
      <c r="D13397" s="10" t="s">
        <v>5686</v>
      </c>
      <c r="E13397" s="14">
        <v>1.3</v>
      </c>
      <c r="F13397" s="15">
        <f>ROUND(7.25,3)</f>
        <v>7.25</v>
      </c>
      <c r="G13397" s="12">
        <f t="shared" si="2077"/>
        <v>9.43</v>
      </c>
    </row>
    <row r="13398" ht="39.75" customHeight="1">
      <c r="A13398" s="10" t="s">
        <v>1315</v>
      </c>
      <c r="B13398" s="10" t="s">
        <v>42</v>
      </c>
      <c r="C13398" s="10" t="s">
        <v>231</v>
      </c>
      <c r="D13398" s="10" t="s">
        <v>1316</v>
      </c>
      <c r="E13398" s="14">
        <v>0.4</v>
      </c>
      <c r="F13398" s="15">
        <f>ROUND(2.63,3)</f>
        <v>2.63</v>
      </c>
      <c r="G13398" s="12">
        <f t="shared" si="2077"/>
        <v>1.05</v>
      </c>
    </row>
    <row r="13399" ht="21.0" customHeight="1">
      <c r="A13399" s="10" t="s">
        <v>5687</v>
      </c>
      <c r="B13399" s="10" t="s">
        <v>42</v>
      </c>
      <c r="C13399" s="10" t="s">
        <v>5683</v>
      </c>
      <c r="D13399" s="10" t="s">
        <v>5688</v>
      </c>
      <c r="E13399" s="14">
        <v>0.333</v>
      </c>
      <c r="F13399" s="15">
        <f>ROUND(23.2,3)</f>
        <v>23.2</v>
      </c>
      <c r="G13399" s="12">
        <f t="shared" si="2077"/>
        <v>7.73</v>
      </c>
    </row>
    <row r="13400" ht="21.0" customHeight="1">
      <c r="A13400" s="10" t="s">
        <v>22</v>
      </c>
      <c r="B13400" s="10" t="s">
        <v>18</v>
      </c>
      <c r="C13400" s="10" t="s">
        <v>23</v>
      </c>
      <c r="D13400" s="10" t="s">
        <v>24</v>
      </c>
      <c r="E13400" s="14">
        <v>2.28</v>
      </c>
      <c r="F13400" s="15">
        <f>F13404</f>
        <v>43.8</v>
      </c>
      <c r="G13400" s="12">
        <f t="shared" si="2077"/>
        <v>99.86</v>
      </c>
    </row>
    <row r="13401" ht="24.0" customHeight="1">
      <c r="A13401" s="10" t="s">
        <v>25</v>
      </c>
      <c r="B13401" s="10" t="s">
        <v>26</v>
      </c>
      <c r="C13401" s="10" t="s">
        <v>23</v>
      </c>
      <c r="D13401" s="10" t="s">
        <v>27</v>
      </c>
      <c r="E13401" s="14">
        <v>1.0</v>
      </c>
      <c r="F13401" s="15">
        <f>ROUND(21,3)</f>
        <v>21</v>
      </c>
      <c r="G13401" s="12">
        <f t="shared" si="2077"/>
        <v>21</v>
      </c>
    </row>
    <row r="13402" ht="24.0" customHeight="1">
      <c r="A13402" s="10" t="s">
        <v>28</v>
      </c>
      <c r="B13402" s="10" t="s">
        <v>26</v>
      </c>
      <c r="C13402" s="10" t="s">
        <v>23</v>
      </c>
      <c r="D13402" s="10" t="s">
        <v>29</v>
      </c>
      <c r="E13402" s="14">
        <v>1.0</v>
      </c>
      <c r="F13402" s="15">
        <f t="shared" ref="F13402:F13403" si="2078">ROUND(19,3)</f>
        <v>19</v>
      </c>
      <c r="G13402" s="12">
        <f t="shared" si="2077"/>
        <v>19</v>
      </c>
    </row>
    <row r="13403" ht="24.0" customHeight="1">
      <c r="A13403" s="10" t="s">
        <v>30</v>
      </c>
      <c r="B13403" s="10" t="s">
        <v>26</v>
      </c>
      <c r="C13403" s="10" t="s">
        <v>23</v>
      </c>
      <c r="D13403" s="10" t="s">
        <v>31</v>
      </c>
      <c r="E13403" s="14">
        <v>0.2</v>
      </c>
      <c r="F13403" s="15">
        <f t="shared" si="2078"/>
        <v>19</v>
      </c>
      <c r="G13403" s="12">
        <f t="shared" si="2077"/>
        <v>3.8</v>
      </c>
    </row>
    <row r="13404" ht="15.0" customHeight="1">
      <c r="A13404" s="11"/>
      <c r="B13404" s="11"/>
      <c r="C13404" s="11"/>
      <c r="D13404" s="10" t="s">
        <v>22</v>
      </c>
      <c r="E13404" s="14">
        <v>2.28</v>
      </c>
      <c r="F13404" s="15">
        <f>ROUND((G13401+G13402+G13403),3)</f>
        <v>43.8</v>
      </c>
      <c r="G13404" s="12">
        <f t="shared" si="2077"/>
        <v>99.86</v>
      </c>
    </row>
    <row r="13405" ht="15.0" customHeight="1">
      <c r="A13405" s="10" t="s">
        <v>32</v>
      </c>
      <c r="B13405" s="10"/>
      <c r="C13405" s="10" t="s">
        <v>33</v>
      </c>
      <c r="D13405" s="10" t="s">
        <v>34</v>
      </c>
      <c r="E13405" s="14">
        <v>3.0</v>
      </c>
      <c r="F13405" s="15">
        <f>ROUND(99.86,3)</f>
        <v>99.86</v>
      </c>
      <c r="G13405" s="12">
        <f>ROUND((E13405*F13405)/100,2)</f>
        <v>3</v>
      </c>
    </row>
    <row r="13406" ht="15.0" customHeight="1">
      <c r="A13406" s="16"/>
      <c r="B13406" s="16"/>
      <c r="C13406" s="16"/>
      <c r="D13406" s="17" t="s">
        <v>5679</v>
      </c>
      <c r="E13406" s="16"/>
      <c r="F13406" s="18">
        <f>ROUND((G13395+G13396+G13397+G13398+G13399+G13400+G13405)*(1+G2/100),2)</f>
        <v>131.69</v>
      </c>
      <c r="G13406" s="16"/>
    </row>
    <row r="13407" ht="21.0" customHeight="1">
      <c r="A13407" s="19" t="s">
        <v>5689</v>
      </c>
      <c r="B13407" s="20" t="s">
        <v>18</v>
      </c>
      <c r="C13407" s="20" t="s">
        <v>251</v>
      </c>
      <c r="D13407" s="20" t="s">
        <v>5690</v>
      </c>
      <c r="E13407" s="21"/>
      <c r="F13407" s="22">
        <f>F13417</f>
        <v>42.98</v>
      </c>
      <c r="G13407" s="21"/>
    </row>
    <row r="13408" ht="21.0" customHeight="1">
      <c r="A13408" s="11"/>
      <c r="B13408" s="11"/>
      <c r="C13408" s="11"/>
      <c r="D13408" s="10" t="s">
        <v>5691</v>
      </c>
    </row>
    <row r="13409" ht="30.0" customHeight="1">
      <c r="A13409" s="10" t="s">
        <v>5692</v>
      </c>
      <c r="B13409" s="10" t="s">
        <v>42</v>
      </c>
      <c r="C13409" s="10" t="s">
        <v>184</v>
      </c>
      <c r="D13409" s="10" t="s">
        <v>5693</v>
      </c>
      <c r="E13409" s="14">
        <v>1.15</v>
      </c>
      <c r="F13409" s="15">
        <f>ROUND(15.27,3)</f>
        <v>15.27</v>
      </c>
      <c r="G13409" s="12">
        <f t="shared" ref="G13409:G13415" si="2079">ROUND(E13409*F13409,2)</f>
        <v>17.56</v>
      </c>
    </row>
    <row r="13410" ht="30.0" customHeight="1">
      <c r="A13410" s="10" t="s">
        <v>1227</v>
      </c>
      <c r="B13410" s="10" t="s">
        <v>42</v>
      </c>
      <c r="C13410" s="10" t="s">
        <v>226</v>
      </c>
      <c r="D13410" s="10" t="s">
        <v>1228</v>
      </c>
      <c r="E13410" s="14">
        <v>0.022</v>
      </c>
      <c r="F13410" s="15">
        <f>ROUND(27.5,3)</f>
        <v>27.5</v>
      </c>
      <c r="G13410" s="12">
        <f t="shared" si="2079"/>
        <v>0.61</v>
      </c>
    </row>
    <row r="13411" ht="21.0" customHeight="1">
      <c r="A13411" s="10" t="s">
        <v>22</v>
      </c>
      <c r="B13411" s="10" t="s">
        <v>18</v>
      </c>
      <c r="C13411" s="10" t="s">
        <v>23</v>
      </c>
      <c r="D13411" s="10" t="s">
        <v>24</v>
      </c>
      <c r="E13411" s="14">
        <v>0.55</v>
      </c>
      <c r="F13411" s="15">
        <f>F13415</f>
        <v>43.8</v>
      </c>
      <c r="G13411" s="12">
        <f t="shared" si="2079"/>
        <v>24.09</v>
      </c>
    </row>
    <row r="13412" ht="24.0" customHeight="1">
      <c r="A13412" s="10" t="s">
        <v>25</v>
      </c>
      <c r="B13412" s="10" t="s">
        <v>26</v>
      </c>
      <c r="C13412" s="10" t="s">
        <v>23</v>
      </c>
      <c r="D13412" s="10" t="s">
        <v>27</v>
      </c>
      <c r="E13412" s="14">
        <v>1.0</v>
      </c>
      <c r="F13412" s="15">
        <f>ROUND(21,3)</f>
        <v>21</v>
      </c>
      <c r="G13412" s="12">
        <f t="shared" si="2079"/>
        <v>21</v>
      </c>
    </row>
    <row r="13413" ht="24.0" customHeight="1">
      <c r="A13413" s="10" t="s">
        <v>28</v>
      </c>
      <c r="B13413" s="10" t="s">
        <v>26</v>
      </c>
      <c r="C13413" s="10" t="s">
        <v>23</v>
      </c>
      <c r="D13413" s="10" t="s">
        <v>29</v>
      </c>
      <c r="E13413" s="14">
        <v>1.0</v>
      </c>
      <c r="F13413" s="15">
        <f t="shared" ref="F13413:F13414" si="2080">ROUND(19,3)</f>
        <v>19</v>
      </c>
      <c r="G13413" s="12">
        <f t="shared" si="2079"/>
        <v>19</v>
      </c>
    </row>
    <row r="13414" ht="24.0" customHeight="1">
      <c r="A13414" s="10" t="s">
        <v>30</v>
      </c>
      <c r="B13414" s="10" t="s">
        <v>26</v>
      </c>
      <c r="C13414" s="10" t="s">
        <v>23</v>
      </c>
      <c r="D13414" s="10" t="s">
        <v>31</v>
      </c>
      <c r="E13414" s="14">
        <v>0.2</v>
      </c>
      <c r="F13414" s="15">
        <f t="shared" si="2080"/>
        <v>19</v>
      </c>
      <c r="G13414" s="12">
        <f t="shared" si="2079"/>
        <v>3.8</v>
      </c>
    </row>
    <row r="13415" ht="15.0" customHeight="1">
      <c r="A13415" s="11"/>
      <c r="B13415" s="11"/>
      <c r="C13415" s="11"/>
      <c r="D13415" s="10" t="s">
        <v>22</v>
      </c>
      <c r="E13415" s="14">
        <v>0.55</v>
      </c>
      <c r="F13415" s="15">
        <f>ROUND((G13412+G13413+G13414),3)</f>
        <v>43.8</v>
      </c>
      <c r="G13415" s="12">
        <f t="shared" si="2079"/>
        <v>24.09</v>
      </c>
    </row>
    <row r="13416" ht="15.0" customHeight="1">
      <c r="A13416" s="10" t="s">
        <v>32</v>
      </c>
      <c r="B13416" s="10"/>
      <c r="C13416" s="10" t="s">
        <v>33</v>
      </c>
      <c r="D13416" s="10" t="s">
        <v>34</v>
      </c>
      <c r="E13416" s="14">
        <v>3.0</v>
      </c>
      <c r="F13416" s="15">
        <f>ROUND(24.09,3)</f>
        <v>24.09</v>
      </c>
      <c r="G13416" s="12">
        <f>ROUND((E13416*F13416)/100,2)</f>
        <v>0.72</v>
      </c>
    </row>
    <row r="13417" ht="15.0" customHeight="1">
      <c r="A13417" s="16"/>
      <c r="B13417" s="16"/>
      <c r="C13417" s="16"/>
      <c r="D13417" s="17" t="s">
        <v>5689</v>
      </c>
      <c r="E13417" s="16"/>
      <c r="F13417" s="18">
        <f>ROUND((G13409+G13410+G13411+G13416)*(1+G2/100),2)</f>
        <v>42.98</v>
      </c>
      <c r="G13417" s="16"/>
    </row>
    <row r="13418" ht="39.75" customHeight="1">
      <c r="A13418" s="19" t="s">
        <v>5694</v>
      </c>
      <c r="B13418" s="20" t="s">
        <v>18</v>
      </c>
      <c r="C13418" s="20" t="s">
        <v>321</v>
      </c>
      <c r="D13418" s="20" t="s">
        <v>5695</v>
      </c>
      <c r="E13418" s="21"/>
      <c r="F13418" s="22">
        <f>F13429</f>
        <v>11.54</v>
      </c>
      <c r="G13418" s="21"/>
    </row>
    <row r="13419" ht="21.0" customHeight="1">
      <c r="A13419" s="11"/>
      <c r="B13419" s="11"/>
      <c r="C13419" s="11"/>
      <c r="D13419" s="10" t="s">
        <v>5696</v>
      </c>
    </row>
    <row r="13420" ht="39.75" customHeight="1">
      <c r="A13420" s="10" t="s">
        <v>5697</v>
      </c>
      <c r="B13420" s="10" t="s">
        <v>42</v>
      </c>
      <c r="C13420" s="10" t="s">
        <v>43</v>
      </c>
      <c r="D13420" s="10" t="s">
        <v>5698</v>
      </c>
      <c r="E13420" s="14">
        <v>0.011</v>
      </c>
      <c r="F13420" s="15">
        <f>ROUND(33.52,3)</f>
        <v>33.52</v>
      </c>
      <c r="G13420" s="12">
        <f t="shared" ref="G13420:G13427" si="2081">ROUND(E13420*F13420,2)</f>
        <v>0.37</v>
      </c>
    </row>
    <row r="13421" ht="30.0" customHeight="1">
      <c r="A13421" s="10" t="s">
        <v>1964</v>
      </c>
      <c r="B13421" s="10" t="s">
        <v>42</v>
      </c>
      <c r="C13421" s="10" t="s">
        <v>184</v>
      </c>
      <c r="D13421" s="10" t="s">
        <v>1965</v>
      </c>
      <c r="E13421" s="14">
        <v>0.054</v>
      </c>
      <c r="F13421" s="15">
        <f>ROUND(10.67,3)</f>
        <v>10.67</v>
      </c>
      <c r="G13421" s="12">
        <f t="shared" si="2081"/>
        <v>0.58</v>
      </c>
    </row>
    <row r="13422" ht="30.0" customHeight="1">
      <c r="A13422" s="10" t="s">
        <v>1227</v>
      </c>
      <c r="B13422" s="10" t="s">
        <v>42</v>
      </c>
      <c r="C13422" s="10" t="s">
        <v>226</v>
      </c>
      <c r="D13422" s="10" t="s">
        <v>1228</v>
      </c>
      <c r="E13422" s="14">
        <v>0.002</v>
      </c>
      <c r="F13422" s="15">
        <f>ROUND(27.5,3)</f>
        <v>27.5</v>
      </c>
      <c r="G13422" s="12">
        <f t="shared" si="2081"/>
        <v>0.06</v>
      </c>
    </row>
    <row r="13423" ht="21.0" customHeight="1">
      <c r="A13423" s="10" t="s">
        <v>22</v>
      </c>
      <c r="B13423" s="10" t="s">
        <v>18</v>
      </c>
      <c r="C13423" s="10" t="s">
        <v>23</v>
      </c>
      <c r="D13423" s="10" t="s">
        <v>24</v>
      </c>
      <c r="E13423" s="14">
        <v>0.2333</v>
      </c>
      <c r="F13423" s="15">
        <f>F13427</f>
        <v>43.8</v>
      </c>
      <c r="G13423" s="12">
        <f t="shared" si="2081"/>
        <v>10.22</v>
      </c>
    </row>
    <row r="13424" ht="24.0" customHeight="1">
      <c r="A13424" s="10" t="s">
        <v>25</v>
      </c>
      <c r="B13424" s="10" t="s">
        <v>26</v>
      </c>
      <c r="C13424" s="10" t="s">
        <v>23</v>
      </c>
      <c r="D13424" s="10" t="s">
        <v>27</v>
      </c>
      <c r="E13424" s="14">
        <v>1.0</v>
      </c>
      <c r="F13424" s="15">
        <f>ROUND(21,3)</f>
        <v>21</v>
      </c>
      <c r="G13424" s="12">
        <f t="shared" si="2081"/>
        <v>21</v>
      </c>
    </row>
    <row r="13425" ht="24.0" customHeight="1">
      <c r="A13425" s="10" t="s">
        <v>28</v>
      </c>
      <c r="B13425" s="10" t="s">
        <v>26</v>
      </c>
      <c r="C13425" s="10" t="s">
        <v>23</v>
      </c>
      <c r="D13425" s="10" t="s">
        <v>29</v>
      </c>
      <c r="E13425" s="14">
        <v>1.0</v>
      </c>
      <c r="F13425" s="15">
        <f t="shared" ref="F13425:F13426" si="2082">ROUND(19,3)</f>
        <v>19</v>
      </c>
      <c r="G13425" s="12">
        <f t="shared" si="2081"/>
        <v>19</v>
      </c>
    </row>
    <row r="13426" ht="24.0" customHeight="1">
      <c r="A13426" s="10" t="s">
        <v>30</v>
      </c>
      <c r="B13426" s="10" t="s">
        <v>26</v>
      </c>
      <c r="C13426" s="10" t="s">
        <v>23</v>
      </c>
      <c r="D13426" s="10" t="s">
        <v>31</v>
      </c>
      <c r="E13426" s="14">
        <v>0.2</v>
      </c>
      <c r="F13426" s="15">
        <f t="shared" si="2082"/>
        <v>19</v>
      </c>
      <c r="G13426" s="12">
        <f t="shared" si="2081"/>
        <v>3.8</v>
      </c>
    </row>
    <row r="13427" ht="15.0" customHeight="1">
      <c r="A13427" s="11"/>
      <c r="B13427" s="11"/>
      <c r="C13427" s="11"/>
      <c r="D13427" s="10" t="s">
        <v>22</v>
      </c>
      <c r="E13427" s="14">
        <v>0.2333</v>
      </c>
      <c r="F13427" s="15">
        <f>ROUND((G13424+G13425+G13426),3)</f>
        <v>43.8</v>
      </c>
      <c r="G13427" s="12">
        <f t="shared" si="2081"/>
        <v>10.22</v>
      </c>
    </row>
    <row r="13428" ht="15.0" customHeight="1">
      <c r="A13428" s="10" t="s">
        <v>32</v>
      </c>
      <c r="B13428" s="10"/>
      <c r="C13428" s="10" t="s">
        <v>33</v>
      </c>
      <c r="D13428" s="10" t="s">
        <v>34</v>
      </c>
      <c r="E13428" s="14">
        <v>3.0</v>
      </c>
      <c r="F13428" s="15">
        <f>ROUND(10.22,3)</f>
        <v>10.22</v>
      </c>
      <c r="G13428" s="12">
        <f>ROUND((E13428*F13428)/100,2)</f>
        <v>0.31</v>
      </c>
    </row>
    <row r="13429" ht="15.0" customHeight="1">
      <c r="A13429" s="16"/>
      <c r="B13429" s="16"/>
      <c r="C13429" s="16"/>
      <c r="D13429" s="17" t="s">
        <v>5694</v>
      </c>
      <c r="E13429" s="16"/>
      <c r="F13429" s="18">
        <f>ROUND((G13420+G13421+G13422+G13423+G13428)*(1+G2/100),2)</f>
        <v>11.54</v>
      </c>
      <c r="G13429" s="16"/>
    </row>
    <row r="13430" ht="57.75" customHeight="1">
      <c r="A13430" s="19" t="s">
        <v>1989</v>
      </c>
      <c r="B13430" s="20" t="s">
        <v>18</v>
      </c>
      <c r="C13430" s="20" t="s">
        <v>19</v>
      </c>
      <c r="D13430" s="20" t="s">
        <v>1990</v>
      </c>
      <c r="E13430" s="21"/>
      <c r="F13430" s="22">
        <f>F13444</f>
        <v>35.42</v>
      </c>
      <c r="G13430" s="21"/>
    </row>
    <row r="13431" ht="21.0" customHeight="1">
      <c r="A13431" s="11"/>
      <c r="B13431" s="11"/>
      <c r="C13431" s="11"/>
      <c r="D13431" s="10" t="s">
        <v>1991</v>
      </c>
    </row>
    <row r="13432" ht="39.75" customHeight="1">
      <c r="A13432" s="10" t="s">
        <v>1992</v>
      </c>
      <c r="B13432" s="10" t="s">
        <v>42</v>
      </c>
      <c r="C13432" s="10" t="s">
        <v>184</v>
      </c>
      <c r="D13432" s="10" t="s">
        <v>1993</v>
      </c>
      <c r="E13432" s="14">
        <v>0.64</v>
      </c>
      <c r="F13432" s="15">
        <f>ROUND(10.46,3)</f>
        <v>10.46</v>
      </c>
      <c r="G13432" s="12">
        <f t="shared" ref="G13432:G13442" si="2083">ROUND(E13432*F13432,2)</f>
        <v>6.69</v>
      </c>
    </row>
    <row r="13433" ht="39.75" customHeight="1">
      <c r="A13433" s="10" t="s">
        <v>1994</v>
      </c>
      <c r="B13433" s="10" t="s">
        <v>42</v>
      </c>
      <c r="C13433" s="10" t="s">
        <v>184</v>
      </c>
      <c r="D13433" s="10" t="s">
        <v>1995</v>
      </c>
      <c r="E13433" s="14">
        <v>0.34</v>
      </c>
      <c r="F13433" s="15">
        <f>ROUND(15.2,3)</f>
        <v>15.2</v>
      </c>
      <c r="G13433" s="12">
        <f t="shared" si="2083"/>
        <v>5.17</v>
      </c>
    </row>
    <row r="13434" ht="30.0" customHeight="1">
      <c r="A13434" s="10" t="s">
        <v>1227</v>
      </c>
      <c r="B13434" s="10" t="s">
        <v>42</v>
      </c>
      <c r="C13434" s="10" t="s">
        <v>226</v>
      </c>
      <c r="D13434" s="10" t="s">
        <v>1228</v>
      </c>
      <c r="E13434" s="14">
        <v>0.022</v>
      </c>
      <c r="F13434" s="15">
        <f>ROUND(27.5,3)</f>
        <v>27.5</v>
      </c>
      <c r="G13434" s="12">
        <f t="shared" si="2083"/>
        <v>0.61</v>
      </c>
    </row>
    <row r="13435" ht="39.75" customHeight="1">
      <c r="A13435" s="10" t="s">
        <v>1349</v>
      </c>
      <c r="B13435" s="10" t="s">
        <v>42</v>
      </c>
      <c r="C13435" s="10" t="s">
        <v>231</v>
      </c>
      <c r="D13435" s="10" t="s">
        <v>1350</v>
      </c>
      <c r="E13435" s="14">
        <v>0.12</v>
      </c>
      <c r="F13435" s="15">
        <f>ROUND(4.05,3)</f>
        <v>4.05</v>
      </c>
      <c r="G13435" s="12">
        <f t="shared" si="2083"/>
        <v>0.49</v>
      </c>
    </row>
    <row r="13436" ht="39.75" customHeight="1">
      <c r="A13436" s="10" t="s">
        <v>1315</v>
      </c>
      <c r="B13436" s="10" t="s">
        <v>42</v>
      </c>
      <c r="C13436" s="10" t="s">
        <v>231</v>
      </c>
      <c r="D13436" s="10" t="s">
        <v>1316</v>
      </c>
      <c r="E13436" s="14">
        <v>0.24</v>
      </c>
      <c r="F13436" s="15">
        <f>ROUND(2.63,3)</f>
        <v>2.63</v>
      </c>
      <c r="G13436" s="12">
        <f t="shared" si="2083"/>
        <v>0.63</v>
      </c>
    </row>
    <row r="13437" ht="39.75" customHeight="1">
      <c r="A13437" s="10" t="s">
        <v>1996</v>
      </c>
      <c r="B13437" s="10" t="s">
        <v>42</v>
      </c>
      <c r="C13437" s="10" t="s">
        <v>1997</v>
      </c>
      <c r="D13437" s="10" t="s">
        <v>1998</v>
      </c>
      <c r="E13437" s="14">
        <v>0.1237</v>
      </c>
      <c r="F13437" s="15">
        <f>ROUND(5.04,3)</f>
        <v>5.04</v>
      </c>
      <c r="G13437" s="12">
        <f t="shared" si="2083"/>
        <v>0.62</v>
      </c>
    </row>
    <row r="13438" ht="21.0" customHeight="1">
      <c r="A13438" s="10" t="s">
        <v>22</v>
      </c>
      <c r="B13438" s="10" t="s">
        <v>18</v>
      </c>
      <c r="C13438" s="10" t="s">
        <v>23</v>
      </c>
      <c r="D13438" s="10" t="s">
        <v>24</v>
      </c>
      <c r="E13438" s="14">
        <v>0.47</v>
      </c>
      <c r="F13438" s="15">
        <f>F13442</f>
        <v>43.8</v>
      </c>
      <c r="G13438" s="12">
        <f t="shared" si="2083"/>
        <v>20.59</v>
      </c>
    </row>
    <row r="13439" ht="24.0" customHeight="1">
      <c r="A13439" s="10" t="s">
        <v>25</v>
      </c>
      <c r="B13439" s="10" t="s">
        <v>26</v>
      </c>
      <c r="C13439" s="10" t="s">
        <v>23</v>
      </c>
      <c r="D13439" s="10" t="s">
        <v>27</v>
      </c>
      <c r="E13439" s="14">
        <v>1.0</v>
      </c>
      <c r="F13439" s="15">
        <f>ROUND(21,3)</f>
        <v>21</v>
      </c>
      <c r="G13439" s="12">
        <f t="shared" si="2083"/>
        <v>21</v>
      </c>
    </row>
    <row r="13440" ht="24.0" customHeight="1">
      <c r="A13440" s="10" t="s">
        <v>28</v>
      </c>
      <c r="B13440" s="10" t="s">
        <v>26</v>
      </c>
      <c r="C13440" s="10" t="s">
        <v>23</v>
      </c>
      <c r="D13440" s="10" t="s">
        <v>29</v>
      </c>
      <c r="E13440" s="14">
        <v>1.0</v>
      </c>
      <c r="F13440" s="15">
        <f t="shared" ref="F13440:F13441" si="2084">ROUND(19,3)</f>
        <v>19</v>
      </c>
      <c r="G13440" s="12">
        <f t="shared" si="2083"/>
        <v>19</v>
      </c>
    </row>
    <row r="13441" ht="24.0" customHeight="1">
      <c r="A13441" s="10" t="s">
        <v>30</v>
      </c>
      <c r="B13441" s="10" t="s">
        <v>26</v>
      </c>
      <c r="C13441" s="10" t="s">
        <v>23</v>
      </c>
      <c r="D13441" s="10" t="s">
        <v>31</v>
      </c>
      <c r="E13441" s="14">
        <v>0.2</v>
      </c>
      <c r="F13441" s="15">
        <f t="shared" si="2084"/>
        <v>19</v>
      </c>
      <c r="G13441" s="12">
        <f t="shared" si="2083"/>
        <v>3.8</v>
      </c>
    </row>
    <row r="13442" ht="15.0" customHeight="1">
      <c r="A13442" s="11"/>
      <c r="B13442" s="11"/>
      <c r="C13442" s="11"/>
      <c r="D13442" s="10" t="s">
        <v>22</v>
      </c>
      <c r="E13442" s="14">
        <v>0.47</v>
      </c>
      <c r="F13442" s="15">
        <f>ROUND((G13439+G13440+G13441),3)</f>
        <v>43.8</v>
      </c>
      <c r="G13442" s="12">
        <f t="shared" si="2083"/>
        <v>20.59</v>
      </c>
    </row>
    <row r="13443" ht="15.0" customHeight="1">
      <c r="A13443" s="10" t="s">
        <v>32</v>
      </c>
      <c r="B13443" s="10"/>
      <c r="C13443" s="10" t="s">
        <v>33</v>
      </c>
      <c r="D13443" s="10" t="s">
        <v>34</v>
      </c>
      <c r="E13443" s="14">
        <v>3.0</v>
      </c>
      <c r="F13443" s="15">
        <f>ROUND(20.59,3)</f>
        <v>20.59</v>
      </c>
      <c r="G13443" s="12">
        <f>ROUND((E13443*F13443)/100,2)</f>
        <v>0.62</v>
      </c>
    </row>
    <row r="13444" ht="15.0" customHeight="1">
      <c r="A13444" s="16"/>
      <c r="B13444" s="16"/>
      <c r="C13444" s="16"/>
      <c r="D13444" s="17" t="s">
        <v>1989</v>
      </c>
      <c r="E13444" s="16"/>
      <c r="F13444" s="18">
        <f>ROUND((G13432+G13433+G13434+G13435+G13436+G13437+G13438+G13443)*(1+G2/100),2)</f>
        <v>35.42</v>
      </c>
      <c r="G13444" s="16"/>
    </row>
    <row r="13445" ht="34.5" customHeight="1">
      <c r="A13445" s="19" t="s">
        <v>2137</v>
      </c>
      <c r="B13445" s="20" t="s">
        <v>18</v>
      </c>
      <c r="C13445" s="20" t="s">
        <v>19</v>
      </c>
      <c r="D13445" s="20" t="s">
        <v>2138</v>
      </c>
      <c r="E13445" s="21"/>
      <c r="F13445" s="22">
        <f>F13456</f>
        <v>40.56</v>
      </c>
      <c r="G13445" s="21"/>
    </row>
    <row r="13446" ht="12.0" customHeight="1">
      <c r="A13446" s="11"/>
      <c r="B13446" s="11"/>
      <c r="C13446" s="11"/>
      <c r="D13446" s="10" t="s">
        <v>2139</v>
      </c>
    </row>
    <row r="13447" ht="30.0" customHeight="1">
      <c r="A13447" s="10" t="s">
        <v>2140</v>
      </c>
      <c r="B13447" s="10" t="s">
        <v>42</v>
      </c>
      <c r="C13447" s="10" t="s">
        <v>276</v>
      </c>
      <c r="D13447" s="10" t="s">
        <v>2141</v>
      </c>
      <c r="E13447" s="14">
        <v>0.0165</v>
      </c>
      <c r="F13447" s="15">
        <f>ROUND(143.22,3)</f>
        <v>143.22</v>
      </c>
      <c r="G13447" s="12">
        <f t="shared" ref="G13447:G13454" si="2085">ROUND(E13447*F13447,2)</f>
        <v>2.36</v>
      </c>
    </row>
    <row r="13448" ht="39.75" customHeight="1">
      <c r="A13448" s="10" t="s">
        <v>2142</v>
      </c>
      <c r="B13448" s="10" t="s">
        <v>42</v>
      </c>
      <c r="C13448" s="10" t="s">
        <v>184</v>
      </c>
      <c r="D13448" s="10" t="s">
        <v>2143</v>
      </c>
      <c r="E13448" s="14">
        <v>1.0</v>
      </c>
      <c r="F13448" s="15">
        <f>ROUND(6.8,3)</f>
        <v>6.8</v>
      </c>
      <c r="G13448" s="12">
        <f t="shared" si="2085"/>
        <v>6.8</v>
      </c>
    </row>
    <row r="13449" ht="39.75" customHeight="1">
      <c r="A13449" s="10" t="s">
        <v>2144</v>
      </c>
      <c r="B13449" s="10" t="s">
        <v>42</v>
      </c>
      <c r="C13449" s="10" t="s">
        <v>226</v>
      </c>
      <c r="D13449" s="10" t="s">
        <v>2145</v>
      </c>
      <c r="E13449" s="14">
        <v>0.02</v>
      </c>
      <c r="F13449" s="15">
        <f>ROUND(104.03,3)</f>
        <v>104.03</v>
      </c>
      <c r="G13449" s="12">
        <f t="shared" si="2085"/>
        <v>2.08</v>
      </c>
    </row>
    <row r="13450" ht="21.0" customHeight="1">
      <c r="A13450" s="10" t="s">
        <v>22</v>
      </c>
      <c r="B13450" s="10" t="s">
        <v>18</v>
      </c>
      <c r="C13450" s="10" t="s">
        <v>23</v>
      </c>
      <c r="D13450" s="10" t="s">
        <v>24</v>
      </c>
      <c r="E13450" s="14">
        <v>0.65</v>
      </c>
      <c r="F13450" s="15">
        <f>F13454</f>
        <v>43.8</v>
      </c>
      <c r="G13450" s="12">
        <f t="shared" si="2085"/>
        <v>28.47</v>
      </c>
    </row>
    <row r="13451" ht="24.0" customHeight="1">
      <c r="A13451" s="10" t="s">
        <v>25</v>
      </c>
      <c r="B13451" s="10" t="s">
        <v>26</v>
      </c>
      <c r="C13451" s="10" t="s">
        <v>23</v>
      </c>
      <c r="D13451" s="10" t="s">
        <v>27</v>
      </c>
      <c r="E13451" s="14">
        <v>1.0</v>
      </c>
      <c r="F13451" s="15">
        <f>ROUND(21,3)</f>
        <v>21</v>
      </c>
      <c r="G13451" s="12">
        <f t="shared" si="2085"/>
        <v>21</v>
      </c>
    </row>
    <row r="13452" ht="24.0" customHeight="1">
      <c r="A13452" s="10" t="s">
        <v>28</v>
      </c>
      <c r="B13452" s="10" t="s">
        <v>26</v>
      </c>
      <c r="C13452" s="10" t="s">
        <v>23</v>
      </c>
      <c r="D13452" s="10" t="s">
        <v>29</v>
      </c>
      <c r="E13452" s="14">
        <v>1.0</v>
      </c>
      <c r="F13452" s="15">
        <f t="shared" ref="F13452:F13453" si="2086">ROUND(19,3)</f>
        <v>19</v>
      </c>
      <c r="G13452" s="12">
        <f t="shared" si="2085"/>
        <v>19</v>
      </c>
    </row>
    <row r="13453" ht="24.0" customHeight="1">
      <c r="A13453" s="10" t="s">
        <v>30</v>
      </c>
      <c r="B13453" s="10" t="s">
        <v>26</v>
      </c>
      <c r="C13453" s="10" t="s">
        <v>23</v>
      </c>
      <c r="D13453" s="10" t="s">
        <v>31</v>
      </c>
      <c r="E13453" s="14">
        <v>0.2</v>
      </c>
      <c r="F13453" s="15">
        <f t="shared" si="2086"/>
        <v>19</v>
      </c>
      <c r="G13453" s="12">
        <f t="shared" si="2085"/>
        <v>3.8</v>
      </c>
    </row>
    <row r="13454" ht="15.0" customHeight="1">
      <c r="A13454" s="11"/>
      <c r="B13454" s="11"/>
      <c r="C13454" s="11"/>
      <c r="D13454" s="10" t="s">
        <v>22</v>
      </c>
      <c r="E13454" s="14">
        <v>0.65</v>
      </c>
      <c r="F13454" s="15">
        <f>ROUND((G13451+G13452+G13453),3)</f>
        <v>43.8</v>
      </c>
      <c r="G13454" s="12">
        <f t="shared" si="2085"/>
        <v>28.47</v>
      </c>
    </row>
    <row r="13455" ht="15.0" customHeight="1">
      <c r="A13455" s="10" t="s">
        <v>32</v>
      </c>
      <c r="B13455" s="10"/>
      <c r="C13455" s="10" t="s">
        <v>33</v>
      </c>
      <c r="D13455" s="10" t="s">
        <v>34</v>
      </c>
      <c r="E13455" s="14">
        <v>3.0</v>
      </c>
      <c r="F13455" s="15">
        <f>ROUND(28.47,3)</f>
        <v>28.47</v>
      </c>
      <c r="G13455" s="12">
        <f>ROUND((E13455*F13455)/100,2)</f>
        <v>0.85</v>
      </c>
    </row>
    <row r="13456" ht="24.75" customHeight="1">
      <c r="A13456" s="16"/>
      <c r="B13456" s="16"/>
      <c r="C13456" s="16"/>
      <c r="D13456" s="17" t="s">
        <v>2137</v>
      </c>
      <c r="E13456" s="16"/>
      <c r="F13456" s="18">
        <f>ROUND((G13447+G13448+G13449+G13450+G13455)*(1+G2/100),2)</f>
        <v>40.56</v>
      </c>
      <c r="G13456" s="16"/>
    </row>
    <row r="13457" ht="57.75" customHeight="1">
      <c r="A13457" s="19" t="s">
        <v>1989</v>
      </c>
      <c r="B13457" s="20" t="s">
        <v>18</v>
      </c>
      <c r="C13457" s="20" t="s">
        <v>19</v>
      </c>
      <c r="D13457" s="20" t="s">
        <v>1990</v>
      </c>
      <c r="E13457" s="21"/>
      <c r="F13457" s="22">
        <f>F13471</f>
        <v>35.42</v>
      </c>
      <c r="G13457" s="21"/>
    </row>
    <row r="13458" ht="21.0" customHeight="1">
      <c r="A13458" s="11"/>
      <c r="B13458" s="11"/>
      <c r="C13458" s="11"/>
      <c r="D13458" s="10" t="s">
        <v>1991</v>
      </c>
    </row>
    <row r="13459" ht="39.75" customHeight="1">
      <c r="A13459" s="10" t="s">
        <v>1992</v>
      </c>
      <c r="B13459" s="10" t="s">
        <v>42</v>
      </c>
      <c r="C13459" s="10" t="s">
        <v>184</v>
      </c>
      <c r="D13459" s="10" t="s">
        <v>1993</v>
      </c>
      <c r="E13459" s="14">
        <v>0.64</v>
      </c>
      <c r="F13459" s="15">
        <f>ROUND(10.46,3)</f>
        <v>10.46</v>
      </c>
      <c r="G13459" s="12">
        <f t="shared" ref="G13459:G13469" si="2087">ROUND(E13459*F13459,2)</f>
        <v>6.69</v>
      </c>
    </row>
    <row r="13460" ht="39.75" customHeight="1">
      <c r="A13460" s="10" t="s">
        <v>1994</v>
      </c>
      <c r="B13460" s="10" t="s">
        <v>42</v>
      </c>
      <c r="C13460" s="10" t="s">
        <v>184</v>
      </c>
      <c r="D13460" s="10" t="s">
        <v>1995</v>
      </c>
      <c r="E13460" s="14">
        <v>0.34</v>
      </c>
      <c r="F13460" s="15">
        <f>ROUND(15.2,3)</f>
        <v>15.2</v>
      </c>
      <c r="G13460" s="12">
        <f t="shared" si="2087"/>
        <v>5.17</v>
      </c>
    </row>
    <row r="13461" ht="30.0" customHeight="1">
      <c r="A13461" s="10" t="s">
        <v>1227</v>
      </c>
      <c r="B13461" s="10" t="s">
        <v>42</v>
      </c>
      <c r="C13461" s="10" t="s">
        <v>226</v>
      </c>
      <c r="D13461" s="10" t="s">
        <v>1228</v>
      </c>
      <c r="E13461" s="14">
        <v>0.022</v>
      </c>
      <c r="F13461" s="15">
        <f>ROUND(27.5,3)</f>
        <v>27.5</v>
      </c>
      <c r="G13461" s="12">
        <f t="shared" si="2087"/>
        <v>0.61</v>
      </c>
    </row>
    <row r="13462" ht="39.75" customHeight="1">
      <c r="A13462" s="10" t="s">
        <v>1349</v>
      </c>
      <c r="B13462" s="10" t="s">
        <v>42</v>
      </c>
      <c r="C13462" s="10" t="s">
        <v>231</v>
      </c>
      <c r="D13462" s="10" t="s">
        <v>1350</v>
      </c>
      <c r="E13462" s="14">
        <v>0.12</v>
      </c>
      <c r="F13462" s="15">
        <f>ROUND(4.05,3)</f>
        <v>4.05</v>
      </c>
      <c r="G13462" s="12">
        <f t="shared" si="2087"/>
        <v>0.49</v>
      </c>
    </row>
    <row r="13463" ht="39.75" customHeight="1">
      <c r="A13463" s="10" t="s">
        <v>1315</v>
      </c>
      <c r="B13463" s="10" t="s">
        <v>42</v>
      </c>
      <c r="C13463" s="10" t="s">
        <v>231</v>
      </c>
      <c r="D13463" s="10" t="s">
        <v>1316</v>
      </c>
      <c r="E13463" s="14">
        <v>0.24</v>
      </c>
      <c r="F13463" s="15">
        <f>ROUND(2.63,3)</f>
        <v>2.63</v>
      </c>
      <c r="G13463" s="12">
        <f t="shared" si="2087"/>
        <v>0.63</v>
      </c>
    </row>
    <row r="13464" ht="39.75" customHeight="1">
      <c r="A13464" s="10" t="s">
        <v>1996</v>
      </c>
      <c r="B13464" s="10" t="s">
        <v>42</v>
      </c>
      <c r="C13464" s="10" t="s">
        <v>1997</v>
      </c>
      <c r="D13464" s="10" t="s">
        <v>1998</v>
      </c>
      <c r="E13464" s="14">
        <v>0.1237</v>
      </c>
      <c r="F13464" s="15">
        <f>ROUND(5.04,3)</f>
        <v>5.04</v>
      </c>
      <c r="G13464" s="12">
        <f t="shared" si="2087"/>
        <v>0.62</v>
      </c>
    </row>
    <row r="13465" ht="21.0" customHeight="1">
      <c r="A13465" s="10" t="s">
        <v>22</v>
      </c>
      <c r="B13465" s="10" t="s">
        <v>18</v>
      </c>
      <c r="C13465" s="10" t="s">
        <v>23</v>
      </c>
      <c r="D13465" s="10" t="s">
        <v>24</v>
      </c>
      <c r="E13465" s="14">
        <v>0.47</v>
      </c>
      <c r="F13465" s="15">
        <f>F13469</f>
        <v>43.8</v>
      </c>
      <c r="G13465" s="12">
        <f t="shared" si="2087"/>
        <v>20.59</v>
      </c>
    </row>
    <row r="13466" ht="24.0" customHeight="1">
      <c r="A13466" s="10" t="s">
        <v>25</v>
      </c>
      <c r="B13466" s="10" t="s">
        <v>26</v>
      </c>
      <c r="C13466" s="10" t="s">
        <v>23</v>
      </c>
      <c r="D13466" s="10" t="s">
        <v>27</v>
      </c>
      <c r="E13466" s="14">
        <v>1.0</v>
      </c>
      <c r="F13466" s="15">
        <f>ROUND(21,3)</f>
        <v>21</v>
      </c>
      <c r="G13466" s="12">
        <f t="shared" si="2087"/>
        <v>21</v>
      </c>
    </row>
    <row r="13467" ht="24.0" customHeight="1">
      <c r="A13467" s="10" t="s">
        <v>28</v>
      </c>
      <c r="B13467" s="10" t="s">
        <v>26</v>
      </c>
      <c r="C13467" s="10" t="s">
        <v>23</v>
      </c>
      <c r="D13467" s="10" t="s">
        <v>29</v>
      </c>
      <c r="E13467" s="14">
        <v>1.0</v>
      </c>
      <c r="F13467" s="15">
        <f t="shared" ref="F13467:F13468" si="2088">ROUND(19,3)</f>
        <v>19</v>
      </c>
      <c r="G13467" s="12">
        <f t="shared" si="2087"/>
        <v>19</v>
      </c>
    </row>
    <row r="13468" ht="24.0" customHeight="1">
      <c r="A13468" s="10" t="s">
        <v>30</v>
      </c>
      <c r="B13468" s="10" t="s">
        <v>26</v>
      </c>
      <c r="C13468" s="10" t="s">
        <v>23</v>
      </c>
      <c r="D13468" s="10" t="s">
        <v>31</v>
      </c>
      <c r="E13468" s="14">
        <v>0.2</v>
      </c>
      <c r="F13468" s="15">
        <f t="shared" si="2088"/>
        <v>19</v>
      </c>
      <c r="G13468" s="12">
        <f t="shared" si="2087"/>
        <v>3.8</v>
      </c>
    </row>
    <row r="13469" ht="15.0" customHeight="1">
      <c r="A13469" s="11"/>
      <c r="B13469" s="11"/>
      <c r="C13469" s="11"/>
      <c r="D13469" s="10" t="s">
        <v>22</v>
      </c>
      <c r="E13469" s="14">
        <v>0.47</v>
      </c>
      <c r="F13469" s="15">
        <f>ROUND((G13466+G13467+G13468),3)</f>
        <v>43.8</v>
      </c>
      <c r="G13469" s="12">
        <f t="shared" si="2087"/>
        <v>20.59</v>
      </c>
    </row>
    <row r="13470" ht="15.0" customHeight="1">
      <c r="A13470" s="10" t="s">
        <v>32</v>
      </c>
      <c r="B13470" s="10"/>
      <c r="C13470" s="10" t="s">
        <v>33</v>
      </c>
      <c r="D13470" s="10" t="s">
        <v>34</v>
      </c>
      <c r="E13470" s="14">
        <v>3.0</v>
      </c>
      <c r="F13470" s="15">
        <f>ROUND(20.59,3)</f>
        <v>20.59</v>
      </c>
      <c r="G13470" s="12">
        <f>ROUND((E13470*F13470)/100,2)</f>
        <v>0.62</v>
      </c>
    </row>
    <row r="13471" ht="15.0" customHeight="1">
      <c r="A13471" s="16"/>
      <c r="B13471" s="16"/>
      <c r="C13471" s="16"/>
      <c r="D13471" s="17" t="s">
        <v>1989</v>
      </c>
      <c r="E13471" s="16"/>
      <c r="F13471" s="18">
        <f>ROUND((G13459+G13460+G13461+G13462+G13463+G13464+G13465+G13470)*(1+G2/100),2)</f>
        <v>35.42</v>
      </c>
      <c r="G13471" s="16"/>
    </row>
    <row r="13472" ht="30.0" customHeight="1">
      <c r="A13472" s="19" t="s">
        <v>5699</v>
      </c>
      <c r="B13472" s="20" t="s">
        <v>18</v>
      </c>
      <c r="C13472" s="20" t="s">
        <v>19</v>
      </c>
      <c r="D13472" s="20" t="s">
        <v>5700</v>
      </c>
      <c r="E13472" s="21"/>
      <c r="F13472" s="22">
        <f>F13482</f>
        <v>26.29</v>
      </c>
      <c r="G13472" s="21"/>
    </row>
    <row r="13473" ht="30.0" customHeight="1">
      <c r="A13473" s="11"/>
      <c r="B13473" s="11"/>
      <c r="C13473" s="11"/>
      <c r="D13473" s="10" t="s">
        <v>5701</v>
      </c>
    </row>
    <row r="13474" ht="30.0" customHeight="1">
      <c r="A13474" s="10" t="s">
        <v>1953</v>
      </c>
      <c r="B13474" s="10" t="s">
        <v>42</v>
      </c>
      <c r="C13474" s="10" t="s">
        <v>184</v>
      </c>
      <c r="D13474" s="10" t="s">
        <v>1954</v>
      </c>
      <c r="E13474" s="14">
        <v>0.704</v>
      </c>
      <c r="F13474" s="15">
        <f>ROUND(5.25,3)</f>
        <v>5.25</v>
      </c>
      <c r="G13474" s="12">
        <f t="shared" ref="G13474:G13480" si="2089">ROUND(E13474*F13474,2)</f>
        <v>3.7</v>
      </c>
    </row>
    <row r="13475" ht="21.0" customHeight="1">
      <c r="A13475" s="10" t="s">
        <v>228</v>
      </c>
      <c r="B13475" s="10" t="s">
        <v>42</v>
      </c>
      <c r="C13475" s="10" t="s">
        <v>226</v>
      </c>
      <c r="D13475" s="10" t="s">
        <v>229</v>
      </c>
      <c r="E13475" s="14">
        <v>0.02444</v>
      </c>
      <c r="F13475" s="15">
        <f>ROUND(1.32,3)</f>
        <v>1.32</v>
      </c>
      <c r="G13475" s="12">
        <f t="shared" si="2089"/>
        <v>0.03</v>
      </c>
    </row>
    <row r="13476" ht="21.0" customHeight="1">
      <c r="A13476" s="10" t="s">
        <v>22</v>
      </c>
      <c r="B13476" s="10" t="s">
        <v>18</v>
      </c>
      <c r="C13476" s="10" t="s">
        <v>23</v>
      </c>
      <c r="D13476" s="10" t="s">
        <v>24</v>
      </c>
      <c r="E13476" s="14">
        <v>0.5</v>
      </c>
      <c r="F13476" s="15">
        <f>F13480</f>
        <v>43.8</v>
      </c>
      <c r="G13476" s="12">
        <f t="shared" si="2089"/>
        <v>21.9</v>
      </c>
    </row>
    <row r="13477" ht="24.0" customHeight="1">
      <c r="A13477" s="10" t="s">
        <v>25</v>
      </c>
      <c r="B13477" s="10" t="s">
        <v>26</v>
      </c>
      <c r="C13477" s="10" t="s">
        <v>23</v>
      </c>
      <c r="D13477" s="10" t="s">
        <v>27</v>
      </c>
      <c r="E13477" s="14">
        <v>1.0</v>
      </c>
      <c r="F13477" s="15">
        <f>ROUND(21,3)</f>
        <v>21</v>
      </c>
      <c r="G13477" s="12">
        <f t="shared" si="2089"/>
        <v>21</v>
      </c>
    </row>
    <row r="13478" ht="24.0" customHeight="1">
      <c r="A13478" s="10" t="s">
        <v>28</v>
      </c>
      <c r="B13478" s="10" t="s">
        <v>26</v>
      </c>
      <c r="C13478" s="10" t="s">
        <v>23</v>
      </c>
      <c r="D13478" s="10" t="s">
        <v>29</v>
      </c>
      <c r="E13478" s="14">
        <v>1.0</v>
      </c>
      <c r="F13478" s="15">
        <f t="shared" ref="F13478:F13479" si="2090">ROUND(19,3)</f>
        <v>19</v>
      </c>
      <c r="G13478" s="12">
        <f t="shared" si="2089"/>
        <v>19</v>
      </c>
    </row>
    <row r="13479" ht="24.0" customHeight="1">
      <c r="A13479" s="10" t="s">
        <v>30</v>
      </c>
      <c r="B13479" s="10" t="s">
        <v>26</v>
      </c>
      <c r="C13479" s="10" t="s">
        <v>23</v>
      </c>
      <c r="D13479" s="10" t="s">
        <v>31</v>
      </c>
      <c r="E13479" s="14">
        <v>0.2</v>
      </c>
      <c r="F13479" s="15">
        <f t="shared" si="2090"/>
        <v>19</v>
      </c>
      <c r="G13479" s="12">
        <f t="shared" si="2089"/>
        <v>3.8</v>
      </c>
    </row>
    <row r="13480" ht="15.0" customHeight="1">
      <c r="A13480" s="11"/>
      <c r="B13480" s="11"/>
      <c r="C13480" s="11"/>
      <c r="D13480" s="10" t="s">
        <v>22</v>
      </c>
      <c r="E13480" s="14">
        <v>0.5</v>
      </c>
      <c r="F13480" s="15">
        <f>ROUND((G13477+G13478+G13479),3)</f>
        <v>43.8</v>
      </c>
      <c r="G13480" s="12">
        <f t="shared" si="2089"/>
        <v>21.9</v>
      </c>
    </row>
    <row r="13481" ht="15.0" customHeight="1">
      <c r="A13481" s="10" t="s">
        <v>32</v>
      </c>
      <c r="B13481" s="10"/>
      <c r="C13481" s="10" t="s">
        <v>33</v>
      </c>
      <c r="D13481" s="10" t="s">
        <v>34</v>
      </c>
      <c r="E13481" s="14">
        <v>3.0</v>
      </c>
      <c r="F13481" s="15">
        <f>ROUND(21.9,3)</f>
        <v>21.9</v>
      </c>
      <c r="G13481" s="12">
        <f>ROUND((E13481*F13481)/100,2)</f>
        <v>0.66</v>
      </c>
    </row>
    <row r="13482" ht="15.0" customHeight="1">
      <c r="A13482" s="16"/>
      <c r="B13482" s="16"/>
      <c r="C13482" s="16"/>
      <c r="D13482" s="17" t="s">
        <v>5699</v>
      </c>
      <c r="E13482" s="16"/>
      <c r="F13482" s="18">
        <f>ROUND((G13474+G13475+G13476+G13481)*(1+G2/100),2)</f>
        <v>26.29</v>
      </c>
      <c r="G13482" s="16"/>
    </row>
    <row r="13483" ht="67.5" customHeight="1">
      <c r="A13483" s="19" t="s">
        <v>5702</v>
      </c>
      <c r="B13483" s="20" t="s">
        <v>18</v>
      </c>
      <c r="C13483" s="20" t="s">
        <v>19</v>
      </c>
      <c r="D13483" s="20" t="s">
        <v>5703</v>
      </c>
      <c r="E13483" s="21"/>
      <c r="F13483" s="22">
        <f>F13494</f>
        <v>15.05</v>
      </c>
      <c r="G13483" s="21"/>
    </row>
    <row r="13484" ht="30.0" customHeight="1">
      <c r="A13484" s="11"/>
      <c r="B13484" s="11"/>
      <c r="C13484" s="11"/>
      <c r="D13484" s="10" t="s">
        <v>5704</v>
      </c>
    </row>
    <row r="13485" ht="30.0" customHeight="1">
      <c r="A13485" s="10" t="s">
        <v>1953</v>
      </c>
      <c r="B13485" s="10" t="s">
        <v>42</v>
      </c>
      <c r="C13485" s="10" t="s">
        <v>184</v>
      </c>
      <c r="D13485" s="10" t="s">
        <v>1954</v>
      </c>
      <c r="E13485" s="14">
        <v>0.704</v>
      </c>
      <c r="F13485" s="15">
        <f>ROUND(5.25,3)</f>
        <v>5.25</v>
      </c>
      <c r="G13485" s="12">
        <f t="shared" ref="G13485:G13492" si="2091">ROUND(E13485*F13485,2)</f>
        <v>3.7</v>
      </c>
    </row>
    <row r="13486" ht="21.0" customHeight="1">
      <c r="A13486" s="10" t="s">
        <v>228</v>
      </c>
      <c r="B13486" s="10" t="s">
        <v>42</v>
      </c>
      <c r="C13486" s="10" t="s">
        <v>226</v>
      </c>
      <c r="D13486" s="10" t="s">
        <v>229</v>
      </c>
      <c r="E13486" s="14">
        <v>0.02444</v>
      </c>
      <c r="F13486" s="15">
        <f>ROUND(1.32,3)</f>
        <v>1.32</v>
      </c>
      <c r="G13486" s="12">
        <f t="shared" si="2091"/>
        <v>0.03</v>
      </c>
    </row>
    <row r="13487" ht="21.0" customHeight="1">
      <c r="A13487" s="10" t="s">
        <v>1605</v>
      </c>
      <c r="B13487" s="10" t="s">
        <v>112</v>
      </c>
      <c r="C13487" s="10" t="s">
        <v>23</v>
      </c>
      <c r="D13487" s="10" t="s">
        <v>1606</v>
      </c>
      <c r="E13487" s="14">
        <v>0.2</v>
      </c>
      <c r="F13487" s="15">
        <f>ROUND(11.5,3)</f>
        <v>11.5</v>
      </c>
      <c r="G13487" s="12">
        <f t="shared" si="2091"/>
        <v>2.3</v>
      </c>
    </row>
    <row r="13488" ht="21.0" customHeight="1">
      <c r="A13488" s="10" t="s">
        <v>22</v>
      </c>
      <c r="B13488" s="10" t="s">
        <v>18</v>
      </c>
      <c r="C13488" s="10" t="s">
        <v>23</v>
      </c>
      <c r="D13488" s="10" t="s">
        <v>24</v>
      </c>
      <c r="E13488" s="14">
        <v>0.2</v>
      </c>
      <c r="F13488" s="15">
        <f>F13492</f>
        <v>43.8</v>
      </c>
      <c r="G13488" s="12">
        <f t="shared" si="2091"/>
        <v>8.76</v>
      </c>
    </row>
    <row r="13489" ht="24.0" customHeight="1">
      <c r="A13489" s="10" t="s">
        <v>25</v>
      </c>
      <c r="B13489" s="10" t="s">
        <v>26</v>
      </c>
      <c r="C13489" s="10" t="s">
        <v>23</v>
      </c>
      <c r="D13489" s="10" t="s">
        <v>27</v>
      </c>
      <c r="E13489" s="14">
        <v>1.0</v>
      </c>
      <c r="F13489" s="15">
        <f>ROUND(21,3)</f>
        <v>21</v>
      </c>
      <c r="G13489" s="12">
        <f t="shared" si="2091"/>
        <v>21</v>
      </c>
    </row>
    <row r="13490" ht="24.0" customHeight="1">
      <c r="A13490" s="10" t="s">
        <v>28</v>
      </c>
      <c r="B13490" s="10" t="s">
        <v>26</v>
      </c>
      <c r="C13490" s="10" t="s">
        <v>23</v>
      </c>
      <c r="D13490" s="10" t="s">
        <v>29</v>
      </c>
      <c r="E13490" s="14">
        <v>1.0</v>
      </c>
      <c r="F13490" s="15">
        <f t="shared" ref="F13490:F13491" si="2092">ROUND(19,3)</f>
        <v>19</v>
      </c>
      <c r="G13490" s="12">
        <f t="shared" si="2091"/>
        <v>19</v>
      </c>
    </row>
    <row r="13491" ht="24.0" customHeight="1">
      <c r="A13491" s="10" t="s">
        <v>30</v>
      </c>
      <c r="B13491" s="10" t="s">
        <v>26</v>
      </c>
      <c r="C13491" s="10" t="s">
        <v>23</v>
      </c>
      <c r="D13491" s="10" t="s">
        <v>31</v>
      </c>
      <c r="E13491" s="14">
        <v>0.2</v>
      </c>
      <c r="F13491" s="15">
        <f t="shared" si="2092"/>
        <v>19</v>
      </c>
      <c r="G13491" s="12">
        <f t="shared" si="2091"/>
        <v>3.8</v>
      </c>
    </row>
    <row r="13492" ht="15.0" customHeight="1">
      <c r="A13492" s="11"/>
      <c r="B13492" s="11"/>
      <c r="C13492" s="11"/>
      <c r="D13492" s="10" t="s">
        <v>22</v>
      </c>
      <c r="E13492" s="14">
        <v>0.2</v>
      </c>
      <c r="F13492" s="15">
        <f>ROUND((G13489+G13490+G13491),3)</f>
        <v>43.8</v>
      </c>
      <c r="G13492" s="12">
        <f t="shared" si="2091"/>
        <v>8.76</v>
      </c>
    </row>
    <row r="13493" ht="15.0" customHeight="1">
      <c r="A13493" s="10" t="s">
        <v>32</v>
      </c>
      <c r="B13493" s="10"/>
      <c r="C13493" s="10" t="s">
        <v>33</v>
      </c>
      <c r="D13493" s="10" t="s">
        <v>34</v>
      </c>
      <c r="E13493" s="14">
        <v>3.0</v>
      </c>
      <c r="F13493" s="15">
        <f>ROUND(8.76,3)</f>
        <v>8.76</v>
      </c>
      <c r="G13493" s="12">
        <f>ROUND((E13493*F13493)/100,2)</f>
        <v>0.26</v>
      </c>
    </row>
    <row r="13494" ht="15.0" customHeight="1">
      <c r="A13494" s="16"/>
      <c r="B13494" s="16"/>
      <c r="C13494" s="16"/>
      <c r="D13494" s="17" t="s">
        <v>5702</v>
      </c>
      <c r="E13494" s="16"/>
      <c r="F13494" s="18">
        <f>ROUND((G13485+G13486+G13487+G13488+G13493)*(1+G2/100),2)</f>
        <v>15.05</v>
      </c>
      <c r="G13494" s="16"/>
    </row>
    <row r="13495" ht="48.75" customHeight="1">
      <c r="A13495" s="19" t="s">
        <v>5705</v>
      </c>
      <c r="B13495" s="20" t="s">
        <v>18</v>
      </c>
      <c r="C13495" s="20" t="s">
        <v>19</v>
      </c>
      <c r="D13495" s="20" t="s">
        <v>5706</v>
      </c>
      <c r="E13495" s="21"/>
      <c r="F13495" s="22">
        <f>F13506</f>
        <v>53.09</v>
      </c>
      <c r="G13495" s="21"/>
    </row>
    <row r="13496" ht="21.0" customHeight="1">
      <c r="A13496" s="11"/>
      <c r="B13496" s="11"/>
      <c r="C13496" s="11"/>
      <c r="D13496" s="10" t="s">
        <v>5707</v>
      </c>
    </row>
    <row r="13497" ht="30.0" customHeight="1">
      <c r="A13497" s="10" t="s">
        <v>1964</v>
      </c>
      <c r="B13497" s="10" t="s">
        <v>42</v>
      </c>
      <c r="C13497" s="10" t="s">
        <v>184</v>
      </c>
      <c r="D13497" s="10" t="s">
        <v>1965</v>
      </c>
      <c r="E13497" s="14">
        <v>1.0</v>
      </c>
      <c r="F13497" s="15">
        <f>ROUND(10.67,3)</f>
        <v>10.67</v>
      </c>
      <c r="G13497" s="12">
        <f t="shared" ref="G13497:G13504" si="2093">ROUND(E13497*F13497,2)</f>
        <v>10.67</v>
      </c>
    </row>
    <row r="13498" ht="30.0" customHeight="1">
      <c r="A13498" s="10" t="s">
        <v>1227</v>
      </c>
      <c r="B13498" s="10" t="s">
        <v>42</v>
      </c>
      <c r="C13498" s="10" t="s">
        <v>226</v>
      </c>
      <c r="D13498" s="10" t="s">
        <v>1228</v>
      </c>
      <c r="E13498" s="14">
        <v>0.022</v>
      </c>
      <c r="F13498" s="15">
        <f>ROUND(27.5,3)</f>
        <v>27.5</v>
      </c>
      <c r="G13498" s="12">
        <f t="shared" si="2093"/>
        <v>0.61</v>
      </c>
    </row>
    <row r="13499" ht="21.0" customHeight="1">
      <c r="A13499" s="10" t="s">
        <v>1857</v>
      </c>
      <c r="B13499" s="10" t="s">
        <v>42</v>
      </c>
      <c r="C13499" s="10" t="s">
        <v>231</v>
      </c>
      <c r="D13499" s="10" t="s">
        <v>1858</v>
      </c>
      <c r="E13499" s="14">
        <v>0.4</v>
      </c>
      <c r="F13499" s="15">
        <f>ROUND(1.05,3)</f>
        <v>1.05</v>
      </c>
      <c r="G13499" s="12">
        <f t="shared" si="2093"/>
        <v>0.42</v>
      </c>
    </row>
    <row r="13500" ht="21.0" customHeight="1">
      <c r="A13500" s="10" t="s">
        <v>22</v>
      </c>
      <c r="B13500" s="10" t="s">
        <v>18</v>
      </c>
      <c r="C13500" s="10" t="s">
        <v>23</v>
      </c>
      <c r="D13500" s="10" t="s">
        <v>24</v>
      </c>
      <c r="E13500" s="14">
        <v>0.9</v>
      </c>
      <c r="F13500" s="15">
        <f>F13504</f>
        <v>43.8</v>
      </c>
      <c r="G13500" s="12">
        <f t="shared" si="2093"/>
        <v>39.42</v>
      </c>
    </row>
    <row r="13501" ht="24.0" customHeight="1">
      <c r="A13501" s="10" t="s">
        <v>25</v>
      </c>
      <c r="B13501" s="10" t="s">
        <v>26</v>
      </c>
      <c r="C13501" s="10" t="s">
        <v>23</v>
      </c>
      <c r="D13501" s="10" t="s">
        <v>27</v>
      </c>
      <c r="E13501" s="14">
        <v>1.0</v>
      </c>
      <c r="F13501" s="15">
        <f>ROUND(21,3)</f>
        <v>21</v>
      </c>
      <c r="G13501" s="12">
        <f t="shared" si="2093"/>
        <v>21</v>
      </c>
    </row>
    <row r="13502" ht="24.0" customHeight="1">
      <c r="A13502" s="10" t="s">
        <v>28</v>
      </c>
      <c r="B13502" s="10" t="s">
        <v>26</v>
      </c>
      <c r="C13502" s="10" t="s">
        <v>23</v>
      </c>
      <c r="D13502" s="10" t="s">
        <v>29</v>
      </c>
      <c r="E13502" s="14">
        <v>1.0</v>
      </c>
      <c r="F13502" s="15">
        <f t="shared" ref="F13502:F13503" si="2094">ROUND(19,3)</f>
        <v>19</v>
      </c>
      <c r="G13502" s="12">
        <f t="shared" si="2093"/>
        <v>19</v>
      </c>
    </row>
    <row r="13503" ht="24.0" customHeight="1">
      <c r="A13503" s="10" t="s">
        <v>30</v>
      </c>
      <c r="B13503" s="10" t="s">
        <v>26</v>
      </c>
      <c r="C13503" s="10" t="s">
        <v>23</v>
      </c>
      <c r="D13503" s="10" t="s">
        <v>31</v>
      </c>
      <c r="E13503" s="14">
        <v>0.2</v>
      </c>
      <c r="F13503" s="15">
        <f t="shared" si="2094"/>
        <v>19</v>
      </c>
      <c r="G13503" s="12">
        <f t="shared" si="2093"/>
        <v>3.8</v>
      </c>
    </row>
    <row r="13504" ht="15.0" customHeight="1">
      <c r="A13504" s="11"/>
      <c r="B13504" s="11"/>
      <c r="C13504" s="11"/>
      <c r="D13504" s="10" t="s">
        <v>22</v>
      </c>
      <c r="E13504" s="14">
        <v>0.9</v>
      </c>
      <c r="F13504" s="15">
        <f>ROUND((G13501+G13502+G13503),3)</f>
        <v>43.8</v>
      </c>
      <c r="G13504" s="12">
        <f t="shared" si="2093"/>
        <v>39.42</v>
      </c>
    </row>
    <row r="13505" ht="15.0" customHeight="1">
      <c r="A13505" s="10" t="s">
        <v>32</v>
      </c>
      <c r="B13505" s="10"/>
      <c r="C13505" s="10" t="s">
        <v>33</v>
      </c>
      <c r="D13505" s="10" t="s">
        <v>34</v>
      </c>
      <c r="E13505" s="14">
        <v>5.0</v>
      </c>
      <c r="F13505" s="15">
        <f>ROUND(39.42,3)</f>
        <v>39.42</v>
      </c>
      <c r="G13505" s="12">
        <f>ROUND((E13505*F13505)/100,2)</f>
        <v>1.97</v>
      </c>
    </row>
    <row r="13506" ht="15.0" customHeight="1">
      <c r="A13506" s="16"/>
      <c r="B13506" s="16"/>
      <c r="C13506" s="16"/>
      <c r="D13506" s="17" t="s">
        <v>5705</v>
      </c>
      <c r="E13506" s="16"/>
      <c r="F13506" s="18">
        <f>ROUND((G13497+G13498+G13499+G13500+G13505)*(1+G2/100),2)</f>
        <v>53.09</v>
      </c>
      <c r="G13506" s="16"/>
    </row>
    <row r="13507" ht="48.75" customHeight="1">
      <c r="A13507" s="19" t="s">
        <v>5708</v>
      </c>
      <c r="B13507" s="20" t="s">
        <v>18</v>
      </c>
      <c r="C13507" s="20" t="s">
        <v>19</v>
      </c>
      <c r="D13507" s="20" t="s">
        <v>5709</v>
      </c>
      <c r="E13507" s="21"/>
      <c r="F13507" s="22">
        <f>F13518</f>
        <v>36.23</v>
      </c>
      <c r="G13507" s="21"/>
    </row>
    <row r="13508" ht="21.0" customHeight="1">
      <c r="A13508" s="11"/>
      <c r="B13508" s="11"/>
      <c r="C13508" s="11"/>
      <c r="D13508" s="10" t="s">
        <v>5710</v>
      </c>
    </row>
    <row r="13509" ht="30.0" customHeight="1">
      <c r="A13509" s="10" t="s">
        <v>1964</v>
      </c>
      <c r="B13509" s="10" t="s">
        <v>42</v>
      </c>
      <c r="C13509" s="10" t="s">
        <v>184</v>
      </c>
      <c r="D13509" s="10" t="s">
        <v>1965</v>
      </c>
      <c r="E13509" s="14">
        <v>1.0</v>
      </c>
      <c r="F13509" s="15">
        <f>ROUND(10.67,3)</f>
        <v>10.67</v>
      </c>
      <c r="G13509" s="12">
        <f t="shared" ref="G13509:G13516" si="2095">ROUND(E13509*F13509,2)</f>
        <v>10.67</v>
      </c>
    </row>
    <row r="13510" ht="30.0" customHeight="1">
      <c r="A13510" s="10" t="s">
        <v>1227</v>
      </c>
      <c r="B13510" s="10" t="s">
        <v>42</v>
      </c>
      <c r="C13510" s="10" t="s">
        <v>226</v>
      </c>
      <c r="D13510" s="10" t="s">
        <v>1228</v>
      </c>
      <c r="E13510" s="14">
        <v>0.022</v>
      </c>
      <c r="F13510" s="15">
        <f>ROUND(27.5,3)</f>
        <v>27.5</v>
      </c>
      <c r="G13510" s="12">
        <f t="shared" si="2095"/>
        <v>0.61</v>
      </c>
    </row>
    <row r="13511" ht="21.0" customHeight="1">
      <c r="A13511" s="10" t="s">
        <v>1857</v>
      </c>
      <c r="B13511" s="10" t="s">
        <v>42</v>
      </c>
      <c r="C13511" s="10" t="s">
        <v>231</v>
      </c>
      <c r="D13511" s="10" t="s">
        <v>1858</v>
      </c>
      <c r="E13511" s="14">
        <v>0.4</v>
      </c>
      <c r="F13511" s="15">
        <f>ROUND(1.05,3)</f>
        <v>1.05</v>
      </c>
      <c r="G13511" s="12">
        <f t="shared" si="2095"/>
        <v>0.42</v>
      </c>
    </row>
    <row r="13512" ht="21.0" customHeight="1">
      <c r="A13512" s="10" t="s">
        <v>22</v>
      </c>
      <c r="B13512" s="10" t="s">
        <v>18</v>
      </c>
      <c r="C13512" s="10" t="s">
        <v>23</v>
      </c>
      <c r="D13512" s="10" t="s">
        <v>24</v>
      </c>
      <c r="E13512" s="14">
        <v>0.53333</v>
      </c>
      <c r="F13512" s="15">
        <f>F13516</f>
        <v>43.8</v>
      </c>
      <c r="G13512" s="12">
        <f t="shared" si="2095"/>
        <v>23.36</v>
      </c>
    </row>
    <row r="13513" ht="24.0" customHeight="1">
      <c r="A13513" s="10" t="s">
        <v>25</v>
      </c>
      <c r="B13513" s="10" t="s">
        <v>26</v>
      </c>
      <c r="C13513" s="10" t="s">
        <v>23</v>
      </c>
      <c r="D13513" s="10" t="s">
        <v>27</v>
      </c>
      <c r="E13513" s="14">
        <v>1.0</v>
      </c>
      <c r="F13513" s="15">
        <f>ROUND(21,3)</f>
        <v>21</v>
      </c>
      <c r="G13513" s="12">
        <f t="shared" si="2095"/>
        <v>21</v>
      </c>
    </row>
    <row r="13514" ht="24.0" customHeight="1">
      <c r="A13514" s="10" t="s">
        <v>28</v>
      </c>
      <c r="B13514" s="10" t="s">
        <v>26</v>
      </c>
      <c r="C13514" s="10" t="s">
        <v>23</v>
      </c>
      <c r="D13514" s="10" t="s">
        <v>29</v>
      </c>
      <c r="E13514" s="14">
        <v>1.0</v>
      </c>
      <c r="F13514" s="15">
        <f t="shared" ref="F13514:F13515" si="2096">ROUND(19,3)</f>
        <v>19</v>
      </c>
      <c r="G13514" s="12">
        <f t="shared" si="2095"/>
        <v>19</v>
      </c>
    </row>
    <row r="13515" ht="24.0" customHeight="1">
      <c r="A13515" s="10" t="s">
        <v>30</v>
      </c>
      <c r="B13515" s="10" t="s">
        <v>26</v>
      </c>
      <c r="C13515" s="10" t="s">
        <v>23</v>
      </c>
      <c r="D13515" s="10" t="s">
        <v>31</v>
      </c>
      <c r="E13515" s="14">
        <v>0.2</v>
      </c>
      <c r="F13515" s="15">
        <f t="shared" si="2096"/>
        <v>19</v>
      </c>
      <c r="G13515" s="12">
        <f t="shared" si="2095"/>
        <v>3.8</v>
      </c>
    </row>
    <row r="13516" ht="15.0" customHeight="1">
      <c r="A13516" s="11"/>
      <c r="B13516" s="11"/>
      <c r="C13516" s="11"/>
      <c r="D13516" s="10" t="s">
        <v>22</v>
      </c>
      <c r="E13516" s="14">
        <v>0.53333</v>
      </c>
      <c r="F13516" s="15">
        <f>ROUND((G13513+G13514+G13515),3)</f>
        <v>43.8</v>
      </c>
      <c r="G13516" s="12">
        <f t="shared" si="2095"/>
        <v>23.36</v>
      </c>
    </row>
    <row r="13517" ht="15.0" customHeight="1">
      <c r="A13517" s="10" t="s">
        <v>32</v>
      </c>
      <c r="B13517" s="10"/>
      <c r="C13517" s="10" t="s">
        <v>33</v>
      </c>
      <c r="D13517" s="10" t="s">
        <v>34</v>
      </c>
      <c r="E13517" s="14">
        <v>5.0</v>
      </c>
      <c r="F13517" s="15">
        <f>ROUND(23.36,3)</f>
        <v>23.36</v>
      </c>
      <c r="G13517" s="12">
        <f>ROUND((E13517*F13517)/100,2)</f>
        <v>1.17</v>
      </c>
    </row>
    <row r="13518" ht="15.0" customHeight="1">
      <c r="A13518" s="16"/>
      <c r="B13518" s="16"/>
      <c r="C13518" s="16"/>
      <c r="D13518" s="17" t="s">
        <v>5708</v>
      </c>
      <c r="E13518" s="16"/>
      <c r="F13518" s="18">
        <f>ROUND((G13509+G13510+G13511+G13512+G13517)*(1+G2/100),2)</f>
        <v>36.23</v>
      </c>
      <c r="G13518" s="16"/>
    </row>
    <row r="13519" ht="48.75" customHeight="1">
      <c r="A13519" s="19" t="s">
        <v>5711</v>
      </c>
      <c r="B13519" s="20" t="s">
        <v>18</v>
      </c>
      <c r="C13519" s="20" t="s">
        <v>19</v>
      </c>
      <c r="D13519" s="20" t="s">
        <v>5712</v>
      </c>
      <c r="E13519" s="21"/>
      <c r="F13519" s="22">
        <f>F13530</f>
        <v>46.19</v>
      </c>
      <c r="G13519" s="21"/>
    </row>
    <row r="13520" ht="21.0" customHeight="1">
      <c r="A13520" s="11"/>
      <c r="B13520" s="11"/>
      <c r="C13520" s="11"/>
      <c r="D13520" s="10" t="s">
        <v>5713</v>
      </c>
    </row>
    <row r="13521" ht="30.0" customHeight="1">
      <c r="A13521" s="10" t="s">
        <v>1964</v>
      </c>
      <c r="B13521" s="10" t="s">
        <v>42</v>
      </c>
      <c r="C13521" s="10" t="s">
        <v>184</v>
      </c>
      <c r="D13521" s="10" t="s">
        <v>1965</v>
      </c>
      <c r="E13521" s="14">
        <v>1.0</v>
      </c>
      <c r="F13521" s="15">
        <f>ROUND(10.67,3)</f>
        <v>10.67</v>
      </c>
      <c r="G13521" s="12">
        <f t="shared" ref="G13521:G13528" si="2097">ROUND(E13521*F13521,2)</f>
        <v>10.67</v>
      </c>
    </row>
    <row r="13522" ht="30.0" customHeight="1">
      <c r="A13522" s="10" t="s">
        <v>1227</v>
      </c>
      <c r="B13522" s="10" t="s">
        <v>42</v>
      </c>
      <c r="C13522" s="10" t="s">
        <v>226</v>
      </c>
      <c r="D13522" s="10" t="s">
        <v>1228</v>
      </c>
      <c r="E13522" s="14">
        <v>0.022</v>
      </c>
      <c r="F13522" s="15">
        <f>ROUND(27.5,3)</f>
        <v>27.5</v>
      </c>
      <c r="G13522" s="12">
        <f t="shared" si="2097"/>
        <v>0.61</v>
      </c>
    </row>
    <row r="13523" ht="21.0" customHeight="1">
      <c r="A13523" s="10" t="s">
        <v>1857</v>
      </c>
      <c r="B13523" s="10" t="s">
        <v>42</v>
      </c>
      <c r="C13523" s="10" t="s">
        <v>231</v>
      </c>
      <c r="D13523" s="10" t="s">
        <v>1858</v>
      </c>
      <c r="E13523" s="14">
        <v>0.4</v>
      </c>
      <c r="F13523" s="15">
        <f>ROUND(1.05,3)</f>
        <v>1.05</v>
      </c>
      <c r="G13523" s="12">
        <f t="shared" si="2097"/>
        <v>0.42</v>
      </c>
    </row>
    <row r="13524" ht="21.0" customHeight="1">
      <c r="A13524" s="10" t="s">
        <v>22</v>
      </c>
      <c r="B13524" s="10" t="s">
        <v>18</v>
      </c>
      <c r="C13524" s="10" t="s">
        <v>23</v>
      </c>
      <c r="D13524" s="10" t="s">
        <v>24</v>
      </c>
      <c r="E13524" s="14">
        <v>0.75</v>
      </c>
      <c r="F13524" s="15">
        <f>F13528</f>
        <v>43.8</v>
      </c>
      <c r="G13524" s="12">
        <f t="shared" si="2097"/>
        <v>32.85</v>
      </c>
    </row>
    <row r="13525" ht="24.0" customHeight="1">
      <c r="A13525" s="10" t="s">
        <v>25</v>
      </c>
      <c r="B13525" s="10" t="s">
        <v>26</v>
      </c>
      <c r="C13525" s="10" t="s">
        <v>23</v>
      </c>
      <c r="D13525" s="10" t="s">
        <v>27</v>
      </c>
      <c r="E13525" s="14">
        <v>1.0</v>
      </c>
      <c r="F13525" s="15">
        <f>ROUND(21,3)</f>
        <v>21</v>
      </c>
      <c r="G13525" s="12">
        <f t="shared" si="2097"/>
        <v>21</v>
      </c>
    </row>
    <row r="13526" ht="24.0" customHeight="1">
      <c r="A13526" s="10" t="s">
        <v>28</v>
      </c>
      <c r="B13526" s="10" t="s">
        <v>26</v>
      </c>
      <c r="C13526" s="10" t="s">
        <v>23</v>
      </c>
      <c r="D13526" s="10" t="s">
        <v>29</v>
      </c>
      <c r="E13526" s="14">
        <v>1.0</v>
      </c>
      <c r="F13526" s="15">
        <f t="shared" ref="F13526:F13527" si="2098">ROUND(19,3)</f>
        <v>19</v>
      </c>
      <c r="G13526" s="12">
        <f t="shared" si="2097"/>
        <v>19</v>
      </c>
    </row>
    <row r="13527" ht="24.0" customHeight="1">
      <c r="A13527" s="10" t="s">
        <v>30</v>
      </c>
      <c r="B13527" s="10" t="s">
        <v>26</v>
      </c>
      <c r="C13527" s="10" t="s">
        <v>23</v>
      </c>
      <c r="D13527" s="10" t="s">
        <v>31</v>
      </c>
      <c r="E13527" s="14">
        <v>0.2</v>
      </c>
      <c r="F13527" s="15">
        <f t="shared" si="2098"/>
        <v>19</v>
      </c>
      <c r="G13527" s="12">
        <f t="shared" si="2097"/>
        <v>3.8</v>
      </c>
    </row>
    <row r="13528" ht="15.0" customHeight="1">
      <c r="A13528" s="11"/>
      <c r="B13528" s="11"/>
      <c r="C13528" s="11"/>
      <c r="D13528" s="10" t="s">
        <v>22</v>
      </c>
      <c r="E13528" s="14">
        <v>0.75</v>
      </c>
      <c r="F13528" s="15">
        <f>ROUND((G13525+G13526+G13527),3)</f>
        <v>43.8</v>
      </c>
      <c r="G13528" s="12">
        <f t="shared" si="2097"/>
        <v>32.85</v>
      </c>
    </row>
    <row r="13529" ht="15.0" customHeight="1">
      <c r="A13529" s="10" t="s">
        <v>32</v>
      </c>
      <c r="B13529" s="10"/>
      <c r="C13529" s="10" t="s">
        <v>33</v>
      </c>
      <c r="D13529" s="10" t="s">
        <v>34</v>
      </c>
      <c r="E13529" s="14">
        <v>5.0</v>
      </c>
      <c r="F13529" s="15">
        <f>ROUND(32.85,3)</f>
        <v>32.85</v>
      </c>
      <c r="G13529" s="12">
        <f>ROUND((E13529*F13529)/100,2)</f>
        <v>1.64</v>
      </c>
    </row>
    <row r="13530" ht="15.0" customHeight="1">
      <c r="A13530" s="16"/>
      <c r="B13530" s="16"/>
      <c r="C13530" s="16"/>
      <c r="D13530" s="17" t="s">
        <v>5711</v>
      </c>
      <c r="E13530" s="16"/>
      <c r="F13530" s="18">
        <f>ROUND((G13521+G13522+G13523+G13524+G13529)*(1+G2/100),2)</f>
        <v>46.19</v>
      </c>
      <c r="G13530" s="16"/>
    </row>
    <row r="13531" ht="57.75" customHeight="1">
      <c r="A13531" s="19" t="s">
        <v>5714</v>
      </c>
      <c r="B13531" s="20" t="s">
        <v>18</v>
      </c>
      <c r="C13531" s="20" t="s">
        <v>19</v>
      </c>
      <c r="D13531" s="20" t="s">
        <v>5715</v>
      </c>
      <c r="E13531" s="21"/>
      <c r="F13531" s="22">
        <f>F13541</f>
        <v>59.56</v>
      </c>
      <c r="G13531" s="21"/>
    </row>
    <row r="13532" ht="21.0" customHeight="1">
      <c r="A13532" s="11"/>
      <c r="B13532" s="11"/>
      <c r="C13532" s="11"/>
      <c r="D13532" s="10" t="s">
        <v>5716</v>
      </c>
    </row>
    <row r="13533" ht="30.0" customHeight="1">
      <c r="A13533" s="10" t="s">
        <v>5692</v>
      </c>
      <c r="B13533" s="10" t="s">
        <v>42</v>
      </c>
      <c r="C13533" s="10" t="s">
        <v>184</v>
      </c>
      <c r="D13533" s="10" t="s">
        <v>5693</v>
      </c>
      <c r="E13533" s="14">
        <v>1.15</v>
      </c>
      <c r="F13533" s="15">
        <f>ROUND(15.27,3)</f>
        <v>15.27</v>
      </c>
      <c r="G13533" s="12">
        <f t="shared" ref="G13533:G13539" si="2099">ROUND(E13533*F13533,2)</f>
        <v>17.56</v>
      </c>
    </row>
    <row r="13534" ht="30.0" customHeight="1">
      <c r="A13534" s="10" t="s">
        <v>1227</v>
      </c>
      <c r="B13534" s="10" t="s">
        <v>42</v>
      </c>
      <c r="C13534" s="10" t="s">
        <v>226</v>
      </c>
      <c r="D13534" s="10" t="s">
        <v>1228</v>
      </c>
      <c r="E13534" s="14">
        <v>0.022</v>
      </c>
      <c r="F13534" s="15">
        <f>ROUND(27.5,3)</f>
        <v>27.5</v>
      </c>
      <c r="G13534" s="12">
        <f t="shared" si="2099"/>
        <v>0.61</v>
      </c>
    </row>
    <row r="13535" ht="21.0" customHeight="1">
      <c r="A13535" s="10" t="s">
        <v>22</v>
      </c>
      <c r="B13535" s="10" t="s">
        <v>18</v>
      </c>
      <c r="C13535" s="10" t="s">
        <v>23</v>
      </c>
      <c r="D13535" s="10" t="s">
        <v>24</v>
      </c>
      <c r="E13535" s="14">
        <v>0.9</v>
      </c>
      <c r="F13535" s="15">
        <f>F13539</f>
        <v>43.8</v>
      </c>
      <c r="G13535" s="12">
        <f t="shared" si="2099"/>
        <v>39.42</v>
      </c>
    </row>
    <row r="13536" ht="24.0" customHeight="1">
      <c r="A13536" s="10" t="s">
        <v>25</v>
      </c>
      <c r="B13536" s="10" t="s">
        <v>26</v>
      </c>
      <c r="C13536" s="10" t="s">
        <v>23</v>
      </c>
      <c r="D13536" s="10" t="s">
        <v>27</v>
      </c>
      <c r="E13536" s="14">
        <v>1.0</v>
      </c>
      <c r="F13536" s="15">
        <f>ROUND(21,3)</f>
        <v>21</v>
      </c>
      <c r="G13536" s="12">
        <f t="shared" si="2099"/>
        <v>21</v>
      </c>
    </row>
    <row r="13537" ht="24.0" customHeight="1">
      <c r="A13537" s="10" t="s">
        <v>28</v>
      </c>
      <c r="B13537" s="10" t="s">
        <v>26</v>
      </c>
      <c r="C13537" s="10" t="s">
        <v>23</v>
      </c>
      <c r="D13537" s="10" t="s">
        <v>29</v>
      </c>
      <c r="E13537" s="14">
        <v>1.0</v>
      </c>
      <c r="F13537" s="15">
        <f t="shared" ref="F13537:F13538" si="2100">ROUND(19,3)</f>
        <v>19</v>
      </c>
      <c r="G13537" s="12">
        <f t="shared" si="2099"/>
        <v>19</v>
      </c>
    </row>
    <row r="13538" ht="24.0" customHeight="1">
      <c r="A13538" s="10" t="s">
        <v>30</v>
      </c>
      <c r="B13538" s="10" t="s">
        <v>26</v>
      </c>
      <c r="C13538" s="10" t="s">
        <v>23</v>
      </c>
      <c r="D13538" s="10" t="s">
        <v>31</v>
      </c>
      <c r="E13538" s="14">
        <v>0.2</v>
      </c>
      <c r="F13538" s="15">
        <f t="shared" si="2100"/>
        <v>19</v>
      </c>
      <c r="G13538" s="12">
        <f t="shared" si="2099"/>
        <v>3.8</v>
      </c>
    </row>
    <row r="13539" ht="15.0" customHeight="1">
      <c r="A13539" s="11"/>
      <c r="B13539" s="11"/>
      <c r="C13539" s="11"/>
      <c r="D13539" s="10" t="s">
        <v>22</v>
      </c>
      <c r="E13539" s="14">
        <v>0.9</v>
      </c>
      <c r="F13539" s="15">
        <f>ROUND((G13536+G13537+G13538),3)</f>
        <v>43.8</v>
      </c>
      <c r="G13539" s="12">
        <f t="shared" si="2099"/>
        <v>39.42</v>
      </c>
    </row>
    <row r="13540" ht="15.0" customHeight="1">
      <c r="A13540" s="10" t="s">
        <v>32</v>
      </c>
      <c r="B13540" s="10"/>
      <c r="C13540" s="10" t="s">
        <v>33</v>
      </c>
      <c r="D13540" s="10" t="s">
        <v>34</v>
      </c>
      <c r="E13540" s="14">
        <v>5.0</v>
      </c>
      <c r="F13540" s="15">
        <f>ROUND(39.42,3)</f>
        <v>39.42</v>
      </c>
      <c r="G13540" s="12">
        <f>ROUND((E13540*F13540)/100,2)</f>
        <v>1.97</v>
      </c>
    </row>
    <row r="13541" ht="24.75" customHeight="1">
      <c r="A13541" s="16"/>
      <c r="B13541" s="16"/>
      <c r="C13541" s="16"/>
      <c r="D13541" s="17" t="s">
        <v>5714</v>
      </c>
      <c r="E13541" s="16"/>
      <c r="F13541" s="18">
        <f>ROUND((G13533+G13534+G13535+G13540)*(1+G2/100),2)</f>
        <v>59.56</v>
      </c>
      <c r="G13541" s="16"/>
    </row>
    <row r="13542" ht="57.75" customHeight="1">
      <c r="A13542" s="19" t="s">
        <v>5717</v>
      </c>
      <c r="B13542" s="20" t="s">
        <v>18</v>
      </c>
      <c r="C13542" s="20" t="s">
        <v>19</v>
      </c>
      <c r="D13542" s="20" t="s">
        <v>5718</v>
      </c>
      <c r="E13542" s="21"/>
      <c r="F13542" s="22">
        <f>F13552</f>
        <v>40.73</v>
      </c>
      <c r="G13542" s="21"/>
    </row>
    <row r="13543" ht="21.0" customHeight="1">
      <c r="A13543" s="11"/>
      <c r="B13543" s="11"/>
      <c r="C13543" s="11"/>
      <c r="D13543" s="10" t="s">
        <v>5719</v>
      </c>
    </row>
    <row r="13544" ht="30.0" customHeight="1">
      <c r="A13544" s="10" t="s">
        <v>5692</v>
      </c>
      <c r="B13544" s="10" t="s">
        <v>42</v>
      </c>
      <c r="C13544" s="10" t="s">
        <v>184</v>
      </c>
      <c r="D13544" s="10" t="s">
        <v>5693</v>
      </c>
      <c r="E13544" s="14">
        <v>1.15</v>
      </c>
      <c r="F13544" s="15">
        <f>ROUND(15.27,3)</f>
        <v>15.27</v>
      </c>
      <c r="G13544" s="12">
        <f t="shared" ref="G13544:G13550" si="2101">ROUND(E13544*F13544,2)</f>
        <v>17.56</v>
      </c>
    </row>
    <row r="13545" ht="30.0" customHeight="1">
      <c r="A13545" s="10" t="s">
        <v>1227</v>
      </c>
      <c r="B13545" s="10" t="s">
        <v>42</v>
      </c>
      <c r="C13545" s="10" t="s">
        <v>226</v>
      </c>
      <c r="D13545" s="10" t="s">
        <v>1228</v>
      </c>
      <c r="E13545" s="14">
        <v>0.022</v>
      </c>
      <c r="F13545" s="15">
        <f>ROUND(27.5,3)</f>
        <v>27.5</v>
      </c>
      <c r="G13545" s="12">
        <f t="shared" si="2101"/>
        <v>0.61</v>
      </c>
    </row>
    <row r="13546" ht="21.0" customHeight="1">
      <c r="A13546" s="10" t="s">
        <v>22</v>
      </c>
      <c r="B13546" s="10" t="s">
        <v>18</v>
      </c>
      <c r="C13546" s="10" t="s">
        <v>23</v>
      </c>
      <c r="D13546" s="10" t="s">
        <v>24</v>
      </c>
      <c r="E13546" s="14">
        <v>0.5</v>
      </c>
      <c r="F13546" s="15">
        <f>F13550</f>
        <v>43.8</v>
      </c>
      <c r="G13546" s="12">
        <f t="shared" si="2101"/>
        <v>21.9</v>
      </c>
    </row>
    <row r="13547" ht="24.0" customHeight="1">
      <c r="A13547" s="10" t="s">
        <v>25</v>
      </c>
      <c r="B13547" s="10" t="s">
        <v>26</v>
      </c>
      <c r="C13547" s="10" t="s">
        <v>23</v>
      </c>
      <c r="D13547" s="10" t="s">
        <v>27</v>
      </c>
      <c r="E13547" s="14">
        <v>1.0</v>
      </c>
      <c r="F13547" s="15">
        <f>ROUND(21,3)</f>
        <v>21</v>
      </c>
      <c r="G13547" s="12">
        <f t="shared" si="2101"/>
        <v>21</v>
      </c>
    </row>
    <row r="13548" ht="24.0" customHeight="1">
      <c r="A13548" s="10" t="s">
        <v>28</v>
      </c>
      <c r="B13548" s="10" t="s">
        <v>26</v>
      </c>
      <c r="C13548" s="10" t="s">
        <v>23</v>
      </c>
      <c r="D13548" s="10" t="s">
        <v>29</v>
      </c>
      <c r="E13548" s="14">
        <v>1.0</v>
      </c>
      <c r="F13548" s="15">
        <f t="shared" ref="F13548:F13549" si="2102">ROUND(19,3)</f>
        <v>19</v>
      </c>
      <c r="G13548" s="12">
        <f t="shared" si="2101"/>
        <v>19</v>
      </c>
    </row>
    <row r="13549" ht="24.0" customHeight="1">
      <c r="A13549" s="10" t="s">
        <v>30</v>
      </c>
      <c r="B13549" s="10" t="s">
        <v>26</v>
      </c>
      <c r="C13549" s="10" t="s">
        <v>23</v>
      </c>
      <c r="D13549" s="10" t="s">
        <v>31</v>
      </c>
      <c r="E13549" s="14">
        <v>0.2</v>
      </c>
      <c r="F13549" s="15">
        <f t="shared" si="2102"/>
        <v>19</v>
      </c>
      <c r="G13549" s="12">
        <f t="shared" si="2101"/>
        <v>3.8</v>
      </c>
    </row>
    <row r="13550" ht="15.0" customHeight="1">
      <c r="A13550" s="11"/>
      <c r="B13550" s="11"/>
      <c r="C13550" s="11"/>
      <c r="D13550" s="10" t="s">
        <v>22</v>
      </c>
      <c r="E13550" s="14">
        <v>0.5</v>
      </c>
      <c r="F13550" s="15">
        <f>ROUND((G13547+G13548+G13549),3)</f>
        <v>43.8</v>
      </c>
      <c r="G13550" s="12">
        <f t="shared" si="2101"/>
        <v>21.9</v>
      </c>
    </row>
    <row r="13551" ht="15.0" customHeight="1">
      <c r="A13551" s="10" t="s">
        <v>32</v>
      </c>
      <c r="B13551" s="10"/>
      <c r="C13551" s="10" t="s">
        <v>33</v>
      </c>
      <c r="D13551" s="10" t="s">
        <v>34</v>
      </c>
      <c r="E13551" s="14">
        <v>3.0</v>
      </c>
      <c r="F13551" s="15">
        <f>ROUND(21.9,3)</f>
        <v>21.9</v>
      </c>
      <c r="G13551" s="12">
        <f>ROUND((E13551*F13551)/100,2)</f>
        <v>0.66</v>
      </c>
    </row>
    <row r="13552" ht="24.75" customHeight="1">
      <c r="A13552" s="16"/>
      <c r="B13552" s="16"/>
      <c r="C13552" s="16"/>
      <c r="D13552" s="17" t="s">
        <v>5717</v>
      </c>
      <c r="E13552" s="16"/>
      <c r="F13552" s="18">
        <f>ROUND((G13544+G13545+G13546+G13551)*(1+G2/100),2)</f>
        <v>40.73</v>
      </c>
      <c r="G13552" s="16"/>
    </row>
    <row r="13553" ht="57.75" customHeight="1">
      <c r="A13553" s="19" t="s">
        <v>5720</v>
      </c>
      <c r="B13553" s="20" t="s">
        <v>18</v>
      </c>
      <c r="C13553" s="20" t="s">
        <v>19</v>
      </c>
      <c r="D13553" s="20" t="s">
        <v>5721</v>
      </c>
      <c r="E13553" s="21"/>
      <c r="F13553" s="22">
        <f>F13563</f>
        <v>52.66</v>
      </c>
      <c r="G13553" s="21"/>
    </row>
    <row r="13554" ht="21.0" customHeight="1">
      <c r="A13554" s="11"/>
      <c r="B13554" s="11"/>
      <c r="C13554" s="11"/>
      <c r="D13554" s="10" t="s">
        <v>5722</v>
      </c>
    </row>
    <row r="13555" ht="30.0" customHeight="1">
      <c r="A13555" s="10" t="s">
        <v>5692</v>
      </c>
      <c r="B13555" s="10" t="s">
        <v>42</v>
      </c>
      <c r="C13555" s="10" t="s">
        <v>184</v>
      </c>
      <c r="D13555" s="10" t="s">
        <v>5693</v>
      </c>
      <c r="E13555" s="14">
        <v>1.15</v>
      </c>
      <c r="F13555" s="15">
        <f>ROUND(15.27,3)</f>
        <v>15.27</v>
      </c>
      <c r="G13555" s="12">
        <f t="shared" ref="G13555:G13561" si="2103">ROUND(E13555*F13555,2)</f>
        <v>17.56</v>
      </c>
    </row>
    <row r="13556" ht="30.0" customHeight="1">
      <c r="A13556" s="10" t="s">
        <v>1227</v>
      </c>
      <c r="B13556" s="10" t="s">
        <v>42</v>
      </c>
      <c r="C13556" s="10" t="s">
        <v>226</v>
      </c>
      <c r="D13556" s="10" t="s">
        <v>1228</v>
      </c>
      <c r="E13556" s="14">
        <v>0.022</v>
      </c>
      <c r="F13556" s="15">
        <f>ROUND(27.5,3)</f>
        <v>27.5</v>
      </c>
      <c r="G13556" s="12">
        <f t="shared" si="2103"/>
        <v>0.61</v>
      </c>
    </row>
    <row r="13557" ht="21.0" customHeight="1">
      <c r="A13557" s="10" t="s">
        <v>22</v>
      </c>
      <c r="B13557" s="10" t="s">
        <v>18</v>
      </c>
      <c r="C13557" s="10" t="s">
        <v>23</v>
      </c>
      <c r="D13557" s="10" t="s">
        <v>24</v>
      </c>
      <c r="E13557" s="14">
        <v>0.75</v>
      </c>
      <c r="F13557" s="15">
        <f>F13561</f>
        <v>43.8</v>
      </c>
      <c r="G13557" s="12">
        <f t="shared" si="2103"/>
        <v>32.85</v>
      </c>
    </row>
    <row r="13558" ht="24.0" customHeight="1">
      <c r="A13558" s="10" t="s">
        <v>25</v>
      </c>
      <c r="B13558" s="10" t="s">
        <v>26</v>
      </c>
      <c r="C13558" s="10" t="s">
        <v>23</v>
      </c>
      <c r="D13558" s="10" t="s">
        <v>27</v>
      </c>
      <c r="E13558" s="14">
        <v>1.0</v>
      </c>
      <c r="F13558" s="15">
        <f>ROUND(21,3)</f>
        <v>21</v>
      </c>
      <c r="G13558" s="12">
        <f t="shared" si="2103"/>
        <v>21</v>
      </c>
    </row>
    <row r="13559" ht="24.0" customHeight="1">
      <c r="A13559" s="10" t="s">
        <v>28</v>
      </c>
      <c r="B13559" s="10" t="s">
        <v>26</v>
      </c>
      <c r="C13559" s="10" t="s">
        <v>23</v>
      </c>
      <c r="D13559" s="10" t="s">
        <v>29</v>
      </c>
      <c r="E13559" s="14">
        <v>1.0</v>
      </c>
      <c r="F13559" s="15">
        <f t="shared" ref="F13559:F13560" si="2104">ROUND(19,3)</f>
        <v>19</v>
      </c>
      <c r="G13559" s="12">
        <f t="shared" si="2103"/>
        <v>19</v>
      </c>
    </row>
    <row r="13560" ht="24.0" customHeight="1">
      <c r="A13560" s="10" t="s">
        <v>30</v>
      </c>
      <c r="B13560" s="10" t="s">
        <v>26</v>
      </c>
      <c r="C13560" s="10" t="s">
        <v>23</v>
      </c>
      <c r="D13560" s="10" t="s">
        <v>31</v>
      </c>
      <c r="E13560" s="14">
        <v>0.2</v>
      </c>
      <c r="F13560" s="15">
        <f t="shared" si="2104"/>
        <v>19</v>
      </c>
      <c r="G13560" s="12">
        <f t="shared" si="2103"/>
        <v>3.8</v>
      </c>
    </row>
    <row r="13561" ht="15.0" customHeight="1">
      <c r="A13561" s="11"/>
      <c r="B13561" s="11"/>
      <c r="C13561" s="11"/>
      <c r="D13561" s="10" t="s">
        <v>22</v>
      </c>
      <c r="E13561" s="14">
        <v>0.75</v>
      </c>
      <c r="F13561" s="15">
        <f>ROUND((G13558+G13559+G13560),3)</f>
        <v>43.8</v>
      </c>
      <c r="G13561" s="12">
        <f t="shared" si="2103"/>
        <v>32.85</v>
      </c>
    </row>
    <row r="13562" ht="15.0" customHeight="1">
      <c r="A13562" s="10" t="s">
        <v>32</v>
      </c>
      <c r="B13562" s="10"/>
      <c r="C13562" s="10" t="s">
        <v>33</v>
      </c>
      <c r="D13562" s="10" t="s">
        <v>34</v>
      </c>
      <c r="E13562" s="14">
        <v>5.0</v>
      </c>
      <c r="F13562" s="15">
        <f>ROUND(32.85,3)</f>
        <v>32.85</v>
      </c>
      <c r="G13562" s="12">
        <f>ROUND((E13562*F13562)/100,2)</f>
        <v>1.64</v>
      </c>
    </row>
    <row r="13563" ht="24.75" customHeight="1">
      <c r="A13563" s="16"/>
      <c r="B13563" s="16"/>
      <c r="C13563" s="16"/>
      <c r="D13563" s="17" t="s">
        <v>5720</v>
      </c>
      <c r="E13563" s="16"/>
      <c r="F13563" s="18">
        <f>ROUND((G13555+G13556+G13557+G13562)*(1+G2/100),2)</f>
        <v>52.66</v>
      </c>
      <c r="G13563" s="16"/>
    </row>
    <row r="13564" ht="57.75" customHeight="1">
      <c r="A13564" s="19" t="s">
        <v>5723</v>
      </c>
      <c r="B13564" s="20" t="s">
        <v>18</v>
      </c>
      <c r="C13564" s="20" t="s">
        <v>19</v>
      </c>
      <c r="D13564" s="20" t="s">
        <v>5724</v>
      </c>
      <c r="E13564" s="21"/>
      <c r="F13564" s="22">
        <f>F13575</f>
        <v>38.86</v>
      </c>
      <c r="G13564" s="21"/>
    </row>
    <row r="13565" ht="30.0" customHeight="1">
      <c r="A13565" s="11"/>
      <c r="B13565" s="11"/>
      <c r="C13565" s="11"/>
      <c r="D13565" s="10" t="s">
        <v>5725</v>
      </c>
    </row>
    <row r="13566" ht="30.0" customHeight="1">
      <c r="A13566" s="10" t="s">
        <v>5651</v>
      </c>
      <c r="B13566" s="10" t="s">
        <v>42</v>
      </c>
      <c r="C13566" s="10" t="s">
        <v>184</v>
      </c>
      <c r="D13566" s="10" t="s">
        <v>5652</v>
      </c>
      <c r="E13566" s="14">
        <v>1.26</v>
      </c>
      <c r="F13566" s="15">
        <f>ROUND(5.21,3)</f>
        <v>5.21</v>
      </c>
      <c r="G13566" s="12">
        <f t="shared" ref="G13566:G13573" si="2105">ROUND(E13566*F13566,2)</f>
        <v>6.56</v>
      </c>
    </row>
    <row r="13567" ht="30.0" customHeight="1">
      <c r="A13567" s="10" t="s">
        <v>1227</v>
      </c>
      <c r="B13567" s="10" t="s">
        <v>42</v>
      </c>
      <c r="C13567" s="10" t="s">
        <v>226</v>
      </c>
      <c r="D13567" s="10" t="s">
        <v>1228</v>
      </c>
      <c r="E13567" s="14">
        <v>0.022</v>
      </c>
      <c r="F13567" s="15">
        <f>ROUND(27.5,3)</f>
        <v>27.5</v>
      </c>
      <c r="G13567" s="12">
        <f t="shared" si="2105"/>
        <v>0.61</v>
      </c>
    </row>
    <row r="13568" ht="21.0" customHeight="1">
      <c r="A13568" s="10" t="s">
        <v>1857</v>
      </c>
      <c r="B13568" s="10" t="s">
        <v>42</v>
      </c>
      <c r="C13568" s="10" t="s">
        <v>231</v>
      </c>
      <c r="D13568" s="10" t="s">
        <v>1858</v>
      </c>
      <c r="E13568" s="14">
        <v>0.4</v>
      </c>
      <c r="F13568" s="15">
        <f>ROUND(1.05,3)</f>
        <v>1.05</v>
      </c>
      <c r="G13568" s="12">
        <f t="shared" si="2105"/>
        <v>0.42</v>
      </c>
    </row>
    <row r="13569" ht="21.0" customHeight="1">
      <c r="A13569" s="10" t="s">
        <v>22</v>
      </c>
      <c r="B13569" s="10" t="s">
        <v>18</v>
      </c>
      <c r="C13569" s="10" t="s">
        <v>23</v>
      </c>
      <c r="D13569" s="10" t="s">
        <v>24</v>
      </c>
      <c r="E13569" s="14">
        <v>0.68</v>
      </c>
      <c r="F13569" s="15">
        <f>F13573</f>
        <v>43.8</v>
      </c>
      <c r="G13569" s="12">
        <f t="shared" si="2105"/>
        <v>29.78</v>
      </c>
    </row>
    <row r="13570" ht="24.0" customHeight="1">
      <c r="A13570" s="10" t="s">
        <v>25</v>
      </c>
      <c r="B13570" s="10" t="s">
        <v>26</v>
      </c>
      <c r="C13570" s="10" t="s">
        <v>23</v>
      </c>
      <c r="D13570" s="10" t="s">
        <v>27</v>
      </c>
      <c r="E13570" s="14">
        <v>1.0</v>
      </c>
      <c r="F13570" s="15">
        <f>ROUND(21,3)</f>
        <v>21</v>
      </c>
      <c r="G13570" s="12">
        <f t="shared" si="2105"/>
        <v>21</v>
      </c>
    </row>
    <row r="13571" ht="24.0" customHeight="1">
      <c r="A13571" s="10" t="s">
        <v>28</v>
      </c>
      <c r="B13571" s="10" t="s">
        <v>26</v>
      </c>
      <c r="C13571" s="10" t="s">
        <v>23</v>
      </c>
      <c r="D13571" s="10" t="s">
        <v>29</v>
      </c>
      <c r="E13571" s="14">
        <v>1.0</v>
      </c>
      <c r="F13571" s="15">
        <f t="shared" ref="F13571:F13572" si="2106">ROUND(19,3)</f>
        <v>19</v>
      </c>
      <c r="G13571" s="12">
        <f t="shared" si="2105"/>
        <v>19</v>
      </c>
    </row>
    <row r="13572" ht="24.0" customHeight="1">
      <c r="A13572" s="10" t="s">
        <v>30</v>
      </c>
      <c r="B13572" s="10" t="s">
        <v>26</v>
      </c>
      <c r="C13572" s="10" t="s">
        <v>23</v>
      </c>
      <c r="D13572" s="10" t="s">
        <v>31</v>
      </c>
      <c r="E13572" s="14">
        <v>0.2</v>
      </c>
      <c r="F13572" s="15">
        <f t="shared" si="2106"/>
        <v>19</v>
      </c>
      <c r="G13572" s="12">
        <f t="shared" si="2105"/>
        <v>3.8</v>
      </c>
    </row>
    <row r="13573" ht="15.0" customHeight="1">
      <c r="A13573" s="11"/>
      <c r="B13573" s="11"/>
      <c r="C13573" s="11"/>
      <c r="D13573" s="10" t="s">
        <v>22</v>
      </c>
      <c r="E13573" s="14">
        <v>0.68</v>
      </c>
      <c r="F13573" s="15">
        <f>ROUND((G13570+G13571+G13572),3)</f>
        <v>43.8</v>
      </c>
      <c r="G13573" s="12">
        <f t="shared" si="2105"/>
        <v>29.78</v>
      </c>
    </row>
    <row r="13574" ht="15.0" customHeight="1">
      <c r="A13574" s="10" t="s">
        <v>32</v>
      </c>
      <c r="B13574" s="10"/>
      <c r="C13574" s="10" t="s">
        <v>33</v>
      </c>
      <c r="D13574" s="10" t="s">
        <v>34</v>
      </c>
      <c r="E13574" s="14">
        <v>5.0</v>
      </c>
      <c r="F13574" s="15">
        <f>ROUND(29.78,3)</f>
        <v>29.78</v>
      </c>
      <c r="G13574" s="12">
        <f>ROUND((E13574*F13574)/100,2)</f>
        <v>1.49</v>
      </c>
    </row>
    <row r="13575" ht="15.0" customHeight="1">
      <c r="A13575" s="16"/>
      <c r="B13575" s="16"/>
      <c r="C13575" s="16"/>
      <c r="D13575" s="17" t="s">
        <v>5723</v>
      </c>
      <c r="E13575" s="16"/>
      <c r="F13575" s="18">
        <f>ROUND((G13566+G13567+G13568+G13569+G13574)*(1+G2/100),2)</f>
        <v>38.86</v>
      </c>
      <c r="G13575" s="16"/>
    </row>
    <row r="13576" ht="76.5" customHeight="1">
      <c r="A13576" s="19" t="s">
        <v>5726</v>
      </c>
      <c r="B13576" s="20" t="s">
        <v>18</v>
      </c>
      <c r="C13576" s="20" t="s">
        <v>19</v>
      </c>
      <c r="D13576" s="20" t="s">
        <v>5727</v>
      </c>
      <c r="E13576" s="21"/>
      <c r="F13576" s="22">
        <f>F13587</f>
        <v>51.74</v>
      </c>
      <c r="G13576" s="21"/>
    </row>
    <row r="13577" ht="30.0" customHeight="1">
      <c r="A13577" s="11"/>
      <c r="B13577" s="11"/>
      <c r="C13577" s="11"/>
      <c r="D13577" s="10" t="s">
        <v>5728</v>
      </c>
    </row>
    <row r="13578" ht="30.0" customHeight="1">
      <c r="A13578" s="10" t="s">
        <v>5651</v>
      </c>
      <c r="B13578" s="10" t="s">
        <v>42</v>
      </c>
      <c r="C13578" s="10" t="s">
        <v>184</v>
      </c>
      <c r="D13578" s="10" t="s">
        <v>5652</v>
      </c>
      <c r="E13578" s="14">
        <v>1.26</v>
      </c>
      <c r="F13578" s="15">
        <f>ROUND(5.21,3)</f>
        <v>5.21</v>
      </c>
      <c r="G13578" s="12">
        <f t="shared" ref="G13578:G13585" si="2107">ROUND(E13578*F13578,2)</f>
        <v>6.56</v>
      </c>
    </row>
    <row r="13579" ht="30.0" customHeight="1">
      <c r="A13579" s="10" t="s">
        <v>1227</v>
      </c>
      <c r="B13579" s="10" t="s">
        <v>42</v>
      </c>
      <c r="C13579" s="10" t="s">
        <v>226</v>
      </c>
      <c r="D13579" s="10" t="s">
        <v>1228</v>
      </c>
      <c r="E13579" s="14">
        <v>0.022</v>
      </c>
      <c r="F13579" s="15">
        <f>ROUND(27.5,3)</f>
        <v>27.5</v>
      </c>
      <c r="G13579" s="12">
        <f t="shared" si="2107"/>
        <v>0.61</v>
      </c>
    </row>
    <row r="13580" ht="21.0" customHeight="1">
      <c r="A13580" s="10" t="s">
        <v>1857</v>
      </c>
      <c r="B13580" s="10" t="s">
        <v>42</v>
      </c>
      <c r="C13580" s="10" t="s">
        <v>231</v>
      </c>
      <c r="D13580" s="10" t="s">
        <v>1858</v>
      </c>
      <c r="E13580" s="14">
        <v>0.4</v>
      </c>
      <c r="F13580" s="15">
        <f>ROUND(1.05,3)</f>
        <v>1.05</v>
      </c>
      <c r="G13580" s="12">
        <f t="shared" si="2107"/>
        <v>0.42</v>
      </c>
    </row>
    <row r="13581" ht="21.0" customHeight="1">
      <c r="A13581" s="10" t="s">
        <v>22</v>
      </c>
      <c r="B13581" s="10" t="s">
        <v>18</v>
      </c>
      <c r="C13581" s="10" t="s">
        <v>23</v>
      </c>
      <c r="D13581" s="10" t="s">
        <v>24</v>
      </c>
      <c r="E13581" s="14">
        <v>0.96</v>
      </c>
      <c r="F13581" s="15">
        <f>F13585</f>
        <v>43.8</v>
      </c>
      <c r="G13581" s="12">
        <f t="shared" si="2107"/>
        <v>42.05</v>
      </c>
    </row>
    <row r="13582" ht="24.0" customHeight="1">
      <c r="A13582" s="10" t="s">
        <v>25</v>
      </c>
      <c r="B13582" s="10" t="s">
        <v>26</v>
      </c>
      <c r="C13582" s="10" t="s">
        <v>23</v>
      </c>
      <c r="D13582" s="10" t="s">
        <v>27</v>
      </c>
      <c r="E13582" s="14">
        <v>1.0</v>
      </c>
      <c r="F13582" s="15">
        <f>ROUND(21,3)</f>
        <v>21</v>
      </c>
      <c r="G13582" s="12">
        <f t="shared" si="2107"/>
        <v>21</v>
      </c>
    </row>
    <row r="13583" ht="24.0" customHeight="1">
      <c r="A13583" s="10" t="s">
        <v>28</v>
      </c>
      <c r="B13583" s="10" t="s">
        <v>26</v>
      </c>
      <c r="C13583" s="10" t="s">
        <v>23</v>
      </c>
      <c r="D13583" s="10" t="s">
        <v>29</v>
      </c>
      <c r="E13583" s="14">
        <v>1.0</v>
      </c>
      <c r="F13583" s="15">
        <f t="shared" ref="F13583:F13584" si="2108">ROUND(19,3)</f>
        <v>19</v>
      </c>
      <c r="G13583" s="12">
        <f t="shared" si="2107"/>
        <v>19</v>
      </c>
    </row>
    <row r="13584" ht="24.0" customHeight="1">
      <c r="A13584" s="10" t="s">
        <v>30</v>
      </c>
      <c r="B13584" s="10" t="s">
        <v>26</v>
      </c>
      <c r="C13584" s="10" t="s">
        <v>23</v>
      </c>
      <c r="D13584" s="10" t="s">
        <v>31</v>
      </c>
      <c r="E13584" s="14">
        <v>0.2</v>
      </c>
      <c r="F13584" s="15">
        <f t="shared" si="2108"/>
        <v>19</v>
      </c>
      <c r="G13584" s="12">
        <f t="shared" si="2107"/>
        <v>3.8</v>
      </c>
    </row>
    <row r="13585" ht="15.0" customHeight="1">
      <c r="A13585" s="11"/>
      <c r="B13585" s="11"/>
      <c r="C13585" s="11"/>
      <c r="D13585" s="10" t="s">
        <v>22</v>
      </c>
      <c r="E13585" s="14">
        <v>0.96</v>
      </c>
      <c r="F13585" s="15">
        <f>ROUND((G13582+G13583+G13584),3)</f>
        <v>43.8</v>
      </c>
      <c r="G13585" s="12">
        <f t="shared" si="2107"/>
        <v>42.05</v>
      </c>
    </row>
    <row r="13586" ht="15.0" customHeight="1">
      <c r="A13586" s="10" t="s">
        <v>32</v>
      </c>
      <c r="B13586" s="10"/>
      <c r="C13586" s="10" t="s">
        <v>33</v>
      </c>
      <c r="D13586" s="10" t="s">
        <v>34</v>
      </c>
      <c r="E13586" s="14">
        <v>5.0</v>
      </c>
      <c r="F13586" s="15">
        <f>ROUND(42.05,3)</f>
        <v>42.05</v>
      </c>
      <c r="G13586" s="12">
        <f>ROUND((E13586*F13586)/100,2)</f>
        <v>2.1</v>
      </c>
    </row>
    <row r="13587" ht="15.0" customHeight="1">
      <c r="A13587" s="16"/>
      <c r="B13587" s="16"/>
      <c r="C13587" s="16"/>
      <c r="D13587" s="17" t="s">
        <v>5726</v>
      </c>
      <c r="E13587" s="16"/>
      <c r="F13587" s="18">
        <f>ROUND((G13578+G13579+G13580+G13581+G13586)*(1+G2/100),2)</f>
        <v>51.74</v>
      </c>
      <c r="G13587" s="16"/>
    </row>
    <row r="13588" ht="48.75" customHeight="1">
      <c r="A13588" s="19" t="s">
        <v>5729</v>
      </c>
      <c r="B13588" s="20" t="s">
        <v>18</v>
      </c>
      <c r="C13588" s="20" t="s">
        <v>19</v>
      </c>
      <c r="D13588" s="20" t="s">
        <v>5730</v>
      </c>
      <c r="E13588" s="21"/>
      <c r="F13588" s="22">
        <f>F13599</f>
        <v>38.22</v>
      </c>
      <c r="G13588" s="21"/>
    </row>
    <row r="13589" ht="30.0" customHeight="1">
      <c r="A13589" s="11"/>
      <c r="B13589" s="11"/>
      <c r="C13589" s="11"/>
      <c r="D13589" s="10" t="s">
        <v>5731</v>
      </c>
    </row>
    <row r="13590" ht="30.0" customHeight="1">
      <c r="A13590" s="10" t="s">
        <v>5651</v>
      </c>
      <c r="B13590" s="10" t="s">
        <v>42</v>
      </c>
      <c r="C13590" s="10" t="s">
        <v>184</v>
      </c>
      <c r="D13590" s="10" t="s">
        <v>5652</v>
      </c>
      <c r="E13590" s="14">
        <v>1.26</v>
      </c>
      <c r="F13590" s="15">
        <f>ROUND(5.21,3)</f>
        <v>5.21</v>
      </c>
      <c r="G13590" s="12">
        <f t="shared" ref="G13590:G13597" si="2109">ROUND(E13590*F13590,2)</f>
        <v>6.56</v>
      </c>
    </row>
    <row r="13591" ht="30.0" customHeight="1">
      <c r="A13591" s="10" t="s">
        <v>1227</v>
      </c>
      <c r="B13591" s="10" t="s">
        <v>42</v>
      </c>
      <c r="C13591" s="10" t="s">
        <v>226</v>
      </c>
      <c r="D13591" s="10" t="s">
        <v>1228</v>
      </c>
      <c r="E13591" s="14">
        <v>0.021</v>
      </c>
      <c r="F13591" s="15">
        <f>ROUND(27.5,3)</f>
        <v>27.5</v>
      </c>
      <c r="G13591" s="12">
        <f t="shared" si="2109"/>
        <v>0.58</v>
      </c>
    </row>
    <row r="13592" ht="21.0" customHeight="1">
      <c r="A13592" s="10" t="s">
        <v>1857</v>
      </c>
      <c r="B13592" s="10" t="s">
        <v>42</v>
      </c>
      <c r="C13592" s="10" t="s">
        <v>231</v>
      </c>
      <c r="D13592" s="10" t="s">
        <v>1858</v>
      </c>
      <c r="E13592" s="14">
        <v>0.4</v>
      </c>
      <c r="F13592" s="15">
        <f>ROUND(1.05,3)</f>
        <v>1.05</v>
      </c>
      <c r="G13592" s="12">
        <f t="shared" si="2109"/>
        <v>0.42</v>
      </c>
    </row>
    <row r="13593" ht="21.0" customHeight="1">
      <c r="A13593" s="10" t="s">
        <v>22</v>
      </c>
      <c r="B13593" s="10" t="s">
        <v>18</v>
      </c>
      <c r="C13593" s="10" t="s">
        <v>23</v>
      </c>
      <c r="D13593" s="10" t="s">
        <v>24</v>
      </c>
      <c r="E13593" s="14">
        <v>0.66667</v>
      </c>
      <c r="F13593" s="15">
        <f>F13597</f>
        <v>43.8</v>
      </c>
      <c r="G13593" s="12">
        <f t="shared" si="2109"/>
        <v>29.2</v>
      </c>
    </row>
    <row r="13594" ht="24.0" customHeight="1">
      <c r="A13594" s="10" t="s">
        <v>25</v>
      </c>
      <c r="B13594" s="10" t="s">
        <v>26</v>
      </c>
      <c r="C13594" s="10" t="s">
        <v>23</v>
      </c>
      <c r="D13594" s="10" t="s">
        <v>27</v>
      </c>
      <c r="E13594" s="14">
        <v>1.0</v>
      </c>
      <c r="F13594" s="15">
        <f>ROUND(21,3)</f>
        <v>21</v>
      </c>
      <c r="G13594" s="12">
        <f t="shared" si="2109"/>
        <v>21</v>
      </c>
    </row>
    <row r="13595" ht="24.0" customHeight="1">
      <c r="A13595" s="10" t="s">
        <v>28</v>
      </c>
      <c r="B13595" s="10" t="s">
        <v>26</v>
      </c>
      <c r="C13595" s="10" t="s">
        <v>23</v>
      </c>
      <c r="D13595" s="10" t="s">
        <v>29</v>
      </c>
      <c r="E13595" s="14">
        <v>1.0</v>
      </c>
      <c r="F13595" s="15">
        <f t="shared" ref="F13595:F13596" si="2110">ROUND(19,3)</f>
        <v>19</v>
      </c>
      <c r="G13595" s="12">
        <f t="shared" si="2109"/>
        <v>19</v>
      </c>
    </row>
    <row r="13596" ht="24.0" customHeight="1">
      <c r="A13596" s="10" t="s">
        <v>30</v>
      </c>
      <c r="B13596" s="10" t="s">
        <v>26</v>
      </c>
      <c r="C13596" s="10" t="s">
        <v>23</v>
      </c>
      <c r="D13596" s="10" t="s">
        <v>31</v>
      </c>
      <c r="E13596" s="14">
        <v>0.2</v>
      </c>
      <c r="F13596" s="15">
        <f t="shared" si="2110"/>
        <v>19</v>
      </c>
      <c r="G13596" s="12">
        <f t="shared" si="2109"/>
        <v>3.8</v>
      </c>
    </row>
    <row r="13597" ht="15.0" customHeight="1">
      <c r="A13597" s="11"/>
      <c r="B13597" s="11"/>
      <c r="C13597" s="11"/>
      <c r="D13597" s="10" t="s">
        <v>22</v>
      </c>
      <c r="E13597" s="14">
        <v>0.66667</v>
      </c>
      <c r="F13597" s="15">
        <f>ROUND((G13594+G13595+G13596),3)</f>
        <v>43.8</v>
      </c>
      <c r="G13597" s="12">
        <f t="shared" si="2109"/>
        <v>29.2</v>
      </c>
    </row>
    <row r="13598" ht="15.0" customHeight="1">
      <c r="A13598" s="10" t="s">
        <v>32</v>
      </c>
      <c r="B13598" s="10"/>
      <c r="C13598" s="10" t="s">
        <v>33</v>
      </c>
      <c r="D13598" s="10" t="s">
        <v>34</v>
      </c>
      <c r="E13598" s="14">
        <v>5.0</v>
      </c>
      <c r="F13598" s="15">
        <f>ROUND(29.2,3)</f>
        <v>29.2</v>
      </c>
      <c r="G13598" s="12">
        <f>ROUND((E13598*F13598)/100,2)</f>
        <v>1.46</v>
      </c>
    </row>
    <row r="13599" ht="15.0" customHeight="1">
      <c r="A13599" s="16"/>
      <c r="B13599" s="16"/>
      <c r="C13599" s="16"/>
      <c r="D13599" s="17" t="s">
        <v>5729</v>
      </c>
      <c r="E13599" s="16"/>
      <c r="F13599" s="18">
        <f>ROUND((G13590+G13591+G13592+G13593+G13598)*(1+G2/100),2)</f>
        <v>38.22</v>
      </c>
      <c r="G13599" s="16"/>
    </row>
    <row r="13600" ht="57.75" customHeight="1">
      <c r="A13600" s="19" t="s">
        <v>5732</v>
      </c>
      <c r="B13600" s="20" t="s">
        <v>18</v>
      </c>
      <c r="C13600" s="20" t="s">
        <v>19</v>
      </c>
      <c r="D13600" s="20" t="s">
        <v>5733</v>
      </c>
      <c r="E13600" s="21"/>
      <c r="F13600" s="22">
        <f>F13611</f>
        <v>38.22</v>
      </c>
      <c r="G13600" s="21"/>
    </row>
    <row r="13601" ht="39.75" customHeight="1">
      <c r="A13601" s="11"/>
      <c r="B13601" s="11"/>
      <c r="C13601" s="11"/>
      <c r="D13601" s="10" t="s">
        <v>5734</v>
      </c>
    </row>
    <row r="13602" ht="30.0" customHeight="1">
      <c r="A13602" s="10" t="s">
        <v>5651</v>
      </c>
      <c r="B13602" s="10" t="s">
        <v>42</v>
      </c>
      <c r="C13602" s="10" t="s">
        <v>184</v>
      </c>
      <c r="D13602" s="10" t="s">
        <v>5652</v>
      </c>
      <c r="E13602" s="14">
        <v>1.26</v>
      </c>
      <c r="F13602" s="15">
        <f>ROUND(5.21,3)</f>
        <v>5.21</v>
      </c>
      <c r="G13602" s="12">
        <f t="shared" ref="G13602:G13609" si="2111">ROUND(E13602*F13602,2)</f>
        <v>6.56</v>
      </c>
    </row>
    <row r="13603" ht="30.0" customHeight="1">
      <c r="A13603" s="10" t="s">
        <v>1227</v>
      </c>
      <c r="B13603" s="10" t="s">
        <v>42</v>
      </c>
      <c r="C13603" s="10" t="s">
        <v>226</v>
      </c>
      <c r="D13603" s="10" t="s">
        <v>1228</v>
      </c>
      <c r="E13603" s="14">
        <v>0.021</v>
      </c>
      <c r="F13603" s="15">
        <f>ROUND(27.5,3)</f>
        <v>27.5</v>
      </c>
      <c r="G13603" s="12">
        <f t="shared" si="2111"/>
        <v>0.58</v>
      </c>
    </row>
    <row r="13604" ht="21.0" customHeight="1">
      <c r="A13604" s="10" t="s">
        <v>1857</v>
      </c>
      <c r="B13604" s="10" t="s">
        <v>42</v>
      </c>
      <c r="C13604" s="10" t="s">
        <v>231</v>
      </c>
      <c r="D13604" s="10" t="s">
        <v>1858</v>
      </c>
      <c r="E13604" s="14">
        <v>0.4</v>
      </c>
      <c r="F13604" s="15">
        <f>ROUND(1.05,3)</f>
        <v>1.05</v>
      </c>
      <c r="G13604" s="12">
        <f t="shared" si="2111"/>
        <v>0.42</v>
      </c>
    </row>
    <row r="13605" ht="21.0" customHeight="1">
      <c r="A13605" s="10" t="s">
        <v>22</v>
      </c>
      <c r="B13605" s="10" t="s">
        <v>18</v>
      </c>
      <c r="C13605" s="10" t="s">
        <v>23</v>
      </c>
      <c r="D13605" s="10" t="s">
        <v>24</v>
      </c>
      <c r="E13605" s="14">
        <v>0.66667</v>
      </c>
      <c r="F13605" s="15">
        <f>F13609</f>
        <v>43.8</v>
      </c>
      <c r="G13605" s="12">
        <f t="shared" si="2111"/>
        <v>29.2</v>
      </c>
    </row>
    <row r="13606" ht="24.0" customHeight="1">
      <c r="A13606" s="10" t="s">
        <v>25</v>
      </c>
      <c r="B13606" s="10" t="s">
        <v>26</v>
      </c>
      <c r="C13606" s="10" t="s">
        <v>23</v>
      </c>
      <c r="D13606" s="10" t="s">
        <v>27</v>
      </c>
      <c r="E13606" s="14">
        <v>1.0</v>
      </c>
      <c r="F13606" s="15">
        <f>ROUND(21,3)</f>
        <v>21</v>
      </c>
      <c r="G13606" s="12">
        <f t="shared" si="2111"/>
        <v>21</v>
      </c>
    </row>
    <row r="13607" ht="24.0" customHeight="1">
      <c r="A13607" s="10" t="s">
        <v>28</v>
      </c>
      <c r="B13607" s="10" t="s">
        <v>26</v>
      </c>
      <c r="C13607" s="10" t="s">
        <v>23</v>
      </c>
      <c r="D13607" s="10" t="s">
        <v>29</v>
      </c>
      <c r="E13607" s="14">
        <v>1.0</v>
      </c>
      <c r="F13607" s="15">
        <f t="shared" ref="F13607:F13608" si="2112">ROUND(19,3)</f>
        <v>19</v>
      </c>
      <c r="G13607" s="12">
        <f t="shared" si="2111"/>
        <v>19</v>
      </c>
    </row>
    <row r="13608" ht="24.0" customHeight="1">
      <c r="A13608" s="10" t="s">
        <v>30</v>
      </c>
      <c r="B13608" s="10" t="s">
        <v>26</v>
      </c>
      <c r="C13608" s="10" t="s">
        <v>23</v>
      </c>
      <c r="D13608" s="10" t="s">
        <v>31</v>
      </c>
      <c r="E13608" s="14">
        <v>0.2</v>
      </c>
      <c r="F13608" s="15">
        <f t="shared" si="2112"/>
        <v>19</v>
      </c>
      <c r="G13608" s="12">
        <f t="shared" si="2111"/>
        <v>3.8</v>
      </c>
    </row>
    <row r="13609" ht="15.0" customHeight="1">
      <c r="A13609" s="11"/>
      <c r="B13609" s="11"/>
      <c r="C13609" s="11"/>
      <c r="D13609" s="10" t="s">
        <v>22</v>
      </c>
      <c r="E13609" s="14">
        <v>0.66667</v>
      </c>
      <c r="F13609" s="15">
        <f>ROUND((G13606+G13607+G13608),3)</f>
        <v>43.8</v>
      </c>
      <c r="G13609" s="12">
        <f t="shared" si="2111"/>
        <v>29.2</v>
      </c>
    </row>
    <row r="13610" ht="15.0" customHeight="1">
      <c r="A13610" s="10" t="s">
        <v>32</v>
      </c>
      <c r="B13610" s="10"/>
      <c r="C13610" s="10" t="s">
        <v>33</v>
      </c>
      <c r="D13610" s="10" t="s">
        <v>34</v>
      </c>
      <c r="E13610" s="14">
        <v>5.0</v>
      </c>
      <c r="F13610" s="15">
        <f>ROUND(29.2,3)</f>
        <v>29.2</v>
      </c>
      <c r="G13610" s="12">
        <f>ROUND((E13610*F13610)/100,2)</f>
        <v>1.46</v>
      </c>
    </row>
    <row r="13611" ht="15.0" customHeight="1">
      <c r="A13611" s="16"/>
      <c r="B13611" s="16"/>
      <c r="C13611" s="16"/>
      <c r="D13611" s="17" t="s">
        <v>5732</v>
      </c>
      <c r="E13611" s="16"/>
      <c r="F13611" s="18">
        <f>ROUND((G13602+G13603+G13604+G13605+G13610)*(1+G2/100),2)</f>
        <v>38.22</v>
      </c>
      <c r="G13611" s="16"/>
    </row>
    <row r="13612" ht="76.5" customHeight="1">
      <c r="A13612" s="19" t="s">
        <v>5735</v>
      </c>
      <c r="B13612" s="20" t="s">
        <v>18</v>
      </c>
      <c r="C13612" s="20" t="s">
        <v>19</v>
      </c>
      <c r="D13612" s="20" t="s">
        <v>5736</v>
      </c>
      <c r="E13612" s="21"/>
      <c r="F13612" s="22">
        <f>F13623</f>
        <v>48.95</v>
      </c>
      <c r="G13612" s="21"/>
    </row>
    <row r="13613" ht="39.75" customHeight="1">
      <c r="A13613" s="11"/>
      <c r="B13613" s="11"/>
      <c r="C13613" s="11"/>
      <c r="D13613" s="10" t="s">
        <v>5737</v>
      </c>
    </row>
    <row r="13614" ht="30.0" customHeight="1">
      <c r="A13614" s="10" t="s">
        <v>5651</v>
      </c>
      <c r="B13614" s="10" t="s">
        <v>42</v>
      </c>
      <c r="C13614" s="10" t="s">
        <v>184</v>
      </c>
      <c r="D13614" s="10" t="s">
        <v>5652</v>
      </c>
      <c r="E13614" s="14">
        <v>1.26</v>
      </c>
      <c r="F13614" s="15">
        <f>ROUND(5.21,3)</f>
        <v>5.21</v>
      </c>
      <c r="G13614" s="12">
        <f t="shared" ref="G13614:G13621" si="2113">ROUND(E13614*F13614,2)</f>
        <v>6.56</v>
      </c>
    </row>
    <row r="13615" ht="30.0" customHeight="1">
      <c r="A13615" s="10" t="s">
        <v>1227</v>
      </c>
      <c r="B13615" s="10" t="s">
        <v>42</v>
      </c>
      <c r="C13615" s="10" t="s">
        <v>226</v>
      </c>
      <c r="D13615" s="10" t="s">
        <v>1228</v>
      </c>
      <c r="E13615" s="14">
        <v>0.021</v>
      </c>
      <c r="F13615" s="15">
        <f>ROUND(27.5,3)</f>
        <v>27.5</v>
      </c>
      <c r="G13615" s="12">
        <f t="shared" si="2113"/>
        <v>0.58</v>
      </c>
    </row>
    <row r="13616" ht="21.0" customHeight="1">
      <c r="A13616" s="10" t="s">
        <v>1857</v>
      </c>
      <c r="B13616" s="10" t="s">
        <v>42</v>
      </c>
      <c r="C13616" s="10" t="s">
        <v>231</v>
      </c>
      <c r="D13616" s="10" t="s">
        <v>1858</v>
      </c>
      <c r="E13616" s="14">
        <v>0.4</v>
      </c>
      <c r="F13616" s="15">
        <f>ROUND(1.05,3)</f>
        <v>1.05</v>
      </c>
      <c r="G13616" s="12">
        <f t="shared" si="2113"/>
        <v>0.42</v>
      </c>
    </row>
    <row r="13617" ht="21.0" customHeight="1">
      <c r="A13617" s="10" t="s">
        <v>22</v>
      </c>
      <c r="B13617" s="10" t="s">
        <v>18</v>
      </c>
      <c r="C13617" s="10" t="s">
        <v>23</v>
      </c>
      <c r="D13617" s="10" t="s">
        <v>24</v>
      </c>
      <c r="E13617" s="14">
        <v>0.9</v>
      </c>
      <c r="F13617" s="15">
        <f>F13621</f>
        <v>43.8</v>
      </c>
      <c r="G13617" s="12">
        <f t="shared" si="2113"/>
        <v>39.42</v>
      </c>
    </row>
    <row r="13618" ht="24.0" customHeight="1">
      <c r="A13618" s="10" t="s">
        <v>25</v>
      </c>
      <c r="B13618" s="10" t="s">
        <v>26</v>
      </c>
      <c r="C13618" s="10" t="s">
        <v>23</v>
      </c>
      <c r="D13618" s="10" t="s">
        <v>27</v>
      </c>
      <c r="E13618" s="14">
        <v>1.0</v>
      </c>
      <c r="F13618" s="15">
        <f>ROUND(21,3)</f>
        <v>21</v>
      </c>
      <c r="G13618" s="12">
        <f t="shared" si="2113"/>
        <v>21</v>
      </c>
    </row>
    <row r="13619" ht="24.0" customHeight="1">
      <c r="A13619" s="10" t="s">
        <v>28</v>
      </c>
      <c r="B13619" s="10" t="s">
        <v>26</v>
      </c>
      <c r="C13619" s="10" t="s">
        <v>23</v>
      </c>
      <c r="D13619" s="10" t="s">
        <v>29</v>
      </c>
      <c r="E13619" s="14">
        <v>1.0</v>
      </c>
      <c r="F13619" s="15">
        <f t="shared" ref="F13619:F13620" si="2114">ROUND(19,3)</f>
        <v>19</v>
      </c>
      <c r="G13619" s="12">
        <f t="shared" si="2113"/>
        <v>19</v>
      </c>
    </row>
    <row r="13620" ht="24.0" customHeight="1">
      <c r="A13620" s="10" t="s">
        <v>30</v>
      </c>
      <c r="B13620" s="10" t="s">
        <v>26</v>
      </c>
      <c r="C13620" s="10" t="s">
        <v>23</v>
      </c>
      <c r="D13620" s="10" t="s">
        <v>31</v>
      </c>
      <c r="E13620" s="14">
        <v>0.2</v>
      </c>
      <c r="F13620" s="15">
        <f t="shared" si="2114"/>
        <v>19</v>
      </c>
      <c r="G13620" s="12">
        <f t="shared" si="2113"/>
        <v>3.8</v>
      </c>
    </row>
    <row r="13621" ht="15.0" customHeight="1">
      <c r="A13621" s="11"/>
      <c r="B13621" s="11"/>
      <c r="C13621" s="11"/>
      <c r="D13621" s="10" t="s">
        <v>22</v>
      </c>
      <c r="E13621" s="14">
        <v>0.9</v>
      </c>
      <c r="F13621" s="15">
        <f>ROUND((G13618+G13619+G13620),3)</f>
        <v>43.8</v>
      </c>
      <c r="G13621" s="12">
        <f t="shared" si="2113"/>
        <v>39.42</v>
      </c>
    </row>
    <row r="13622" ht="15.0" customHeight="1">
      <c r="A13622" s="10" t="s">
        <v>32</v>
      </c>
      <c r="B13622" s="10"/>
      <c r="C13622" s="10" t="s">
        <v>33</v>
      </c>
      <c r="D13622" s="10" t="s">
        <v>34</v>
      </c>
      <c r="E13622" s="14">
        <v>5.0</v>
      </c>
      <c r="F13622" s="15">
        <f>ROUND(39.42,3)</f>
        <v>39.42</v>
      </c>
      <c r="G13622" s="12">
        <f>ROUND((E13622*F13622)/100,2)</f>
        <v>1.97</v>
      </c>
    </row>
    <row r="13623" ht="15.0" customHeight="1">
      <c r="A13623" s="16"/>
      <c r="B13623" s="16"/>
      <c r="C13623" s="16"/>
      <c r="D13623" s="17" t="s">
        <v>5735</v>
      </c>
      <c r="E13623" s="16"/>
      <c r="F13623" s="18">
        <f>ROUND((G13614+G13615+G13616+G13617+G13622)*(1+G2/100),2)</f>
        <v>48.95</v>
      </c>
      <c r="G13623" s="16"/>
    </row>
    <row r="13624" ht="48.75" customHeight="1">
      <c r="A13624" s="19" t="s">
        <v>5738</v>
      </c>
      <c r="B13624" s="20" t="s">
        <v>18</v>
      </c>
      <c r="C13624" s="20" t="s">
        <v>19</v>
      </c>
      <c r="D13624" s="20" t="s">
        <v>5739</v>
      </c>
      <c r="E13624" s="21"/>
      <c r="F13624" s="22">
        <f>F13635</f>
        <v>44.35</v>
      </c>
      <c r="G13624" s="21"/>
    </row>
    <row r="13625" ht="30.0" customHeight="1">
      <c r="A13625" s="11"/>
      <c r="B13625" s="11"/>
      <c r="C13625" s="11"/>
      <c r="D13625" s="10" t="s">
        <v>5740</v>
      </c>
    </row>
    <row r="13626" ht="30.0" customHeight="1">
      <c r="A13626" s="10" t="s">
        <v>5651</v>
      </c>
      <c r="B13626" s="10" t="s">
        <v>42</v>
      </c>
      <c r="C13626" s="10" t="s">
        <v>184</v>
      </c>
      <c r="D13626" s="10" t="s">
        <v>5652</v>
      </c>
      <c r="E13626" s="14">
        <v>1.26</v>
      </c>
      <c r="F13626" s="15">
        <f>ROUND(5.21,3)</f>
        <v>5.21</v>
      </c>
      <c r="G13626" s="12">
        <f t="shared" ref="G13626:G13633" si="2115">ROUND(E13626*F13626,2)</f>
        <v>6.56</v>
      </c>
    </row>
    <row r="13627" ht="30.0" customHeight="1">
      <c r="A13627" s="10" t="s">
        <v>1227</v>
      </c>
      <c r="B13627" s="10" t="s">
        <v>42</v>
      </c>
      <c r="C13627" s="10" t="s">
        <v>226</v>
      </c>
      <c r="D13627" s="10" t="s">
        <v>1228</v>
      </c>
      <c r="E13627" s="14">
        <v>0.021</v>
      </c>
      <c r="F13627" s="15">
        <f>ROUND(27.5,3)</f>
        <v>27.5</v>
      </c>
      <c r="G13627" s="12">
        <f t="shared" si="2115"/>
        <v>0.58</v>
      </c>
    </row>
    <row r="13628" ht="21.0" customHeight="1">
      <c r="A13628" s="10" t="s">
        <v>1857</v>
      </c>
      <c r="B13628" s="10" t="s">
        <v>42</v>
      </c>
      <c r="C13628" s="10" t="s">
        <v>231</v>
      </c>
      <c r="D13628" s="10" t="s">
        <v>1858</v>
      </c>
      <c r="E13628" s="14">
        <v>0.4</v>
      </c>
      <c r="F13628" s="15">
        <f>ROUND(1.05,3)</f>
        <v>1.05</v>
      </c>
      <c r="G13628" s="12">
        <f t="shared" si="2115"/>
        <v>0.42</v>
      </c>
    </row>
    <row r="13629" ht="21.0" customHeight="1">
      <c r="A13629" s="10" t="s">
        <v>22</v>
      </c>
      <c r="B13629" s="10" t="s">
        <v>18</v>
      </c>
      <c r="C13629" s="10" t="s">
        <v>23</v>
      </c>
      <c r="D13629" s="10" t="s">
        <v>24</v>
      </c>
      <c r="E13629" s="14">
        <v>0.8</v>
      </c>
      <c r="F13629" s="15">
        <f>F13633</f>
        <v>43.8</v>
      </c>
      <c r="G13629" s="12">
        <f t="shared" si="2115"/>
        <v>35.04</v>
      </c>
    </row>
    <row r="13630" ht="24.0" customHeight="1">
      <c r="A13630" s="10" t="s">
        <v>25</v>
      </c>
      <c r="B13630" s="10" t="s">
        <v>26</v>
      </c>
      <c r="C13630" s="10" t="s">
        <v>23</v>
      </c>
      <c r="D13630" s="10" t="s">
        <v>27</v>
      </c>
      <c r="E13630" s="14">
        <v>1.0</v>
      </c>
      <c r="F13630" s="15">
        <f>ROUND(21,3)</f>
        <v>21</v>
      </c>
      <c r="G13630" s="12">
        <f t="shared" si="2115"/>
        <v>21</v>
      </c>
    </row>
    <row r="13631" ht="24.0" customHeight="1">
      <c r="A13631" s="10" t="s">
        <v>28</v>
      </c>
      <c r="B13631" s="10" t="s">
        <v>26</v>
      </c>
      <c r="C13631" s="10" t="s">
        <v>23</v>
      </c>
      <c r="D13631" s="10" t="s">
        <v>29</v>
      </c>
      <c r="E13631" s="14">
        <v>1.0</v>
      </c>
      <c r="F13631" s="15">
        <f t="shared" ref="F13631:F13632" si="2116">ROUND(19,3)</f>
        <v>19</v>
      </c>
      <c r="G13631" s="12">
        <f t="shared" si="2115"/>
        <v>19</v>
      </c>
    </row>
    <row r="13632" ht="24.0" customHeight="1">
      <c r="A13632" s="10" t="s">
        <v>30</v>
      </c>
      <c r="B13632" s="10" t="s">
        <v>26</v>
      </c>
      <c r="C13632" s="10" t="s">
        <v>23</v>
      </c>
      <c r="D13632" s="10" t="s">
        <v>31</v>
      </c>
      <c r="E13632" s="14">
        <v>0.2</v>
      </c>
      <c r="F13632" s="15">
        <f t="shared" si="2116"/>
        <v>19</v>
      </c>
      <c r="G13632" s="12">
        <f t="shared" si="2115"/>
        <v>3.8</v>
      </c>
    </row>
    <row r="13633" ht="15.0" customHeight="1">
      <c r="A13633" s="11"/>
      <c r="B13633" s="11"/>
      <c r="C13633" s="11"/>
      <c r="D13633" s="10" t="s">
        <v>22</v>
      </c>
      <c r="E13633" s="14">
        <v>0.8</v>
      </c>
      <c r="F13633" s="15">
        <f>ROUND((G13630+G13631+G13632),3)</f>
        <v>43.8</v>
      </c>
      <c r="G13633" s="12">
        <f t="shared" si="2115"/>
        <v>35.04</v>
      </c>
    </row>
    <row r="13634" ht="15.0" customHeight="1">
      <c r="A13634" s="10" t="s">
        <v>32</v>
      </c>
      <c r="B13634" s="10"/>
      <c r="C13634" s="10" t="s">
        <v>33</v>
      </c>
      <c r="D13634" s="10" t="s">
        <v>34</v>
      </c>
      <c r="E13634" s="14">
        <v>5.0</v>
      </c>
      <c r="F13634" s="15">
        <f>ROUND(35.04,3)</f>
        <v>35.04</v>
      </c>
      <c r="G13634" s="12">
        <f>ROUND((E13634*F13634)/100,2)</f>
        <v>1.75</v>
      </c>
    </row>
    <row r="13635" ht="15.0" customHeight="1">
      <c r="A13635" s="16"/>
      <c r="B13635" s="16"/>
      <c r="C13635" s="16"/>
      <c r="D13635" s="17" t="s">
        <v>5738</v>
      </c>
      <c r="E13635" s="16"/>
      <c r="F13635" s="18">
        <f>ROUND((G13626+G13627+G13628+G13629+G13634)*(1+G2/100),2)</f>
        <v>44.35</v>
      </c>
      <c r="G13635" s="16"/>
    </row>
    <row r="13636" ht="57.75" customHeight="1">
      <c r="A13636" s="19" t="s">
        <v>5741</v>
      </c>
      <c r="B13636" s="20" t="s">
        <v>18</v>
      </c>
      <c r="C13636" s="20" t="s">
        <v>19</v>
      </c>
      <c r="D13636" s="20" t="s">
        <v>5742</v>
      </c>
      <c r="E13636" s="21"/>
      <c r="F13636" s="22">
        <f>F13648</f>
        <v>27.91</v>
      </c>
      <c r="G13636" s="21"/>
    </row>
    <row r="13637" ht="30.0" customHeight="1">
      <c r="A13637" s="11"/>
      <c r="B13637" s="11"/>
      <c r="C13637" s="11"/>
      <c r="D13637" s="10" t="s">
        <v>5743</v>
      </c>
    </row>
    <row r="13638" ht="30.0" customHeight="1">
      <c r="A13638" s="10" t="s">
        <v>5651</v>
      </c>
      <c r="B13638" s="10" t="s">
        <v>42</v>
      </c>
      <c r="C13638" s="10" t="s">
        <v>184</v>
      </c>
      <c r="D13638" s="10" t="s">
        <v>5652</v>
      </c>
      <c r="E13638" s="14">
        <v>1.26</v>
      </c>
      <c r="F13638" s="15">
        <f>ROUND(5.21,3)</f>
        <v>5.21</v>
      </c>
      <c r="G13638" s="12">
        <f t="shared" ref="G13638:G13646" si="2117">ROUND(E13638*F13638,2)</f>
        <v>6.56</v>
      </c>
    </row>
    <row r="13639" ht="30.0" customHeight="1">
      <c r="A13639" s="10" t="s">
        <v>1227</v>
      </c>
      <c r="B13639" s="10" t="s">
        <v>42</v>
      </c>
      <c r="C13639" s="10" t="s">
        <v>226</v>
      </c>
      <c r="D13639" s="10" t="s">
        <v>1228</v>
      </c>
      <c r="E13639" s="14">
        <v>0.021</v>
      </c>
      <c r="F13639" s="15">
        <f>ROUND(27.5,3)</f>
        <v>27.5</v>
      </c>
      <c r="G13639" s="12">
        <f t="shared" si="2117"/>
        <v>0.58</v>
      </c>
    </row>
    <row r="13640" ht="21.0" customHeight="1">
      <c r="A13640" s="10" t="s">
        <v>1857</v>
      </c>
      <c r="B13640" s="10" t="s">
        <v>42</v>
      </c>
      <c r="C13640" s="10" t="s">
        <v>231</v>
      </c>
      <c r="D13640" s="10" t="s">
        <v>1858</v>
      </c>
      <c r="E13640" s="14">
        <v>0.4</v>
      </c>
      <c r="F13640" s="15">
        <f>ROUND(1.05,3)</f>
        <v>1.05</v>
      </c>
      <c r="G13640" s="12">
        <f t="shared" si="2117"/>
        <v>0.42</v>
      </c>
    </row>
    <row r="13641" ht="21.0" customHeight="1">
      <c r="A13641" s="10" t="s">
        <v>1605</v>
      </c>
      <c r="B13641" s="10" t="s">
        <v>112</v>
      </c>
      <c r="C13641" s="10" t="s">
        <v>23</v>
      </c>
      <c r="D13641" s="10" t="s">
        <v>1606</v>
      </c>
      <c r="E13641" s="14">
        <v>0.2</v>
      </c>
      <c r="F13641" s="15">
        <f>ROUND(11.5,3)</f>
        <v>11.5</v>
      </c>
      <c r="G13641" s="12">
        <f t="shared" si="2117"/>
        <v>2.3</v>
      </c>
    </row>
    <row r="13642" ht="21.0" customHeight="1">
      <c r="A13642" s="10" t="s">
        <v>22</v>
      </c>
      <c r="B13642" s="10" t="s">
        <v>18</v>
      </c>
      <c r="C13642" s="10" t="s">
        <v>23</v>
      </c>
      <c r="D13642" s="10" t="s">
        <v>24</v>
      </c>
      <c r="E13642" s="14">
        <v>0.4</v>
      </c>
      <c r="F13642" s="15">
        <f>F13646</f>
        <v>43.8</v>
      </c>
      <c r="G13642" s="12">
        <f t="shared" si="2117"/>
        <v>17.52</v>
      </c>
    </row>
    <row r="13643" ht="24.0" customHeight="1">
      <c r="A13643" s="10" t="s">
        <v>25</v>
      </c>
      <c r="B13643" s="10" t="s">
        <v>26</v>
      </c>
      <c r="C13643" s="10" t="s">
        <v>23</v>
      </c>
      <c r="D13643" s="10" t="s">
        <v>27</v>
      </c>
      <c r="E13643" s="14">
        <v>1.0</v>
      </c>
      <c r="F13643" s="15">
        <f>ROUND(21,3)</f>
        <v>21</v>
      </c>
      <c r="G13643" s="12">
        <f t="shared" si="2117"/>
        <v>21</v>
      </c>
    </row>
    <row r="13644" ht="24.0" customHeight="1">
      <c r="A13644" s="10" t="s">
        <v>28</v>
      </c>
      <c r="B13644" s="10" t="s">
        <v>26</v>
      </c>
      <c r="C13644" s="10" t="s">
        <v>23</v>
      </c>
      <c r="D13644" s="10" t="s">
        <v>29</v>
      </c>
      <c r="E13644" s="14">
        <v>1.0</v>
      </c>
      <c r="F13644" s="15">
        <f t="shared" ref="F13644:F13645" si="2118">ROUND(19,3)</f>
        <v>19</v>
      </c>
      <c r="G13644" s="12">
        <f t="shared" si="2117"/>
        <v>19</v>
      </c>
    </row>
    <row r="13645" ht="24.0" customHeight="1">
      <c r="A13645" s="10" t="s">
        <v>30</v>
      </c>
      <c r="B13645" s="10" t="s">
        <v>26</v>
      </c>
      <c r="C13645" s="10" t="s">
        <v>23</v>
      </c>
      <c r="D13645" s="10" t="s">
        <v>31</v>
      </c>
      <c r="E13645" s="14">
        <v>0.2</v>
      </c>
      <c r="F13645" s="15">
        <f t="shared" si="2118"/>
        <v>19</v>
      </c>
      <c r="G13645" s="12">
        <f t="shared" si="2117"/>
        <v>3.8</v>
      </c>
    </row>
    <row r="13646" ht="15.0" customHeight="1">
      <c r="A13646" s="11"/>
      <c r="B13646" s="11"/>
      <c r="C13646" s="11"/>
      <c r="D13646" s="10" t="s">
        <v>22</v>
      </c>
      <c r="E13646" s="14">
        <v>0.4</v>
      </c>
      <c r="F13646" s="15">
        <f>ROUND((G13643+G13644+G13645),3)</f>
        <v>43.8</v>
      </c>
      <c r="G13646" s="12">
        <f t="shared" si="2117"/>
        <v>17.52</v>
      </c>
    </row>
    <row r="13647" ht="15.0" customHeight="1">
      <c r="A13647" s="10" t="s">
        <v>32</v>
      </c>
      <c r="B13647" s="10"/>
      <c r="C13647" s="10" t="s">
        <v>33</v>
      </c>
      <c r="D13647" s="10" t="s">
        <v>34</v>
      </c>
      <c r="E13647" s="14">
        <v>3.0</v>
      </c>
      <c r="F13647" s="15">
        <f>ROUND(17.52,3)</f>
        <v>17.52</v>
      </c>
      <c r="G13647" s="12">
        <f>ROUND((E13647*F13647)/100,2)</f>
        <v>0.53</v>
      </c>
    </row>
    <row r="13648" ht="15.0" customHeight="1">
      <c r="A13648" s="16"/>
      <c r="B13648" s="16"/>
      <c r="C13648" s="16"/>
      <c r="D13648" s="17" t="s">
        <v>5741</v>
      </c>
      <c r="E13648" s="16"/>
      <c r="F13648" s="18">
        <f>ROUND((G13638+G13639+G13640+G13641+G13642+G13647)*(1+G2/100),2)</f>
        <v>27.91</v>
      </c>
      <c r="G13648" s="16"/>
    </row>
    <row r="13649" ht="57.75" customHeight="1">
      <c r="A13649" s="19" t="s">
        <v>5744</v>
      </c>
      <c r="B13649" s="20" t="s">
        <v>18</v>
      </c>
      <c r="C13649" s="20" t="s">
        <v>19</v>
      </c>
      <c r="D13649" s="20" t="s">
        <v>5745</v>
      </c>
      <c r="E13649" s="21"/>
      <c r="F13649" s="22">
        <f>F13661</f>
        <v>32.42</v>
      </c>
      <c r="G13649" s="21"/>
    </row>
    <row r="13650" ht="30.0" customHeight="1">
      <c r="A13650" s="11"/>
      <c r="B13650" s="11"/>
      <c r="C13650" s="11"/>
      <c r="D13650" s="10" t="s">
        <v>5746</v>
      </c>
    </row>
    <row r="13651" ht="30.0" customHeight="1">
      <c r="A13651" s="10" t="s">
        <v>5651</v>
      </c>
      <c r="B13651" s="10" t="s">
        <v>42</v>
      </c>
      <c r="C13651" s="10" t="s">
        <v>184</v>
      </c>
      <c r="D13651" s="10" t="s">
        <v>5652</v>
      </c>
      <c r="E13651" s="14">
        <v>1.26</v>
      </c>
      <c r="F13651" s="15">
        <f>ROUND(5.21,3)</f>
        <v>5.21</v>
      </c>
      <c r="G13651" s="12">
        <f t="shared" ref="G13651:G13659" si="2119">ROUND(E13651*F13651,2)</f>
        <v>6.56</v>
      </c>
    </row>
    <row r="13652" ht="30.0" customHeight="1">
      <c r="A13652" s="10" t="s">
        <v>1227</v>
      </c>
      <c r="B13652" s="10" t="s">
        <v>42</v>
      </c>
      <c r="C13652" s="10" t="s">
        <v>226</v>
      </c>
      <c r="D13652" s="10" t="s">
        <v>1228</v>
      </c>
      <c r="E13652" s="14">
        <v>0.021</v>
      </c>
      <c r="F13652" s="15">
        <f>ROUND(27.5,3)</f>
        <v>27.5</v>
      </c>
      <c r="G13652" s="12">
        <f t="shared" si="2119"/>
        <v>0.58</v>
      </c>
    </row>
    <row r="13653" ht="21.0" customHeight="1">
      <c r="A13653" s="10" t="s">
        <v>1857</v>
      </c>
      <c r="B13653" s="10" t="s">
        <v>42</v>
      </c>
      <c r="C13653" s="10" t="s">
        <v>231</v>
      </c>
      <c r="D13653" s="10" t="s">
        <v>1858</v>
      </c>
      <c r="E13653" s="14">
        <v>0.4</v>
      </c>
      <c r="F13653" s="15">
        <f>ROUND(1.05,3)</f>
        <v>1.05</v>
      </c>
      <c r="G13653" s="12">
        <f t="shared" si="2119"/>
        <v>0.42</v>
      </c>
    </row>
    <row r="13654" ht="21.0" customHeight="1">
      <c r="A13654" s="10" t="s">
        <v>1605</v>
      </c>
      <c r="B13654" s="10" t="s">
        <v>112</v>
      </c>
      <c r="C13654" s="10" t="s">
        <v>23</v>
      </c>
      <c r="D13654" s="10" t="s">
        <v>1606</v>
      </c>
      <c r="E13654" s="14">
        <v>0.2</v>
      </c>
      <c r="F13654" s="15">
        <f>ROUND(11.5,3)</f>
        <v>11.5</v>
      </c>
      <c r="G13654" s="12">
        <f t="shared" si="2119"/>
        <v>2.3</v>
      </c>
    </row>
    <row r="13655" ht="21.0" customHeight="1">
      <c r="A13655" s="10" t="s">
        <v>22</v>
      </c>
      <c r="B13655" s="10" t="s">
        <v>18</v>
      </c>
      <c r="C13655" s="10" t="s">
        <v>23</v>
      </c>
      <c r="D13655" s="10" t="s">
        <v>24</v>
      </c>
      <c r="E13655" s="14">
        <v>0.5</v>
      </c>
      <c r="F13655" s="15">
        <f>F13659</f>
        <v>43.8</v>
      </c>
      <c r="G13655" s="12">
        <f t="shared" si="2119"/>
        <v>21.9</v>
      </c>
    </row>
    <row r="13656" ht="24.0" customHeight="1">
      <c r="A13656" s="10" t="s">
        <v>25</v>
      </c>
      <c r="B13656" s="10" t="s">
        <v>26</v>
      </c>
      <c r="C13656" s="10" t="s">
        <v>23</v>
      </c>
      <c r="D13656" s="10" t="s">
        <v>27</v>
      </c>
      <c r="E13656" s="14">
        <v>1.0</v>
      </c>
      <c r="F13656" s="15">
        <f>ROUND(21,3)</f>
        <v>21</v>
      </c>
      <c r="G13656" s="12">
        <f t="shared" si="2119"/>
        <v>21</v>
      </c>
    </row>
    <row r="13657" ht="24.0" customHeight="1">
      <c r="A13657" s="10" t="s">
        <v>28</v>
      </c>
      <c r="B13657" s="10" t="s">
        <v>26</v>
      </c>
      <c r="C13657" s="10" t="s">
        <v>23</v>
      </c>
      <c r="D13657" s="10" t="s">
        <v>29</v>
      </c>
      <c r="E13657" s="14">
        <v>1.0</v>
      </c>
      <c r="F13657" s="15">
        <f t="shared" ref="F13657:F13658" si="2120">ROUND(19,3)</f>
        <v>19</v>
      </c>
      <c r="G13657" s="12">
        <f t="shared" si="2119"/>
        <v>19</v>
      </c>
    </row>
    <row r="13658" ht="24.0" customHeight="1">
      <c r="A13658" s="10" t="s">
        <v>30</v>
      </c>
      <c r="B13658" s="10" t="s">
        <v>26</v>
      </c>
      <c r="C13658" s="10" t="s">
        <v>23</v>
      </c>
      <c r="D13658" s="10" t="s">
        <v>31</v>
      </c>
      <c r="E13658" s="14">
        <v>0.2</v>
      </c>
      <c r="F13658" s="15">
        <f t="shared" si="2120"/>
        <v>19</v>
      </c>
      <c r="G13658" s="12">
        <f t="shared" si="2119"/>
        <v>3.8</v>
      </c>
    </row>
    <row r="13659" ht="15.0" customHeight="1">
      <c r="A13659" s="11"/>
      <c r="B13659" s="11"/>
      <c r="C13659" s="11"/>
      <c r="D13659" s="10" t="s">
        <v>22</v>
      </c>
      <c r="E13659" s="14">
        <v>0.5</v>
      </c>
      <c r="F13659" s="15">
        <f>ROUND((G13656+G13657+G13658),3)</f>
        <v>43.8</v>
      </c>
      <c r="G13659" s="12">
        <f t="shared" si="2119"/>
        <v>21.9</v>
      </c>
    </row>
    <row r="13660" ht="15.0" customHeight="1">
      <c r="A13660" s="10" t="s">
        <v>32</v>
      </c>
      <c r="B13660" s="10"/>
      <c r="C13660" s="10" t="s">
        <v>33</v>
      </c>
      <c r="D13660" s="10" t="s">
        <v>34</v>
      </c>
      <c r="E13660" s="14">
        <v>3.0</v>
      </c>
      <c r="F13660" s="15">
        <f>ROUND(21.9,3)</f>
        <v>21.9</v>
      </c>
      <c r="G13660" s="12">
        <f>ROUND((E13660*F13660)/100,2)</f>
        <v>0.66</v>
      </c>
    </row>
    <row r="13661" ht="15.0" customHeight="1">
      <c r="A13661" s="16"/>
      <c r="B13661" s="16"/>
      <c r="C13661" s="16"/>
      <c r="D13661" s="17" t="s">
        <v>5744</v>
      </c>
      <c r="E13661" s="16"/>
      <c r="F13661" s="18">
        <f>ROUND((G13651+G13652+G13653+G13654+G13655+G13660)*(1+G2/100),2)</f>
        <v>32.42</v>
      </c>
      <c r="G13661" s="16"/>
    </row>
    <row r="13662" ht="57.75" customHeight="1">
      <c r="A13662" s="19" t="s">
        <v>5747</v>
      </c>
      <c r="B13662" s="20" t="s">
        <v>18</v>
      </c>
      <c r="C13662" s="20" t="s">
        <v>19</v>
      </c>
      <c r="D13662" s="20" t="s">
        <v>5748</v>
      </c>
      <c r="E13662" s="21"/>
      <c r="F13662" s="22">
        <f>F13674</f>
        <v>32.42</v>
      </c>
      <c r="G13662" s="21"/>
    </row>
    <row r="13663" ht="30.0" customHeight="1">
      <c r="A13663" s="11"/>
      <c r="B13663" s="11"/>
      <c r="C13663" s="11"/>
      <c r="D13663" s="10" t="s">
        <v>5749</v>
      </c>
    </row>
    <row r="13664" ht="30.0" customHeight="1">
      <c r="A13664" s="10" t="s">
        <v>5651</v>
      </c>
      <c r="B13664" s="10" t="s">
        <v>42</v>
      </c>
      <c r="C13664" s="10" t="s">
        <v>184</v>
      </c>
      <c r="D13664" s="10" t="s">
        <v>5652</v>
      </c>
      <c r="E13664" s="14">
        <v>1.26</v>
      </c>
      <c r="F13664" s="15">
        <f>ROUND(5.21,3)</f>
        <v>5.21</v>
      </c>
      <c r="G13664" s="12">
        <f t="shared" ref="G13664:G13672" si="2121">ROUND(E13664*F13664,2)</f>
        <v>6.56</v>
      </c>
    </row>
    <row r="13665" ht="30.0" customHeight="1">
      <c r="A13665" s="10" t="s">
        <v>1227</v>
      </c>
      <c r="B13665" s="10" t="s">
        <v>42</v>
      </c>
      <c r="C13665" s="10" t="s">
        <v>226</v>
      </c>
      <c r="D13665" s="10" t="s">
        <v>1228</v>
      </c>
      <c r="E13665" s="14">
        <v>0.021</v>
      </c>
      <c r="F13665" s="15">
        <f>ROUND(27.5,3)</f>
        <v>27.5</v>
      </c>
      <c r="G13665" s="12">
        <f t="shared" si="2121"/>
        <v>0.58</v>
      </c>
    </row>
    <row r="13666" ht="21.0" customHeight="1">
      <c r="A13666" s="10" t="s">
        <v>1857</v>
      </c>
      <c r="B13666" s="10" t="s">
        <v>42</v>
      </c>
      <c r="C13666" s="10" t="s">
        <v>231</v>
      </c>
      <c r="D13666" s="10" t="s">
        <v>1858</v>
      </c>
      <c r="E13666" s="14">
        <v>0.4</v>
      </c>
      <c r="F13666" s="15">
        <f>ROUND(1.05,3)</f>
        <v>1.05</v>
      </c>
      <c r="G13666" s="12">
        <f t="shared" si="2121"/>
        <v>0.42</v>
      </c>
    </row>
    <row r="13667" ht="21.0" customHeight="1">
      <c r="A13667" s="10" t="s">
        <v>1605</v>
      </c>
      <c r="B13667" s="10" t="s">
        <v>112</v>
      </c>
      <c r="C13667" s="10" t="s">
        <v>23</v>
      </c>
      <c r="D13667" s="10" t="s">
        <v>1606</v>
      </c>
      <c r="E13667" s="14">
        <v>0.2</v>
      </c>
      <c r="F13667" s="15">
        <f>ROUND(11.5,3)</f>
        <v>11.5</v>
      </c>
      <c r="G13667" s="12">
        <f t="shared" si="2121"/>
        <v>2.3</v>
      </c>
    </row>
    <row r="13668" ht="21.0" customHeight="1">
      <c r="A13668" s="10" t="s">
        <v>22</v>
      </c>
      <c r="B13668" s="10" t="s">
        <v>18</v>
      </c>
      <c r="C13668" s="10" t="s">
        <v>23</v>
      </c>
      <c r="D13668" s="10" t="s">
        <v>24</v>
      </c>
      <c r="E13668" s="14">
        <v>0.5</v>
      </c>
      <c r="F13668" s="15">
        <f>F13672</f>
        <v>43.8</v>
      </c>
      <c r="G13668" s="12">
        <f t="shared" si="2121"/>
        <v>21.9</v>
      </c>
    </row>
    <row r="13669" ht="24.0" customHeight="1">
      <c r="A13669" s="10" t="s">
        <v>25</v>
      </c>
      <c r="B13669" s="10" t="s">
        <v>26</v>
      </c>
      <c r="C13669" s="10" t="s">
        <v>23</v>
      </c>
      <c r="D13669" s="10" t="s">
        <v>27</v>
      </c>
      <c r="E13669" s="14">
        <v>1.0</v>
      </c>
      <c r="F13669" s="15">
        <f>ROUND(21,3)</f>
        <v>21</v>
      </c>
      <c r="G13669" s="12">
        <f t="shared" si="2121"/>
        <v>21</v>
      </c>
    </row>
    <row r="13670" ht="24.0" customHeight="1">
      <c r="A13670" s="10" t="s">
        <v>28</v>
      </c>
      <c r="B13670" s="10" t="s">
        <v>26</v>
      </c>
      <c r="C13670" s="10" t="s">
        <v>23</v>
      </c>
      <c r="D13670" s="10" t="s">
        <v>29</v>
      </c>
      <c r="E13670" s="14">
        <v>1.0</v>
      </c>
      <c r="F13670" s="15">
        <f t="shared" ref="F13670:F13671" si="2122">ROUND(19,3)</f>
        <v>19</v>
      </c>
      <c r="G13670" s="12">
        <f t="shared" si="2121"/>
        <v>19</v>
      </c>
    </row>
    <row r="13671" ht="24.0" customHeight="1">
      <c r="A13671" s="10" t="s">
        <v>30</v>
      </c>
      <c r="B13671" s="10" t="s">
        <v>26</v>
      </c>
      <c r="C13671" s="10" t="s">
        <v>23</v>
      </c>
      <c r="D13671" s="10" t="s">
        <v>31</v>
      </c>
      <c r="E13671" s="14">
        <v>0.2</v>
      </c>
      <c r="F13671" s="15">
        <f t="shared" si="2122"/>
        <v>19</v>
      </c>
      <c r="G13671" s="12">
        <f t="shared" si="2121"/>
        <v>3.8</v>
      </c>
    </row>
    <row r="13672" ht="15.0" customHeight="1">
      <c r="A13672" s="11"/>
      <c r="B13672" s="11"/>
      <c r="C13672" s="11"/>
      <c r="D13672" s="10" t="s">
        <v>22</v>
      </c>
      <c r="E13672" s="14">
        <v>0.5</v>
      </c>
      <c r="F13672" s="15">
        <f>ROUND((G13669+G13670+G13671),3)</f>
        <v>43.8</v>
      </c>
      <c r="G13672" s="12">
        <f t="shared" si="2121"/>
        <v>21.9</v>
      </c>
    </row>
    <row r="13673" ht="15.0" customHeight="1">
      <c r="A13673" s="10" t="s">
        <v>32</v>
      </c>
      <c r="B13673" s="10"/>
      <c r="C13673" s="10" t="s">
        <v>33</v>
      </c>
      <c r="D13673" s="10" t="s">
        <v>34</v>
      </c>
      <c r="E13673" s="14">
        <v>3.0</v>
      </c>
      <c r="F13673" s="15">
        <f>ROUND(21.9,3)</f>
        <v>21.9</v>
      </c>
      <c r="G13673" s="12">
        <f>ROUND((E13673*F13673)/100,2)</f>
        <v>0.66</v>
      </c>
    </row>
    <row r="13674" ht="15.0" customHeight="1">
      <c r="A13674" s="16"/>
      <c r="B13674" s="16"/>
      <c r="C13674" s="16"/>
      <c r="D13674" s="17" t="s">
        <v>5747</v>
      </c>
      <c r="E13674" s="16"/>
      <c r="F13674" s="18">
        <f>ROUND((G13664+G13665+G13666+G13667+G13668+G13673)*(1+G2/100),2)</f>
        <v>32.42</v>
      </c>
      <c r="G13674" s="16"/>
    </row>
    <row r="13675" ht="57.75" customHeight="1">
      <c r="A13675" s="19" t="s">
        <v>5750</v>
      </c>
      <c r="B13675" s="20" t="s">
        <v>18</v>
      </c>
      <c r="C13675" s="20" t="s">
        <v>19</v>
      </c>
      <c r="D13675" s="20" t="s">
        <v>5751</v>
      </c>
      <c r="E13675" s="21"/>
      <c r="F13675" s="22">
        <f>F13687</f>
        <v>37.62</v>
      </c>
      <c r="G13675" s="21"/>
    </row>
    <row r="13676" ht="30.0" customHeight="1">
      <c r="A13676" s="11"/>
      <c r="B13676" s="11"/>
      <c r="C13676" s="11"/>
      <c r="D13676" s="10" t="s">
        <v>5752</v>
      </c>
    </row>
    <row r="13677" ht="30.0" customHeight="1">
      <c r="A13677" s="10" t="s">
        <v>5651</v>
      </c>
      <c r="B13677" s="10" t="s">
        <v>42</v>
      </c>
      <c r="C13677" s="10" t="s">
        <v>184</v>
      </c>
      <c r="D13677" s="10" t="s">
        <v>5652</v>
      </c>
      <c r="E13677" s="14">
        <v>1.26</v>
      </c>
      <c r="F13677" s="15">
        <f>ROUND(5.21,3)</f>
        <v>5.21</v>
      </c>
      <c r="G13677" s="12">
        <f t="shared" ref="G13677:G13685" si="2123">ROUND(E13677*F13677,2)</f>
        <v>6.56</v>
      </c>
    </row>
    <row r="13678" ht="30.0" customHeight="1">
      <c r="A13678" s="10" t="s">
        <v>1227</v>
      </c>
      <c r="B13678" s="10" t="s">
        <v>42</v>
      </c>
      <c r="C13678" s="10" t="s">
        <v>226</v>
      </c>
      <c r="D13678" s="10" t="s">
        <v>1228</v>
      </c>
      <c r="E13678" s="14">
        <v>0.021</v>
      </c>
      <c r="F13678" s="15">
        <f>ROUND(27.5,3)</f>
        <v>27.5</v>
      </c>
      <c r="G13678" s="12">
        <f t="shared" si="2123"/>
        <v>0.58</v>
      </c>
    </row>
    <row r="13679" ht="21.0" customHeight="1">
      <c r="A13679" s="10" t="s">
        <v>1857</v>
      </c>
      <c r="B13679" s="10" t="s">
        <v>42</v>
      </c>
      <c r="C13679" s="10" t="s">
        <v>231</v>
      </c>
      <c r="D13679" s="10" t="s">
        <v>1858</v>
      </c>
      <c r="E13679" s="14">
        <v>0.4</v>
      </c>
      <c r="F13679" s="15">
        <f>ROUND(1.05,3)</f>
        <v>1.05</v>
      </c>
      <c r="G13679" s="12">
        <f t="shared" si="2123"/>
        <v>0.42</v>
      </c>
    </row>
    <row r="13680" ht="21.0" customHeight="1">
      <c r="A13680" s="10" t="s">
        <v>1605</v>
      </c>
      <c r="B13680" s="10" t="s">
        <v>112</v>
      </c>
      <c r="C13680" s="10" t="s">
        <v>23</v>
      </c>
      <c r="D13680" s="10" t="s">
        <v>1606</v>
      </c>
      <c r="E13680" s="14">
        <v>0.2</v>
      </c>
      <c r="F13680" s="15">
        <f>ROUND(11.5,3)</f>
        <v>11.5</v>
      </c>
      <c r="G13680" s="12">
        <f t="shared" si="2123"/>
        <v>2.3</v>
      </c>
    </row>
    <row r="13681" ht="21.0" customHeight="1">
      <c r="A13681" s="10" t="s">
        <v>22</v>
      </c>
      <c r="B13681" s="10" t="s">
        <v>18</v>
      </c>
      <c r="C13681" s="10" t="s">
        <v>23</v>
      </c>
      <c r="D13681" s="10" t="s">
        <v>24</v>
      </c>
      <c r="E13681" s="14">
        <v>0.6154</v>
      </c>
      <c r="F13681" s="15">
        <f>F13685</f>
        <v>43.8</v>
      </c>
      <c r="G13681" s="12">
        <f t="shared" si="2123"/>
        <v>26.95</v>
      </c>
    </row>
    <row r="13682" ht="24.0" customHeight="1">
      <c r="A13682" s="10" t="s">
        <v>25</v>
      </c>
      <c r="B13682" s="10" t="s">
        <v>26</v>
      </c>
      <c r="C13682" s="10" t="s">
        <v>23</v>
      </c>
      <c r="D13682" s="10" t="s">
        <v>27</v>
      </c>
      <c r="E13682" s="14">
        <v>1.0</v>
      </c>
      <c r="F13682" s="15">
        <f>ROUND(21,3)</f>
        <v>21</v>
      </c>
      <c r="G13682" s="12">
        <f t="shared" si="2123"/>
        <v>21</v>
      </c>
    </row>
    <row r="13683" ht="24.0" customHeight="1">
      <c r="A13683" s="10" t="s">
        <v>28</v>
      </c>
      <c r="B13683" s="10" t="s">
        <v>26</v>
      </c>
      <c r="C13683" s="10" t="s">
        <v>23</v>
      </c>
      <c r="D13683" s="10" t="s">
        <v>29</v>
      </c>
      <c r="E13683" s="14">
        <v>1.0</v>
      </c>
      <c r="F13683" s="15">
        <f t="shared" ref="F13683:F13684" si="2124">ROUND(19,3)</f>
        <v>19</v>
      </c>
      <c r="G13683" s="12">
        <f t="shared" si="2123"/>
        <v>19</v>
      </c>
    </row>
    <row r="13684" ht="24.0" customHeight="1">
      <c r="A13684" s="10" t="s">
        <v>30</v>
      </c>
      <c r="B13684" s="10" t="s">
        <v>26</v>
      </c>
      <c r="C13684" s="10" t="s">
        <v>23</v>
      </c>
      <c r="D13684" s="10" t="s">
        <v>31</v>
      </c>
      <c r="E13684" s="14">
        <v>0.2</v>
      </c>
      <c r="F13684" s="15">
        <f t="shared" si="2124"/>
        <v>19</v>
      </c>
      <c r="G13684" s="12">
        <f t="shared" si="2123"/>
        <v>3.8</v>
      </c>
    </row>
    <row r="13685" ht="15.0" customHeight="1">
      <c r="A13685" s="11"/>
      <c r="B13685" s="11"/>
      <c r="C13685" s="11"/>
      <c r="D13685" s="10" t="s">
        <v>22</v>
      </c>
      <c r="E13685" s="14">
        <v>0.6154</v>
      </c>
      <c r="F13685" s="15">
        <f>ROUND((G13682+G13683+G13684),3)</f>
        <v>43.8</v>
      </c>
      <c r="G13685" s="12">
        <f t="shared" si="2123"/>
        <v>26.95</v>
      </c>
    </row>
    <row r="13686" ht="15.0" customHeight="1">
      <c r="A13686" s="10" t="s">
        <v>32</v>
      </c>
      <c r="B13686" s="10"/>
      <c r="C13686" s="10" t="s">
        <v>33</v>
      </c>
      <c r="D13686" s="10" t="s">
        <v>34</v>
      </c>
      <c r="E13686" s="14">
        <v>3.0</v>
      </c>
      <c r="F13686" s="15">
        <f>ROUND(26.95,3)</f>
        <v>26.95</v>
      </c>
      <c r="G13686" s="12">
        <f>ROUND((E13686*F13686)/100,2)</f>
        <v>0.81</v>
      </c>
    </row>
    <row r="13687" ht="15.0" customHeight="1">
      <c r="A13687" s="16"/>
      <c r="B13687" s="16"/>
      <c r="C13687" s="16"/>
      <c r="D13687" s="17" t="s">
        <v>5750</v>
      </c>
      <c r="E13687" s="16"/>
      <c r="F13687" s="18">
        <f>ROUND((G13677+G13678+G13679+G13680+G13681+G13686)*(1+G2/100),2)</f>
        <v>37.62</v>
      </c>
      <c r="G13687" s="16"/>
    </row>
    <row r="13688" ht="67.5" customHeight="1">
      <c r="A13688" s="19" t="s">
        <v>5753</v>
      </c>
      <c r="B13688" s="20" t="s">
        <v>18</v>
      </c>
      <c r="C13688" s="20" t="s">
        <v>19</v>
      </c>
      <c r="D13688" s="20" t="s">
        <v>5754</v>
      </c>
      <c r="E13688" s="21"/>
      <c r="F13688" s="22">
        <f>F13699</f>
        <v>44.35</v>
      </c>
      <c r="G13688" s="21"/>
    </row>
    <row r="13689" ht="30.0" customHeight="1">
      <c r="A13689" s="11"/>
      <c r="B13689" s="11"/>
      <c r="C13689" s="11"/>
      <c r="D13689" s="10" t="s">
        <v>5755</v>
      </c>
    </row>
    <row r="13690" ht="30.0" customHeight="1">
      <c r="A13690" s="10" t="s">
        <v>5651</v>
      </c>
      <c r="B13690" s="10" t="s">
        <v>42</v>
      </c>
      <c r="C13690" s="10" t="s">
        <v>184</v>
      </c>
      <c r="D13690" s="10" t="s">
        <v>5652</v>
      </c>
      <c r="E13690" s="14">
        <v>1.26</v>
      </c>
      <c r="F13690" s="15">
        <f>ROUND(5.21,3)</f>
        <v>5.21</v>
      </c>
      <c r="G13690" s="12">
        <f t="shared" ref="G13690:G13697" si="2125">ROUND(E13690*F13690,2)</f>
        <v>6.56</v>
      </c>
    </row>
    <row r="13691" ht="30.0" customHeight="1">
      <c r="A13691" s="10" t="s">
        <v>1227</v>
      </c>
      <c r="B13691" s="10" t="s">
        <v>42</v>
      </c>
      <c r="C13691" s="10" t="s">
        <v>226</v>
      </c>
      <c r="D13691" s="10" t="s">
        <v>1228</v>
      </c>
      <c r="E13691" s="14">
        <v>0.021</v>
      </c>
      <c r="F13691" s="15">
        <f>ROUND(27.5,3)</f>
        <v>27.5</v>
      </c>
      <c r="G13691" s="12">
        <f t="shared" si="2125"/>
        <v>0.58</v>
      </c>
    </row>
    <row r="13692" ht="21.0" customHeight="1">
      <c r="A13692" s="10" t="s">
        <v>1857</v>
      </c>
      <c r="B13692" s="10" t="s">
        <v>42</v>
      </c>
      <c r="C13692" s="10" t="s">
        <v>231</v>
      </c>
      <c r="D13692" s="10" t="s">
        <v>1858</v>
      </c>
      <c r="E13692" s="14">
        <v>0.4</v>
      </c>
      <c r="F13692" s="15">
        <f>ROUND(1.05,3)</f>
        <v>1.05</v>
      </c>
      <c r="G13692" s="12">
        <f t="shared" si="2125"/>
        <v>0.42</v>
      </c>
    </row>
    <row r="13693" ht="21.0" customHeight="1">
      <c r="A13693" s="10" t="s">
        <v>22</v>
      </c>
      <c r="B13693" s="10" t="s">
        <v>18</v>
      </c>
      <c r="C13693" s="10" t="s">
        <v>23</v>
      </c>
      <c r="D13693" s="10" t="s">
        <v>24</v>
      </c>
      <c r="E13693" s="14">
        <v>0.8</v>
      </c>
      <c r="F13693" s="15">
        <f>F13697</f>
        <v>43.8</v>
      </c>
      <c r="G13693" s="12">
        <f t="shared" si="2125"/>
        <v>35.04</v>
      </c>
    </row>
    <row r="13694" ht="24.0" customHeight="1">
      <c r="A13694" s="10" t="s">
        <v>25</v>
      </c>
      <c r="B13694" s="10" t="s">
        <v>26</v>
      </c>
      <c r="C13694" s="10" t="s">
        <v>23</v>
      </c>
      <c r="D13694" s="10" t="s">
        <v>27</v>
      </c>
      <c r="E13694" s="14">
        <v>1.0</v>
      </c>
      <c r="F13694" s="15">
        <f>ROUND(21,3)</f>
        <v>21</v>
      </c>
      <c r="G13694" s="12">
        <f t="shared" si="2125"/>
        <v>21</v>
      </c>
    </row>
    <row r="13695" ht="24.0" customHeight="1">
      <c r="A13695" s="10" t="s">
        <v>28</v>
      </c>
      <c r="B13695" s="10" t="s">
        <v>26</v>
      </c>
      <c r="C13695" s="10" t="s">
        <v>23</v>
      </c>
      <c r="D13695" s="10" t="s">
        <v>29</v>
      </c>
      <c r="E13695" s="14">
        <v>1.0</v>
      </c>
      <c r="F13695" s="15">
        <f t="shared" ref="F13695:F13696" si="2126">ROUND(19,3)</f>
        <v>19</v>
      </c>
      <c r="G13695" s="12">
        <f t="shared" si="2125"/>
        <v>19</v>
      </c>
    </row>
    <row r="13696" ht="24.0" customHeight="1">
      <c r="A13696" s="10" t="s">
        <v>30</v>
      </c>
      <c r="B13696" s="10" t="s">
        <v>26</v>
      </c>
      <c r="C13696" s="10" t="s">
        <v>23</v>
      </c>
      <c r="D13696" s="10" t="s">
        <v>31</v>
      </c>
      <c r="E13696" s="14">
        <v>0.2</v>
      </c>
      <c r="F13696" s="15">
        <f t="shared" si="2126"/>
        <v>19</v>
      </c>
      <c r="G13696" s="12">
        <f t="shared" si="2125"/>
        <v>3.8</v>
      </c>
    </row>
    <row r="13697" ht="15.0" customHeight="1">
      <c r="A13697" s="11"/>
      <c r="B13697" s="11"/>
      <c r="C13697" s="11"/>
      <c r="D13697" s="10" t="s">
        <v>22</v>
      </c>
      <c r="E13697" s="14">
        <v>0.8</v>
      </c>
      <c r="F13697" s="15">
        <f>ROUND((G13694+G13695+G13696),3)</f>
        <v>43.8</v>
      </c>
      <c r="G13697" s="12">
        <f t="shared" si="2125"/>
        <v>35.04</v>
      </c>
    </row>
    <row r="13698" ht="15.0" customHeight="1">
      <c r="A13698" s="10" t="s">
        <v>32</v>
      </c>
      <c r="B13698" s="10"/>
      <c r="C13698" s="10" t="s">
        <v>33</v>
      </c>
      <c r="D13698" s="10" t="s">
        <v>34</v>
      </c>
      <c r="E13698" s="14">
        <v>5.0</v>
      </c>
      <c r="F13698" s="15">
        <f>ROUND(35.04,3)</f>
        <v>35.04</v>
      </c>
      <c r="G13698" s="12">
        <f>ROUND((E13698*F13698)/100,2)</f>
        <v>1.75</v>
      </c>
    </row>
    <row r="13699" ht="15.0" customHeight="1">
      <c r="A13699" s="16"/>
      <c r="B13699" s="16"/>
      <c r="C13699" s="16"/>
      <c r="D13699" s="17" t="s">
        <v>5753</v>
      </c>
      <c r="E13699" s="16"/>
      <c r="F13699" s="18">
        <f>ROUND((G13690+G13691+G13692+G13693+G13698)*(1+G2/100),2)</f>
        <v>44.35</v>
      </c>
      <c r="G13699" s="16"/>
    </row>
    <row r="13700" ht="48.75" customHeight="1">
      <c r="A13700" s="19" t="s">
        <v>5756</v>
      </c>
      <c r="B13700" s="20" t="s">
        <v>18</v>
      </c>
      <c r="C13700" s="20" t="s">
        <v>19</v>
      </c>
      <c r="D13700" s="20" t="s">
        <v>5757</v>
      </c>
      <c r="E13700" s="21"/>
      <c r="F13700" s="22">
        <f>F13711</f>
        <v>29.2</v>
      </c>
      <c r="G13700" s="21"/>
    </row>
    <row r="13701" ht="30.0" customHeight="1">
      <c r="A13701" s="11"/>
      <c r="B13701" s="11"/>
      <c r="C13701" s="11"/>
      <c r="D13701" s="10" t="s">
        <v>5758</v>
      </c>
    </row>
    <row r="13702" ht="30.0" customHeight="1">
      <c r="A13702" s="10" t="s">
        <v>5651</v>
      </c>
      <c r="B13702" s="10" t="s">
        <v>42</v>
      </c>
      <c r="C13702" s="10" t="s">
        <v>184</v>
      </c>
      <c r="D13702" s="10" t="s">
        <v>5652</v>
      </c>
      <c r="E13702" s="14">
        <v>1.26</v>
      </c>
      <c r="F13702" s="15">
        <f>ROUND(5.21,3)</f>
        <v>5.21</v>
      </c>
      <c r="G13702" s="12">
        <f t="shared" ref="G13702:G13709" si="2127">ROUND(E13702*F13702,2)</f>
        <v>6.56</v>
      </c>
    </row>
    <row r="13703" ht="30.0" customHeight="1">
      <c r="A13703" s="10" t="s">
        <v>1227</v>
      </c>
      <c r="B13703" s="10" t="s">
        <v>42</v>
      </c>
      <c r="C13703" s="10" t="s">
        <v>226</v>
      </c>
      <c r="D13703" s="10" t="s">
        <v>1228</v>
      </c>
      <c r="E13703" s="14">
        <v>0.021</v>
      </c>
      <c r="F13703" s="15">
        <f>ROUND(27.5,3)</f>
        <v>27.5</v>
      </c>
      <c r="G13703" s="12">
        <f t="shared" si="2127"/>
        <v>0.58</v>
      </c>
    </row>
    <row r="13704" ht="21.0" customHeight="1">
      <c r="A13704" s="10" t="s">
        <v>1857</v>
      </c>
      <c r="B13704" s="10" t="s">
        <v>42</v>
      </c>
      <c r="C13704" s="10" t="s">
        <v>231</v>
      </c>
      <c r="D13704" s="10" t="s">
        <v>1858</v>
      </c>
      <c r="E13704" s="14">
        <v>0.4</v>
      </c>
      <c r="F13704" s="15">
        <f>ROUND(1.05,3)</f>
        <v>1.05</v>
      </c>
      <c r="G13704" s="12">
        <f t="shared" si="2127"/>
        <v>0.42</v>
      </c>
    </row>
    <row r="13705" ht="21.0" customHeight="1">
      <c r="A13705" s="10" t="s">
        <v>22</v>
      </c>
      <c r="B13705" s="10" t="s">
        <v>18</v>
      </c>
      <c r="C13705" s="10" t="s">
        <v>23</v>
      </c>
      <c r="D13705" s="10" t="s">
        <v>24</v>
      </c>
      <c r="E13705" s="14">
        <v>0.4706</v>
      </c>
      <c r="F13705" s="15">
        <f>F13709</f>
        <v>43.8</v>
      </c>
      <c r="G13705" s="12">
        <f t="shared" si="2127"/>
        <v>20.61</v>
      </c>
    </row>
    <row r="13706" ht="24.0" customHeight="1">
      <c r="A13706" s="10" t="s">
        <v>25</v>
      </c>
      <c r="B13706" s="10" t="s">
        <v>26</v>
      </c>
      <c r="C13706" s="10" t="s">
        <v>23</v>
      </c>
      <c r="D13706" s="10" t="s">
        <v>27</v>
      </c>
      <c r="E13706" s="14">
        <v>1.0</v>
      </c>
      <c r="F13706" s="15">
        <f>ROUND(21,3)</f>
        <v>21</v>
      </c>
      <c r="G13706" s="12">
        <f t="shared" si="2127"/>
        <v>21</v>
      </c>
    </row>
    <row r="13707" ht="24.0" customHeight="1">
      <c r="A13707" s="10" t="s">
        <v>28</v>
      </c>
      <c r="B13707" s="10" t="s">
        <v>26</v>
      </c>
      <c r="C13707" s="10" t="s">
        <v>23</v>
      </c>
      <c r="D13707" s="10" t="s">
        <v>29</v>
      </c>
      <c r="E13707" s="14">
        <v>1.0</v>
      </c>
      <c r="F13707" s="15">
        <f t="shared" ref="F13707:F13708" si="2128">ROUND(19,3)</f>
        <v>19</v>
      </c>
      <c r="G13707" s="12">
        <f t="shared" si="2127"/>
        <v>19</v>
      </c>
    </row>
    <row r="13708" ht="24.0" customHeight="1">
      <c r="A13708" s="10" t="s">
        <v>30</v>
      </c>
      <c r="B13708" s="10" t="s">
        <v>26</v>
      </c>
      <c r="C13708" s="10" t="s">
        <v>23</v>
      </c>
      <c r="D13708" s="10" t="s">
        <v>31</v>
      </c>
      <c r="E13708" s="14">
        <v>0.2</v>
      </c>
      <c r="F13708" s="15">
        <f t="shared" si="2128"/>
        <v>19</v>
      </c>
      <c r="G13708" s="12">
        <f t="shared" si="2127"/>
        <v>3.8</v>
      </c>
    </row>
    <row r="13709" ht="15.0" customHeight="1">
      <c r="A13709" s="11"/>
      <c r="B13709" s="11"/>
      <c r="C13709" s="11"/>
      <c r="D13709" s="10" t="s">
        <v>22</v>
      </c>
      <c r="E13709" s="14">
        <v>0.4706</v>
      </c>
      <c r="F13709" s="15">
        <f>ROUND((G13706+G13707+G13708),3)</f>
        <v>43.8</v>
      </c>
      <c r="G13709" s="12">
        <f t="shared" si="2127"/>
        <v>20.61</v>
      </c>
    </row>
    <row r="13710" ht="15.0" customHeight="1">
      <c r="A13710" s="10" t="s">
        <v>32</v>
      </c>
      <c r="B13710" s="10"/>
      <c r="C13710" s="10" t="s">
        <v>33</v>
      </c>
      <c r="D13710" s="10" t="s">
        <v>34</v>
      </c>
      <c r="E13710" s="14">
        <v>5.0</v>
      </c>
      <c r="F13710" s="15">
        <f>ROUND(20.61,3)</f>
        <v>20.61</v>
      </c>
      <c r="G13710" s="12">
        <f>ROUND((E13710*F13710)/100,2)</f>
        <v>1.03</v>
      </c>
    </row>
    <row r="13711" ht="15.0" customHeight="1">
      <c r="A13711" s="16"/>
      <c r="B13711" s="16"/>
      <c r="C13711" s="16"/>
      <c r="D13711" s="17" t="s">
        <v>5756</v>
      </c>
      <c r="E13711" s="16"/>
      <c r="F13711" s="18">
        <f>ROUND((G13702+G13703+G13704+G13705+G13710)*(1+G2/100),2)</f>
        <v>29.2</v>
      </c>
      <c r="G13711" s="16"/>
    </row>
    <row r="13712" ht="48.75" customHeight="1">
      <c r="A13712" s="19" t="s">
        <v>5759</v>
      </c>
      <c r="B13712" s="20" t="s">
        <v>18</v>
      </c>
      <c r="C13712" s="20" t="s">
        <v>19</v>
      </c>
      <c r="D13712" s="20" t="s">
        <v>5760</v>
      </c>
      <c r="E13712" s="21"/>
      <c r="F13712" s="22">
        <f>F13723</f>
        <v>33.84</v>
      </c>
      <c r="G13712" s="21"/>
    </row>
    <row r="13713" ht="30.0" customHeight="1">
      <c r="A13713" s="11"/>
      <c r="B13713" s="11"/>
      <c r="C13713" s="11"/>
      <c r="D13713" s="10" t="s">
        <v>5761</v>
      </c>
    </row>
    <row r="13714" ht="30.0" customHeight="1">
      <c r="A13714" s="10" t="s">
        <v>5651</v>
      </c>
      <c r="B13714" s="10" t="s">
        <v>42</v>
      </c>
      <c r="C13714" s="10" t="s">
        <v>184</v>
      </c>
      <c r="D13714" s="10" t="s">
        <v>5652</v>
      </c>
      <c r="E13714" s="14">
        <v>1.26</v>
      </c>
      <c r="F13714" s="15">
        <f>ROUND(5.21,3)</f>
        <v>5.21</v>
      </c>
      <c r="G13714" s="12">
        <f t="shared" ref="G13714:G13721" si="2129">ROUND(E13714*F13714,2)</f>
        <v>6.56</v>
      </c>
    </row>
    <row r="13715" ht="30.0" customHeight="1">
      <c r="A13715" s="10" t="s">
        <v>1227</v>
      </c>
      <c r="B13715" s="10" t="s">
        <v>42</v>
      </c>
      <c r="C13715" s="10" t="s">
        <v>226</v>
      </c>
      <c r="D13715" s="10" t="s">
        <v>1228</v>
      </c>
      <c r="E13715" s="14">
        <v>0.021</v>
      </c>
      <c r="F13715" s="15">
        <f>ROUND(27.5,3)</f>
        <v>27.5</v>
      </c>
      <c r="G13715" s="12">
        <f t="shared" si="2129"/>
        <v>0.58</v>
      </c>
    </row>
    <row r="13716" ht="21.0" customHeight="1">
      <c r="A13716" s="10" t="s">
        <v>1857</v>
      </c>
      <c r="B13716" s="10" t="s">
        <v>42</v>
      </c>
      <c r="C13716" s="10" t="s">
        <v>231</v>
      </c>
      <c r="D13716" s="10" t="s">
        <v>1858</v>
      </c>
      <c r="E13716" s="14">
        <v>0.4</v>
      </c>
      <c r="F13716" s="15">
        <f>ROUND(1.05,3)</f>
        <v>1.05</v>
      </c>
      <c r="G13716" s="12">
        <f t="shared" si="2129"/>
        <v>0.42</v>
      </c>
    </row>
    <row r="13717" ht="21.0" customHeight="1">
      <c r="A13717" s="10" t="s">
        <v>22</v>
      </c>
      <c r="B13717" s="10" t="s">
        <v>18</v>
      </c>
      <c r="C13717" s="10" t="s">
        <v>23</v>
      </c>
      <c r="D13717" s="10" t="s">
        <v>24</v>
      </c>
      <c r="E13717" s="14">
        <v>0.5714</v>
      </c>
      <c r="F13717" s="15">
        <f>F13721</f>
        <v>43.8</v>
      </c>
      <c r="G13717" s="12">
        <f t="shared" si="2129"/>
        <v>25.03</v>
      </c>
    </row>
    <row r="13718" ht="24.0" customHeight="1">
      <c r="A13718" s="10" t="s">
        <v>25</v>
      </c>
      <c r="B13718" s="10" t="s">
        <v>26</v>
      </c>
      <c r="C13718" s="10" t="s">
        <v>23</v>
      </c>
      <c r="D13718" s="10" t="s">
        <v>27</v>
      </c>
      <c r="E13718" s="14">
        <v>1.0</v>
      </c>
      <c r="F13718" s="15">
        <f>ROUND(21,3)</f>
        <v>21</v>
      </c>
      <c r="G13718" s="12">
        <f t="shared" si="2129"/>
        <v>21</v>
      </c>
    </row>
    <row r="13719" ht="24.0" customHeight="1">
      <c r="A13719" s="10" t="s">
        <v>28</v>
      </c>
      <c r="B13719" s="10" t="s">
        <v>26</v>
      </c>
      <c r="C13719" s="10" t="s">
        <v>23</v>
      </c>
      <c r="D13719" s="10" t="s">
        <v>29</v>
      </c>
      <c r="E13719" s="14">
        <v>1.0</v>
      </c>
      <c r="F13719" s="15">
        <f t="shared" ref="F13719:F13720" si="2130">ROUND(19,3)</f>
        <v>19</v>
      </c>
      <c r="G13719" s="12">
        <f t="shared" si="2129"/>
        <v>19</v>
      </c>
    </row>
    <row r="13720" ht="24.0" customHeight="1">
      <c r="A13720" s="10" t="s">
        <v>30</v>
      </c>
      <c r="B13720" s="10" t="s">
        <v>26</v>
      </c>
      <c r="C13720" s="10" t="s">
        <v>23</v>
      </c>
      <c r="D13720" s="10" t="s">
        <v>31</v>
      </c>
      <c r="E13720" s="14">
        <v>0.2</v>
      </c>
      <c r="F13720" s="15">
        <f t="shared" si="2130"/>
        <v>19</v>
      </c>
      <c r="G13720" s="12">
        <f t="shared" si="2129"/>
        <v>3.8</v>
      </c>
    </row>
    <row r="13721" ht="15.0" customHeight="1">
      <c r="A13721" s="11"/>
      <c r="B13721" s="11"/>
      <c r="C13721" s="11"/>
      <c r="D13721" s="10" t="s">
        <v>22</v>
      </c>
      <c r="E13721" s="14">
        <v>0.5714</v>
      </c>
      <c r="F13721" s="15">
        <f>ROUND((G13718+G13719+G13720),3)</f>
        <v>43.8</v>
      </c>
      <c r="G13721" s="12">
        <f t="shared" si="2129"/>
        <v>25.03</v>
      </c>
    </row>
    <row r="13722" ht="15.0" customHeight="1">
      <c r="A13722" s="10" t="s">
        <v>32</v>
      </c>
      <c r="B13722" s="10"/>
      <c r="C13722" s="10" t="s">
        <v>33</v>
      </c>
      <c r="D13722" s="10" t="s">
        <v>34</v>
      </c>
      <c r="E13722" s="14">
        <v>5.0</v>
      </c>
      <c r="F13722" s="15">
        <f>ROUND(25.03,3)</f>
        <v>25.03</v>
      </c>
      <c r="G13722" s="12">
        <f>ROUND((E13722*F13722)/100,2)</f>
        <v>1.25</v>
      </c>
    </row>
    <row r="13723" ht="15.0" customHeight="1">
      <c r="A13723" s="16"/>
      <c r="B13723" s="16"/>
      <c r="C13723" s="16"/>
      <c r="D13723" s="17" t="s">
        <v>5759</v>
      </c>
      <c r="E13723" s="16"/>
      <c r="F13723" s="18">
        <f>ROUND((G13714+G13715+G13716+G13717+G13722)*(1+G2/100),2)</f>
        <v>33.84</v>
      </c>
      <c r="G13723" s="16"/>
    </row>
    <row r="13724" ht="48.75" customHeight="1">
      <c r="A13724" s="19" t="s">
        <v>5762</v>
      </c>
      <c r="B13724" s="20" t="s">
        <v>18</v>
      </c>
      <c r="C13724" s="20" t="s">
        <v>19</v>
      </c>
      <c r="D13724" s="20" t="s">
        <v>5763</v>
      </c>
      <c r="E13724" s="21"/>
      <c r="F13724" s="22">
        <f>F13735</f>
        <v>33.84</v>
      </c>
      <c r="G13724" s="21"/>
    </row>
    <row r="13725" ht="30.0" customHeight="1">
      <c r="A13725" s="11"/>
      <c r="B13725" s="11"/>
      <c r="C13725" s="11"/>
      <c r="D13725" s="10" t="s">
        <v>5764</v>
      </c>
    </row>
    <row r="13726" ht="30.0" customHeight="1">
      <c r="A13726" s="10" t="s">
        <v>5651</v>
      </c>
      <c r="B13726" s="10" t="s">
        <v>42</v>
      </c>
      <c r="C13726" s="10" t="s">
        <v>184</v>
      </c>
      <c r="D13726" s="10" t="s">
        <v>5652</v>
      </c>
      <c r="E13726" s="14">
        <v>1.26</v>
      </c>
      <c r="F13726" s="15">
        <f>ROUND(5.21,3)</f>
        <v>5.21</v>
      </c>
      <c r="G13726" s="12">
        <f t="shared" ref="G13726:G13733" si="2131">ROUND(E13726*F13726,2)</f>
        <v>6.56</v>
      </c>
    </row>
    <row r="13727" ht="30.0" customHeight="1">
      <c r="A13727" s="10" t="s">
        <v>1227</v>
      </c>
      <c r="B13727" s="10" t="s">
        <v>42</v>
      </c>
      <c r="C13727" s="10" t="s">
        <v>226</v>
      </c>
      <c r="D13727" s="10" t="s">
        <v>1228</v>
      </c>
      <c r="E13727" s="14">
        <v>0.021</v>
      </c>
      <c r="F13727" s="15">
        <f>ROUND(27.5,3)</f>
        <v>27.5</v>
      </c>
      <c r="G13727" s="12">
        <f t="shared" si="2131"/>
        <v>0.58</v>
      </c>
    </row>
    <row r="13728" ht="21.0" customHeight="1">
      <c r="A13728" s="10" t="s">
        <v>1857</v>
      </c>
      <c r="B13728" s="10" t="s">
        <v>42</v>
      </c>
      <c r="C13728" s="10" t="s">
        <v>231</v>
      </c>
      <c r="D13728" s="10" t="s">
        <v>1858</v>
      </c>
      <c r="E13728" s="14">
        <v>0.4</v>
      </c>
      <c r="F13728" s="15">
        <f>ROUND(1.05,3)</f>
        <v>1.05</v>
      </c>
      <c r="G13728" s="12">
        <f t="shared" si="2131"/>
        <v>0.42</v>
      </c>
    </row>
    <row r="13729" ht="21.0" customHeight="1">
      <c r="A13729" s="10" t="s">
        <v>22</v>
      </c>
      <c r="B13729" s="10" t="s">
        <v>18</v>
      </c>
      <c r="C13729" s="10" t="s">
        <v>23</v>
      </c>
      <c r="D13729" s="10" t="s">
        <v>24</v>
      </c>
      <c r="E13729" s="14">
        <v>0.5714</v>
      </c>
      <c r="F13729" s="15">
        <f>F13733</f>
        <v>43.8</v>
      </c>
      <c r="G13729" s="12">
        <f t="shared" si="2131"/>
        <v>25.03</v>
      </c>
    </row>
    <row r="13730" ht="24.0" customHeight="1">
      <c r="A13730" s="10" t="s">
        <v>25</v>
      </c>
      <c r="B13730" s="10" t="s">
        <v>26</v>
      </c>
      <c r="C13730" s="10" t="s">
        <v>23</v>
      </c>
      <c r="D13730" s="10" t="s">
        <v>27</v>
      </c>
      <c r="E13730" s="14">
        <v>1.0</v>
      </c>
      <c r="F13730" s="15">
        <f>ROUND(21,3)</f>
        <v>21</v>
      </c>
      <c r="G13730" s="12">
        <f t="shared" si="2131"/>
        <v>21</v>
      </c>
    </row>
    <row r="13731" ht="24.0" customHeight="1">
      <c r="A13731" s="10" t="s">
        <v>28</v>
      </c>
      <c r="B13731" s="10" t="s">
        <v>26</v>
      </c>
      <c r="C13731" s="10" t="s">
        <v>23</v>
      </c>
      <c r="D13731" s="10" t="s">
        <v>29</v>
      </c>
      <c r="E13731" s="14">
        <v>1.0</v>
      </c>
      <c r="F13731" s="15">
        <f t="shared" ref="F13731:F13732" si="2132">ROUND(19,3)</f>
        <v>19</v>
      </c>
      <c r="G13731" s="12">
        <f t="shared" si="2131"/>
        <v>19</v>
      </c>
    </row>
    <row r="13732" ht="24.0" customHeight="1">
      <c r="A13732" s="10" t="s">
        <v>30</v>
      </c>
      <c r="B13732" s="10" t="s">
        <v>26</v>
      </c>
      <c r="C13732" s="10" t="s">
        <v>23</v>
      </c>
      <c r="D13732" s="10" t="s">
        <v>31</v>
      </c>
      <c r="E13732" s="14">
        <v>0.2</v>
      </c>
      <c r="F13732" s="15">
        <f t="shared" si="2132"/>
        <v>19</v>
      </c>
      <c r="G13732" s="12">
        <f t="shared" si="2131"/>
        <v>3.8</v>
      </c>
    </row>
    <row r="13733" ht="15.0" customHeight="1">
      <c r="A13733" s="11"/>
      <c r="B13733" s="11"/>
      <c r="C13733" s="11"/>
      <c r="D13733" s="10" t="s">
        <v>22</v>
      </c>
      <c r="E13733" s="14">
        <v>0.5714</v>
      </c>
      <c r="F13733" s="15">
        <f>ROUND((G13730+G13731+G13732),3)</f>
        <v>43.8</v>
      </c>
      <c r="G13733" s="12">
        <f t="shared" si="2131"/>
        <v>25.03</v>
      </c>
    </row>
    <row r="13734" ht="15.0" customHeight="1">
      <c r="A13734" s="10" t="s">
        <v>32</v>
      </c>
      <c r="B13734" s="10"/>
      <c r="C13734" s="10" t="s">
        <v>33</v>
      </c>
      <c r="D13734" s="10" t="s">
        <v>34</v>
      </c>
      <c r="E13734" s="14">
        <v>5.0</v>
      </c>
      <c r="F13734" s="15">
        <f>ROUND(25.03,3)</f>
        <v>25.03</v>
      </c>
      <c r="G13734" s="12">
        <f>ROUND((E13734*F13734)/100,2)</f>
        <v>1.25</v>
      </c>
    </row>
    <row r="13735" ht="15.0" customHeight="1">
      <c r="A13735" s="16"/>
      <c r="B13735" s="16"/>
      <c r="C13735" s="16"/>
      <c r="D13735" s="17" t="s">
        <v>5762</v>
      </c>
      <c r="E13735" s="16"/>
      <c r="F13735" s="18">
        <f>ROUND((G13726+G13727+G13728+G13729+G13734)*(1+G2/100),2)</f>
        <v>33.84</v>
      </c>
      <c r="G13735" s="16"/>
    </row>
    <row r="13736" ht="48.75" customHeight="1">
      <c r="A13736" s="19" t="s">
        <v>5765</v>
      </c>
      <c r="B13736" s="20" t="s">
        <v>18</v>
      </c>
      <c r="C13736" s="20" t="s">
        <v>19</v>
      </c>
      <c r="D13736" s="20" t="s">
        <v>5766</v>
      </c>
      <c r="E13736" s="21"/>
      <c r="F13736" s="22">
        <f>F13747</f>
        <v>38.22</v>
      </c>
      <c r="G13736" s="21"/>
    </row>
    <row r="13737" ht="30.0" customHeight="1">
      <c r="A13737" s="11"/>
      <c r="B13737" s="11"/>
      <c r="C13737" s="11"/>
      <c r="D13737" s="10" t="s">
        <v>5767</v>
      </c>
    </row>
    <row r="13738" ht="30.0" customHeight="1">
      <c r="A13738" s="10" t="s">
        <v>5651</v>
      </c>
      <c r="B13738" s="10" t="s">
        <v>42</v>
      </c>
      <c r="C13738" s="10" t="s">
        <v>184</v>
      </c>
      <c r="D13738" s="10" t="s">
        <v>5652</v>
      </c>
      <c r="E13738" s="14">
        <v>1.26</v>
      </c>
      <c r="F13738" s="15">
        <f>ROUND(5.21,3)</f>
        <v>5.21</v>
      </c>
      <c r="G13738" s="12">
        <f t="shared" ref="G13738:G13745" si="2133">ROUND(E13738*F13738,2)</f>
        <v>6.56</v>
      </c>
    </row>
    <row r="13739" ht="30.0" customHeight="1">
      <c r="A13739" s="10" t="s">
        <v>1227</v>
      </c>
      <c r="B13739" s="10" t="s">
        <v>42</v>
      </c>
      <c r="C13739" s="10" t="s">
        <v>226</v>
      </c>
      <c r="D13739" s="10" t="s">
        <v>1228</v>
      </c>
      <c r="E13739" s="14">
        <v>0.021</v>
      </c>
      <c r="F13739" s="15">
        <f>ROUND(27.5,3)</f>
        <v>27.5</v>
      </c>
      <c r="G13739" s="12">
        <f t="shared" si="2133"/>
        <v>0.58</v>
      </c>
    </row>
    <row r="13740" ht="21.0" customHeight="1">
      <c r="A13740" s="10" t="s">
        <v>1857</v>
      </c>
      <c r="B13740" s="10" t="s">
        <v>42</v>
      </c>
      <c r="C13740" s="10" t="s">
        <v>231</v>
      </c>
      <c r="D13740" s="10" t="s">
        <v>1858</v>
      </c>
      <c r="E13740" s="14">
        <v>0.4</v>
      </c>
      <c r="F13740" s="15">
        <f>ROUND(1.05,3)</f>
        <v>1.05</v>
      </c>
      <c r="G13740" s="12">
        <f t="shared" si="2133"/>
        <v>0.42</v>
      </c>
    </row>
    <row r="13741" ht="21.0" customHeight="1">
      <c r="A13741" s="10" t="s">
        <v>22</v>
      </c>
      <c r="B13741" s="10" t="s">
        <v>18</v>
      </c>
      <c r="C13741" s="10" t="s">
        <v>23</v>
      </c>
      <c r="D13741" s="10" t="s">
        <v>24</v>
      </c>
      <c r="E13741" s="14">
        <v>0.66667</v>
      </c>
      <c r="F13741" s="15">
        <f>F13745</f>
        <v>43.8</v>
      </c>
      <c r="G13741" s="12">
        <f t="shared" si="2133"/>
        <v>29.2</v>
      </c>
    </row>
    <row r="13742" ht="24.0" customHeight="1">
      <c r="A13742" s="10" t="s">
        <v>25</v>
      </c>
      <c r="B13742" s="10" t="s">
        <v>26</v>
      </c>
      <c r="C13742" s="10" t="s">
        <v>23</v>
      </c>
      <c r="D13742" s="10" t="s">
        <v>27</v>
      </c>
      <c r="E13742" s="14">
        <v>1.0</v>
      </c>
      <c r="F13742" s="15">
        <f>ROUND(21,3)</f>
        <v>21</v>
      </c>
      <c r="G13742" s="12">
        <f t="shared" si="2133"/>
        <v>21</v>
      </c>
    </row>
    <row r="13743" ht="24.0" customHeight="1">
      <c r="A13743" s="10" t="s">
        <v>28</v>
      </c>
      <c r="B13743" s="10" t="s">
        <v>26</v>
      </c>
      <c r="C13743" s="10" t="s">
        <v>23</v>
      </c>
      <c r="D13743" s="10" t="s">
        <v>29</v>
      </c>
      <c r="E13743" s="14">
        <v>1.0</v>
      </c>
      <c r="F13743" s="15">
        <f t="shared" ref="F13743:F13744" si="2134">ROUND(19,3)</f>
        <v>19</v>
      </c>
      <c r="G13743" s="12">
        <f t="shared" si="2133"/>
        <v>19</v>
      </c>
    </row>
    <row r="13744" ht="24.0" customHeight="1">
      <c r="A13744" s="10" t="s">
        <v>30</v>
      </c>
      <c r="B13744" s="10" t="s">
        <v>26</v>
      </c>
      <c r="C13744" s="10" t="s">
        <v>23</v>
      </c>
      <c r="D13744" s="10" t="s">
        <v>31</v>
      </c>
      <c r="E13744" s="14">
        <v>0.2</v>
      </c>
      <c r="F13744" s="15">
        <f t="shared" si="2134"/>
        <v>19</v>
      </c>
      <c r="G13744" s="12">
        <f t="shared" si="2133"/>
        <v>3.8</v>
      </c>
    </row>
    <row r="13745" ht="15.0" customHeight="1">
      <c r="A13745" s="11"/>
      <c r="B13745" s="11"/>
      <c r="C13745" s="11"/>
      <c r="D13745" s="10" t="s">
        <v>22</v>
      </c>
      <c r="E13745" s="14">
        <v>0.66667</v>
      </c>
      <c r="F13745" s="15">
        <f>ROUND((G13742+G13743+G13744),3)</f>
        <v>43.8</v>
      </c>
      <c r="G13745" s="12">
        <f t="shared" si="2133"/>
        <v>29.2</v>
      </c>
    </row>
    <row r="13746" ht="15.0" customHeight="1">
      <c r="A13746" s="10" t="s">
        <v>32</v>
      </c>
      <c r="B13746" s="10"/>
      <c r="C13746" s="10" t="s">
        <v>33</v>
      </c>
      <c r="D13746" s="10" t="s">
        <v>34</v>
      </c>
      <c r="E13746" s="14">
        <v>5.0</v>
      </c>
      <c r="F13746" s="15">
        <f>ROUND(29.2,3)</f>
        <v>29.2</v>
      </c>
      <c r="G13746" s="12">
        <f>ROUND((E13746*F13746)/100,2)</f>
        <v>1.46</v>
      </c>
    </row>
    <row r="13747" ht="15.0" customHeight="1">
      <c r="A13747" s="16"/>
      <c r="B13747" s="16"/>
      <c r="C13747" s="16"/>
      <c r="D13747" s="17" t="s">
        <v>5765</v>
      </c>
      <c r="E13747" s="16"/>
      <c r="F13747" s="18">
        <f>ROUND((G13738+G13739+G13740+G13741+G13746)*(1+G2/100),2)</f>
        <v>38.22</v>
      </c>
      <c r="G13747" s="16"/>
    </row>
    <row r="13748" ht="48.75" customHeight="1">
      <c r="A13748" s="19" t="s">
        <v>5768</v>
      </c>
      <c r="B13748" s="20" t="s">
        <v>18</v>
      </c>
      <c r="C13748" s="20" t="s">
        <v>19</v>
      </c>
      <c r="D13748" s="20" t="s">
        <v>5769</v>
      </c>
      <c r="E13748" s="21"/>
      <c r="F13748" s="22">
        <f>F13760</f>
        <v>24.3</v>
      </c>
      <c r="G13748" s="21"/>
    </row>
    <row r="13749" ht="30.0" customHeight="1">
      <c r="A13749" s="11"/>
      <c r="B13749" s="11"/>
      <c r="C13749" s="11"/>
      <c r="D13749" s="10" t="s">
        <v>5770</v>
      </c>
    </row>
    <row r="13750" ht="30.0" customHeight="1">
      <c r="A13750" s="10" t="s">
        <v>5651</v>
      </c>
      <c r="B13750" s="10" t="s">
        <v>42</v>
      </c>
      <c r="C13750" s="10" t="s">
        <v>184</v>
      </c>
      <c r="D13750" s="10" t="s">
        <v>5652</v>
      </c>
      <c r="E13750" s="14">
        <v>1.26</v>
      </c>
      <c r="F13750" s="15">
        <f>ROUND(5.21,3)</f>
        <v>5.21</v>
      </c>
      <c r="G13750" s="12">
        <f t="shared" ref="G13750:G13758" si="2135">ROUND(E13750*F13750,2)</f>
        <v>6.56</v>
      </c>
    </row>
    <row r="13751" ht="30.0" customHeight="1">
      <c r="A13751" s="10" t="s">
        <v>1227</v>
      </c>
      <c r="B13751" s="10" t="s">
        <v>42</v>
      </c>
      <c r="C13751" s="10" t="s">
        <v>226</v>
      </c>
      <c r="D13751" s="10" t="s">
        <v>1228</v>
      </c>
      <c r="E13751" s="14">
        <v>0.021</v>
      </c>
      <c r="F13751" s="15">
        <f>ROUND(27.5,3)</f>
        <v>27.5</v>
      </c>
      <c r="G13751" s="12">
        <f t="shared" si="2135"/>
        <v>0.58</v>
      </c>
    </row>
    <row r="13752" ht="21.0" customHeight="1">
      <c r="A13752" s="10" t="s">
        <v>1857</v>
      </c>
      <c r="B13752" s="10" t="s">
        <v>42</v>
      </c>
      <c r="C13752" s="10" t="s">
        <v>231</v>
      </c>
      <c r="D13752" s="10" t="s">
        <v>1858</v>
      </c>
      <c r="E13752" s="14">
        <v>0.4</v>
      </c>
      <c r="F13752" s="15">
        <f>ROUND(1.05,3)</f>
        <v>1.05</v>
      </c>
      <c r="G13752" s="12">
        <f t="shared" si="2135"/>
        <v>0.42</v>
      </c>
    </row>
    <row r="13753" ht="21.0" customHeight="1">
      <c r="A13753" s="10" t="s">
        <v>1605</v>
      </c>
      <c r="B13753" s="10" t="s">
        <v>112</v>
      </c>
      <c r="C13753" s="10" t="s">
        <v>23</v>
      </c>
      <c r="D13753" s="10" t="s">
        <v>1606</v>
      </c>
      <c r="E13753" s="14">
        <v>0.2</v>
      </c>
      <c r="F13753" s="15">
        <f>ROUND(11.5,3)</f>
        <v>11.5</v>
      </c>
      <c r="G13753" s="12">
        <f t="shared" si="2135"/>
        <v>2.3</v>
      </c>
    </row>
    <row r="13754" ht="21.0" customHeight="1">
      <c r="A13754" s="10" t="s">
        <v>22</v>
      </c>
      <c r="B13754" s="10" t="s">
        <v>18</v>
      </c>
      <c r="C13754" s="10" t="s">
        <v>23</v>
      </c>
      <c r="D13754" s="10" t="s">
        <v>24</v>
      </c>
      <c r="E13754" s="14">
        <v>0.32</v>
      </c>
      <c r="F13754" s="15">
        <f>F13758</f>
        <v>43.8</v>
      </c>
      <c r="G13754" s="12">
        <f t="shared" si="2135"/>
        <v>14.02</v>
      </c>
    </row>
    <row r="13755" ht="24.0" customHeight="1">
      <c r="A13755" s="10" t="s">
        <v>25</v>
      </c>
      <c r="B13755" s="10" t="s">
        <v>26</v>
      </c>
      <c r="C13755" s="10" t="s">
        <v>23</v>
      </c>
      <c r="D13755" s="10" t="s">
        <v>27</v>
      </c>
      <c r="E13755" s="14">
        <v>1.0</v>
      </c>
      <c r="F13755" s="15">
        <f>ROUND(21,3)</f>
        <v>21</v>
      </c>
      <c r="G13755" s="12">
        <f t="shared" si="2135"/>
        <v>21</v>
      </c>
    </row>
    <row r="13756" ht="24.0" customHeight="1">
      <c r="A13756" s="10" t="s">
        <v>28</v>
      </c>
      <c r="B13756" s="10" t="s">
        <v>26</v>
      </c>
      <c r="C13756" s="10" t="s">
        <v>23</v>
      </c>
      <c r="D13756" s="10" t="s">
        <v>29</v>
      </c>
      <c r="E13756" s="14">
        <v>1.0</v>
      </c>
      <c r="F13756" s="15">
        <f t="shared" ref="F13756:F13757" si="2136">ROUND(19,3)</f>
        <v>19</v>
      </c>
      <c r="G13756" s="12">
        <f t="shared" si="2135"/>
        <v>19</v>
      </c>
    </row>
    <row r="13757" ht="24.0" customHeight="1">
      <c r="A13757" s="10" t="s">
        <v>30</v>
      </c>
      <c r="B13757" s="10" t="s">
        <v>26</v>
      </c>
      <c r="C13757" s="10" t="s">
        <v>23</v>
      </c>
      <c r="D13757" s="10" t="s">
        <v>31</v>
      </c>
      <c r="E13757" s="14">
        <v>0.2</v>
      </c>
      <c r="F13757" s="15">
        <f t="shared" si="2136"/>
        <v>19</v>
      </c>
      <c r="G13757" s="12">
        <f t="shared" si="2135"/>
        <v>3.8</v>
      </c>
    </row>
    <row r="13758" ht="15.0" customHeight="1">
      <c r="A13758" s="11"/>
      <c r="B13758" s="11"/>
      <c r="C13758" s="11"/>
      <c r="D13758" s="10" t="s">
        <v>22</v>
      </c>
      <c r="E13758" s="14">
        <v>0.32</v>
      </c>
      <c r="F13758" s="15">
        <f>ROUND((G13755+G13756+G13757),3)</f>
        <v>43.8</v>
      </c>
      <c r="G13758" s="12">
        <f t="shared" si="2135"/>
        <v>14.02</v>
      </c>
    </row>
    <row r="13759" ht="15.0" customHeight="1">
      <c r="A13759" s="10" t="s">
        <v>32</v>
      </c>
      <c r="B13759" s="10"/>
      <c r="C13759" s="10" t="s">
        <v>33</v>
      </c>
      <c r="D13759" s="10" t="s">
        <v>34</v>
      </c>
      <c r="E13759" s="14">
        <v>3.0</v>
      </c>
      <c r="F13759" s="15">
        <f>ROUND(14.02,3)</f>
        <v>14.02</v>
      </c>
      <c r="G13759" s="12">
        <f>ROUND((E13759*F13759)/100,2)</f>
        <v>0.42</v>
      </c>
    </row>
    <row r="13760" ht="15.0" customHeight="1">
      <c r="A13760" s="16"/>
      <c r="B13760" s="16"/>
      <c r="C13760" s="16"/>
      <c r="D13760" s="17" t="s">
        <v>5768</v>
      </c>
      <c r="E13760" s="16"/>
      <c r="F13760" s="18">
        <f>ROUND((G13750+G13751+G13752+G13753+G13754+G13759)*(1+G2/100),2)</f>
        <v>24.3</v>
      </c>
      <c r="G13760" s="16"/>
    </row>
    <row r="13761" ht="57.75" customHeight="1">
      <c r="A13761" s="19" t="s">
        <v>5771</v>
      </c>
      <c r="B13761" s="20" t="s">
        <v>18</v>
      </c>
      <c r="C13761" s="20" t="s">
        <v>19</v>
      </c>
      <c r="D13761" s="20" t="s">
        <v>5772</v>
      </c>
      <c r="E13761" s="21"/>
      <c r="F13761" s="22">
        <f>F13773</f>
        <v>27.05</v>
      </c>
      <c r="G13761" s="21"/>
    </row>
    <row r="13762" ht="30.0" customHeight="1">
      <c r="A13762" s="11"/>
      <c r="B13762" s="11"/>
      <c r="C13762" s="11"/>
      <c r="D13762" s="10" t="s">
        <v>5773</v>
      </c>
    </row>
    <row r="13763" ht="30.0" customHeight="1">
      <c r="A13763" s="10" t="s">
        <v>5651</v>
      </c>
      <c r="B13763" s="10" t="s">
        <v>42</v>
      </c>
      <c r="C13763" s="10" t="s">
        <v>184</v>
      </c>
      <c r="D13763" s="10" t="s">
        <v>5652</v>
      </c>
      <c r="E13763" s="14">
        <v>1.26</v>
      </c>
      <c r="F13763" s="15">
        <f>ROUND(5.21,3)</f>
        <v>5.21</v>
      </c>
      <c r="G13763" s="12">
        <f t="shared" ref="G13763:G13771" si="2137">ROUND(E13763*F13763,2)</f>
        <v>6.56</v>
      </c>
    </row>
    <row r="13764" ht="30.0" customHeight="1">
      <c r="A13764" s="10" t="s">
        <v>1227</v>
      </c>
      <c r="B13764" s="10" t="s">
        <v>42</v>
      </c>
      <c r="C13764" s="10" t="s">
        <v>226</v>
      </c>
      <c r="D13764" s="10" t="s">
        <v>1228</v>
      </c>
      <c r="E13764" s="14">
        <v>0.021</v>
      </c>
      <c r="F13764" s="15">
        <f>ROUND(27.5,3)</f>
        <v>27.5</v>
      </c>
      <c r="G13764" s="12">
        <f t="shared" si="2137"/>
        <v>0.58</v>
      </c>
    </row>
    <row r="13765" ht="21.0" customHeight="1">
      <c r="A13765" s="10" t="s">
        <v>1857</v>
      </c>
      <c r="B13765" s="10" t="s">
        <v>42</v>
      </c>
      <c r="C13765" s="10" t="s">
        <v>231</v>
      </c>
      <c r="D13765" s="10" t="s">
        <v>1858</v>
      </c>
      <c r="E13765" s="14">
        <v>0.4</v>
      </c>
      <c r="F13765" s="15">
        <f>ROUND(1.05,3)</f>
        <v>1.05</v>
      </c>
      <c r="G13765" s="12">
        <f t="shared" si="2137"/>
        <v>0.42</v>
      </c>
    </row>
    <row r="13766" ht="21.0" customHeight="1">
      <c r="A13766" s="10" t="s">
        <v>1605</v>
      </c>
      <c r="B13766" s="10" t="s">
        <v>112</v>
      </c>
      <c r="C13766" s="10" t="s">
        <v>23</v>
      </c>
      <c r="D13766" s="10" t="s">
        <v>1606</v>
      </c>
      <c r="E13766" s="14">
        <v>0.2</v>
      </c>
      <c r="F13766" s="15">
        <f>ROUND(11.5,3)</f>
        <v>11.5</v>
      </c>
      <c r="G13766" s="12">
        <f t="shared" si="2137"/>
        <v>2.3</v>
      </c>
    </row>
    <row r="13767" ht="21.0" customHeight="1">
      <c r="A13767" s="10" t="s">
        <v>22</v>
      </c>
      <c r="B13767" s="10" t="s">
        <v>18</v>
      </c>
      <c r="C13767" s="10" t="s">
        <v>23</v>
      </c>
      <c r="D13767" s="10" t="s">
        <v>24</v>
      </c>
      <c r="E13767" s="14">
        <v>0.381</v>
      </c>
      <c r="F13767" s="15">
        <f>F13771</f>
        <v>43.8</v>
      </c>
      <c r="G13767" s="12">
        <f t="shared" si="2137"/>
        <v>16.69</v>
      </c>
    </row>
    <row r="13768" ht="24.0" customHeight="1">
      <c r="A13768" s="10" t="s">
        <v>25</v>
      </c>
      <c r="B13768" s="10" t="s">
        <v>26</v>
      </c>
      <c r="C13768" s="10" t="s">
        <v>23</v>
      </c>
      <c r="D13768" s="10" t="s">
        <v>27</v>
      </c>
      <c r="E13768" s="14">
        <v>1.0</v>
      </c>
      <c r="F13768" s="15">
        <f>ROUND(21,3)</f>
        <v>21</v>
      </c>
      <c r="G13768" s="12">
        <f t="shared" si="2137"/>
        <v>21</v>
      </c>
    </row>
    <row r="13769" ht="24.0" customHeight="1">
      <c r="A13769" s="10" t="s">
        <v>28</v>
      </c>
      <c r="B13769" s="10" t="s">
        <v>26</v>
      </c>
      <c r="C13769" s="10" t="s">
        <v>23</v>
      </c>
      <c r="D13769" s="10" t="s">
        <v>29</v>
      </c>
      <c r="E13769" s="14">
        <v>1.0</v>
      </c>
      <c r="F13769" s="15">
        <f t="shared" ref="F13769:F13770" si="2138">ROUND(19,3)</f>
        <v>19</v>
      </c>
      <c r="G13769" s="12">
        <f t="shared" si="2137"/>
        <v>19</v>
      </c>
    </row>
    <row r="13770" ht="24.0" customHeight="1">
      <c r="A13770" s="10" t="s">
        <v>30</v>
      </c>
      <c r="B13770" s="10" t="s">
        <v>26</v>
      </c>
      <c r="C13770" s="10" t="s">
        <v>23</v>
      </c>
      <c r="D13770" s="10" t="s">
        <v>31</v>
      </c>
      <c r="E13770" s="14">
        <v>0.2</v>
      </c>
      <c r="F13770" s="15">
        <f t="shared" si="2138"/>
        <v>19</v>
      </c>
      <c r="G13770" s="12">
        <f t="shared" si="2137"/>
        <v>3.8</v>
      </c>
    </row>
    <row r="13771" ht="15.0" customHeight="1">
      <c r="A13771" s="11"/>
      <c r="B13771" s="11"/>
      <c r="C13771" s="11"/>
      <c r="D13771" s="10" t="s">
        <v>22</v>
      </c>
      <c r="E13771" s="14">
        <v>0.381</v>
      </c>
      <c r="F13771" s="15">
        <f>ROUND((G13768+G13769+G13770),3)</f>
        <v>43.8</v>
      </c>
      <c r="G13771" s="12">
        <f t="shared" si="2137"/>
        <v>16.69</v>
      </c>
    </row>
    <row r="13772" ht="15.0" customHeight="1">
      <c r="A13772" s="10" t="s">
        <v>32</v>
      </c>
      <c r="B13772" s="10"/>
      <c r="C13772" s="10" t="s">
        <v>33</v>
      </c>
      <c r="D13772" s="10" t="s">
        <v>34</v>
      </c>
      <c r="E13772" s="14">
        <v>3.0</v>
      </c>
      <c r="F13772" s="15">
        <f>ROUND(16.69,3)</f>
        <v>16.69</v>
      </c>
      <c r="G13772" s="12">
        <f>ROUND((E13772*F13772)/100,2)</f>
        <v>0.5</v>
      </c>
    </row>
    <row r="13773" ht="15.0" customHeight="1">
      <c r="A13773" s="16"/>
      <c r="B13773" s="16"/>
      <c r="C13773" s="16"/>
      <c r="D13773" s="17" t="s">
        <v>5771</v>
      </c>
      <c r="E13773" s="16"/>
      <c r="F13773" s="18">
        <f>ROUND((G13763+G13764+G13765+G13766+G13767+G13772)*(1+G2/100),2)</f>
        <v>27.05</v>
      </c>
      <c r="G13773" s="16"/>
    </row>
    <row r="13774" ht="48.75" customHeight="1">
      <c r="A13774" s="19" t="s">
        <v>5774</v>
      </c>
      <c r="B13774" s="20" t="s">
        <v>18</v>
      </c>
      <c r="C13774" s="20" t="s">
        <v>19</v>
      </c>
      <c r="D13774" s="20" t="s">
        <v>5775</v>
      </c>
      <c r="E13774" s="21"/>
      <c r="F13774" s="22">
        <f>F13786</f>
        <v>27.05</v>
      </c>
      <c r="G13774" s="21"/>
    </row>
    <row r="13775" ht="30.0" customHeight="1">
      <c r="A13775" s="11"/>
      <c r="B13775" s="11"/>
      <c r="C13775" s="11"/>
      <c r="D13775" s="10" t="s">
        <v>5776</v>
      </c>
    </row>
    <row r="13776" ht="30.0" customHeight="1">
      <c r="A13776" s="10" t="s">
        <v>5651</v>
      </c>
      <c r="B13776" s="10" t="s">
        <v>42</v>
      </c>
      <c r="C13776" s="10" t="s">
        <v>184</v>
      </c>
      <c r="D13776" s="10" t="s">
        <v>5652</v>
      </c>
      <c r="E13776" s="14">
        <v>1.26</v>
      </c>
      <c r="F13776" s="15">
        <f>ROUND(5.21,3)</f>
        <v>5.21</v>
      </c>
      <c r="G13776" s="12">
        <f t="shared" ref="G13776:G13784" si="2139">ROUND(E13776*F13776,2)</f>
        <v>6.56</v>
      </c>
    </row>
    <row r="13777" ht="30.0" customHeight="1">
      <c r="A13777" s="10" t="s">
        <v>1227</v>
      </c>
      <c r="B13777" s="10" t="s">
        <v>42</v>
      </c>
      <c r="C13777" s="10" t="s">
        <v>226</v>
      </c>
      <c r="D13777" s="10" t="s">
        <v>1228</v>
      </c>
      <c r="E13777" s="14">
        <v>0.021</v>
      </c>
      <c r="F13777" s="15">
        <f>ROUND(27.5,3)</f>
        <v>27.5</v>
      </c>
      <c r="G13777" s="12">
        <f t="shared" si="2139"/>
        <v>0.58</v>
      </c>
    </row>
    <row r="13778" ht="21.0" customHeight="1">
      <c r="A13778" s="10" t="s">
        <v>1857</v>
      </c>
      <c r="B13778" s="10" t="s">
        <v>42</v>
      </c>
      <c r="C13778" s="10" t="s">
        <v>231</v>
      </c>
      <c r="D13778" s="10" t="s">
        <v>1858</v>
      </c>
      <c r="E13778" s="14">
        <v>0.4</v>
      </c>
      <c r="F13778" s="15">
        <f>ROUND(1.05,3)</f>
        <v>1.05</v>
      </c>
      <c r="G13778" s="12">
        <f t="shared" si="2139"/>
        <v>0.42</v>
      </c>
    </row>
    <row r="13779" ht="21.0" customHeight="1">
      <c r="A13779" s="10" t="s">
        <v>1605</v>
      </c>
      <c r="B13779" s="10" t="s">
        <v>112</v>
      </c>
      <c r="C13779" s="10" t="s">
        <v>23</v>
      </c>
      <c r="D13779" s="10" t="s">
        <v>1606</v>
      </c>
      <c r="E13779" s="14">
        <v>0.2</v>
      </c>
      <c r="F13779" s="15">
        <f>ROUND(11.5,3)</f>
        <v>11.5</v>
      </c>
      <c r="G13779" s="12">
        <f t="shared" si="2139"/>
        <v>2.3</v>
      </c>
    </row>
    <row r="13780" ht="21.0" customHeight="1">
      <c r="A13780" s="10" t="s">
        <v>22</v>
      </c>
      <c r="B13780" s="10" t="s">
        <v>18</v>
      </c>
      <c r="C13780" s="10" t="s">
        <v>23</v>
      </c>
      <c r="D13780" s="10" t="s">
        <v>24</v>
      </c>
      <c r="E13780" s="14">
        <v>0.381</v>
      </c>
      <c r="F13780" s="15">
        <f>F13784</f>
        <v>43.8</v>
      </c>
      <c r="G13780" s="12">
        <f t="shared" si="2139"/>
        <v>16.69</v>
      </c>
    </row>
    <row r="13781" ht="24.0" customHeight="1">
      <c r="A13781" s="10" t="s">
        <v>25</v>
      </c>
      <c r="B13781" s="10" t="s">
        <v>26</v>
      </c>
      <c r="C13781" s="10" t="s">
        <v>23</v>
      </c>
      <c r="D13781" s="10" t="s">
        <v>27</v>
      </c>
      <c r="E13781" s="14">
        <v>1.0</v>
      </c>
      <c r="F13781" s="15">
        <f>ROUND(21,3)</f>
        <v>21</v>
      </c>
      <c r="G13781" s="12">
        <f t="shared" si="2139"/>
        <v>21</v>
      </c>
    </row>
    <row r="13782" ht="24.0" customHeight="1">
      <c r="A13782" s="10" t="s">
        <v>28</v>
      </c>
      <c r="B13782" s="10" t="s">
        <v>26</v>
      </c>
      <c r="C13782" s="10" t="s">
        <v>23</v>
      </c>
      <c r="D13782" s="10" t="s">
        <v>29</v>
      </c>
      <c r="E13782" s="14">
        <v>1.0</v>
      </c>
      <c r="F13782" s="15">
        <f t="shared" ref="F13782:F13783" si="2140">ROUND(19,3)</f>
        <v>19</v>
      </c>
      <c r="G13782" s="12">
        <f t="shared" si="2139"/>
        <v>19</v>
      </c>
    </row>
    <row r="13783" ht="24.0" customHeight="1">
      <c r="A13783" s="10" t="s">
        <v>30</v>
      </c>
      <c r="B13783" s="10" t="s">
        <v>26</v>
      </c>
      <c r="C13783" s="10" t="s">
        <v>23</v>
      </c>
      <c r="D13783" s="10" t="s">
        <v>31</v>
      </c>
      <c r="E13783" s="14">
        <v>0.2</v>
      </c>
      <c r="F13783" s="15">
        <f t="shared" si="2140"/>
        <v>19</v>
      </c>
      <c r="G13783" s="12">
        <f t="shared" si="2139"/>
        <v>3.8</v>
      </c>
    </row>
    <row r="13784" ht="15.0" customHeight="1">
      <c r="A13784" s="11"/>
      <c r="B13784" s="11"/>
      <c r="C13784" s="11"/>
      <c r="D13784" s="10" t="s">
        <v>22</v>
      </c>
      <c r="E13784" s="14">
        <v>0.381</v>
      </c>
      <c r="F13784" s="15">
        <f>ROUND((G13781+G13782+G13783),3)</f>
        <v>43.8</v>
      </c>
      <c r="G13784" s="12">
        <f t="shared" si="2139"/>
        <v>16.69</v>
      </c>
    </row>
    <row r="13785" ht="15.0" customHeight="1">
      <c r="A13785" s="10" t="s">
        <v>32</v>
      </c>
      <c r="B13785" s="10"/>
      <c r="C13785" s="10" t="s">
        <v>33</v>
      </c>
      <c r="D13785" s="10" t="s">
        <v>34</v>
      </c>
      <c r="E13785" s="14">
        <v>3.0</v>
      </c>
      <c r="F13785" s="15">
        <f>ROUND(16.69,3)</f>
        <v>16.69</v>
      </c>
      <c r="G13785" s="12">
        <f>ROUND((E13785*F13785)/100,2)</f>
        <v>0.5</v>
      </c>
    </row>
    <row r="13786" ht="15.0" customHeight="1">
      <c r="A13786" s="16"/>
      <c r="B13786" s="16"/>
      <c r="C13786" s="16"/>
      <c r="D13786" s="17" t="s">
        <v>5774</v>
      </c>
      <c r="E13786" s="16"/>
      <c r="F13786" s="18">
        <f>ROUND((G13776+G13777+G13778+G13779+G13780+G13785)*(1+G2/100),2)</f>
        <v>27.05</v>
      </c>
      <c r="G13786" s="16"/>
    </row>
    <row r="13787" ht="57.75" customHeight="1">
      <c r="A13787" s="19" t="s">
        <v>5777</v>
      </c>
      <c r="B13787" s="20" t="s">
        <v>18</v>
      </c>
      <c r="C13787" s="20" t="s">
        <v>19</v>
      </c>
      <c r="D13787" s="20" t="s">
        <v>5778</v>
      </c>
      <c r="E13787" s="21"/>
      <c r="F13787" s="22">
        <f>F13799</f>
        <v>32.42</v>
      </c>
      <c r="G13787" s="21"/>
    </row>
    <row r="13788" ht="30.0" customHeight="1">
      <c r="A13788" s="11"/>
      <c r="B13788" s="11"/>
      <c r="C13788" s="11"/>
      <c r="D13788" s="10" t="s">
        <v>5779</v>
      </c>
    </row>
    <row r="13789" ht="30.0" customHeight="1">
      <c r="A13789" s="10" t="s">
        <v>5651</v>
      </c>
      <c r="B13789" s="10" t="s">
        <v>42</v>
      </c>
      <c r="C13789" s="10" t="s">
        <v>184</v>
      </c>
      <c r="D13789" s="10" t="s">
        <v>5652</v>
      </c>
      <c r="E13789" s="14">
        <v>1.26</v>
      </c>
      <c r="F13789" s="15">
        <f>ROUND(5.21,3)</f>
        <v>5.21</v>
      </c>
      <c r="G13789" s="12">
        <f t="shared" ref="G13789:G13797" si="2141">ROUND(E13789*F13789,2)</f>
        <v>6.56</v>
      </c>
    </row>
    <row r="13790" ht="30.0" customHeight="1">
      <c r="A13790" s="10" t="s">
        <v>1227</v>
      </c>
      <c r="B13790" s="10" t="s">
        <v>42</v>
      </c>
      <c r="C13790" s="10" t="s">
        <v>226</v>
      </c>
      <c r="D13790" s="10" t="s">
        <v>1228</v>
      </c>
      <c r="E13790" s="14">
        <v>0.021</v>
      </c>
      <c r="F13790" s="15">
        <f>ROUND(27.5,3)</f>
        <v>27.5</v>
      </c>
      <c r="G13790" s="12">
        <f t="shared" si="2141"/>
        <v>0.58</v>
      </c>
    </row>
    <row r="13791" ht="21.0" customHeight="1">
      <c r="A13791" s="10" t="s">
        <v>1857</v>
      </c>
      <c r="B13791" s="10" t="s">
        <v>42</v>
      </c>
      <c r="C13791" s="10" t="s">
        <v>231</v>
      </c>
      <c r="D13791" s="10" t="s">
        <v>1858</v>
      </c>
      <c r="E13791" s="14">
        <v>0.4</v>
      </c>
      <c r="F13791" s="15">
        <f>ROUND(1.05,3)</f>
        <v>1.05</v>
      </c>
      <c r="G13791" s="12">
        <f t="shared" si="2141"/>
        <v>0.42</v>
      </c>
    </row>
    <row r="13792" ht="21.0" customHeight="1">
      <c r="A13792" s="10" t="s">
        <v>1605</v>
      </c>
      <c r="B13792" s="10" t="s">
        <v>112</v>
      </c>
      <c r="C13792" s="10" t="s">
        <v>23</v>
      </c>
      <c r="D13792" s="10" t="s">
        <v>1606</v>
      </c>
      <c r="E13792" s="14">
        <v>0.2</v>
      </c>
      <c r="F13792" s="15">
        <f>ROUND(11.5,3)</f>
        <v>11.5</v>
      </c>
      <c r="G13792" s="12">
        <f t="shared" si="2141"/>
        <v>2.3</v>
      </c>
    </row>
    <row r="13793" ht="21.0" customHeight="1">
      <c r="A13793" s="10" t="s">
        <v>22</v>
      </c>
      <c r="B13793" s="10" t="s">
        <v>18</v>
      </c>
      <c r="C13793" s="10" t="s">
        <v>23</v>
      </c>
      <c r="D13793" s="10" t="s">
        <v>24</v>
      </c>
      <c r="E13793" s="14">
        <v>0.5</v>
      </c>
      <c r="F13793" s="15">
        <f>F13797</f>
        <v>43.8</v>
      </c>
      <c r="G13793" s="12">
        <f t="shared" si="2141"/>
        <v>21.9</v>
      </c>
    </row>
    <row r="13794" ht="24.0" customHeight="1">
      <c r="A13794" s="10" t="s">
        <v>25</v>
      </c>
      <c r="B13794" s="10" t="s">
        <v>26</v>
      </c>
      <c r="C13794" s="10" t="s">
        <v>23</v>
      </c>
      <c r="D13794" s="10" t="s">
        <v>27</v>
      </c>
      <c r="E13794" s="14">
        <v>1.0</v>
      </c>
      <c r="F13794" s="15">
        <f>ROUND(21,3)</f>
        <v>21</v>
      </c>
      <c r="G13794" s="12">
        <f t="shared" si="2141"/>
        <v>21</v>
      </c>
    </row>
    <row r="13795" ht="24.0" customHeight="1">
      <c r="A13795" s="10" t="s">
        <v>28</v>
      </c>
      <c r="B13795" s="10" t="s">
        <v>26</v>
      </c>
      <c r="C13795" s="10" t="s">
        <v>23</v>
      </c>
      <c r="D13795" s="10" t="s">
        <v>29</v>
      </c>
      <c r="E13795" s="14">
        <v>1.0</v>
      </c>
      <c r="F13795" s="15">
        <f t="shared" ref="F13795:F13796" si="2142">ROUND(19,3)</f>
        <v>19</v>
      </c>
      <c r="G13795" s="12">
        <f t="shared" si="2141"/>
        <v>19</v>
      </c>
    </row>
    <row r="13796" ht="24.0" customHeight="1">
      <c r="A13796" s="10" t="s">
        <v>30</v>
      </c>
      <c r="B13796" s="10" t="s">
        <v>26</v>
      </c>
      <c r="C13796" s="10" t="s">
        <v>23</v>
      </c>
      <c r="D13796" s="10" t="s">
        <v>31</v>
      </c>
      <c r="E13796" s="14">
        <v>0.2</v>
      </c>
      <c r="F13796" s="15">
        <f t="shared" si="2142"/>
        <v>19</v>
      </c>
      <c r="G13796" s="12">
        <f t="shared" si="2141"/>
        <v>3.8</v>
      </c>
    </row>
    <row r="13797" ht="15.0" customHeight="1">
      <c r="A13797" s="11"/>
      <c r="B13797" s="11"/>
      <c r="C13797" s="11"/>
      <c r="D13797" s="10" t="s">
        <v>22</v>
      </c>
      <c r="E13797" s="14">
        <v>0.5</v>
      </c>
      <c r="F13797" s="15">
        <f>ROUND((G13794+G13795+G13796),3)</f>
        <v>43.8</v>
      </c>
      <c r="G13797" s="12">
        <f t="shared" si="2141"/>
        <v>21.9</v>
      </c>
    </row>
    <row r="13798" ht="15.0" customHeight="1">
      <c r="A13798" s="10" t="s">
        <v>32</v>
      </c>
      <c r="B13798" s="10"/>
      <c r="C13798" s="10" t="s">
        <v>33</v>
      </c>
      <c r="D13798" s="10" t="s">
        <v>34</v>
      </c>
      <c r="E13798" s="14">
        <v>3.0</v>
      </c>
      <c r="F13798" s="15">
        <f>ROUND(21.9,3)</f>
        <v>21.9</v>
      </c>
      <c r="G13798" s="12">
        <f>ROUND((E13798*F13798)/100,2)</f>
        <v>0.66</v>
      </c>
    </row>
    <row r="13799" ht="15.0" customHeight="1">
      <c r="A13799" s="16"/>
      <c r="B13799" s="16"/>
      <c r="C13799" s="16"/>
      <c r="D13799" s="17" t="s">
        <v>5777</v>
      </c>
      <c r="E13799" s="16"/>
      <c r="F13799" s="18">
        <f>ROUND((G13789+G13790+G13791+G13792+G13793+G13798)*(1+G2/100),2)</f>
        <v>32.42</v>
      </c>
      <c r="G13799" s="16"/>
    </row>
    <row r="13800" ht="76.5" customHeight="1">
      <c r="A13800" s="19" t="s">
        <v>5780</v>
      </c>
      <c r="B13800" s="20" t="s">
        <v>18</v>
      </c>
      <c r="C13800" s="20" t="s">
        <v>19</v>
      </c>
      <c r="D13800" s="20" t="s">
        <v>5781</v>
      </c>
      <c r="E13800" s="21"/>
      <c r="F13800" s="22">
        <f>F13810</f>
        <v>35</v>
      </c>
      <c r="G13800" s="21"/>
    </row>
    <row r="13801" ht="30.0" customHeight="1">
      <c r="A13801" s="11"/>
      <c r="B13801" s="11"/>
      <c r="C13801" s="11"/>
      <c r="D13801" s="10" t="s">
        <v>5782</v>
      </c>
    </row>
    <row r="13802" ht="30.0" customHeight="1">
      <c r="A13802" s="10" t="s">
        <v>1953</v>
      </c>
      <c r="B13802" s="10" t="s">
        <v>42</v>
      </c>
      <c r="C13802" s="10" t="s">
        <v>184</v>
      </c>
      <c r="D13802" s="10" t="s">
        <v>1954</v>
      </c>
      <c r="E13802" s="14">
        <v>0.704</v>
      </c>
      <c r="F13802" s="15">
        <f>ROUND(5.25,3)</f>
        <v>5.25</v>
      </c>
      <c r="G13802" s="12">
        <f t="shared" ref="G13802:G13808" si="2143">ROUND(E13802*F13802,2)</f>
        <v>3.7</v>
      </c>
    </row>
    <row r="13803" ht="21.0" customHeight="1">
      <c r="A13803" s="10" t="s">
        <v>228</v>
      </c>
      <c r="B13803" s="10" t="s">
        <v>42</v>
      </c>
      <c r="C13803" s="10" t="s">
        <v>226</v>
      </c>
      <c r="D13803" s="10" t="s">
        <v>229</v>
      </c>
      <c r="E13803" s="14">
        <v>0.02444</v>
      </c>
      <c r="F13803" s="15">
        <f>ROUND(1.32,3)</f>
        <v>1.32</v>
      </c>
      <c r="G13803" s="12">
        <f t="shared" si="2143"/>
        <v>0.03</v>
      </c>
    </row>
    <row r="13804" ht="21.0" customHeight="1">
      <c r="A13804" s="10" t="s">
        <v>22</v>
      </c>
      <c r="B13804" s="10" t="s">
        <v>18</v>
      </c>
      <c r="C13804" s="10" t="s">
        <v>23</v>
      </c>
      <c r="D13804" s="10" t="s">
        <v>24</v>
      </c>
      <c r="E13804" s="14">
        <v>0.68</v>
      </c>
      <c r="F13804" s="15">
        <f>F13808</f>
        <v>43.8</v>
      </c>
      <c r="G13804" s="12">
        <f t="shared" si="2143"/>
        <v>29.78</v>
      </c>
    </row>
    <row r="13805" ht="24.0" customHeight="1">
      <c r="A13805" s="10" t="s">
        <v>25</v>
      </c>
      <c r="B13805" s="10" t="s">
        <v>26</v>
      </c>
      <c r="C13805" s="10" t="s">
        <v>23</v>
      </c>
      <c r="D13805" s="10" t="s">
        <v>27</v>
      </c>
      <c r="E13805" s="14">
        <v>1.0</v>
      </c>
      <c r="F13805" s="15">
        <f>ROUND(21,3)</f>
        <v>21</v>
      </c>
      <c r="G13805" s="12">
        <f t="shared" si="2143"/>
        <v>21</v>
      </c>
    </row>
    <row r="13806" ht="24.0" customHeight="1">
      <c r="A13806" s="10" t="s">
        <v>28</v>
      </c>
      <c r="B13806" s="10" t="s">
        <v>26</v>
      </c>
      <c r="C13806" s="10" t="s">
        <v>23</v>
      </c>
      <c r="D13806" s="10" t="s">
        <v>29</v>
      </c>
      <c r="E13806" s="14">
        <v>1.0</v>
      </c>
      <c r="F13806" s="15">
        <f t="shared" ref="F13806:F13807" si="2144">ROUND(19,3)</f>
        <v>19</v>
      </c>
      <c r="G13806" s="12">
        <f t="shared" si="2143"/>
        <v>19</v>
      </c>
    </row>
    <row r="13807" ht="24.0" customHeight="1">
      <c r="A13807" s="10" t="s">
        <v>30</v>
      </c>
      <c r="B13807" s="10" t="s">
        <v>26</v>
      </c>
      <c r="C13807" s="10" t="s">
        <v>23</v>
      </c>
      <c r="D13807" s="10" t="s">
        <v>31</v>
      </c>
      <c r="E13807" s="14">
        <v>0.2</v>
      </c>
      <c r="F13807" s="15">
        <f t="shared" si="2144"/>
        <v>19</v>
      </c>
      <c r="G13807" s="12">
        <f t="shared" si="2143"/>
        <v>3.8</v>
      </c>
    </row>
    <row r="13808" ht="15.0" customHeight="1">
      <c r="A13808" s="11"/>
      <c r="B13808" s="11"/>
      <c r="C13808" s="11"/>
      <c r="D13808" s="10" t="s">
        <v>22</v>
      </c>
      <c r="E13808" s="14">
        <v>0.68</v>
      </c>
      <c r="F13808" s="15">
        <f>ROUND((G13805+G13806+G13807),3)</f>
        <v>43.8</v>
      </c>
      <c r="G13808" s="12">
        <f t="shared" si="2143"/>
        <v>29.78</v>
      </c>
    </row>
    <row r="13809" ht="15.0" customHeight="1">
      <c r="A13809" s="10" t="s">
        <v>32</v>
      </c>
      <c r="B13809" s="10"/>
      <c r="C13809" s="10" t="s">
        <v>33</v>
      </c>
      <c r="D13809" s="10" t="s">
        <v>34</v>
      </c>
      <c r="E13809" s="14">
        <v>5.0</v>
      </c>
      <c r="F13809" s="15">
        <f>ROUND(29.78,3)</f>
        <v>29.78</v>
      </c>
      <c r="G13809" s="12">
        <f>ROUND((E13809*F13809)/100,2)</f>
        <v>1.49</v>
      </c>
    </row>
    <row r="13810" ht="15.0" customHeight="1">
      <c r="A13810" s="16"/>
      <c r="B13810" s="16"/>
      <c r="C13810" s="16"/>
      <c r="D13810" s="17" t="s">
        <v>5780</v>
      </c>
      <c r="E13810" s="16"/>
      <c r="F13810" s="18">
        <f>ROUND((G13802+G13803+G13804+G13809)*(1+G2/100),2)</f>
        <v>35</v>
      </c>
      <c r="G13810" s="16"/>
    </row>
    <row r="13811" ht="76.5" customHeight="1">
      <c r="A13811" s="19" t="s">
        <v>5783</v>
      </c>
      <c r="B13811" s="20" t="s">
        <v>18</v>
      </c>
      <c r="C13811" s="20" t="s">
        <v>19</v>
      </c>
      <c r="D13811" s="20" t="s">
        <v>5784</v>
      </c>
      <c r="E13811" s="21"/>
      <c r="F13811" s="22">
        <f>F13821</f>
        <v>30.01</v>
      </c>
      <c r="G13811" s="21"/>
    </row>
    <row r="13812" ht="30.0" customHeight="1">
      <c r="A13812" s="11"/>
      <c r="B13812" s="11"/>
      <c r="C13812" s="11"/>
      <c r="D13812" s="10" t="s">
        <v>5785</v>
      </c>
    </row>
    <row r="13813" ht="30.0" customHeight="1">
      <c r="A13813" s="10" t="s">
        <v>1953</v>
      </c>
      <c r="B13813" s="10" t="s">
        <v>42</v>
      </c>
      <c r="C13813" s="10" t="s">
        <v>184</v>
      </c>
      <c r="D13813" s="10" t="s">
        <v>1954</v>
      </c>
      <c r="E13813" s="14">
        <v>0.704</v>
      </c>
      <c r="F13813" s="15">
        <f>ROUND(5.25,3)</f>
        <v>5.25</v>
      </c>
      <c r="G13813" s="12">
        <f t="shared" ref="G13813:G13819" si="2145">ROUND(E13813*F13813,2)</f>
        <v>3.7</v>
      </c>
    </row>
    <row r="13814" ht="21.0" customHeight="1">
      <c r="A13814" s="10" t="s">
        <v>228</v>
      </c>
      <c r="B13814" s="10" t="s">
        <v>42</v>
      </c>
      <c r="C13814" s="10" t="s">
        <v>226</v>
      </c>
      <c r="D13814" s="10" t="s">
        <v>229</v>
      </c>
      <c r="E13814" s="14">
        <v>0.02444</v>
      </c>
      <c r="F13814" s="15">
        <f>ROUND(1.32,3)</f>
        <v>1.32</v>
      </c>
      <c r="G13814" s="12">
        <f t="shared" si="2145"/>
        <v>0.03</v>
      </c>
    </row>
    <row r="13815" ht="21.0" customHeight="1">
      <c r="A13815" s="10" t="s">
        <v>22</v>
      </c>
      <c r="B13815" s="10" t="s">
        <v>18</v>
      </c>
      <c r="C13815" s="10" t="s">
        <v>23</v>
      </c>
      <c r="D13815" s="10" t="s">
        <v>24</v>
      </c>
      <c r="E13815" s="14">
        <v>0.5714</v>
      </c>
      <c r="F13815" s="15">
        <f>F13819</f>
        <v>43.8</v>
      </c>
      <c r="G13815" s="12">
        <f t="shared" si="2145"/>
        <v>25.03</v>
      </c>
    </row>
    <row r="13816" ht="24.0" customHeight="1">
      <c r="A13816" s="10" t="s">
        <v>25</v>
      </c>
      <c r="B13816" s="10" t="s">
        <v>26</v>
      </c>
      <c r="C13816" s="10" t="s">
        <v>23</v>
      </c>
      <c r="D13816" s="10" t="s">
        <v>27</v>
      </c>
      <c r="E13816" s="14">
        <v>1.0</v>
      </c>
      <c r="F13816" s="15">
        <f>ROUND(21,3)</f>
        <v>21</v>
      </c>
      <c r="G13816" s="12">
        <f t="shared" si="2145"/>
        <v>21</v>
      </c>
    </row>
    <row r="13817" ht="24.0" customHeight="1">
      <c r="A13817" s="10" t="s">
        <v>28</v>
      </c>
      <c r="B13817" s="10" t="s">
        <v>26</v>
      </c>
      <c r="C13817" s="10" t="s">
        <v>23</v>
      </c>
      <c r="D13817" s="10" t="s">
        <v>29</v>
      </c>
      <c r="E13817" s="14">
        <v>1.0</v>
      </c>
      <c r="F13817" s="15">
        <f t="shared" ref="F13817:F13818" si="2146">ROUND(19,3)</f>
        <v>19</v>
      </c>
      <c r="G13817" s="12">
        <f t="shared" si="2145"/>
        <v>19</v>
      </c>
    </row>
    <row r="13818" ht="24.0" customHeight="1">
      <c r="A13818" s="10" t="s">
        <v>30</v>
      </c>
      <c r="B13818" s="10" t="s">
        <v>26</v>
      </c>
      <c r="C13818" s="10" t="s">
        <v>23</v>
      </c>
      <c r="D13818" s="10" t="s">
        <v>31</v>
      </c>
      <c r="E13818" s="14">
        <v>0.2</v>
      </c>
      <c r="F13818" s="15">
        <f t="shared" si="2146"/>
        <v>19</v>
      </c>
      <c r="G13818" s="12">
        <f t="shared" si="2145"/>
        <v>3.8</v>
      </c>
    </row>
    <row r="13819" ht="15.0" customHeight="1">
      <c r="A13819" s="11"/>
      <c r="B13819" s="11"/>
      <c r="C13819" s="11"/>
      <c r="D13819" s="10" t="s">
        <v>22</v>
      </c>
      <c r="E13819" s="14">
        <v>0.5714</v>
      </c>
      <c r="F13819" s="15">
        <f>ROUND((G13816+G13817+G13818),3)</f>
        <v>43.8</v>
      </c>
      <c r="G13819" s="12">
        <f t="shared" si="2145"/>
        <v>25.03</v>
      </c>
    </row>
    <row r="13820" ht="15.0" customHeight="1">
      <c r="A13820" s="10" t="s">
        <v>32</v>
      </c>
      <c r="B13820" s="10"/>
      <c r="C13820" s="10" t="s">
        <v>33</v>
      </c>
      <c r="D13820" s="10" t="s">
        <v>34</v>
      </c>
      <c r="E13820" s="14">
        <v>5.0</v>
      </c>
      <c r="F13820" s="15">
        <f>ROUND(25.03,3)</f>
        <v>25.03</v>
      </c>
      <c r="G13820" s="12">
        <f>ROUND((E13820*F13820)/100,2)</f>
        <v>1.25</v>
      </c>
    </row>
    <row r="13821" ht="15.0" customHeight="1">
      <c r="A13821" s="16"/>
      <c r="B13821" s="16"/>
      <c r="C13821" s="16"/>
      <c r="D13821" s="17" t="s">
        <v>5783</v>
      </c>
      <c r="E13821" s="16"/>
      <c r="F13821" s="18">
        <f>ROUND((G13813+G13814+G13815+G13820)*(1+G2/100),2)</f>
        <v>30.01</v>
      </c>
      <c r="G13821" s="16"/>
    </row>
    <row r="13822" ht="67.5" customHeight="1">
      <c r="A13822" s="19" t="s">
        <v>5786</v>
      </c>
      <c r="B13822" s="20" t="s">
        <v>18</v>
      </c>
      <c r="C13822" s="20" t="s">
        <v>19</v>
      </c>
      <c r="D13822" s="20" t="s">
        <v>5787</v>
      </c>
      <c r="E13822" s="21"/>
      <c r="F13822" s="22">
        <f>F13832</f>
        <v>37.18</v>
      </c>
      <c r="G13822" s="21"/>
    </row>
    <row r="13823" ht="30.0" customHeight="1">
      <c r="A13823" s="11"/>
      <c r="B13823" s="11"/>
      <c r="C13823" s="11"/>
      <c r="D13823" s="10" t="s">
        <v>5788</v>
      </c>
    </row>
    <row r="13824" ht="30.0" customHeight="1">
      <c r="A13824" s="10" t="s">
        <v>1953</v>
      </c>
      <c r="B13824" s="10" t="s">
        <v>42</v>
      </c>
      <c r="C13824" s="10" t="s">
        <v>184</v>
      </c>
      <c r="D13824" s="10" t="s">
        <v>1954</v>
      </c>
      <c r="E13824" s="14">
        <v>0.704</v>
      </c>
      <c r="F13824" s="15">
        <f>ROUND(5.25,3)</f>
        <v>5.25</v>
      </c>
      <c r="G13824" s="12">
        <f t="shared" ref="G13824:G13830" si="2147">ROUND(E13824*F13824,2)</f>
        <v>3.7</v>
      </c>
    </row>
    <row r="13825" ht="21.0" customHeight="1">
      <c r="A13825" s="10" t="s">
        <v>228</v>
      </c>
      <c r="B13825" s="10" t="s">
        <v>42</v>
      </c>
      <c r="C13825" s="10" t="s">
        <v>226</v>
      </c>
      <c r="D13825" s="10" t="s">
        <v>229</v>
      </c>
      <c r="E13825" s="14">
        <v>0.02444</v>
      </c>
      <c r="F13825" s="15">
        <f>ROUND(1.32,3)</f>
        <v>1.32</v>
      </c>
      <c r="G13825" s="12">
        <f t="shared" si="2147"/>
        <v>0.03</v>
      </c>
    </row>
    <row r="13826" ht="21.0" customHeight="1">
      <c r="A13826" s="10" t="s">
        <v>22</v>
      </c>
      <c r="B13826" s="10" t="s">
        <v>18</v>
      </c>
      <c r="C13826" s="10" t="s">
        <v>23</v>
      </c>
      <c r="D13826" s="10" t="s">
        <v>24</v>
      </c>
      <c r="E13826" s="14">
        <v>0.7273</v>
      </c>
      <c r="F13826" s="15">
        <f>F13830</f>
        <v>43.8</v>
      </c>
      <c r="G13826" s="12">
        <f t="shared" si="2147"/>
        <v>31.86</v>
      </c>
    </row>
    <row r="13827" ht="24.0" customHeight="1">
      <c r="A13827" s="10" t="s">
        <v>25</v>
      </c>
      <c r="B13827" s="10" t="s">
        <v>26</v>
      </c>
      <c r="C13827" s="10" t="s">
        <v>23</v>
      </c>
      <c r="D13827" s="10" t="s">
        <v>27</v>
      </c>
      <c r="E13827" s="14">
        <v>1.0</v>
      </c>
      <c r="F13827" s="15">
        <f>ROUND(21,3)</f>
        <v>21</v>
      </c>
      <c r="G13827" s="12">
        <f t="shared" si="2147"/>
        <v>21</v>
      </c>
    </row>
    <row r="13828" ht="24.0" customHeight="1">
      <c r="A13828" s="10" t="s">
        <v>28</v>
      </c>
      <c r="B13828" s="10" t="s">
        <v>26</v>
      </c>
      <c r="C13828" s="10" t="s">
        <v>23</v>
      </c>
      <c r="D13828" s="10" t="s">
        <v>29</v>
      </c>
      <c r="E13828" s="14">
        <v>1.0</v>
      </c>
      <c r="F13828" s="15">
        <f t="shared" ref="F13828:F13829" si="2148">ROUND(19,3)</f>
        <v>19</v>
      </c>
      <c r="G13828" s="12">
        <f t="shared" si="2147"/>
        <v>19</v>
      </c>
    </row>
    <row r="13829" ht="24.0" customHeight="1">
      <c r="A13829" s="10" t="s">
        <v>30</v>
      </c>
      <c r="B13829" s="10" t="s">
        <v>26</v>
      </c>
      <c r="C13829" s="10" t="s">
        <v>23</v>
      </c>
      <c r="D13829" s="10" t="s">
        <v>31</v>
      </c>
      <c r="E13829" s="14">
        <v>0.2</v>
      </c>
      <c r="F13829" s="15">
        <f t="shared" si="2148"/>
        <v>19</v>
      </c>
      <c r="G13829" s="12">
        <f t="shared" si="2147"/>
        <v>3.8</v>
      </c>
    </row>
    <row r="13830" ht="15.0" customHeight="1">
      <c r="A13830" s="11"/>
      <c r="B13830" s="11"/>
      <c r="C13830" s="11"/>
      <c r="D13830" s="10" t="s">
        <v>22</v>
      </c>
      <c r="E13830" s="14">
        <v>0.7273</v>
      </c>
      <c r="F13830" s="15">
        <f>ROUND((G13827+G13828+G13829),3)</f>
        <v>43.8</v>
      </c>
      <c r="G13830" s="12">
        <f t="shared" si="2147"/>
        <v>31.86</v>
      </c>
    </row>
    <row r="13831" ht="15.0" customHeight="1">
      <c r="A13831" s="10" t="s">
        <v>32</v>
      </c>
      <c r="B13831" s="10"/>
      <c r="C13831" s="10" t="s">
        <v>33</v>
      </c>
      <c r="D13831" s="10" t="s">
        <v>34</v>
      </c>
      <c r="E13831" s="14">
        <v>5.0</v>
      </c>
      <c r="F13831" s="15">
        <f>ROUND(31.86,3)</f>
        <v>31.86</v>
      </c>
      <c r="G13831" s="12">
        <f>ROUND((E13831*F13831)/100,2)</f>
        <v>1.59</v>
      </c>
    </row>
    <row r="13832" ht="15.0" customHeight="1">
      <c r="A13832" s="16"/>
      <c r="B13832" s="16"/>
      <c r="C13832" s="16"/>
      <c r="D13832" s="17" t="s">
        <v>5786</v>
      </c>
      <c r="E13832" s="16"/>
      <c r="F13832" s="18">
        <f>ROUND((G13824+G13825+G13826+G13831)*(1+G2/100),2)</f>
        <v>37.18</v>
      </c>
      <c r="G13832" s="16"/>
    </row>
    <row r="13833" ht="67.5" customHeight="1">
      <c r="A13833" s="19" t="s">
        <v>5789</v>
      </c>
      <c r="B13833" s="20" t="s">
        <v>18</v>
      </c>
      <c r="C13833" s="20" t="s">
        <v>19</v>
      </c>
      <c r="D13833" s="20" t="s">
        <v>5790</v>
      </c>
      <c r="E13833" s="21"/>
      <c r="F13833" s="22">
        <f>F13843</f>
        <v>25.37</v>
      </c>
      <c r="G13833" s="21"/>
    </row>
    <row r="13834" ht="30.0" customHeight="1">
      <c r="A13834" s="11"/>
      <c r="B13834" s="11"/>
      <c r="C13834" s="11"/>
      <c r="D13834" s="10" t="s">
        <v>5791</v>
      </c>
    </row>
    <row r="13835" ht="30.0" customHeight="1">
      <c r="A13835" s="10" t="s">
        <v>1953</v>
      </c>
      <c r="B13835" s="10" t="s">
        <v>42</v>
      </c>
      <c r="C13835" s="10" t="s">
        <v>184</v>
      </c>
      <c r="D13835" s="10" t="s">
        <v>1954</v>
      </c>
      <c r="E13835" s="14">
        <v>0.704</v>
      </c>
      <c r="F13835" s="15">
        <f>ROUND(5.25,3)</f>
        <v>5.25</v>
      </c>
      <c r="G13835" s="12">
        <f t="shared" ref="G13835:G13841" si="2149">ROUND(E13835*F13835,2)</f>
        <v>3.7</v>
      </c>
    </row>
    <row r="13836" ht="21.0" customHeight="1">
      <c r="A13836" s="10" t="s">
        <v>228</v>
      </c>
      <c r="B13836" s="10" t="s">
        <v>42</v>
      </c>
      <c r="C13836" s="10" t="s">
        <v>226</v>
      </c>
      <c r="D13836" s="10" t="s">
        <v>229</v>
      </c>
      <c r="E13836" s="14">
        <v>0.02444</v>
      </c>
      <c r="F13836" s="15">
        <f>ROUND(1.32,3)</f>
        <v>1.32</v>
      </c>
      <c r="G13836" s="12">
        <f t="shared" si="2149"/>
        <v>0.03</v>
      </c>
    </row>
    <row r="13837" ht="21.0" customHeight="1">
      <c r="A13837" s="10" t="s">
        <v>22</v>
      </c>
      <c r="B13837" s="10" t="s">
        <v>18</v>
      </c>
      <c r="C13837" s="10" t="s">
        <v>23</v>
      </c>
      <c r="D13837" s="10" t="s">
        <v>24</v>
      </c>
      <c r="E13837" s="14">
        <v>0.4706</v>
      </c>
      <c r="F13837" s="15">
        <f>F13841</f>
        <v>43.8</v>
      </c>
      <c r="G13837" s="12">
        <f t="shared" si="2149"/>
        <v>20.61</v>
      </c>
    </row>
    <row r="13838" ht="24.0" customHeight="1">
      <c r="A13838" s="10" t="s">
        <v>25</v>
      </c>
      <c r="B13838" s="10" t="s">
        <v>26</v>
      </c>
      <c r="C13838" s="10" t="s">
        <v>23</v>
      </c>
      <c r="D13838" s="10" t="s">
        <v>27</v>
      </c>
      <c r="E13838" s="14">
        <v>1.0</v>
      </c>
      <c r="F13838" s="15">
        <f>ROUND(21,3)</f>
        <v>21</v>
      </c>
      <c r="G13838" s="12">
        <f t="shared" si="2149"/>
        <v>21</v>
      </c>
    </row>
    <row r="13839" ht="24.0" customHeight="1">
      <c r="A13839" s="10" t="s">
        <v>28</v>
      </c>
      <c r="B13839" s="10" t="s">
        <v>26</v>
      </c>
      <c r="C13839" s="10" t="s">
        <v>23</v>
      </c>
      <c r="D13839" s="10" t="s">
        <v>29</v>
      </c>
      <c r="E13839" s="14">
        <v>1.0</v>
      </c>
      <c r="F13839" s="15">
        <f t="shared" ref="F13839:F13840" si="2150">ROUND(19,3)</f>
        <v>19</v>
      </c>
      <c r="G13839" s="12">
        <f t="shared" si="2149"/>
        <v>19</v>
      </c>
    </row>
    <row r="13840" ht="24.0" customHeight="1">
      <c r="A13840" s="10" t="s">
        <v>30</v>
      </c>
      <c r="B13840" s="10" t="s">
        <v>26</v>
      </c>
      <c r="C13840" s="10" t="s">
        <v>23</v>
      </c>
      <c r="D13840" s="10" t="s">
        <v>31</v>
      </c>
      <c r="E13840" s="14">
        <v>0.2</v>
      </c>
      <c r="F13840" s="15">
        <f t="shared" si="2150"/>
        <v>19</v>
      </c>
      <c r="G13840" s="12">
        <f t="shared" si="2149"/>
        <v>3.8</v>
      </c>
    </row>
    <row r="13841" ht="15.0" customHeight="1">
      <c r="A13841" s="11"/>
      <c r="B13841" s="11"/>
      <c r="C13841" s="11"/>
      <c r="D13841" s="10" t="s">
        <v>22</v>
      </c>
      <c r="E13841" s="14">
        <v>0.4706</v>
      </c>
      <c r="F13841" s="15">
        <f>ROUND((G13838+G13839+G13840),3)</f>
        <v>43.8</v>
      </c>
      <c r="G13841" s="12">
        <f t="shared" si="2149"/>
        <v>20.61</v>
      </c>
    </row>
    <row r="13842" ht="15.0" customHeight="1">
      <c r="A13842" s="10" t="s">
        <v>32</v>
      </c>
      <c r="B13842" s="10"/>
      <c r="C13842" s="10" t="s">
        <v>33</v>
      </c>
      <c r="D13842" s="10" t="s">
        <v>34</v>
      </c>
      <c r="E13842" s="14">
        <v>5.0</v>
      </c>
      <c r="F13842" s="15">
        <f>ROUND(20.61,3)</f>
        <v>20.61</v>
      </c>
      <c r="G13842" s="12">
        <f>ROUND((E13842*F13842)/100,2)</f>
        <v>1.03</v>
      </c>
    </row>
    <row r="13843" ht="15.0" customHeight="1">
      <c r="A13843" s="16"/>
      <c r="B13843" s="16"/>
      <c r="C13843" s="16"/>
      <c r="D13843" s="17" t="s">
        <v>5789</v>
      </c>
      <c r="E13843" s="16"/>
      <c r="F13843" s="18">
        <f>ROUND((G13835+G13836+G13837+G13842)*(1+G2/100),2)</f>
        <v>25.37</v>
      </c>
      <c r="G13843" s="16"/>
    </row>
    <row r="13844" ht="67.5" customHeight="1">
      <c r="A13844" s="19" t="s">
        <v>5792</v>
      </c>
      <c r="B13844" s="20" t="s">
        <v>18</v>
      </c>
      <c r="C13844" s="20" t="s">
        <v>19</v>
      </c>
      <c r="D13844" s="20" t="s">
        <v>5793</v>
      </c>
      <c r="E13844" s="21"/>
      <c r="F13844" s="22">
        <f>F13854</f>
        <v>30.01</v>
      </c>
      <c r="G13844" s="21"/>
    </row>
    <row r="13845" ht="30.0" customHeight="1">
      <c r="A13845" s="11"/>
      <c r="B13845" s="11"/>
      <c r="C13845" s="11"/>
      <c r="D13845" s="10" t="s">
        <v>5794</v>
      </c>
    </row>
    <row r="13846" ht="30.0" customHeight="1">
      <c r="A13846" s="10" t="s">
        <v>1953</v>
      </c>
      <c r="B13846" s="10" t="s">
        <v>42</v>
      </c>
      <c r="C13846" s="10" t="s">
        <v>184</v>
      </c>
      <c r="D13846" s="10" t="s">
        <v>1954</v>
      </c>
      <c r="E13846" s="14">
        <v>0.704</v>
      </c>
      <c r="F13846" s="15">
        <f>ROUND(5.25,3)</f>
        <v>5.25</v>
      </c>
      <c r="G13846" s="12">
        <f t="shared" ref="G13846:G13852" si="2151">ROUND(E13846*F13846,2)</f>
        <v>3.7</v>
      </c>
    </row>
    <row r="13847" ht="21.0" customHeight="1">
      <c r="A13847" s="10" t="s">
        <v>228</v>
      </c>
      <c r="B13847" s="10" t="s">
        <v>42</v>
      </c>
      <c r="C13847" s="10" t="s">
        <v>226</v>
      </c>
      <c r="D13847" s="10" t="s">
        <v>229</v>
      </c>
      <c r="E13847" s="14">
        <v>0.02444</v>
      </c>
      <c r="F13847" s="15">
        <f>ROUND(1.32,3)</f>
        <v>1.32</v>
      </c>
      <c r="G13847" s="12">
        <f t="shared" si="2151"/>
        <v>0.03</v>
      </c>
    </row>
    <row r="13848" ht="21.0" customHeight="1">
      <c r="A13848" s="10" t="s">
        <v>22</v>
      </c>
      <c r="B13848" s="10" t="s">
        <v>18</v>
      </c>
      <c r="C13848" s="10" t="s">
        <v>23</v>
      </c>
      <c r="D13848" s="10" t="s">
        <v>24</v>
      </c>
      <c r="E13848" s="14">
        <v>0.5714</v>
      </c>
      <c r="F13848" s="15">
        <f>F13852</f>
        <v>43.8</v>
      </c>
      <c r="G13848" s="12">
        <f t="shared" si="2151"/>
        <v>25.03</v>
      </c>
    </row>
    <row r="13849" ht="24.0" customHeight="1">
      <c r="A13849" s="10" t="s">
        <v>25</v>
      </c>
      <c r="B13849" s="10" t="s">
        <v>26</v>
      </c>
      <c r="C13849" s="10" t="s">
        <v>23</v>
      </c>
      <c r="D13849" s="10" t="s">
        <v>27</v>
      </c>
      <c r="E13849" s="14">
        <v>1.0</v>
      </c>
      <c r="F13849" s="15">
        <f>ROUND(21,3)</f>
        <v>21</v>
      </c>
      <c r="G13849" s="12">
        <f t="shared" si="2151"/>
        <v>21</v>
      </c>
    </row>
    <row r="13850" ht="24.0" customHeight="1">
      <c r="A13850" s="10" t="s">
        <v>28</v>
      </c>
      <c r="B13850" s="10" t="s">
        <v>26</v>
      </c>
      <c r="C13850" s="10" t="s">
        <v>23</v>
      </c>
      <c r="D13850" s="10" t="s">
        <v>29</v>
      </c>
      <c r="E13850" s="14">
        <v>1.0</v>
      </c>
      <c r="F13850" s="15">
        <f t="shared" ref="F13850:F13851" si="2152">ROUND(19,3)</f>
        <v>19</v>
      </c>
      <c r="G13850" s="12">
        <f t="shared" si="2151"/>
        <v>19</v>
      </c>
    </row>
    <row r="13851" ht="24.0" customHeight="1">
      <c r="A13851" s="10" t="s">
        <v>30</v>
      </c>
      <c r="B13851" s="10" t="s">
        <v>26</v>
      </c>
      <c r="C13851" s="10" t="s">
        <v>23</v>
      </c>
      <c r="D13851" s="10" t="s">
        <v>31</v>
      </c>
      <c r="E13851" s="14">
        <v>0.2</v>
      </c>
      <c r="F13851" s="15">
        <f t="shared" si="2152"/>
        <v>19</v>
      </c>
      <c r="G13851" s="12">
        <f t="shared" si="2151"/>
        <v>3.8</v>
      </c>
    </row>
    <row r="13852" ht="15.0" customHeight="1">
      <c r="A13852" s="11"/>
      <c r="B13852" s="11"/>
      <c r="C13852" s="11"/>
      <c r="D13852" s="10" t="s">
        <v>22</v>
      </c>
      <c r="E13852" s="14">
        <v>0.5714</v>
      </c>
      <c r="F13852" s="15">
        <f>ROUND((G13849+G13850+G13851),3)</f>
        <v>43.8</v>
      </c>
      <c r="G13852" s="12">
        <f t="shared" si="2151"/>
        <v>25.03</v>
      </c>
    </row>
    <row r="13853" ht="15.0" customHeight="1">
      <c r="A13853" s="10" t="s">
        <v>32</v>
      </c>
      <c r="B13853" s="10"/>
      <c r="C13853" s="10" t="s">
        <v>33</v>
      </c>
      <c r="D13853" s="10" t="s">
        <v>34</v>
      </c>
      <c r="E13853" s="14">
        <v>5.0</v>
      </c>
      <c r="F13853" s="15">
        <f>ROUND(25.03,3)</f>
        <v>25.03</v>
      </c>
      <c r="G13853" s="12">
        <f>ROUND((E13853*F13853)/100,2)</f>
        <v>1.25</v>
      </c>
    </row>
    <row r="13854" ht="15.0" customHeight="1">
      <c r="A13854" s="16"/>
      <c r="B13854" s="16"/>
      <c r="C13854" s="16"/>
      <c r="D13854" s="17" t="s">
        <v>5792</v>
      </c>
      <c r="E13854" s="16"/>
      <c r="F13854" s="18">
        <f>ROUND((G13846+G13847+G13848+G13853)*(1+G2/100),2)</f>
        <v>30.01</v>
      </c>
      <c r="G13854" s="16"/>
    </row>
    <row r="13855" ht="67.5" customHeight="1">
      <c r="A13855" s="19" t="s">
        <v>5795</v>
      </c>
      <c r="B13855" s="20" t="s">
        <v>18</v>
      </c>
      <c r="C13855" s="20" t="s">
        <v>19</v>
      </c>
      <c r="D13855" s="20" t="s">
        <v>5796</v>
      </c>
      <c r="E13855" s="21"/>
      <c r="F13855" s="22">
        <f>F13866</f>
        <v>26.08</v>
      </c>
      <c r="G13855" s="21"/>
    </row>
    <row r="13856" ht="30.0" customHeight="1">
      <c r="A13856" s="11"/>
      <c r="B13856" s="11"/>
      <c r="C13856" s="11"/>
      <c r="D13856" s="10" t="s">
        <v>5797</v>
      </c>
    </row>
    <row r="13857" ht="30.0" customHeight="1">
      <c r="A13857" s="10" t="s">
        <v>1953</v>
      </c>
      <c r="B13857" s="10" t="s">
        <v>42</v>
      </c>
      <c r="C13857" s="10" t="s">
        <v>184</v>
      </c>
      <c r="D13857" s="10" t="s">
        <v>1954</v>
      </c>
      <c r="E13857" s="14">
        <v>0.704</v>
      </c>
      <c r="F13857" s="15">
        <f>ROUND(5.25,3)</f>
        <v>5.25</v>
      </c>
      <c r="G13857" s="12">
        <f t="shared" ref="G13857:G13864" si="2153">ROUND(E13857*F13857,2)</f>
        <v>3.7</v>
      </c>
    </row>
    <row r="13858" ht="21.0" customHeight="1">
      <c r="A13858" s="10" t="s">
        <v>228</v>
      </c>
      <c r="B13858" s="10" t="s">
        <v>42</v>
      </c>
      <c r="C13858" s="10" t="s">
        <v>226</v>
      </c>
      <c r="D13858" s="10" t="s">
        <v>229</v>
      </c>
      <c r="E13858" s="14">
        <v>0.02444</v>
      </c>
      <c r="F13858" s="15">
        <f>ROUND(1.32,3)</f>
        <v>1.32</v>
      </c>
      <c r="G13858" s="12">
        <f t="shared" si="2153"/>
        <v>0.03</v>
      </c>
    </row>
    <row r="13859" ht="21.0" customHeight="1">
      <c r="A13859" s="10" t="s">
        <v>1605</v>
      </c>
      <c r="B13859" s="10" t="s">
        <v>112</v>
      </c>
      <c r="C13859" s="10" t="s">
        <v>23</v>
      </c>
      <c r="D13859" s="10" t="s">
        <v>1606</v>
      </c>
      <c r="E13859" s="14">
        <v>0.2</v>
      </c>
      <c r="F13859" s="15">
        <f>ROUND(11.5,3)</f>
        <v>11.5</v>
      </c>
      <c r="G13859" s="12">
        <f t="shared" si="2153"/>
        <v>2.3</v>
      </c>
    </row>
    <row r="13860" ht="21.0" customHeight="1">
      <c r="A13860" s="10" t="s">
        <v>22</v>
      </c>
      <c r="B13860" s="10" t="s">
        <v>18</v>
      </c>
      <c r="C13860" s="10" t="s">
        <v>23</v>
      </c>
      <c r="D13860" s="10" t="s">
        <v>24</v>
      </c>
      <c r="E13860" s="14">
        <v>0.44444</v>
      </c>
      <c r="F13860" s="15">
        <f>F13864</f>
        <v>43.8</v>
      </c>
      <c r="G13860" s="12">
        <f t="shared" si="2153"/>
        <v>19.47</v>
      </c>
    </row>
    <row r="13861" ht="24.0" customHeight="1">
      <c r="A13861" s="10" t="s">
        <v>25</v>
      </c>
      <c r="B13861" s="10" t="s">
        <v>26</v>
      </c>
      <c r="C13861" s="10" t="s">
        <v>23</v>
      </c>
      <c r="D13861" s="10" t="s">
        <v>27</v>
      </c>
      <c r="E13861" s="14">
        <v>1.0</v>
      </c>
      <c r="F13861" s="15">
        <f>ROUND(21,3)</f>
        <v>21</v>
      </c>
      <c r="G13861" s="12">
        <f t="shared" si="2153"/>
        <v>21</v>
      </c>
    </row>
    <row r="13862" ht="24.0" customHeight="1">
      <c r="A13862" s="10" t="s">
        <v>28</v>
      </c>
      <c r="B13862" s="10" t="s">
        <v>26</v>
      </c>
      <c r="C13862" s="10" t="s">
        <v>23</v>
      </c>
      <c r="D13862" s="10" t="s">
        <v>29</v>
      </c>
      <c r="E13862" s="14">
        <v>1.0</v>
      </c>
      <c r="F13862" s="15">
        <f t="shared" ref="F13862:F13863" si="2154">ROUND(19,3)</f>
        <v>19</v>
      </c>
      <c r="G13862" s="12">
        <f t="shared" si="2153"/>
        <v>19</v>
      </c>
    </row>
    <row r="13863" ht="24.0" customHeight="1">
      <c r="A13863" s="10" t="s">
        <v>30</v>
      </c>
      <c r="B13863" s="10" t="s">
        <v>26</v>
      </c>
      <c r="C13863" s="10" t="s">
        <v>23</v>
      </c>
      <c r="D13863" s="10" t="s">
        <v>31</v>
      </c>
      <c r="E13863" s="14">
        <v>0.2</v>
      </c>
      <c r="F13863" s="15">
        <f t="shared" si="2154"/>
        <v>19</v>
      </c>
      <c r="G13863" s="12">
        <f t="shared" si="2153"/>
        <v>3.8</v>
      </c>
    </row>
    <row r="13864" ht="15.0" customHeight="1">
      <c r="A13864" s="11"/>
      <c r="B13864" s="11"/>
      <c r="C13864" s="11"/>
      <c r="D13864" s="10" t="s">
        <v>22</v>
      </c>
      <c r="E13864" s="14">
        <v>0.44444</v>
      </c>
      <c r="F13864" s="15">
        <f>ROUND((G13861+G13862+G13863),3)</f>
        <v>43.8</v>
      </c>
      <c r="G13864" s="12">
        <f t="shared" si="2153"/>
        <v>19.47</v>
      </c>
    </row>
    <row r="13865" ht="15.0" customHeight="1">
      <c r="A13865" s="10" t="s">
        <v>32</v>
      </c>
      <c r="B13865" s="10"/>
      <c r="C13865" s="10" t="s">
        <v>33</v>
      </c>
      <c r="D13865" s="10" t="s">
        <v>34</v>
      </c>
      <c r="E13865" s="14">
        <v>3.0</v>
      </c>
      <c r="F13865" s="15">
        <f>ROUND(19.47,3)</f>
        <v>19.47</v>
      </c>
      <c r="G13865" s="12">
        <f>ROUND((E13865*F13865)/100,2)</f>
        <v>0.58</v>
      </c>
    </row>
    <row r="13866" ht="15.0" customHeight="1">
      <c r="A13866" s="16"/>
      <c r="B13866" s="16"/>
      <c r="C13866" s="16"/>
      <c r="D13866" s="17" t="s">
        <v>5795</v>
      </c>
      <c r="E13866" s="16"/>
      <c r="F13866" s="18">
        <f>ROUND((G13857+G13858+G13859+G13860+G13865)*(1+G2/100),2)</f>
        <v>26.08</v>
      </c>
      <c r="G13866" s="16"/>
    </row>
    <row r="13867" ht="67.5" customHeight="1">
      <c r="A13867" s="19" t="s">
        <v>5798</v>
      </c>
      <c r="B13867" s="20" t="s">
        <v>18</v>
      </c>
      <c r="C13867" s="20" t="s">
        <v>19</v>
      </c>
      <c r="D13867" s="20" t="s">
        <v>5799</v>
      </c>
      <c r="E13867" s="21"/>
      <c r="F13867" s="22">
        <f>F13878</f>
        <v>30.09</v>
      </c>
      <c r="G13867" s="21"/>
    </row>
    <row r="13868" ht="30.0" customHeight="1">
      <c r="A13868" s="11"/>
      <c r="B13868" s="11"/>
      <c r="C13868" s="11"/>
      <c r="D13868" s="10" t="s">
        <v>5800</v>
      </c>
    </row>
    <row r="13869" ht="30.0" customHeight="1">
      <c r="A13869" s="10" t="s">
        <v>1953</v>
      </c>
      <c r="B13869" s="10" t="s">
        <v>42</v>
      </c>
      <c r="C13869" s="10" t="s">
        <v>184</v>
      </c>
      <c r="D13869" s="10" t="s">
        <v>1954</v>
      </c>
      <c r="E13869" s="14">
        <v>0.704</v>
      </c>
      <c r="F13869" s="15">
        <f>ROUND(5.25,3)</f>
        <v>5.25</v>
      </c>
      <c r="G13869" s="12">
        <f t="shared" ref="G13869:G13876" si="2155">ROUND(E13869*F13869,2)</f>
        <v>3.7</v>
      </c>
    </row>
    <row r="13870" ht="21.0" customHeight="1">
      <c r="A13870" s="10" t="s">
        <v>228</v>
      </c>
      <c r="B13870" s="10" t="s">
        <v>42</v>
      </c>
      <c r="C13870" s="10" t="s">
        <v>226</v>
      </c>
      <c r="D13870" s="10" t="s">
        <v>229</v>
      </c>
      <c r="E13870" s="14">
        <v>0.02444</v>
      </c>
      <c r="F13870" s="15">
        <f>ROUND(1.32,3)</f>
        <v>1.32</v>
      </c>
      <c r="G13870" s="12">
        <f t="shared" si="2155"/>
        <v>0.03</v>
      </c>
    </row>
    <row r="13871" ht="21.0" customHeight="1">
      <c r="A13871" s="10" t="s">
        <v>1605</v>
      </c>
      <c r="B13871" s="10" t="s">
        <v>112</v>
      </c>
      <c r="C13871" s="10" t="s">
        <v>23</v>
      </c>
      <c r="D13871" s="10" t="s">
        <v>1606</v>
      </c>
      <c r="E13871" s="14">
        <v>0.2</v>
      </c>
      <c r="F13871" s="15">
        <f>ROUND(11.5,3)</f>
        <v>11.5</v>
      </c>
      <c r="G13871" s="12">
        <f t="shared" si="2155"/>
        <v>2.3</v>
      </c>
    </row>
    <row r="13872" ht="21.0" customHeight="1">
      <c r="A13872" s="10" t="s">
        <v>22</v>
      </c>
      <c r="B13872" s="10" t="s">
        <v>18</v>
      </c>
      <c r="C13872" s="10" t="s">
        <v>23</v>
      </c>
      <c r="D13872" s="10" t="s">
        <v>24</v>
      </c>
      <c r="E13872" s="14">
        <v>0.53333</v>
      </c>
      <c r="F13872" s="15">
        <f>F13876</f>
        <v>43.8</v>
      </c>
      <c r="G13872" s="12">
        <f t="shared" si="2155"/>
        <v>23.36</v>
      </c>
    </row>
    <row r="13873" ht="24.0" customHeight="1">
      <c r="A13873" s="10" t="s">
        <v>25</v>
      </c>
      <c r="B13873" s="10" t="s">
        <v>26</v>
      </c>
      <c r="C13873" s="10" t="s">
        <v>23</v>
      </c>
      <c r="D13873" s="10" t="s">
        <v>27</v>
      </c>
      <c r="E13873" s="14">
        <v>1.0</v>
      </c>
      <c r="F13873" s="15">
        <f>ROUND(21,3)</f>
        <v>21</v>
      </c>
      <c r="G13873" s="12">
        <f t="shared" si="2155"/>
        <v>21</v>
      </c>
    </row>
    <row r="13874" ht="24.0" customHeight="1">
      <c r="A13874" s="10" t="s">
        <v>28</v>
      </c>
      <c r="B13874" s="10" t="s">
        <v>26</v>
      </c>
      <c r="C13874" s="10" t="s">
        <v>23</v>
      </c>
      <c r="D13874" s="10" t="s">
        <v>29</v>
      </c>
      <c r="E13874" s="14">
        <v>1.0</v>
      </c>
      <c r="F13874" s="15">
        <f t="shared" ref="F13874:F13875" si="2156">ROUND(19,3)</f>
        <v>19</v>
      </c>
      <c r="G13874" s="12">
        <f t="shared" si="2155"/>
        <v>19</v>
      </c>
    </row>
    <row r="13875" ht="24.0" customHeight="1">
      <c r="A13875" s="10" t="s">
        <v>30</v>
      </c>
      <c r="B13875" s="10" t="s">
        <v>26</v>
      </c>
      <c r="C13875" s="10" t="s">
        <v>23</v>
      </c>
      <c r="D13875" s="10" t="s">
        <v>31</v>
      </c>
      <c r="E13875" s="14">
        <v>0.2</v>
      </c>
      <c r="F13875" s="15">
        <f t="shared" si="2156"/>
        <v>19</v>
      </c>
      <c r="G13875" s="12">
        <f t="shared" si="2155"/>
        <v>3.8</v>
      </c>
    </row>
    <row r="13876" ht="15.0" customHeight="1">
      <c r="A13876" s="11"/>
      <c r="B13876" s="11"/>
      <c r="C13876" s="11"/>
      <c r="D13876" s="10" t="s">
        <v>22</v>
      </c>
      <c r="E13876" s="14">
        <v>0.53333</v>
      </c>
      <c r="F13876" s="15">
        <f>ROUND((G13873+G13874+G13875),3)</f>
        <v>43.8</v>
      </c>
      <c r="G13876" s="12">
        <f t="shared" si="2155"/>
        <v>23.36</v>
      </c>
    </row>
    <row r="13877" ht="15.0" customHeight="1">
      <c r="A13877" s="10" t="s">
        <v>32</v>
      </c>
      <c r="B13877" s="10"/>
      <c r="C13877" s="10" t="s">
        <v>33</v>
      </c>
      <c r="D13877" s="10" t="s">
        <v>34</v>
      </c>
      <c r="E13877" s="14">
        <v>3.0</v>
      </c>
      <c r="F13877" s="15">
        <f>ROUND(23.36,3)</f>
        <v>23.36</v>
      </c>
      <c r="G13877" s="12">
        <f>ROUND((E13877*F13877)/100,2)</f>
        <v>0.7</v>
      </c>
    </row>
    <row r="13878" ht="15.0" customHeight="1">
      <c r="A13878" s="16"/>
      <c r="B13878" s="16"/>
      <c r="C13878" s="16"/>
      <c r="D13878" s="17" t="s">
        <v>5798</v>
      </c>
      <c r="E13878" s="16"/>
      <c r="F13878" s="18">
        <f>ROUND((G13869+G13870+G13871+G13872+G13877)*(1+G2/100),2)</f>
        <v>30.09</v>
      </c>
      <c r="G13878" s="16"/>
    </row>
    <row r="13879" ht="67.5" customHeight="1">
      <c r="A13879" s="19" t="s">
        <v>5801</v>
      </c>
      <c r="B13879" s="20" t="s">
        <v>18</v>
      </c>
      <c r="C13879" s="20" t="s">
        <v>19</v>
      </c>
      <c r="D13879" s="20" t="s">
        <v>5802</v>
      </c>
      <c r="E13879" s="21"/>
      <c r="F13879" s="22">
        <f>F13890</f>
        <v>20.47</v>
      </c>
      <c r="G13879" s="21"/>
    </row>
    <row r="13880" ht="30.0" customHeight="1">
      <c r="A13880" s="11"/>
      <c r="B13880" s="11"/>
      <c r="C13880" s="11"/>
      <c r="D13880" s="10" t="s">
        <v>5803</v>
      </c>
    </row>
    <row r="13881" ht="30.0" customHeight="1">
      <c r="A13881" s="10" t="s">
        <v>1953</v>
      </c>
      <c r="B13881" s="10" t="s">
        <v>42</v>
      </c>
      <c r="C13881" s="10" t="s">
        <v>184</v>
      </c>
      <c r="D13881" s="10" t="s">
        <v>1954</v>
      </c>
      <c r="E13881" s="14">
        <v>0.704</v>
      </c>
      <c r="F13881" s="15">
        <f>ROUND(5.25,3)</f>
        <v>5.25</v>
      </c>
      <c r="G13881" s="12">
        <f t="shared" ref="G13881:G13888" si="2157">ROUND(E13881*F13881,2)</f>
        <v>3.7</v>
      </c>
    </row>
    <row r="13882" ht="21.0" customHeight="1">
      <c r="A13882" s="10" t="s">
        <v>228</v>
      </c>
      <c r="B13882" s="10" t="s">
        <v>42</v>
      </c>
      <c r="C13882" s="10" t="s">
        <v>226</v>
      </c>
      <c r="D13882" s="10" t="s">
        <v>229</v>
      </c>
      <c r="E13882" s="14">
        <v>0.02444</v>
      </c>
      <c r="F13882" s="15">
        <f>ROUND(1.32,3)</f>
        <v>1.32</v>
      </c>
      <c r="G13882" s="12">
        <f t="shared" si="2157"/>
        <v>0.03</v>
      </c>
    </row>
    <row r="13883" ht="21.0" customHeight="1">
      <c r="A13883" s="10" t="s">
        <v>1605</v>
      </c>
      <c r="B13883" s="10" t="s">
        <v>112</v>
      </c>
      <c r="C13883" s="10" t="s">
        <v>23</v>
      </c>
      <c r="D13883" s="10" t="s">
        <v>1606</v>
      </c>
      <c r="E13883" s="14">
        <v>0.2</v>
      </c>
      <c r="F13883" s="15">
        <f>ROUND(11.5,3)</f>
        <v>11.5</v>
      </c>
      <c r="G13883" s="12">
        <f t="shared" si="2157"/>
        <v>2.3</v>
      </c>
    </row>
    <row r="13884" ht="21.0" customHeight="1">
      <c r="A13884" s="10" t="s">
        <v>22</v>
      </c>
      <c r="B13884" s="10" t="s">
        <v>18</v>
      </c>
      <c r="C13884" s="10" t="s">
        <v>23</v>
      </c>
      <c r="D13884" s="10" t="s">
        <v>24</v>
      </c>
      <c r="E13884" s="14">
        <v>0.32</v>
      </c>
      <c r="F13884" s="15">
        <f>F13888</f>
        <v>43.8</v>
      </c>
      <c r="G13884" s="12">
        <f t="shared" si="2157"/>
        <v>14.02</v>
      </c>
    </row>
    <row r="13885" ht="24.0" customHeight="1">
      <c r="A13885" s="10" t="s">
        <v>25</v>
      </c>
      <c r="B13885" s="10" t="s">
        <v>26</v>
      </c>
      <c r="C13885" s="10" t="s">
        <v>23</v>
      </c>
      <c r="D13885" s="10" t="s">
        <v>27</v>
      </c>
      <c r="E13885" s="14">
        <v>1.0</v>
      </c>
      <c r="F13885" s="15">
        <f>ROUND(21,3)</f>
        <v>21</v>
      </c>
      <c r="G13885" s="12">
        <f t="shared" si="2157"/>
        <v>21</v>
      </c>
    </row>
    <row r="13886" ht="24.0" customHeight="1">
      <c r="A13886" s="10" t="s">
        <v>28</v>
      </c>
      <c r="B13886" s="10" t="s">
        <v>26</v>
      </c>
      <c r="C13886" s="10" t="s">
        <v>23</v>
      </c>
      <c r="D13886" s="10" t="s">
        <v>29</v>
      </c>
      <c r="E13886" s="14">
        <v>1.0</v>
      </c>
      <c r="F13886" s="15">
        <f t="shared" ref="F13886:F13887" si="2158">ROUND(19,3)</f>
        <v>19</v>
      </c>
      <c r="G13886" s="12">
        <f t="shared" si="2157"/>
        <v>19</v>
      </c>
    </row>
    <row r="13887" ht="24.0" customHeight="1">
      <c r="A13887" s="10" t="s">
        <v>30</v>
      </c>
      <c r="B13887" s="10" t="s">
        <v>26</v>
      </c>
      <c r="C13887" s="10" t="s">
        <v>23</v>
      </c>
      <c r="D13887" s="10" t="s">
        <v>31</v>
      </c>
      <c r="E13887" s="14">
        <v>0.2</v>
      </c>
      <c r="F13887" s="15">
        <f t="shared" si="2158"/>
        <v>19</v>
      </c>
      <c r="G13887" s="12">
        <f t="shared" si="2157"/>
        <v>3.8</v>
      </c>
    </row>
    <row r="13888" ht="15.0" customHeight="1">
      <c r="A13888" s="11"/>
      <c r="B13888" s="11"/>
      <c r="C13888" s="11"/>
      <c r="D13888" s="10" t="s">
        <v>22</v>
      </c>
      <c r="E13888" s="14">
        <v>0.32</v>
      </c>
      <c r="F13888" s="15">
        <f>ROUND((G13885+G13886+G13887),3)</f>
        <v>43.8</v>
      </c>
      <c r="G13888" s="12">
        <f t="shared" si="2157"/>
        <v>14.02</v>
      </c>
    </row>
    <row r="13889" ht="15.0" customHeight="1">
      <c r="A13889" s="10" t="s">
        <v>32</v>
      </c>
      <c r="B13889" s="10"/>
      <c r="C13889" s="10" t="s">
        <v>33</v>
      </c>
      <c r="D13889" s="10" t="s">
        <v>34</v>
      </c>
      <c r="E13889" s="14">
        <v>3.0</v>
      </c>
      <c r="F13889" s="15">
        <f>ROUND(14.02,3)</f>
        <v>14.02</v>
      </c>
      <c r="G13889" s="12">
        <f>ROUND((E13889*F13889)/100,2)</f>
        <v>0.42</v>
      </c>
    </row>
    <row r="13890" ht="15.0" customHeight="1">
      <c r="A13890" s="16"/>
      <c r="B13890" s="16"/>
      <c r="C13890" s="16"/>
      <c r="D13890" s="17" t="s">
        <v>5801</v>
      </c>
      <c r="E13890" s="16"/>
      <c r="F13890" s="18">
        <f>ROUND((G13881+G13882+G13883+G13884+G13889)*(1+G2/100),2)</f>
        <v>20.47</v>
      </c>
      <c r="G13890" s="16"/>
    </row>
    <row r="13891" ht="85.5" customHeight="1">
      <c r="A13891" s="19" t="s">
        <v>5804</v>
      </c>
      <c r="B13891" s="20" t="s">
        <v>18</v>
      </c>
      <c r="C13891" s="20" t="s">
        <v>19</v>
      </c>
      <c r="D13891" s="20" t="s">
        <v>5805</v>
      </c>
      <c r="E13891" s="21"/>
      <c r="F13891" s="22">
        <f>F13901</f>
        <v>34.39</v>
      </c>
      <c r="G13891" s="21"/>
    </row>
    <row r="13892" ht="39.75" customHeight="1">
      <c r="A13892" s="11"/>
      <c r="B13892" s="11"/>
      <c r="C13892" s="11"/>
      <c r="D13892" s="10" t="s">
        <v>5806</v>
      </c>
    </row>
    <row r="13893" ht="30.0" customHeight="1">
      <c r="A13893" s="10" t="s">
        <v>1953</v>
      </c>
      <c r="B13893" s="10" t="s">
        <v>42</v>
      </c>
      <c r="C13893" s="10" t="s">
        <v>184</v>
      </c>
      <c r="D13893" s="10" t="s">
        <v>1954</v>
      </c>
      <c r="E13893" s="14">
        <v>0.704</v>
      </c>
      <c r="F13893" s="15">
        <f>ROUND(5.25,3)</f>
        <v>5.25</v>
      </c>
      <c r="G13893" s="12">
        <f t="shared" ref="G13893:G13899" si="2159">ROUND(E13893*F13893,2)</f>
        <v>3.7</v>
      </c>
    </row>
    <row r="13894" ht="21.0" customHeight="1">
      <c r="A13894" s="10" t="s">
        <v>228</v>
      </c>
      <c r="B13894" s="10" t="s">
        <v>42</v>
      </c>
      <c r="C13894" s="10" t="s">
        <v>226</v>
      </c>
      <c r="D13894" s="10" t="s">
        <v>229</v>
      </c>
      <c r="E13894" s="14">
        <v>0.02444</v>
      </c>
      <c r="F13894" s="15">
        <f>ROUND(1.32,3)</f>
        <v>1.32</v>
      </c>
      <c r="G13894" s="12">
        <f t="shared" si="2159"/>
        <v>0.03</v>
      </c>
    </row>
    <row r="13895" ht="21.0" customHeight="1">
      <c r="A13895" s="10" t="s">
        <v>22</v>
      </c>
      <c r="B13895" s="10" t="s">
        <v>18</v>
      </c>
      <c r="C13895" s="10" t="s">
        <v>23</v>
      </c>
      <c r="D13895" s="10" t="s">
        <v>24</v>
      </c>
      <c r="E13895" s="14">
        <v>0.66667</v>
      </c>
      <c r="F13895" s="15">
        <f>F13899</f>
        <v>43.8</v>
      </c>
      <c r="G13895" s="12">
        <f t="shared" si="2159"/>
        <v>29.2</v>
      </c>
    </row>
    <row r="13896" ht="24.0" customHeight="1">
      <c r="A13896" s="10" t="s">
        <v>25</v>
      </c>
      <c r="B13896" s="10" t="s">
        <v>26</v>
      </c>
      <c r="C13896" s="10" t="s">
        <v>23</v>
      </c>
      <c r="D13896" s="10" t="s">
        <v>27</v>
      </c>
      <c r="E13896" s="14">
        <v>1.0</v>
      </c>
      <c r="F13896" s="15">
        <f>ROUND(21,3)</f>
        <v>21</v>
      </c>
      <c r="G13896" s="12">
        <f t="shared" si="2159"/>
        <v>21</v>
      </c>
    </row>
    <row r="13897" ht="24.0" customHeight="1">
      <c r="A13897" s="10" t="s">
        <v>28</v>
      </c>
      <c r="B13897" s="10" t="s">
        <v>26</v>
      </c>
      <c r="C13897" s="10" t="s">
        <v>23</v>
      </c>
      <c r="D13897" s="10" t="s">
        <v>29</v>
      </c>
      <c r="E13897" s="14">
        <v>1.0</v>
      </c>
      <c r="F13897" s="15">
        <f t="shared" ref="F13897:F13898" si="2160">ROUND(19,3)</f>
        <v>19</v>
      </c>
      <c r="G13897" s="12">
        <f t="shared" si="2159"/>
        <v>19</v>
      </c>
    </row>
    <row r="13898" ht="24.0" customHeight="1">
      <c r="A13898" s="10" t="s">
        <v>30</v>
      </c>
      <c r="B13898" s="10" t="s">
        <v>26</v>
      </c>
      <c r="C13898" s="10" t="s">
        <v>23</v>
      </c>
      <c r="D13898" s="10" t="s">
        <v>31</v>
      </c>
      <c r="E13898" s="14">
        <v>0.2</v>
      </c>
      <c r="F13898" s="15">
        <f t="shared" si="2160"/>
        <v>19</v>
      </c>
      <c r="G13898" s="12">
        <f t="shared" si="2159"/>
        <v>3.8</v>
      </c>
    </row>
    <row r="13899" ht="15.0" customHeight="1">
      <c r="A13899" s="11"/>
      <c r="B13899" s="11"/>
      <c r="C13899" s="11"/>
      <c r="D13899" s="10" t="s">
        <v>22</v>
      </c>
      <c r="E13899" s="14">
        <v>0.66667</v>
      </c>
      <c r="F13899" s="15">
        <f>ROUND((G13896+G13897+G13898),3)</f>
        <v>43.8</v>
      </c>
      <c r="G13899" s="12">
        <f t="shared" si="2159"/>
        <v>29.2</v>
      </c>
    </row>
    <row r="13900" ht="15.0" customHeight="1">
      <c r="A13900" s="10" t="s">
        <v>32</v>
      </c>
      <c r="B13900" s="10"/>
      <c r="C13900" s="10" t="s">
        <v>33</v>
      </c>
      <c r="D13900" s="10" t="s">
        <v>34</v>
      </c>
      <c r="E13900" s="14">
        <v>5.0</v>
      </c>
      <c r="F13900" s="15">
        <f>ROUND(29.2,3)</f>
        <v>29.2</v>
      </c>
      <c r="G13900" s="12">
        <f>ROUND((E13900*F13900)/100,2)</f>
        <v>1.46</v>
      </c>
    </row>
    <row r="13901" ht="15.0" customHeight="1">
      <c r="A13901" s="16"/>
      <c r="B13901" s="16"/>
      <c r="C13901" s="16"/>
      <c r="D13901" s="17" t="s">
        <v>5804</v>
      </c>
      <c r="E13901" s="16"/>
      <c r="F13901" s="18">
        <f>ROUND((G13893+G13894+G13895+G13900)*(1+G2/100),2)</f>
        <v>34.39</v>
      </c>
      <c r="G13901" s="16"/>
    </row>
    <row r="13902" ht="67.5" customHeight="1">
      <c r="A13902" s="19" t="s">
        <v>5807</v>
      </c>
      <c r="B13902" s="20" t="s">
        <v>18</v>
      </c>
      <c r="C13902" s="20" t="s">
        <v>19</v>
      </c>
      <c r="D13902" s="20" t="s">
        <v>5808</v>
      </c>
      <c r="E13902" s="21"/>
      <c r="F13902" s="22">
        <f>F13912</f>
        <v>28.26</v>
      </c>
      <c r="G13902" s="21"/>
    </row>
    <row r="13903" ht="30.0" customHeight="1">
      <c r="A13903" s="11"/>
      <c r="B13903" s="11"/>
      <c r="C13903" s="11"/>
      <c r="D13903" s="10" t="s">
        <v>5809</v>
      </c>
    </row>
    <row r="13904" ht="30.0" customHeight="1">
      <c r="A13904" s="10" t="s">
        <v>1953</v>
      </c>
      <c r="B13904" s="10" t="s">
        <v>42</v>
      </c>
      <c r="C13904" s="10" t="s">
        <v>184</v>
      </c>
      <c r="D13904" s="10" t="s">
        <v>1954</v>
      </c>
      <c r="E13904" s="14">
        <v>0.704</v>
      </c>
      <c r="F13904" s="15">
        <f>ROUND(5.25,3)</f>
        <v>5.25</v>
      </c>
      <c r="G13904" s="12">
        <f t="shared" ref="G13904:G13910" si="2161">ROUND(E13904*F13904,2)</f>
        <v>3.7</v>
      </c>
    </row>
    <row r="13905" ht="21.0" customHeight="1">
      <c r="A13905" s="10" t="s">
        <v>228</v>
      </c>
      <c r="B13905" s="10" t="s">
        <v>42</v>
      </c>
      <c r="C13905" s="10" t="s">
        <v>226</v>
      </c>
      <c r="D13905" s="10" t="s">
        <v>229</v>
      </c>
      <c r="E13905" s="14">
        <v>0.02444</v>
      </c>
      <c r="F13905" s="15">
        <f>ROUND(1.32,3)</f>
        <v>1.32</v>
      </c>
      <c r="G13905" s="12">
        <f t="shared" si="2161"/>
        <v>0.03</v>
      </c>
    </row>
    <row r="13906" ht="21.0" customHeight="1">
      <c r="A13906" s="10" t="s">
        <v>22</v>
      </c>
      <c r="B13906" s="10" t="s">
        <v>18</v>
      </c>
      <c r="C13906" s="10" t="s">
        <v>23</v>
      </c>
      <c r="D13906" s="10" t="s">
        <v>24</v>
      </c>
      <c r="E13906" s="14">
        <v>0.53333</v>
      </c>
      <c r="F13906" s="15">
        <f>F13910</f>
        <v>43.8</v>
      </c>
      <c r="G13906" s="12">
        <f t="shared" si="2161"/>
        <v>23.36</v>
      </c>
    </row>
    <row r="13907" ht="24.0" customHeight="1">
      <c r="A13907" s="10" t="s">
        <v>25</v>
      </c>
      <c r="B13907" s="10" t="s">
        <v>26</v>
      </c>
      <c r="C13907" s="10" t="s">
        <v>23</v>
      </c>
      <c r="D13907" s="10" t="s">
        <v>27</v>
      </c>
      <c r="E13907" s="14">
        <v>1.0</v>
      </c>
      <c r="F13907" s="15">
        <f>ROUND(21,3)</f>
        <v>21</v>
      </c>
      <c r="G13907" s="12">
        <f t="shared" si="2161"/>
        <v>21</v>
      </c>
    </row>
    <row r="13908" ht="24.0" customHeight="1">
      <c r="A13908" s="10" t="s">
        <v>28</v>
      </c>
      <c r="B13908" s="10" t="s">
        <v>26</v>
      </c>
      <c r="C13908" s="10" t="s">
        <v>23</v>
      </c>
      <c r="D13908" s="10" t="s">
        <v>29</v>
      </c>
      <c r="E13908" s="14">
        <v>1.0</v>
      </c>
      <c r="F13908" s="15">
        <f t="shared" ref="F13908:F13909" si="2162">ROUND(19,3)</f>
        <v>19</v>
      </c>
      <c r="G13908" s="12">
        <f t="shared" si="2161"/>
        <v>19</v>
      </c>
    </row>
    <row r="13909" ht="24.0" customHeight="1">
      <c r="A13909" s="10" t="s">
        <v>30</v>
      </c>
      <c r="B13909" s="10" t="s">
        <v>26</v>
      </c>
      <c r="C13909" s="10" t="s">
        <v>23</v>
      </c>
      <c r="D13909" s="10" t="s">
        <v>31</v>
      </c>
      <c r="E13909" s="14">
        <v>0.2</v>
      </c>
      <c r="F13909" s="15">
        <f t="shared" si="2162"/>
        <v>19</v>
      </c>
      <c r="G13909" s="12">
        <f t="shared" si="2161"/>
        <v>3.8</v>
      </c>
    </row>
    <row r="13910" ht="15.0" customHeight="1">
      <c r="A13910" s="11"/>
      <c r="B13910" s="11"/>
      <c r="C13910" s="11"/>
      <c r="D13910" s="10" t="s">
        <v>22</v>
      </c>
      <c r="E13910" s="14">
        <v>0.53333</v>
      </c>
      <c r="F13910" s="15">
        <f>ROUND((G13907+G13908+G13909),3)</f>
        <v>43.8</v>
      </c>
      <c r="G13910" s="12">
        <f t="shared" si="2161"/>
        <v>23.36</v>
      </c>
    </row>
    <row r="13911" ht="15.0" customHeight="1">
      <c r="A13911" s="10" t="s">
        <v>32</v>
      </c>
      <c r="B13911" s="10"/>
      <c r="C13911" s="10" t="s">
        <v>33</v>
      </c>
      <c r="D13911" s="10" t="s">
        <v>34</v>
      </c>
      <c r="E13911" s="14">
        <v>5.0</v>
      </c>
      <c r="F13911" s="15">
        <f>ROUND(23.36,3)</f>
        <v>23.36</v>
      </c>
      <c r="G13911" s="12">
        <f>ROUND((E13911*F13911)/100,2)</f>
        <v>1.17</v>
      </c>
    </row>
    <row r="13912" ht="15.0" customHeight="1">
      <c r="A13912" s="16"/>
      <c r="B13912" s="16"/>
      <c r="C13912" s="16"/>
      <c r="D13912" s="17" t="s">
        <v>5807</v>
      </c>
      <c r="E13912" s="16"/>
      <c r="F13912" s="18">
        <f>ROUND((G13904+G13905+G13906+G13911)*(1+G2/100),2)</f>
        <v>28.26</v>
      </c>
      <c r="G13912" s="16"/>
    </row>
    <row r="13913" ht="67.5" customHeight="1">
      <c r="A13913" s="19" t="s">
        <v>5810</v>
      </c>
      <c r="B13913" s="20" t="s">
        <v>18</v>
      </c>
      <c r="C13913" s="20" t="s">
        <v>19</v>
      </c>
      <c r="D13913" s="20" t="s">
        <v>5811</v>
      </c>
      <c r="E13913" s="21"/>
      <c r="F13913" s="22">
        <f>F13923</f>
        <v>34.39</v>
      </c>
      <c r="G13913" s="21"/>
    </row>
    <row r="13914" ht="30.0" customHeight="1">
      <c r="A13914" s="11"/>
      <c r="B13914" s="11"/>
      <c r="C13914" s="11"/>
      <c r="D13914" s="10" t="s">
        <v>5812</v>
      </c>
    </row>
    <row r="13915" ht="30.0" customHeight="1">
      <c r="A13915" s="10" t="s">
        <v>1953</v>
      </c>
      <c r="B13915" s="10" t="s">
        <v>42</v>
      </c>
      <c r="C13915" s="10" t="s">
        <v>184</v>
      </c>
      <c r="D13915" s="10" t="s">
        <v>1954</v>
      </c>
      <c r="E13915" s="14">
        <v>0.704</v>
      </c>
      <c r="F13915" s="15">
        <f>ROUND(5.25,3)</f>
        <v>5.25</v>
      </c>
      <c r="G13915" s="12">
        <f t="shared" ref="G13915:G13921" si="2163">ROUND(E13915*F13915,2)</f>
        <v>3.7</v>
      </c>
    </row>
    <row r="13916" ht="21.0" customHeight="1">
      <c r="A13916" s="10" t="s">
        <v>228</v>
      </c>
      <c r="B13916" s="10" t="s">
        <v>42</v>
      </c>
      <c r="C13916" s="10" t="s">
        <v>226</v>
      </c>
      <c r="D13916" s="10" t="s">
        <v>229</v>
      </c>
      <c r="E13916" s="14">
        <v>0.02444</v>
      </c>
      <c r="F13916" s="15">
        <f>ROUND(1.32,3)</f>
        <v>1.32</v>
      </c>
      <c r="G13916" s="12">
        <f t="shared" si="2163"/>
        <v>0.03</v>
      </c>
    </row>
    <row r="13917" ht="21.0" customHeight="1">
      <c r="A13917" s="10" t="s">
        <v>22</v>
      </c>
      <c r="B13917" s="10" t="s">
        <v>18</v>
      </c>
      <c r="C13917" s="10" t="s">
        <v>23</v>
      </c>
      <c r="D13917" s="10" t="s">
        <v>24</v>
      </c>
      <c r="E13917" s="14">
        <v>0.66667</v>
      </c>
      <c r="F13917" s="15">
        <f>F13921</f>
        <v>43.8</v>
      </c>
      <c r="G13917" s="12">
        <f t="shared" si="2163"/>
        <v>29.2</v>
      </c>
    </row>
    <row r="13918" ht="24.0" customHeight="1">
      <c r="A13918" s="10" t="s">
        <v>25</v>
      </c>
      <c r="B13918" s="10" t="s">
        <v>26</v>
      </c>
      <c r="C13918" s="10" t="s">
        <v>23</v>
      </c>
      <c r="D13918" s="10" t="s">
        <v>27</v>
      </c>
      <c r="E13918" s="14">
        <v>1.0</v>
      </c>
      <c r="F13918" s="15">
        <f>ROUND(21,3)</f>
        <v>21</v>
      </c>
      <c r="G13918" s="12">
        <f t="shared" si="2163"/>
        <v>21</v>
      </c>
    </row>
    <row r="13919" ht="24.0" customHeight="1">
      <c r="A13919" s="10" t="s">
        <v>28</v>
      </c>
      <c r="B13919" s="10" t="s">
        <v>26</v>
      </c>
      <c r="C13919" s="10" t="s">
        <v>23</v>
      </c>
      <c r="D13919" s="10" t="s">
        <v>29</v>
      </c>
      <c r="E13919" s="14">
        <v>1.0</v>
      </c>
      <c r="F13919" s="15">
        <f t="shared" ref="F13919:F13920" si="2164">ROUND(19,3)</f>
        <v>19</v>
      </c>
      <c r="G13919" s="12">
        <f t="shared" si="2163"/>
        <v>19</v>
      </c>
    </row>
    <row r="13920" ht="24.0" customHeight="1">
      <c r="A13920" s="10" t="s">
        <v>30</v>
      </c>
      <c r="B13920" s="10" t="s">
        <v>26</v>
      </c>
      <c r="C13920" s="10" t="s">
        <v>23</v>
      </c>
      <c r="D13920" s="10" t="s">
        <v>31</v>
      </c>
      <c r="E13920" s="14">
        <v>0.2</v>
      </c>
      <c r="F13920" s="15">
        <f t="shared" si="2164"/>
        <v>19</v>
      </c>
      <c r="G13920" s="12">
        <f t="shared" si="2163"/>
        <v>3.8</v>
      </c>
    </row>
    <row r="13921" ht="15.0" customHeight="1">
      <c r="A13921" s="11"/>
      <c r="B13921" s="11"/>
      <c r="C13921" s="11"/>
      <c r="D13921" s="10" t="s">
        <v>22</v>
      </c>
      <c r="E13921" s="14">
        <v>0.66667</v>
      </c>
      <c r="F13921" s="15">
        <f>ROUND((G13918+G13919+G13920),3)</f>
        <v>43.8</v>
      </c>
      <c r="G13921" s="12">
        <f t="shared" si="2163"/>
        <v>29.2</v>
      </c>
    </row>
    <row r="13922" ht="15.0" customHeight="1">
      <c r="A13922" s="10" t="s">
        <v>32</v>
      </c>
      <c r="B13922" s="10"/>
      <c r="C13922" s="10" t="s">
        <v>33</v>
      </c>
      <c r="D13922" s="10" t="s">
        <v>34</v>
      </c>
      <c r="E13922" s="14">
        <v>5.0</v>
      </c>
      <c r="F13922" s="15">
        <f>ROUND(29.2,3)</f>
        <v>29.2</v>
      </c>
      <c r="G13922" s="12">
        <f>ROUND((E13922*F13922)/100,2)</f>
        <v>1.46</v>
      </c>
    </row>
    <row r="13923" ht="15.0" customHeight="1">
      <c r="A13923" s="16"/>
      <c r="B13923" s="16"/>
      <c r="C13923" s="16"/>
      <c r="D13923" s="17" t="s">
        <v>5810</v>
      </c>
      <c r="E13923" s="16"/>
      <c r="F13923" s="18">
        <f>ROUND((G13915+G13916+G13917+G13922)*(1+G2/100),2)</f>
        <v>34.39</v>
      </c>
      <c r="G13923" s="16"/>
    </row>
    <row r="13924" ht="67.5" customHeight="1">
      <c r="A13924" s="19" t="s">
        <v>5813</v>
      </c>
      <c r="B13924" s="20" t="s">
        <v>18</v>
      </c>
      <c r="C13924" s="20" t="s">
        <v>19</v>
      </c>
      <c r="D13924" s="20" t="s">
        <v>5814</v>
      </c>
      <c r="E13924" s="21"/>
      <c r="F13924" s="22">
        <f>F13934</f>
        <v>23.09</v>
      </c>
      <c r="G13924" s="21"/>
    </row>
    <row r="13925" ht="30.0" customHeight="1">
      <c r="A13925" s="11"/>
      <c r="B13925" s="11"/>
      <c r="C13925" s="11"/>
      <c r="D13925" s="10" t="s">
        <v>5815</v>
      </c>
    </row>
    <row r="13926" ht="30.0" customHeight="1">
      <c r="A13926" s="10" t="s">
        <v>1953</v>
      </c>
      <c r="B13926" s="10" t="s">
        <v>42</v>
      </c>
      <c r="C13926" s="10" t="s">
        <v>184</v>
      </c>
      <c r="D13926" s="10" t="s">
        <v>1954</v>
      </c>
      <c r="E13926" s="14">
        <v>0.704</v>
      </c>
      <c r="F13926" s="15">
        <f>ROUND(5.25,3)</f>
        <v>5.25</v>
      </c>
      <c r="G13926" s="12">
        <f t="shared" ref="G13926:G13932" si="2165">ROUND(E13926*F13926,2)</f>
        <v>3.7</v>
      </c>
    </row>
    <row r="13927" ht="21.0" customHeight="1">
      <c r="A13927" s="10" t="s">
        <v>228</v>
      </c>
      <c r="B13927" s="10" t="s">
        <v>42</v>
      </c>
      <c r="C13927" s="10" t="s">
        <v>226</v>
      </c>
      <c r="D13927" s="10" t="s">
        <v>229</v>
      </c>
      <c r="E13927" s="14">
        <v>0.02444</v>
      </c>
      <c r="F13927" s="15">
        <f>ROUND(1.32,3)</f>
        <v>1.32</v>
      </c>
      <c r="G13927" s="12">
        <f t="shared" si="2165"/>
        <v>0.03</v>
      </c>
    </row>
    <row r="13928" ht="21.0" customHeight="1">
      <c r="A13928" s="10" t="s">
        <v>22</v>
      </c>
      <c r="B13928" s="10" t="s">
        <v>18</v>
      </c>
      <c r="C13928" s="10" t="s">
        <v>23</v>
      </c>
      <c r="D13928" s="10" t="s">
        <v>24</v>
      </c>
      <c r="E13928" s="14">
        <v>0.4211</v>
      </c>
      <c r="F13928" s="15">
        <f>F13932</f>
        <v>43.8</v>
      </c>
      <c r="G13928" s="12">
        <f t="shared" si="2165"/>
        <v>18.44</v>
      </c>
    </row>
    <row r="13929" ht="24.0" customHeight="1">
      <c r="A13929" s="10" t="s">
        <v>25</v>
      </c>
      <c r="B13929" s="10" t="s">
        <v>26</v>
      </c>
      <c r="C13929" s="10" t="s">
        <v>23</v>
      </c>
      <c r="D13929" s="10" t="s">
        <v>27</v>
      </c>
      <c r="E13929" s="14">
        <v>1.0</v>
      </c>
      <c r="F13929" s="15">
        <f>ROUND(21,3)</f>
        <v>21</v>
      </c>
      <c r="G13929" s="12">
        <f t="shared" si="2165"/>
        <v>21</v>
      </c>
    </row>
    <row r="13930" ht="24.0" customHeight="1">
      <c r="A13930" s="10" t="s">
        <v>28</v>
      </c>
      <c r="B13930" s="10" t="s">
        <v>26</v>
      </c>
      <c r="C13930" s="10" t="s">
        <v>23</v>
      </c>
      <c r="D13930" s="10" t="s">
        <v>29</v>
      </c>
      <c r="E13930" s="14">
        <v>1.0</v>
      </c>
      <c r="F13930" s="15">
        <f t="shared" ref="F13930:F13931" si="2166">ROUND(19,3)</f>
        <v>19</v>
      </c>
      <c r="G13930" s="12">
        <f t="shared" si="2165"/>
        <v>19</v>
      </c>
    </row>
    <row r="13931" ht="24.0" customHeight="1">
      <c r="A13931" s="10" t="s">
        <v>30</v>
      </c>
      <c r="B13931" s="10" t="s">
        <v>26</v>
      </c>
      <c r="C13931" s="10" t="s">
        <v>23</v>
      </c>
      <c r="D13931" s="10" t="s">
        <v>31</v>
      </c>
      <c r="E13931" s="14">
        <v>0.2</v>
      </c>
      <c r="F13931" s="15">
        <f t="shared" si="2166"/>
        <v>19</v>
      </c>
      <c r="G13931" s="12">
        <f t="shared" si="2165"/>
        <v>3.8</v>
      </c>
    </row>
    <row r="13932" ht="15.0" customHeight="1">
      <c r="A13932" s="11"/>
      <c r="B13932" s="11"/>
      <c r="C13932" s="11"/>
      <c r="D13932" s="10" t="s">
        <v>22</v>
      </c>
      <c r="E13932" s="14">
        <v>0.4211</v>
      </c>
      <c r="F13932" s="15">
        <f>ROUND((G13929+G13930+G13931),3)</f>
        <v>43.8</v>
      </c>
      <c r="G13932" s="12">
        <f t="shared" si="2165"/>
        <v>18.44</v>
      </c>
    </row>
    <row r="13933" ht="15.0" customHeight="1">
      <c r="A13933" s="10" t="s">
        <v>32</v>
      </c>
      <c r="B13933" s="10"/>
      <c r="C13933" s="10" t="s">
        <v>33</v>
      </c>
      <c r="D13933" s="10" t="s">
        <v>34</v>
      </c>
      <c r="E13933" s="14">
        <v>5.0</v>
      </c>
      <c r="F13933" s="15">
        <f>ROUND(18.44,3)</f>
        <v>18.44</v>
      </c>
      <c r="G13933" s="12">
        <f>ROUND((E13933*F13933)/100,2)</f>
        <v>0.92</v>
      </c>
    </row>
    <row r="13934" ht="15.0" customHeight="1">
      <c r="A13934" s="16"/>
      <c r="B13934" s="16"/>
      <c r="C13934" s="16"/>
      <c r="D13934" s="17" t="s">
        <v>5813</v>
      </c>
      <c r="E13934" s="16"/>
      <c r="F13934" s="18">
        <f>ROUND((G13926+G13927+G13928+G13933)*(1+G2/100),2)</f>
        <v>23.09</v>
      </c>
      <c r="G13934" s="16"/>
    </row>
    <row r="13935" ht="67.5" customHeight="1">
      <c r="A13935" s="19" t="s">
        <v>5816</v>
      </c>
      <c r="B13935" s="20" t="s">
        <v>18</v>
      </c>
      <c r="C13935" s="20" t="s">
        <v>19</v>
      </c>
      <c r="D13935" s="20" t="s">
        <v>5817</v>
      </c>
      <c r="E13935" s="21"/>
      <c r="F13935" s="22">
        <f>F13945</f>
        <v>26.73</v>
      </c>
      <c r="G13935" s="21"/>
    </row>
    <row r="13936" ht="30.0" customHeight="1">
      <c r="A13936" s="11"/>
      <c r="B13936" s="11"/>
      <c r="C13936" s="11"/>
      <c r="D13936" s="10" t="s">
        <v>5818</v>
      </c>
    </row>
    <row r="13937" ht="30.0" customHeight="1">
      <c r="A13937" s="10" t="s">
        <v>1953</v>
      </c>
      <c r="B13937" s="10" t="s">
        <v>42</v>
      </c>
      <c r="C13937" s="10" t="s">
        <v>184</v>
      </c>
      <c r="D13937" s="10" t="s">
        <v>1954</v>
      </c>
      <c r="E13937" s="14">
        <v>0.704</v>
      </c>
      <c r="F13937" s="15">
        <f>ROUND(5.25,3)</f>
        <v>5.25</v>
      </c>
      <c r="G13937" s="12">
        <f t="shared" ref="G13937:G13943" si="2167">ROUND(E13937*F13937,2)</f>
        <v>3.7</v>
      </c>
    </row>
    <row r="13938" ht="21.0" customHeight="1">
      <c r="A13938" s="10" t="s">
        <v>228</v>
      </c>
      <c r="B13938" s="10" t="s">
        <v>42</v>
      </c>
      <c r="C13938" s="10" t="s">
        <v>226</v>
      </c>
      <c r="D13938" s="10" t="s">
        <v>229</v>
      </c>
      <c r="E13938" s="14">
        <v>0.02444</v>
      </c>
      <c r="F13938" s="15">
        <f>ROUND(1.32,3)</f>
        <v>1.32</v>
      </c>
      <c r="G13938" s="12">
        <f t="shared" si="2167"/>
        <v>0.03</v>
      </c>
    </row>
    <row r="13939" ht="21.0" customHeight="1">
      <c r="A13939" s="10" t="s">
        <v>22</v>
      </c>
      <c r="B13939" s="10" t="s">
        <v>18</v>
      </c>
      <c r="C13939" s="10" t="s">
        <v>23</v>
      </c>
      <c r="D13939" s="10" t="s">
        <v>24</v>
      </c>
      <c r="E13939" s="14">
        <v>0.5</v>
      </c>
      <c r="F13939" s="15">
        <f>F13943</f>
        <v>43.8</v>
      </c>
      <c r="G13939" s="12">
        <f t="shared" si="2167"/>
        <v>21.9</v>
      </c>
    </row>
    <row r="13940" ht="24.0" customHeight="1">
      <c r="A13940" s="10" t="s">
        <v>25</v>
      </c>
      <c r="B13940" s="10" t="s">
        <v>26</v>
      </c>
      <c r="C13940" s="10" t="s">
        <v>23</v>
      </c>
      <c r="D13940" s="10" t="s">
        <v>27</v>
      </c>
      <c r="E13940" s="14">
        <v>1.0</v>
      </c>
      <c r="F13940" s="15">
        <f>ROUND(21,3)</f>
        <v>21</v>
      </c>
      <c r="G13940" s="12">
        <f t="shared" si="2167"/>
        <v>21</v>
      </c>
    </row>
    <row r="13941" ht="24.0" customHeight="1">
      <c r="A13941" s="10" t="s">
        <v>28</v>
      </c>
      <c r="B13941" s="10" t="s">
        <v>26</v>
      </c>
      <c r="C13941" s="10" t="s">
        <v>23</v>
      </c>
      <c r="D13941" s="10" t="s">
        <v>29</v>
      </c>
      <c r="E13941" s="14">
        <v>1.0</v>
      </c>
      <c r="F13941" s="15">
        <f t="shared" ref="F13941:F13942" si="2168">ROUND(19,3)</f>
        <v>19</v>
      </c>
      <c r="G13941" s="12">
        <f t="shared" si="2167"/>
        <v>19</v>
      </c>
    </row>
    <row r="13942" ht="24.0" customHeight="1">
      <c r="A13942" s="10" t="s">
        <v>30</v>
      </c>
      <c r="B13942" s="10" t="s">
        <v>26</v>
      </c>
      <c r="C13942" s="10" t="s">
        <v>23</v>
      </c>
      <c r="D13942" s="10" t="s">
        <v>31</v>
      </c>
      <c r="E13942" s="14">
        <v>0.2</v>
      </c>
      <c r="F13942" s="15">
        <f t="shared" si="2168"/>
        <v>19</v>
      </c>
      <c r="G13942" s="12">
        <f t="shared" si="2167"/>
        <v>3.8</v>
      </c>
    </row>
    <row r="13943" ht="15.0" customHeight="1">
      <c r="A13943" s="11"/>
      <c r="B13943" s="11"/>
      <c r="C13943" s="11"/>
      <c r="D13943" s="10" t="s">
        <v>22</v>
      </c>
      <c r="E13943" s="14">
        <v>0.5</v>
      </c>
      <c r="F13943" s="15">
        <f>ROUND((G13940+G13941+G13942),3)</f>
        <v>43.8</v>
      </c>
      <c r="G13943" s="12">
        <f t="shared" si="2167"/>
        <v>21.9</v>
      </c>
    </row>
    <row r="13944" ht="15.0" customHeight="1">
      <c r="A13944" s="10" t="s">
        <v>32</v>
      </c>
      <c r="B13944" s="10"/>
      <c r="C13944" s="10" t="s">
        <v>33</v>
      </c>
      <c r="D13944" s="10" t="s">
        <v>34</v>
      </c>
      <c r="E13944" s="14">
        <v>5.0</v>
      </c>
      <c r="F13944" s="15">
        <f>ROUND(21.9,3)</f>
        <v>21.9</v>
      </c>
      <c r="G13944" s="12">
        <f>ROUND((E13944*F13944)/100,2)</f>
        <v>1.1</v>
      </c>
    </row>
    <row r="13945" ht="15.0" customHeight="1">
      <c r="A13945" s="16"/>
      <c r="B13945" s="16"/>
      <c r="C13945" s="16"/>
      <c r="D13945" s="17" t="s">
        <v>5816</v>
      </c>
      <c r="E13945" s="16"/>
      <c r="F13945" s="18">
        <f>ROUND((G13937+G13938+G13939+G13944)*(1+G2/100),2)</f>
        <v>26.73</v>
      </c>
      <c r="G13945" s="16"/>
    </row>
    <row r="13946" ht="67.5" customHeight="1">
      <c r="A13946" s="19" t="s">
        <v>5819</v>
      </c>
      <c r="B13946" s="20" t="s">
        <v>18</v>
      </c>
      <c r="C13946" s="20" t="s">
        <v>19</v>
      </c>
      <c r="D13946" s="20" t="s">
        <v>5820</v>
      </c>
      <c r="E13946" s="21"/>
      <c r="F13946" s="22">
        <f>F13957</f>
        <v>23.22</v>
      </c>
      <c r="G13946" s="21"/>
    </row>
    <row r="13947" ht="30.0" customHeight="1">
      <c r="A13947" s="11"/>
      <c r="B13947" s="11"/>
      <c r="C13947" s="11"/>
      <c r="D13947" s="10" t="s">
        <v>5821</v>
      </c>
    </row>
    <row r="13948" ht="30.0" customHeight="1">
      <c r="A13948" s="10" t="s">
        <v>1953</v>
      </c>
      <c r="B13948" s="10" t="s">
        <v>42</v>
      </c>
      <c r="C13948" s="10" t="s">
        <v>184</v>
      </c>
      <c r="D13948" s="10" t="s">
        <v>1954</v>
      </c>
      <c r="E13948" s="14">
        <v>0.704</v>
      </c>
      <c r="F13948" s="15">
        <f>ROUND(5.25,3)</f>
        <v>5.25</v>
      </c>
      <c r="G13948" s="12">
        <f t="shared" ref="G13948:G13955" si="2169">ROUND(E13948*F13948,2)</f>
        <v>3.7</v>
      </c>
    </row>
    <row r="13949" ht="21.0" customHeight="1">
      <c r="A13949" s="10" t="s">
        <v>228</v>
      </c>
      <c r="B13949" s="10" t="s">
        <v>42</v>
      </c>
      <c r="C13949" s="10" t="s">
        <v>226</v>
      </c>
      <c r="D13949" s="10" t="s">
        <v>229</v>
      </c>
      <c r="E13949" s="14">
        <v>0.02444</v>
      </c>
      <c r="F13949" s="15">
        <f>ROUND(1.32,3)</f>
        <v>1.32</v>
      </c>
      <c r="G13949" s="12">
        <f t="shared" si="2169"/>
        <v>0.03</v>
      </c>
    </row>
    <row r="13950" ht="21.0" customHeight="1">
      <c r="A13950" s="10" t="s">
        <v>1605</v>
      </c>
      <c r="B13950" s="10" t="s">
        <v>112</v>
      </c>
      <c r="C13950" s="10" t="s">
        <v>23</v>
      </c>
      <c r="D13950" s="10" t="s">
        <v>1606</v>
      </c>
      <c r="E13950" s="14">
        <v>0.2</v>
      </c>
      <c r="F13950" s="15">
        <f>ROUND(11.5,3)</f>
        <v>11.5</v>
      </c>
      <c r="G13950" s="12">
        <f t="shared" si="2169"/>
        <v>2.3</v>
      </c>
    </row>
    <row r="13951" ht="21.0" customHeight="1">
      <c r="A13951" s="10" t="s">
        <v>22</v>
      </c>
      <c r="B13951" s="10" t="s">
        <v>18</v>
      </c>
      <c r="C13951" s="10" t="s">
        <v>23</v>
      </c>
      <c r="D13951" s="10" t="s">
        <v>24</v>
      </c>
      <c r="E13951" s="14">
        <v>0.381</v>
      </c>
      <c r="F13951" s="15">
        <f>F13955</f>
        <v>43.8</v>
      </c>
      <c r="G13951" s="12">
        <f t="shared" si="2169"/>
        <v>16.69</v>
      </c>
    </row>
    <row r="13952" ht="24.0" customHeight="1">
      <c r="A13952" s="10" t="s">
        <v>25</v>
      </c>
      <c r="B13952" s="10" t="s">
        <v>26</v>
      </c>
      <c r="C13952" s="10" t="s">
        <v>23</v>
      </c>
      <c r="D13952" s="10" t="s">
        <v>27</v>
      </c>
      <c r="E13952" s="14">
        <v>1.0</v>
      </c>
      <c r="F13952" s="15">
        <f>ROUND(21,3)</f>
        <v>21</v>
      </c>
      <c r="G13952" s="12">
        <f t="shared" si="2169"/>
        <v>21</v>
      </c>
    </row>
    <row r="13953" ht="24.0" customHeight="1">
      <c r="A13953" s="10" t="s">
        <v>28</v>
      </c>
      <c r="B13953" s="10" t="s">
        <v>26</v>
      </c>
      <c r="C13953" s="10" t="s">
        <v>23</v>
      </c>
      <c r="D13953" s="10" t="s">
        <v>29</v>
      </c>
      <c r="E13953" s="14">
        <v>1.0</v>
      </c>
      <c r="F13953" s="15">
        <f t="shared" ref="F13953:F13954" si="2170">ROUND(19,3)</f>
        <v>19</v>
      </c>
      <c r="G13953" s="12">
        <f t="shared" si="2169"/>
        <v>19</v>
      </c>
    </row>
    <row r="13954" ht="24.0" customHeight="1">
      <c r="A13954" s="10" t="s">
        <v>30</v>
      </c>
      <c r="B13954" s="10" t="s">
        <v>26</v>
      </c>
      <c r="C13954" s="10" t="s">
        <v>23</v>
      </c>
      <c r="D13954" s="10" t="s">
        <v>31</v>
      </c>
      <c r="E13954" s="14">
        <v>0.2</v>
      </c>
      <c r="F13954" s="15">
        <f t="shared" si="2170"/>
        <v>19</v>
      </c>
      <c r="G13954" s="12">
        <f t="shared" si="2169"/>
        <v>3.8</v>
      </c>
    </row>
    <row r="13955" ht="15.0" customHeight="1">
      <c r="A13955" s="11"/>
      <c r="B13955" s="11"/>
      <c r="C13955" s="11"/>
      <c r="D13955" s="10" t="s">
        <v>22</v>
      </c>
      <c r="E13955" s="14">
        <v>0.381</v>
      </c>
      <c r="F13955" s="15">
        <f>ROUND((G13952+G13953+G13954),3)</f>
        <v>43.8</v>
      </c>
      <c r="G13955" s="12">
        <f t="shared" si="2169"/>
        <v>16.69</v>
      </c>
    </row>
    <row r="13956" ht="15.0" customHeight="1">
      <c r="A13956" s="10" t="s">
        <v>32</v>
      </c>
      <c r="B13956" s="10"/>
      <c r="C13956" s="10" t="s">
        <v>33</v>
      </c>
      <c r="D13956" s="10" t="s">
        <v>34</v>
      </c>
      <c r="E13956" s="14">
        <v>3.0</v>
      </c>
      <c r="F13956" s="15">
        <f>ROUND(16.69,3)</f>
        <v>16.69</v>
      </c>
      <c r="G13956" s="12">
        <f>ROUND((E13956*F13956)/100,2)</f>
        <v>0.5</v>
      </c>
    </row>
    <row r="13957" ht="15.0" customHeight="1">
      <c r="A13957" s="16"/>
      <c r="B13957" s="16"/>
      <c r="C13957" s="16"/>
      <c r="D13957" s="17" t="s">
        <v>5819</v>
      </c>
      <c r="E13957" s="16"/>
      <c r="F13957" s="18">
        <f>ROUND((G13948+G13949+G13950+G13951+G13956)*(1+G2/100),2)</f>
        <v>23.22</v>
      </c>
      <c r="G13957" s="16"/>
    </row>
    <row r="13958" ht="67.5" customHeight="1">
      <c r="A13958" s="19" t="s">
        <v>5822</v>
      </c>
      <c r="B13958" s="20" t="s">
        <v>18</v>
      </c>
      <c r="C13958" s="20" t="s">
        <v>19</v>
      </c>
      <c r="D13958" s="20" t="s">
        <v>5823</v>
      </c>
      <c r="E13958" s="21"/>
      <c r="F13958" s="22">
        <f>F13969</f>
        <v>27.26</v>
      </c>
      <c r="G13958" s="21"/>
    </row>
    <row r="13959" ht="30.0" customHeight="1">
      <c r="A13959" s="11"/>
      <c r="B13959" s="11"/>
      <c r="C13959" s="11"/>
      <c r="D13959" s="10" t="s">
        <v>5824</v>
      </c>
    </row>
    <row r="13960" ht="30.0" customHeight="1">
      <c r="A13960" s="10" t="s">
        <v>1953</v>
      </c>
      <c r="B13960" s="10" t="s">
        <v>42</v>
      </c>
      <c r="C13960" s="10" t="s">
        <v>184</v>
      </c>
      <c r="D13960" s="10" t="s">
        <v>1954</v>
      </c>
      <c r="E13960" s="14">
        <v>0.704</v>
      </c>
      <c r="F13960" s="15">
        <f>ROUND(5.25,3)</f>
        <v>5.25</v>
      </c>
      <c r="G13960" s="12">
        <f t="shared" ref="G13960:G13967" si="2171">ROUND(E13960*F13960,2)</f>
        <v>3.7</v>
      </c>
    </row>
    <row r="13961" ht="21.0" customHeight="1">
      <c r="A13961" s="10" t="s">
        <v>228</v>
      </c>
      <c r="B13961" s="10" t="s">
        <v>42</v>
      </c>
      <c r="C13961" s="10" t="s">
        <v>226</v>
      </c>
      <c r="D13961" s="10" t="s">
        <v>229</v>
      </c>
      <c r="E13961" s="14">
        <v>0.02444</v>
      </c>
      <c r="F13961" s="15">
        <f>ROUND(1.32,3)</f>
        <v>1.32</v>
      </c>
      <c r="G13961" s="12">
        <f t="shared" si="2171"/>
        <v>0.03</v>
      </c>
    </row>
    <row r="13962" ht="21.0" customHeight="1">
      <c r="A13962" s="10" t="s">
        <v>1605</v>
      </c>
      <c r="B13962" s="10" t="s">
        <v>112</v>
      </c>
      <c r="C13962" s="10" t="s">
        <v>23</v>
      </c>
      <c r="D13962" s="10" t="s">
        <v>1606</v>
      </c>
      <c r="E13962" s="14">
        <v>0.2</v>
      </c>
      <c r="F13962" s="15">
        <f>ROUND(11.5,3)</f>
        <v>11.5</v>
      </c>
      <c r="G13962" s="12">
        <f t="shared" si="2171"/>
        <v>2.3</v>
      </c>
    </row>
    <row r="13963" ht="21.0" customHeight="1">
      <c r="A13963" s="10" t="s">
        <v>22</v>
      </c>
      <c r="B13963" s="10" t="s">
        <v>18</v>
      </c>
      <c r="C13963" s="10" t="s">
        <v>23</v>
      </c>
      <c r="D13963" s="10" t="s">
        <v>24</v>
      </c>
      <c r="E13963" s="14">
        <v>0.4706</v>
      </c>
      <c r="F13963" s="15">
        <f>F13967</f>
        <v>43.8</v>
      </c>
      <c r="G13963" s="12">
        <f t="shared" si="2171"/>
        <v>20.61</v>
      </c>
    </row>
    <row r="13964" ht="24.0" customHeight="1">
      <c r="A13964" s="10" t="s">
        <v>25</v>
      </c>
      <c r="B13964" s="10" t="s">
        <v>26</v>
      </c>
      <c r="C13964" s="10" t="s">
        <v>23</v>
      </c>
      <c r="D13964" s="10" t="s">
        <v>27</v>
      </c>
      <c r="E13964" s="14">
        <v>1.0</v>
      </c>
      <c r="F13964" s="15">
        <f>ROUND(21,3)</f>
        <v>21</v>
      </c>
      <c r="G13964" s="12">
        <f t="shared" si="2171"/>
        <v>21</v>
      </c>
    </row>
    <row r="13965" ht="24.0" customHeight="1">
      <c r="A13965" s="10" t="s">
        <v>28</v>
      </c>
      <c r="B13965" s="10" t="s">
        <v>26</v>
      </c>
      <c r="C13965" s="10" t="s">
        <v>23</v>
      </c>
      <c r="D13965" s="10" t="s">
        <v>29</v>
      </c>
      <c r="E13965" s="14">
        <v>1.0</v>
      </c>
      <c r="F13965" s="15">
        <f t="shared" ref="F13965:F13966" si="2172">ROUND(19,3)</f>
        <v>19</v>
      </c>
      <c r="G13965" s="12">
        <f t="shared" si="2171"/>
        <v>19</v>
      </c>
    </row>
    <row r="13966" ht="24.0" customHeight="1">
      <c r="A13966" s="10" t="s">
        <v>30</v>
      </c>
      <c r="B13966" s="10" t="s">
        <v>26</v>
      </c>
      <c r="C13966" s="10" t="s">
        <v>23</v>
      </c>
      <c r="D13966" s="10" t="s">
        <v>31</v>
      </c>
      <c r="E13966" s="14">
        <v>0.2</v>
      </c>
      <c r="F13966" s="15">
        <f t="shared" si="2172"/>
        <v>19</v>
      </c>
      <c r="G13966" s="12">
        <f t="shared" si="2171"/>
        <v>3.8</v>
      </c>
    </row>
    <row r="13967" ht="15.0" customHeight="1">
      <c r="A13967" s="11"/>
      <c r="B13967" s="11"/>
      <c r="C13967" s="11"/>
      <c r="D13967" s="10" t="s">
        <v>22</v>
      </c>
      <c r="E13967" s="14">
        <v>0.4706</v>
      </c>
      <c r="F13967" s="15">
        <f>ROUND((G13964+G13965+G13966),3)</f>
        <v>43.8</v>
      </c>
      <c r="G13967" s="12">
        <f t="shared" si="2171"/>
        <v>20.61</v>
      </c>
    </row>
    <row r="13968" ht="15.0" customHeight="1">
      <c r="A13968" s="10" t="s">
        <v>32</v>
      </c>
      <c r="B13968" s="10"/>
      <c r="C13968" s="10" t="s">
        <v>33</v>
      </c>
      <c r="D13968" s="10" t="s">
        <v>34</v>
      </c>
      <c r="E13968" s="14">
        <v>3.0</v>
      </c>
      <c r="F13968" s="15">
        <f>ROUND(20.61,3)</f>
        <v>20.61</v>
      </c>
      <c r="G13968" s="12">
        <f>ROUND((E13968*F13968)/100,2)</f>
        <v>0.62</v>
      </c>
    </row>
    <row r="13969" ht="15.0" customHeight="1">
      <c r="A13969" s="16"/>
      <c r="B13969" s="16"/>
      <c r="C13969" s="16"/>
      <c r="D13969" s="17" t="s">
        <v>5822</v>
      </c>
      <c r="E13969" s="16"/>
      <c r="F13969" s="18">
        <f>ROUND((G13960+G13961+G13962+G13963+G13968)*(1+G2/100),2)</f>
        <v>27.26</v>
      </c>
      <c r="G13969" s="16"/>
    </row>
    <row r="13970" ht="67.5" customHeight="1">
      <c r="A13970" s="19" t="s">
        <v>5825</v>
      </c>
      <c r="B13970" s="20" t="s">
        <v>18</v>
      </c>
      <c r="C13970" s="20" t="s">
        <v>19</v>
      </c>
      <c r="D13970" s="20" t="s">
        <v>5826</v>
      </c>
      <c r="E13970" s="21"/>
      <c r="F13970" s="22">
        <f>F13981</f>
        <v>18.92</v>
      </c>
      <c r="G13970" s="21"/>
    </row>
    <row r="13971" ht="30.0" customHeight="1">
      <c r="A13971" s="11"/>
      <c r="B13971" s="11"/>
      <c r="C13971" s="11"/>
      <c r="D13971" s="10" t="s">
        <v>5815</v>
      </c>
    </row>
    <row r="13972" ht="30.0" customHeight="1">
      <c r="A13972" s="10" t="s">
        <v>1953</v>
      </c>
      <c r="B13972" s="10" t="s">
        <v>42</v>
      </c>
      <c r="C13972" s="10" t="s">
        <v>184</v>
      </c>
      <c r="D13972" s="10" t="s">
        <v>1954</v>
      </c>
      <c r="E13972" s="14">
        <v>0.704</v>
      </c>
      <c r="F13972" s="15">
        <f>ROUND(5.25,3)</f>
        <v>5.25</v>
      </c>
      <c r="G13972" s="12">
        <f t="shared" ref="G13972:G13979" si="2173">ROUND(E13972*F13972,2)</f>
        <v>3.7</v>
      </c>
    </row>
    <row r="13973" ht="21.0" customHeight="1">
      <c r="A13973" s="10" t="s">
        <v>228</v>
      </c>
      <c r="B13973" s="10" t="s">
        <v>42</v>
      </c>
      <c r="C13973" s="10" t="s">
        <v>226</v>
      </c>
      <c r="D13973" s="10" t="s">
        <v>229</v>
      </c>
      <c r="E13973" s="14">
        <v>0.02444</v>
      </c>
      <c r="F13973" s="15">
        <f>ROUND(1.32,3)</f>
        <v>1.32</v>
      </c>
      <c r="G13973" s="12">
        <f t="shared" si="2173"/>
        <v>0.03</v>
      </c>
    </row>
    <row r="13974" ht="21.0" customHeight="1">
      <c r="A13974" s="10" t="s">
        <v>1605</v>
      </c>
      <c r="B13974" s="10" t="s">
        <v>112</v>
      </c>
      <c r="C13974" s="10" t="s">
        <v>23</v>
      </c>
      <c r="D13974" s="10" t="s">
        <v>1606</v>
      </c>
      <c r="E13974" s="14">
        <v>0.2</v>
      </c>
      <c r="F13974" s="15">
        <f>ROUND(11.5,3)</f>
        <v>11.5</v>
      </c>
      <c r="G13974" s="12">
        <f t="shared" si="2173"/>
        <v>2.3</v>
      </c>
    </row>
    <row r="13975" ht="21.0" customHeight="1">
      <c r="A13975" s="10" t="s">
        <v>22</v>
      </c>
      <c r="B13975" s="10" t="s">
        <v>18</v>
      </c>
      <c r="C13975" s="10" t="s">
        <v>23</v>
      </c>
      <c r="D13975" s="10" t="s">
        <v>24</v>
      </c>
      <c r="E13975" s="14">
        <v>0.2857</v>
      </c>
      <c r="F13975" s="15">
        <f>F13979</f>
        <v>43.8</v>
      </c>
      <c r="G13975" s="12">
        <f t="shared" si="2173"/>
        <v>12.51</v>
      </c>
    </row>
    <row r="13976" ht="24.0" customHeight="1">
      <c r="A13976" s="10" t="s">
        <v>25</v>
      </c>
      <c r="B13976" s="10" t="s">
        <v>26</v>
      </c>
      <c r="C13976" s="10" t="s">
        <v>23</v>
      </c>
      <c r="D13976" s="10" t="s">
        <v>27</v>
      </c>
      <c r="E13976" s="14">
        <v>1.0</v>
      </c>
      <c r="F13976" s="15">
        <f>ROUND(21,3)</f>
        <v>21</v>
      </c>
      <c r="G13976" s="12">
        <f t="shared" si="2173"/>
        <v>21</v>
      </c>
    </row>
    <row r="13977" ht="24.0" customHeight="1">
      <c r="A13977" s="10" t="s">
        <v>28</v>
      </c>
      <c r="B13977" s="10" t="s">
        <v>26</v>
      </c>
      <c r="C13977" s="10" t="s">
        <v>23</v>
      </c>
      <c r="D13977" s="10" t="s">
        <v>29</v>
      </c>
      <c r="E13977" s="14">
        <v>1.0</v>
      </c>
      <c r="F13977" s="15">
        <f t="shared" ref="F13977:F13978" si="2174">ROUND(19,3)</f>
        <v>19</v>
      </c>
      <c r="G13977" s="12">
        <f t="shared" si="2173"/>
        <v>19</v>
      </c>
    </row>
    <row r="13978" ht="24.0" customHeight="1">
      <c r="A13978" s="10" t="s">
        <v>30</v>
      </c>
      <c r="B13978" s="10" t="s">
        <v>26</v>
      </c>
      <c r="C13978" s="10" t="s">
        <v>23</v>
      </c>
      <c r="D13978" s="10" t="s">
        <v>31</v>
      </c>
      <c r="E13978" s="14">
        <v>0.2</v>
      </c>
      <c r="F13978" s="15">
        <f t="shared" si="2174"/>
        <v>19</v>
      </c>
      <c r="G13978" s="12">
        <f t="shared" si="2173"/>
        <v>3.8</v>
      </c>
    </row>
    <row r="13979" ht="15.0" customHeight="1">
      <c r="A13979" s="11"/>
      <c r="B13979" s="11"/>
      <c r="C13979" s="11"/>
      <c r="D13979" s="10" t="s">
        <v>22</v>
      </c>
      <c r="E13979" s="14">
        <v>0.2857</v>
      </c>
      <c r="F13979" s="15">
        <f>ROUND((G13976+G13977+G13978),3)</f>
        <v>43.8</v>
      </c>
      <c r="G13979" s="12">
        <f t="shared" si="2173"/>
        <v>12.51</v>
      </c>
    </row>
    <row r="13980" ht="15.0" customHeight="1">
      <c r="A13980" s="10" t="s">
        <v>32</v>
      </c>
      <c r="B13980" s="10"/>
      <c r="C13980" s="10" t="s">
        <v>33</v>
      </c>
      <c r="D13980" s="10" t="s">
        <v>34</v>
      </c>
      <c r="E13980" s="14">
        <v>3.0</v>
      </c>
      <c r="F13980" s="15">
        <f>ROUND(12.51,3)</f>
        <v>12.51</v>
      </c>
      <c r="G13980" s="12">
        <f>ROUND((E13980*F13980)/100,2)</f>
        <v>0.38</v>
      </c>
    </row>
    <row r="13981" ht="15.0" customHeight="1">
      <c r="A13981" s="16"/>
      <c r="B13981" s="16"/>
      <c r="C13981" s="16"/>
      <c r="D13981" s="17" t="s">
        <v>5825</v>
      </c>
      <c r="E13981" s="16"/>
      <c r="F13981" s="18">
        <f>ROUND((G13972+G13973+G13974+G13975+G13980)*(1+G2/100),2)</f>
        <v>18.92</v>
      </c>
      <c r="G13981" s="16"/>
    </row>
    <row r="13982" ht="67.5" customHeight="1">
      <c r="A13982" s="19" t="s">
        <v>5827</v>
      </c>
      <c r="B13982" s="20" t="s">
        <v>18</v>
      </c>
      <c r="C13982" s="20" t="s">
        <v>19</v>
      </c>
      <c r="D13982" s="20" t="s">
        <v>5828</v>
      </c>
      <c r="E13982" s="21"/>
      <c r="F13982" s="22">
        <f>F13993</f>
        <v>21.72</v>
      </c>
      <c r="G13982" s="21"/>
    </row>
    <row r="13983" ht="30.0" customHeight="1">
      <c r="A13983" s="11"/>
      <c r="B13983" s="11"/>
      <c r="C13983" s="11"/>
      <c r="D13983" s="10" t="s">
        <v>5704</v>
      </c>
    </row>
    <row r="13984" ht="30.0" customHeight="1">
      <c r="A13984" s="10" t="s">
        <v>1953</v>
      </c>
      <c r="B13984" s="10" t="s">
        <v>42</v>
      </c>
      <c r="C13984" s="10" t="s">
        <v>184</v>
      </c>
      <c r="D13984" s="10" t="s">
        <v>1954</v>
      </c>
      <c r="E13984" s="14">
        <v>0.704</v>
      </c>
      <c r="F13984" s="15">
        <f>ROUND(5.25,3)</f>
        <v>5.25</v>
      </c>
      <c r="G13984" s="12">
        <f t="shared" ref="G13984:G13991" si="2175">ROUND(E13984*F13984,2)</f>
        <v>3.7</v>
      </c>
    </row>
    <row r="13985" ht="21.0" customHeight="1">
      <c r="A13985" s="10" t="s">
        <v>228</v>
      </c>
      <c r="B13985" s="10" t="s">
        <v>42</v>
      </c>
      <c r="C13985" s="10" t="s">
        <v>226</v>
      </c>
      <c r="D13985" s="10" t="s">
        <v>229</v>
      </c>
      <c r="E13985" s="14">
        <v>0.02444</v>
      </c>
      <c r="F13985" s="15">
        <f>ROUND(1.32,3)</f>
        <v>1.32</v>
      </c>
      <c r="G13985" s="12">
        <f t="shared" si="2175"/>
        <v>0.03</v>
      </c>
    </row>
    <row r="13986" ht="21.0" customHeight="1">
      <c r="A13986" s="10" t="s">
        <v>1605</v>
      </c>
      <c r="B13986" s="10" t="s">
        <v>112</v>
      </c>
      <c r="C13986" s="10" t="s">
        <v>23</v>
      </c>
      <c r="D13986" s="10" t="s">
        <v>1606</v>
      </c>
      <c r="E13986" s="14">
        <v>0.2</v>
      </c>
      <c r="F13986" s="15">
        <f>ROUND(11.5,3)</f>
        <v>11.5</v>
      </c>
      <c r="G13986" s="12">
        <f t="shared" si="2175"/>
        <v>2.3</v>
      </c>
    </row>
    <row r="13987" ht="21.0" customHeight="1">
      <c r="A13987" s="10" t="s">
        <v>22</v>
      </c>
      <c r="B13987" s="10" t="s">
        <v>18</v>
      </c>
      <c r="C13987" s="10" t="s">
        <v>23</v>
      </c>
      <c r="D13987" s="10" t="s">
        <v>24</v>
      </c>
      <c r="E13987" s="14">
        <v>0.3478</v>
      </c>
      <c r="F13987" s="15">
        <f>F13991</f>
        <v>43.8</v>
      </c>
      <c r="G13987" s="12">
        <f t="shared" si="2175"/>
        <v>15.23</v>
      </c>
    </row>
    <row r="13988" ht="24.0" customHeight="1">
      <c r="A13988" s="10" t="s">
        <v>25</v>
      </c>
      <c r="B13988" s="10" t="s">
        <v>26</v>
      </c>
      <c r="C13988" s="10" t="s">
        <v>23</v>
      </c>
      <c r="D13988" s="10" t="s">
        <v>27</v>
      </c>
      <c r="E13988" s="14">
        <v>1.0</v>
      </c>
      <c r="F13988" s="15">
        <f>ROUND(21,3)</f>
        <v>21</v>
      </c>
      <c r="G13988" s="12">
        <f t="shared" si="2175"/>
        <v>21</v>
      </c>
    </row>
    <row r="13989" ht="24.0" customHeight="1">
      <c r="A13989" s="10" t="s">
        <v>28</v>
      </c>
      <c r="B13989" s="10" t="s">
        <v>26</v>
      </c>
      <c r="C13989" s="10" t="s">
        <v>23</v>
      </c>
      <c r="D13989" s="10" t="s">
        <v>29</v>
      </c>
      <c r="E13989" s="14">
        <v>1.0</v>
      </c>
      <c r="F13989" s="15">
        <f t="shared" ref="F13989:F13990" si="2176">ROUND(19,3)</f>
        <v>19</v>
      </c>
      <c r="G13989" s="12">
        <f t="shared" si="2175"/>
        <v>19</v>
      </c>
    </row>
    <row r="13990" ht="24.0" customHeight="1">
      <c r="A13990" s="10" t="s">
        <v>30</v>
      </c>
      <c r="B13990" s="10" t="s">
        <v>26</v>
      </c>
      <c r="C13990" s="10" t="s">
        <v>23</v>
      </c>
      <c r="D13990" s="10" t="s">
        <v>31</v>
      </c>
      <c r="E13990" s="14">
        <v>0.2</v>
      </c>
      <c r="F13990" s="15">
        <f t="shared" si="2176"/>
        <v>19</v>
      </c>
      <c r="G13990" s="12">
        <f t="shared" si="2175"/>
        <v>3.8</v>
      </c>
    </row>
    <row r="13991" ht="15.0" customHeight="1">
      <c r="A13991" s="11"/>
      <c r="B13991" s="11"/>
      <c r="C13991" s="11"/>
      <c r="D13991" s="10" t="s">
        <v>22</v>
      </c>
      <c r="E13991" s="14">
        <v>0.3478</v>
      </c>
      <c r="F13991" s="15">
        <f>ROUND((G13988+G13989+G13990),3)</f>
        <v>43.8</v>
      </c>
      <c r="G13991" s="12">
        <f t="shared" si="2175"/>
        <v>15.23</v>
      </c>
    </row>
    <row r="13992" ht="15.0" customHeight="1">
      <c r="A13992" s="10" t="s">
        <v>32</v>
      </c>
      <c r="B13992" s="10"/>
      <c r="C13992" s="10" t="s">
        <v>33</v>
      </c>
      <c r="D13992" s="10" t="s">
        <v>34</v>
      </c>
      <c r="E13992" s="14">
        <v>3.0</v>
      </c>
      <c r="F13992" s="15">
        <f>ROUND(15.23,3)</f>
        <v>15.23</v>
      </c>
      <c r="G13992" s="12">
        <f>ROUND((E13992*F13992)/100,2)</f>
        <v>0.46</v>
      </c>
    </row>
    <row r="13993" ht="15.0" customHeight="1">
      <c r="A13993" s="16"/>
      <c r="B13993" s="16"/>
      <c r="C13993" s="16"/>
      <c r="D13993" s="17" t="s">
        <v>5827</v>
      </c>
      <c r="E13993" s="16"/>
      <c r="F13993" s="18">
        <f>ROUND((G13984+G13985+G13986+G13987+G13992)*(1+G2/100),2)</f>
        <v>21.72</v>
      </c>
      <c r="G13993" s="16"/>
    </row>
    <row r="13994" ht="15.0" customHeight="1">
      <c r="A13994" s="23"/>
      <c r="B13994" s="23"/>
      <c r="C13994" s="23"/>
      <c r="D13994" s="32" t="s">
        <v>5646</v>
      </c>
      <c r="E13994" s="33"/>
      <c r="F13994" s="33"/>
      <c r="G13994" s="33"/>
    </row>
    <row r="13995" ht="15.0" customHeight="1">
      <c r="A13995" s="34" t="s">
        <v>5829</v>
      </c>
      <c r="B13995" s="34" t="s">
        <v>10</v>
      </c>
      <c r="C13995" s="35"/>
      <c r="D13995" s="34" t="s">
        <v>5830</v>
      </c>
      <c r="E13995" s="35"/>
      <c r="F13995" s="35"/>
      <c r="G13995" s="35"/>
    </row>
    <row r="13996" ht="30.0" customHeight="1">
      <c r="A13996" s="13" t="s">
        <v>5831</v>
      </c>
      <c r="B13996" s="10" t="s">
        <v>18</v>
      </c>
      <c r="C13996" s="10" t="s">
        <v>251</v>
      </c>
      <c r="D13996" s="10" t="s">
        <v>5832</v>
      </c>
      <c r="E13996" s="11"/>
      <c r="F13996" s="12">
        <f>F14008</f>
        <v>32.9</v>
      </c>
      <c r="G13996" s="11"/>
    </row>
    <row r="13997" ht="39.75" customHeight="1">
      <c r="A13997" s="11"/>
      <c r="B13997" s="11"/>
      <c r="C13997" s="11"/>
      <c r="D13997" s="10" t="s">
        <v>5833</v>
      </c>
    </row>
    <row r="13998" ht="21.0" customHeight="1">
      <c r="A13998" s="10" t="s">
        <v>5834</v>
      </c>
      <c r="B13998" s="10" t="s">
        <v>42</v>
      </c>
      <c r="C13998" s="10" t="s">
        <v>184</v>
      </c>
      <c r="D13998" s="10" t="s">
        <v>5835</v>
      </c>
      <c r="E13998" s="14">
        <v>0.85</v>
      </c>
      <c r="F13998" s="15">
        <f>ROUND(7.3,3)</f>
        <v>7.3</v>
      </c>
      <c r="G13998" s="12">
        <f t="shared" ref="G13998:G14006" si="2177">ROUND(E13998*F13998,2)</f>
        <v>6.21</v>
      </c>
    </row>
    <row r="13999" ht="30.0" customHeight="1">
      <c r="A13999" s="10" t="s">
        <v>1227</v>
      </c>
      <c r="B13999" s="10" t="s">
        <v>42</v>
      </c>
      <c r="C13999" s="10" t="s">
        <v>226</v>
      </c>
      <c r="D13999" s="10" t="s">
        <v>1228</v>
      </c>
      <c r="E13999" s="14">
        <v>0.022</v>
      </c>
      <c r="F13999" s="15">
        <f>ROUND(27.5,3)</f>
        <v>27.5</v>
      </c>
      <c r="G13999" s="12">
        <f t="shared" si="2177"/>
        <v>0.61</v>
      </c>
    </row>
    <row r="14000" ht="21.0" customHeight="1">
      <c r="A14000" s="10" t="s">
        <v>1857</v>
      </c>
      <c r="B14000" s="10" t="s">
        <v>42</v>
      </c>
      <c r="C14000" s="10" t="s">
        <v>231</v>
      </c>
      <c r="D14000" s="10" t="s">
        <v>1858</v>
      </c>
      <c r="E14000" s="14">
        <v>0.375</v>
      </c>
      <c r="F14000" s="15">
        <f>ROUND(1.05,3)</f>
        <v>1.05</v>
      </c>
      <c r="G14000" s="12">
        <f t="shared" si="2177"/>
        <v>0.39</v>
      </c>
    </row>
    <row r="14001" ht="21.0" customHeight="1">
      <c r="A14001" s="10" t="s">
        <v>5606</v>
      </c>
      <c r="B14001" s="10" t="s">
        <v>42</v>
      </c>
      <c r="C14001" s="10" t="s">
        <v>304</v>
      </c>
      <c r="D14001" s="10" t="s">
        <v>5607</v>
      </c>
      <c r="E14001" s="14">
        <v>0.5</v>
      </c>
      <c r="F14001" s="15">
        <f>ROUND(1.76,3)</f>
        <v>1.76</v>
      </c>
      <c r="G14001" s="12">
        <f t="shared" si="2177"/>
        <v>0.88</v>
      </c>
    </row>
    <row r="14002" ht="21.0" customHeight="1">
      <c r="A14002" s="10" t="s">
        <v>22</v>
      </c>
      <c r="B14002" s="10" t="s">
        <v>18</v>
      </c>
      <c r="C14002" s="10" t="s">
        <v>23</v>
      </c>
      <c r="D14002" s="10" t="s">
        <v>24</v>
      </c>
      <c r="E14002" s="14">
        <v>0.55</v>
      </c>
      <c r="F14002" s="15">
        <f>F14006</f>
        <v>43.8</v>
      </c>
      <c r="G14002" s="12">
        <f t="shared" si="2177"/>
        <v>24.09</v>
      </c>
    </row>
    <row r="14003" ht="24.0" customHeight="1">
      <c r="A14003" s="10" t="s">
        <v>25</v>
      </c>
      <c r="B14003" s="10" t="s">
        <v>26</v>
      </c>
      <c r="C14003" s="10" t="s">
        <v>23</v>
      </c>
      <c r="D14003" s="10" t="s">
        <v>27</v>
      </c>
      <c r="E14003" s="14">
        <v>1.0</v>
      </c>
      <c r="F14003" s="15">
        <f>ROUND(21,3)</f>
        <v>21</v>
      </c>
      <c r="G14003" s="12">
        <f t="shared" si="2177"/>
        <v>21</v>
      </c>
    </row>
    <row r="14004" ht="24.0" customHeight="1">
      <c r="A14004" s="10" t="s">
        <v>28</v>
      </c>
      <c r="B14004" s="10" t="s">
        <v>26</v>
      </c>
      <c r="C14004" s="10" t="s">
        <v>23</v>
      </c>
      <c r="D14004" s="10" t="s">
        <v>29</v>
      </c>
      <c r="E14004" s="14">
        <v>1.0</v>
      </c>
      <c r="F14004" s="15">
        <f t="shared" ref="F14004:F14005" si="2178">ROUND(19,3)</f>
        <v>19</v>
      </c>
      <c r="G14004" s="12">
        <f t="shared" si="2177"/>
        <v>19</v>
      </c>
    </row>
    <row r="14005" ht="24.0" customHeight="1">
      <c r="A14005" s="10" t="s">
        <v>30</v>
      </c>
      <c r="B14005" s="10" t="s">
        <v>26</v>
      </c>
      <c r="C14005" s="10" t="s">
        <v>23</v>
      </c>
      <c r="D14005" s="10" t="s">
        <v>31</v>
      </c>
      <c r="E14005" s="14">
        <v>0.2</v>
      </c>
      <c r="F14005" s="15">
        <f t="shared" si="2178"/>
        <v>19</v>
      </c>
      <c r="G14005" s="12">
        <f t="shared" si="2177"/>
        <v>3.8</v>
      </c>
    </row>
    <row r="14006" ht="15.0" customHeight="1">
      <c r="A14006" s="11"/>
      <c r="B14006" s="11"/>
      <c r="C14006" s="11"/>
      <c r="D14006" s="10" t="s">
        <v>22</v>
      </c>
      <c r="E14006" s="14">
        <v>0.55</v>
      </c>
      <c r="F14006" s="15">
        <f>ROUND((G14003+G14004+G14005),3)</f>
        <v>43.8</v>
      </c>
      <c r="G14006" s="12">
        <f t="shared" si="2177"/>
        <v>24.09</v>
      </c>
    </row>
    <row r="14007" ht="15.0" customHeight="1">
      <c r="A14007" s="10" t="s">
        <v>32</v>
      </c>
      <c r="B14007" s="10"/>
      <c r="C14007" s="10" t="s">
        <v>33</v>
      </c>
      <c r="D14007" s="10" t="s">
        <v>34</v>
      </c>
      <c r="E14007" s="14">
        <v>3.0</v>
      </c>
      <c r="F14007" s="15">
        <f>ROUND(24.09,3)</f>
        <v>24.09</v>
      </c>
      <c r="G14007" s="12">
        <f>ROUND((E14007*F14007)/100,2)</f>
        <v>0.72</v>
      </c>
    </row>
    <row r="14008" ht="15.0" customHeight="1">
      <c r="A14008" s="16"/>
      <c r="B14008" s="16"/>
      <c r="C14008" s="16"/>
      <c r="D14008" s="17" t="s">
        <v>5831</v>
      </c>
      <c r="E14008" s="16"/>
      <c r="F14008" s="18">
        <f>ROUND((G13998+G13999+G14000+G14001+G14002+G14007)*(1+G2/100),2)</f>
        <v>32.9</v>
      </c>
      <c r="G14008" s="16"/>
    </row>
    <row r="14009" ht="30.0" customHeight="1">
      <c r="A14009" s="19" t="s">
        <v>5836</v>
      </c>
      <c r="B14009" s="20" t="s">
        <v>18</v>
      </c>
      <c r="C14009" s="20" t="s">
        <v>251</v>
      </c>
      <c r="D14009" s="20" t="s">
        <v>5837</v>
      </c>
      <c r="E14009" s="21"/>
      <c r="F14009" s="22">
        <f>F14021</f>
        <v>50.16</v>
      </c>
      <c r="G14009" s="21"/>
    </row>
    <row r="14010" ht="39.75" customHeight="1">
      <c r="A14010" s="11"/>
      <c r="B14010" s="11"/>
      <c r="C14010" s="11"/>
      <c r="D14010" s="10" t="s">
        <v>5838</v>
      </c>
    </row>
    <row r="14011" ht="21.0" customHeight="1">
      <c r="A14011" s="10" t="s">
        <v>5834</v>
      </c>
      <c r="B14011" s="10" t="s">
        <v>42</v>
      </c>
      <c r="C14011" s="10" t="s">
        <v>184</v>
      </c>
      <c r="D14011" s="10" t="s">
        <v>5835</v>
      </c>
      <c r="E14011" s="14">
        <v>0.85</v>
      </c>
      <c r="F14011" s="15">
        <f>ROUND(7.3,3)</f>
        <v>7.3</v>
      </c>
      <c r="G14011" s="12">
        <f t="shared" ref="G14011:G14019" si="2179">ROUND(E14011*F14011,2)</f>
        <v>6.21</v>
      </c>
    </row>
    <row r="14012" ht="30.0" customHeight="1">
      <c r="A14012" s="10" t="s">
        <v>1227</v>
      </c>
      <c r="B14012" s="10" t="s">
        <v>42</v>
      </c>
      <c r="C14012" s="10" t="s">
        <v>226</v>
      </c>
      <c r="D14012" s="10" t="s">
        <v>1228</v>
      </c>
      <c r="E14012" s="14">
        <v>0.022</v>
      </c>
      <c r="F14012" s="15">
        <f>ROUND(27.5,3)</f>
        <v>27.5</v>
      </c>
      <c r="G14012" s="12">
        <f t="shared" si="2179"/>
        <v>0.61</v>
      </c>
    </row>
    <row r="14013" ht="21.0" customHeight="1">
      <c r="A14013" s="10" t="s">
        <v>1857</v>
      </c>
      <c r="B14013" s="10" t="s">
        <v>42</v>
      </c>
      <c r="C14013" s="10" t="s">
        <v>231</v>
      </c>
      <c r="D14013" s="10" t="s">
        <v>1858</v>
      </c>
      <c r="E14013" s="14">
        <v>0.375</v>
      </c>
      <c r="F14013" s="15">
        <f>ROUND(1.05,3)</f>
        <v>1.05</v>
      </c>
      <c r="G14013" s="12">
        <f t="shared" si="2179"/>
        <v>0.39</v>
      </c>
    </row>
    <row r="14014" ht="21.0" customHeight="1">
      <c r="A14014" s="10" t="s">
        <v>5606</v>
      </c>
      <c r="B14014" s="10" t="s">
        <v>42</v>
      </c>
      <c r="C14014" s="10" t="s">
        <v>304</v>
      </c>
      <c r="D14014" s="10" t="s">
        <v>5607</v>
      </c>
      <c r="E14014" s="14">
        <v>0.5</v>
      </c>
      <c r="F14014" s="15">
        <f>ROUND(1.76,3)</f>
        <v>1.76</v>
      </c>
      <c r="G14014" s="12">
        <f t="shared" si="2179"/>
        <v>0.88</v>
      </c>
    </row>
    <row r="14015" ht="24.0" customHeight="1">
      <c r="A14015" s="10" t="s">
        <v>286</v>
      </c>
      <c r="B14015" s="10" t="s">
        <v>18</v>
      </c>
      <c r="C14015" s="10" t="s">
        <v>23</v>
      </c>
      <c r="D14015" s="10" t="s">
        <v>287</v>
      </c>
      <c r="E14015" s="14">
        <v>0.825</v>
      </c>
      <c r="F14015" s="15">
        <f>F14019</f>
        <v>49.5</v>
      </c>
      <c r="G14015" s="12">
        <f t="shared" si="2179"/>
        <v>40.84</v>
      </c>
    </row>
    <row r="14016" ht="24.0" customHeight="1">
      <c r="A14016" s="10" t="s">
        <v>288</v>
      </c>
      <c r="B14016" s="10" t="s">
        <v>26</v>
      </c>
      <c r="C14016" s="10" t="s">
        <v>23</v>
      </c>
      <c r="D14016" s="10" t="s">
        <v>289</v>
      </c>
      <c r="E14016" s="14">
        <v>1.0</v>
      </c>
      <c r="F14016" s="15">
        <f>ROUND(21,3)</f>
        <v>21</v>
      </c>
      <c r="G14016" s="12">
        <f t="shared" si="2179"/>
        <v>21</v>
      </c>
    </row>
    <row r="14017" ht="24.0" customHeight="1">
      <c r="A14017" s="10" t="s">
        <v>290</v>
      </c>
      <c r="B14017" s="10" t="s">
        <v>26</v>
      </c>
      <c r="C14017" s="10" t="s">
        <v>23</v>
      </c>
      <c r="D14017" s="10" t="s">
        <v>291</v>
      </c>
      <c r="E14017" s="14">
        <v>1.0</v>
      </c>
      <c r="F14017" s="15">
        <f t="shared" ref="F14017:F14018" si="2180">ROUND(19,3)</f>
        <v>19</v>
      </c>
      <c r="G14017" s="12">
        <f t="shared" si="2179"/>
        <v>19</v>
      </c>
    </row>
    <row r="14018" ht="24.0" customHeight="1">
      <c r="A14018" s="10" t="s">
        <v>292</v>
      </c>
      <c r="B14018" s="10" t="s">
        <v>26</v>
      </c>
      <c r="C14018" s="10" t="s">
        <v>23</v>
      </c>
      <c r="D14018" s="10" t="s">
        <v>293</v>
      </c>
      <c r="E14018" s="14">
        <v>0.5</v>
      </c>
      <c r="F14018" s="15">
        <f t="shared" si="2180"/>
        <v>19</v>
      </c>
      <c r="G14018" s="12">
        <f t="shared" si="2179"/>
        <v>9.5</v>
      </c>
    </row>
    <row r="14019" ht="15.0" customHeight="1">
      <c r="A14019" s="11"/>
      <c r="B14019" s="11"/>
      <c r="C14019" s="11"/>
      <c r="D14019" s="10" t="s">
        <v>286</v>
      </c>
      <c r="E14019" s="14">
        <v>0.825</v>
      </c>
      <c r="F14019" s="15">
        <f>ROUND((G14016+G14017+G14018),3)</f>
        <v>49.5</v>
      </c>
      <c r="G14019" s="12">
        <f t="shared" si="2179"/>
        <v>40.84</v>
      </c>
    </row>
    <row r="14020" ht="15.0" customHeight="1">
      <c r="A14020" s="10" t="s">
        <v>32</v>
      </c>
      <c r="B14020" s="10"/>
      <c r="C14020" s="10" t="s">
        <v>33</v>
      </c>
      <c r="D14020" s="10" t="s">
        <v>34</v>
      </c>
      <c r="E14020" s="14">
        <v>3.0</v>
      </c>
      <c r="F14020" s="15">
        <f>ROUND(40.84,3)</f>
        <v>40.84</v>
      </c>
      <c r="G14020" s="12">
        <f>ROUND((E14020*F14020)/100,2)</f>
        <v>1.23</v>
      </c>
    </row>
    <row r="14021" ht="15.0" customHeight="1">
      <c r="A14021" s="16"/>
      <c r="B14021" s="16"/>
      <c r="C14021" s="16"/>
      <c r="D14021" s="17" t="s">
        <v>5836</v>
      </c>
      <c r="E14021" s="16"/>
      <c r="F14021" s="18">
        <f>ROUND((G14011+G14012+G14013+G14014+G14015+G14020)*(1+G2/100),2)</f>
        <v>50.16</v>
      </c>
      <c r="G14021" s="16"/>
    </row>
    <row r="14022" ht="30.0" customHeight="1">
      <c r="A14022" s="19" t="s">
        <v>5839</v>
      </c>
      <c r="B14022" s="20" t="s">
        <v>18</v>
      </c>
      <c r="C14022" s="20" t="s">
        <v>251</v>
      </c>
      <c r="D14022" s="20" t="s">
        <v>5840</v>
      </c>
      <c r="E14022" s="21"/>
      <c r="F14022" s="22">
        <f>F14034</f>
        <v>36.88</v>
      </c>
      <c r="G14022" s="21"/>
    </row>
    <row r="14023" ht="39.75" customHeight="1">
      <c r="A14023" s="11"/>
      <c r="B14023" s="11"/>
      <c r="C14023" s="11"/>
      <c r="D14023" s="10" t="s">
        <v>5841</v>
      </c>
    </row>
    <row r="14024" ht="21.0" customHeight="1">
      <c r="A14024" s="10" t="s">
        <v>5834</v>
      </c>
      <c r="B14024" s="10" t="s">
        <v>42</v>
      </c>
      <c r="C14024" s="10" t="s">
        <v>184</v>
      </c>
      <c r="D14024" s="10" t="s">
        <v>5835</v>
      </c>
      <c r="E14024" s="14">
        <v>1.26</v>
      </c>
      <c r="F14024" s="15">
        <f>ROUND(7.3,3)</f>
        <v>7.3</v>
      </c>
      <c r="G14024" s="12">
        <f t="shared" ref="G14024:G14032" si="2181">ROUND(E14024*F14024,2)</f>
        <v>9.2</v>
      </c>
    </row>
    <row r="14025" ht="30.0" customHeight="1">
      <c r="A14025" s="10" t="s">
        <v>1227</v>
      </c>
      <c r="B14025" s="10" t="s">
        <v>42</v>
      </c>
      <c r="C14025" s="10" t="s">
        <v>226</v>
      </c>
      <c r="D14025" s="10" t="s">
        <v>1228</v>
      </c>
      <c r="E14025" s="14">
        <v>0.0252</v>
      </c>
      <c r="F14025" s="15">
        <f>ROUND(27.5,3)</f>
        <v>27.5</v>
      </c>
      <c r="G14025" s="12">
        <f t="shared" si="2181"/>
        <v>0.69</v>
      </c>
    </row>
    <row r="14026" ht="21.0" customHeight="1">
      <c r="A14026" s="10" t="s">
        <v>1857</v>
      </c>
      <c r="B14026" s="10" t="s">
        <v>42</v>
      </c>
      <c r="C14026" s="10" t="s">
        <v>231</v>
      </c>
      <c r="D14026" s="10" t="s">
        <v>1858</v>
      </c>
      <c r="E14026" s="14">
        <v>0.375</v>
      </c>
      <c r="F14026" s="15">
        <f>ROUND(1.05,3)</f>
        <v>1.05</v>
      </c>
      <c r="G14026" s="12">
        <f t="shared" si="2181"/>
        <v>0.39</v>
      </c>
    </row>
    <row r="14027" ht="21.0" customHeight="1">
      <c r="A14027" s="10" t="s">
        <v>5606</v>
      </c>
      <c r="B14027" s="10" t="s">
        <v>42</v>
      </c>
      <c r="C14027" s="10" t="s">
        <v>304</v>
      </c>
      <c r="D14027" s="10" t="s">
        <v>5607</v>
      </c>
      <c r="E14027" s="14">
        <v>0.5</v>
      </c>
      <c r="F14027" s="15">
        <f>ROUND(1.76,3)</f>
        <v>1.76</v>
      </c>
      <c r="G14027" s="12">
        <f t="shared" si="2181"/>
        <v>0.88</v>
      </c>
    </row>
    <row r="14028" ht="21.0" customHeight="1">
      <c r="A14028" s="10" t="s">
        <v>22</v>
      </c>
      <c r="B14028" s="10" t="s">
        <v>18</v>
      </c>
      <c r="C14028" s="10" t="s">
        <v>23</v>
      </c>
      <c r="D14028" s="10" t="s">
        <v>24</v>
      </c>
      <c r="E14028" s="14">
        <v>0.57</v>
      </c>
      <c r="F14028" s="15">
        <f>F14032</f>
        <v>43.8</v>
      </c>
      <c r="G14028" s="12">
        <f t="shared" si="2181"/>
        <v>24.97</v>
      </c>
    </row>
    <row r="14029" ht="24.0" customHeight="1">
      <c r="A14029" s="10" t="s">
        <v>25</v>
      </c>
      <c r="B14029" s="10" t="s">
        <v>26</v>
      </c>
      <c r="C14029" s="10" t="s">
        <v>23</v>
      </c>
      <c r="D14029" s="10" t="s">
        <v>27</v>
      </c>
      <c r="E14029" s="14">
        <v>1.0</v>
      </c>
      <c r="F14029" s="15">
        <f>ROUND(21,3)</f>
        <v>21</v>
      </c>
      <c r="G14029" s="12">
        <f t="shared" si="2181"/>
        <v>21</v>
      </c>
    </row>
    <row r="14030" ht="24.0" customHeight="1">
      <c r="A14030" s="10" t="s">
        <v>28</v>
      </c>
      <c r="B14030" s="10" t="s">
        <v>26</v>
      </c>
      <c r="C14030" s="10" t="s">
        <v>23</v>
      </c>
      <c r="D14030" s="10" t="s">
        <v>29</v>
      </c>
      <c r="E14030" s="14">
        <v>1.0</v>
      </c>
      <c r="F14030" s="15">
        <f t="shared" ref="F14030:F14031" si="2182">ROUND(19,3)</f>
        <v>19</v>
      </c>
      <c r="G14030" s="12">
        <f t="shared" si="2181"/>
        <v>19</v>
      </c>
    </row>
    <row r="14031" ht="24.0" customHeight="1">
      <c r="A14031" s="10" t="s">
        <v>30</v>
      </c>
      <c r="B14031" s="10" t="s">
        <v>26</v>
      </c>
      <c r="C14031" s="10" t="s">
        <v>23</v>
      </c>
      <c r="D14031" s="10" t="s">
        <v>31</v>
      </c>
      <c r="E14031" s="14">
        <v>0.2</v>
      </c>
      <c r="F14031" s="15">
        <f t="shared" si="2182"/>
        <v>19</v>
      </c>
      <c r="G14031" s="12">
        <f t="shared" si="2181"/>
        <v>3.8</v>
      </c>
    </row>
    <row r="14032" ht="15.0" customHeight="1">
      <c r="A14032" s="11"/>
      <c r="B14032" s="11"/>
      <c r="C14032" s="11"/>
      <c r="D14032" s="10" t="s">
        <v>22</v>
      </c>
      <c r="E14032" s="14">
        <v>0.57</v>
      </c>
      <c r="F14032" s="15">
        <f>ROUND((G14029+G14030+G14031),3)</f>
        <v>43.8</v>
      </c>
      <c r="G14032" s="12">
        <f t="shared" si="2181"/>
        <v>24.97</v>
      </c>
    </row>
    <row r="14033" ht="15.0" customHeight="1">
      <c r="A14033" s="10" t="s">
        <v>32</v>
      </c>
      <c r="B14033" s="10"/>
      <c r="C14033" s="10" t="s">
        <v>33</v>
      </c>
      <c r="D14033" s="10" t="s">
        <v>34</v>
      </c>
      <c r="E14033" s="14">
        <v>3.0</v>
      </c>
      <c r="F14033" s="15">
        <f>ROUND(24.97,3)</f>
        <v>24.97</v>
      </c>
      <c r="G14033" s="12">
        <f>ROUND((E14033*F14033)/100,2)</f>
        <v>0.75</v>
      </c>
    </row>
    <row r="14034" ht="15.0" customHeight="1">
      <c r="A14034" s="16"/>
      <c r="B14034" s="16"/>
      <c r="C14034" s="16"/>
      <c r="D14034" s="17" t="s">
        <v>5839</v>
      </c>
      <c r="E14034" s="16"/>
      <c r="F14034" s="18">
        <f>ROUND((G14024+G14025+G14026+G14027+G14028+G14033)*(1+G2/100),2)</f>
        <v>36.88</v>
      </c>
      <c r="G14034" s="16"/>
    </row>
    <row r="14035" ht="30.0" customHeight="1">
      <c r="A14035" s="19" t="s">
        <v>5842</v>
      </c>
      <c r="B14035" s="20" t="s">
        <v>18</v>
      </c>
      <c r="C14035" s="20" t="s">
        <v>251</v>
      </c>
      <c r="D14035" s="20" t="s">
        <v>5843</v>
      </c>
      <c r="E14035" s="21"/>
      <c r="F14035" s="22">
        <f>F14047</f>
        <v>34.32</v>
      </c>
      <c r="G14035" s="21"/>
    </row>
    <row r="14036" ht="30.0" customHeight="1">
      <c r="A14036" s="11"/>
      <c r="B14036" s="11"/>
      <c r="C14036" s="11"/>
      <c r="D14036" s="10" t="s">
        <v>5844</v>
      </c>
    </row>
    <row r="14037" ht="39.75" customHeight="1">
      <c r="A14037" s="10" t="s">
        <v>5845</v>
      </c>
      <c r="B14037" s="10" t="s">
        <v>42</v>
      </c>
      <c r="C14037" s="10" t="s">
        <v>184</v>
      </c>
      <c r="D14037" s="10" t="s">
        <v>5846</v>
      </c>
      <c r="E14037" s="14">
        <v>1.0</v>
      </c>
      <c r="F14037" s="15">
        <f>ROUND(6.13,3)</f>
        <v>6.13</v>
      </c>
      <c r="G14037" s="12">
        <f t="shared" ref="G14037:G14045" si="2183">ROUND(E14037*F14037,2)</f>
        <v>6.13</v>
      </c>
    </row>
    <row r="14038" ht="30.0" customHeight="1">
      <c r="A14038" s="10" t="s">
        <v>1899</v>
      </c>
      <c r="B14038" s="10" t="s">
        <v>42</v>
      </c>
      <c r="C14038" s="10" t="s">
        <v>226</v>
      </c>
      <c r="D14038" s="10" t="s">
        <v>1900</v>
      </c>
      <c r="E14038" s="14">
        <v>0.02182</v>
      </c>
      <c r="F14038" s="15">
        <f>ROUND(75.52,3)</f>
        <v>75.52</v>
      </c>
      <c r="G14038" s="12">
        <f t="shared" si="2183"/>
        <v>1.65</v>
      </c>
    </row>
    <row r="14039" ht="21.0" customHeight="1">
      <c r="A14039" s="10" t="s">
        <v>1857</v>
      </c>
      <c r="B14039" s="10" t="s">
        <v>42</v>
      </c>
      <c r="C14039" s="10" t="s">
        <v>231</v>
      </c>
      <c r="D14039" s="10" t="s">
        <v>1858</v>
      </c>
      <c r="E14039" s="14">
        <v>0.375</v>
      </c>
      <c r="F14039" s="15">
        <f>ROUND(1.05,3)</f>
        <v>1.05</v>
      </c>
      <c r="G14039" s="12">
        <f t="shared" si="2183"/>
        <v>0.39</v>
      </c>
    </row>
    <row r="14040" ht="30.0" customHeight="1">
      <c r="A14040" s="10" t="s">
        <v>5847</v>
      </c>
      <c r="B14040" s="10" t="s">
        <v>42</v>
      </c>
      <c r="C14040" s="10" t="s">
        <v>344</v>
      </c>
      <c r="D14040" s="10" t="s">
        <v>5848</v>
      </c>
      <c r="E14040" s="14">
        <v>0.5</v>
      </c>
      <c r="F14040" s="15">
        <f>ROUND(1.76,3)</f>
        <v>1.76</v>
      </c>
      <c r="G14040" s="12">
        <f t="shared" si="2183"/>
        <v>0.88</v>
      </c>
    </row>
    <row r="14041" ht="21.0" customHeight="1">
      <c r="A14041" s="10" t="s">
        <v>22</v>
      </c>
      <c r="B14041" s="10" t="s">
        <v>18</v>
      </c>
      <c r="C14041" s="10" t="s">
        <v>23</v>
      </c>
      <c r="D14041" s="10" t="s">
        <v>24</v>
      </c>
      <c r="E14041" s="14">
        <v>0.56</v>
      </c>
      <c r="F14041" s="15">
        <f>F14045</f>
        <v>43.8</v>
      </c>
      <c r="G14041" s="12">
        <f t="shared" si="2183"/>
        <v>24.53</v>
      </c>
    </row>
    <row r="14042" ht="24.0" customHeight="1">
      <c r="A14042" s="10" t="s">
        <v>25</v>
      </c>
      <c r="B14042" s="10" t="s">
        <v>26</v>
      </c>
      <c r="C14042" s="10" t="s">
        <v>23</v>
      </c>
      <c r="D14042" s="10" t="s">
        <v>27</v>
      </c>
      <c r="E14042" s="14">
        <v>1.0</v>
      </c>
      <c r="F14042" s="15">
        <f>ROUND(21,3)</f>
        <v>21</v>
      </c>
      <c r="G14042" s="12">
        <f t="shared" si="2183"/>
        <v>21</v>
      </c>
    </row>
    <row r="14043" ht="24.0" customHeight="1">
      <c r="A14043" s="10" t="s">
        <v>28</v>
      </c>
      <c r="B14043" s="10" t="s">
        <v>26</v>
      </c>
      <c r="C14043" s="10" t="s">
        <v>23</v>
      </c>
      <c r="D14043" s="10" t="s">
        <v>29</v>
      </c>
      <c r="E14043" s="14">
        <v>1.0</v>
      </c>
      <c r="F14043" s="15">
        <f t="shared" ref="F14043:F14044" si="2184">ROUND(19,3)</f>
        <v>19</v>
      </c>
      <c r="G14043" s="12">
        <f t="shared" si="2183"/>
        <v>19</v>
      </c>
    </row>
    <row r="14044" ht="24.0" customHeight="1">
      <c r="A14044" s="10" t="s">
        <v>30</v>
      </c>
      <c r="B14044" s="10" t="s">
        <v>26</v>
      </c>
      <c r="C14044" s="10" t="s">
        <v>23</v>
      </c>
      <c r="D14044" s="10" t="s">
        <v>31</v>
      </c>
      <c r="E14044" s="14">
        <v>0.2</v>
      </c>
      <c r="F14044" s="15">
        <f t="shared" si="2184"/>
        <v>19</v>
      </c>
      <c r="G14044" s="12">
        <f t="shared" si="2183"/>
        <v>3.8</v>
      </c>
    </row>
    <row r="14045" ht="15.0" customHeight="1">
      <c r="A14045" s="11"/>
      <c r="B14045" s="11"/>
      <c r="C14045" s="11"/>
      <c r="D14045" s="10" t="s">
        <v>22</v>
      </c>
      <c r="E14045" s="14">
        <v>0.56</v>
      </c>
      <c r="F14045" s="15">
        <f>ROUND((G14042+G14043+G14044),3)</f>
        <v>43.8</v>
      </c>
      <c r="G14045" s="12">
        <f t="shared" si="2183"/>
        <v>24.53</v>
      </c>
    </row>
    <row r="14046" ht="15.0" customHeight="1">
      <c r="A14046" s="10" t="s">
        <v>32</v>
      </c>
      <c r="B14046" s="10"/>
      <c r="C14046" s="10" t="s">
        <v>33</v>
      </c>
      <c r="D14046" s="10" t="s">
        <v>34</v>
      </c>
      <c r="E14046" s="14">
        <v>3.0</v>
      </c>
      <c r="F14046" s="15">
        <f>ROUND(24.53,3)</f>
        <v>24.53</v>
      </c>
      <c r="G14046" s="12">
        <f>ROUND((E14046*F14046)/100,2)</f>
        <v>0.74</v>
      </c>
    </row>
    <row r="14047" ht="15.0" customHeight="1">
      <c r="A14047" s="16"/>
      <c r="B14047" s="16"/>
      <c r="C14047" s="16"/>
      <c r="D14047" s="17" t="s">
        <v>5842</v>
      </c>
      <c r="E14047" s="16"/>
      <c r="F14047" s="18">
        <f>ROUND((G14037+G14038+G14039+G14040+G14041+G14046)*(1+G2/100),2)</f>
        <v>34.32</v>
      </c>
      <c r="G14047" s="16"/>
    </row>
    <row r="14048" ht="30.0" customHeight="1">
      <c r="A14048" s="19" t="s">
        <v>5849</v>
      </c>
      <c r="B14048" s="20" t="s">
        <v>18</v>
      </c>
      <c r="C14048" s="20" t="s">
        <v>251</v>
      </c>
      <c r="D14048" s="20" t="s">
        <v>5850</v>
      </c>
      <c r="E14048" s="21"/>
      <c r="F14048" s="22">
        <f>F14062</f>
        <v>41.55</v>
      </c>
      <c r="G14048" s="21"/>
    </row>
    <row r="14049" ht="39.75" customHeight="1">
      <c r="A14049" s="11"/>
      <c r="B14049" s="11"/>
      <c r="C14049" s="11"/>
      <c r="D14049" s="10" t="s">
        <v>5851</v>
      </c>
    </row>
    <row r="14050" ht="30.0" customHeight="1">
      <c r="A14050" s="10" t="s">
        <v>1938</v>
      </c>
      <c r="B14050" s="10" t="s">
        <v>42</v>
      </c>
      <c r="C14050" s="10" t="s">
        <v>1939</v>
      </c>
      <c r="D14050" s="10" t="s">
        <v>1940</v>
      </c>
      <c r="E14050" s="14">
        <v>0.08</v>
      </c>
      <c r="F14050" s="15">
        <f>ROUND(29.17,3)</f>
        <v>29.17</v>
      </c>
      <c r="G14050" s="12">
        <f t="shared" ref="G14050:G14060" si="2185">ROUND(E14050*F14050,2)</f>
        <v>2.33</v>
      </c>
    </row>
    <row r="14051" ht="30.0" customHeight="1">
      <c r="A14051" s="10" t="s">
        <v>1941</v>
      </c>
      <c r="B14051" s="10" t="s">
        <v>42</v>
      </c>
      <c r="C14051" s="10" t="s">
        <v>184</v>
      </c>
      <c r="D14051" s="10" t="s">
        <v>1942</v>
      </c>
      <c r="E14051" s="14">
        <v>0.8</v>
      </c>
      <c r="F14051" s="15">
        <f>ROUND(8.33,3)</f>
        <v>8.33</v>
      </c>
      <c r="G14051" s="12">
        <f t="shared" si="2185"/>
        <v>6.66</v>
      </c>
    </row>
    <row r="14052" ht="21.0" customHeight="1">
      <c r="A14052" s="10" t="s">
        <v>5852</v>
      </c>
      <c r="B14052" s="10" t="s">
        <v>42</v>
      </c>
      <c r="C14052" s="10" t="s">
        <v>255</v>
      </c>
      <c r="D14052" s="10" t="s">
        <v>5853</v>
      </c>
      <c r="E14052" s="14">
        <v>0.5</v>
      </c>
      <c r="F14052" s="15">
        <f>ROUND(7.21,3)</f>
        <v>7.21</v>
      </c>
      <c r="G14052" s="12">
        <f t="shared" si="2185"/>
        <v>3.61</v>
      </c>
    </row>
    <row r="14053" ht="30.0" customHeight="1">
      <c r="A14053" s="10" t="s">
        <v>1227</v>
      </c>
      <c r="B14053" s="10" t="s">
        <v>42</v>
      </c>
      <c r="C14053" s="10" t="s">
        <v>226</v>
      </c>
      <c r="D14053" s="10" t="s">
        <v>1228</v>
      </c>
      <c r="E14053" s="14">
        <v>0.022</v>
      </c>
      <c r="F14053" s="15">
        <f>ROUND(27.5,3)</f>
        <v>27.5</v>
      </c>
      <c r="G14053" s="12">
        <f t="shared" si="2185"/>
        <v>0.61</v>
      </c>
    </row>
    <row r="14054" ht="21.0" customHeight="1">
      <c r="A14054" s="10" t="s">
        <v>1857</v>
      </c>
      <c r="B14054" s="10" t="s">
        <v>42</v>
      </c>
      <c r="C14054" s="10" t="s">
        <v>231</v>
      </c>
      <c r="D14054" s="10" t="s">
        <v>1858</v>
      </c>
      <c r="E14054" s="14">
        <v>0.375</v>
      </c>
      <c r="F14054" s="15">
        <f>ROUND(1.05,3)</f>
        <v>1.05</v>
      </c>
      <c r="G14054" s="12">
        <f t="shared" si="2185"/>
        <v>0.39</v>
      </c>
    </row>
    <row r="14055" ht="21.0" customHeight="1">
      <c r="A14055" s="10" t="s">
        <v>5606</v>
      </c>
      <c r="B14055" s="10" t="s">
        <v>42</v>
      </c>
      <c r="C14055" s="10" t="s">
        <v>304</v>
      </c>
      <c r="D14055" s="10" t="s">
        <v>5607</v>
      </c>
      <c r="E14055" s="14">
        <v>0.5</v>
      </c>
      <c r="F14055" s="15">
        <f>ROUND(1.76,3)</f>
        <v>1.76</v>
      </c>
      <c r="G14055" s="12">
        <f t="shared" si="2185"/>
        <v>0.88</v>
      </c>
    </row>
    <row r="14056" ht="21.0" customHeight="1">
      <c r="A14056" s="10" t="s">
        <v>22</v>
      </c>
      <c r="B14056" s="10" t="s">
        <v>18</v>
      </c>
      <c r="C14056" s="10" t="s">
        <v>23</v>
      </c>
      <c r="D14056" s="10" t="s">
        <v>24</v>
      </c>
      <c r="E14056" s="14">
        <v>0.6</v>
      </c>
      <c r="F14056" s="15">
        <f>F14060</f>
        <v>43.8</v>
      </c>
      <c r="G14056" s="12">
        <f t="shared" si="2185"/>
        <v>26.28</v>
      </c>
    </row>
    <row r="14057" ht="24.0" customHeight="1">
      <c r="A14057" s="10" t="s">
        <v>25</v>
      </c>
      <c r="B14057" s="10" t="s">
        <v>26</v>
      </c>
      <c r="C14057" s="10" t="s">
        <v>23</v>
      </c>
      <c r="D14057" s="10" t="s">
        <v>27</v>
      </c>
      <c r="E14057" s="14">
        <v>1.0</v>
      </c>
      <c r="F14057" s="15">
        <f>ROUND(21,3)</f>
        <v>21</v>
      </c>
      <c r="G14057" s="12">
        <f t="shared" si="2185"/>
        <v>21</v>
      </c>
    </row>
    <row r="14058" ht="24.0" customHeight="1">
      <c r="A14058" s="10" t="s">
        <v>28</v>
      </c>
      <c r="B14058" s="10" t="s">
        <v>26</v>
      </c>
      <c r="C14058" s="10" t="s">
        <v>23</v>
      </c>
      <c r="D14058" s="10" t="s">
        <v>29</v>
      </c>
      <c r="E14058" s="14">
        <v>1.0</v>
      </c>
      <c r="F14058" s="15">
        <f t="shared" ref="F14058:F14059" si="2186">ROUND(19,3)</f>
        <v>19</v>
      </c>
      <c r="G14058" s="12">
        <f t="shared" si="2185"/>
        <v>19</v>
      </c>
    </row>
    <row r="14059" ht="24.0" customHeight="1">
      <c r="A14059" s="10" t="s">
        <v>30</v>
      </c>
      <c r="B14059" s="10" t="s">
        <v>26</v>
      </c>
      <c r="C14059" s="10" t="s">
        <v>23</v>
      </c>
      <c r="D14059" s="10" t="s">
        <v>31</v>
      </c>
      <c r="E14059" s="14">
        <v>0.2</v>
      </c>
      <c r="F14059" s="15">
        <f t="shared" si="2186"/>
        <v>19</v>
      </c>
      <c r="G14059" s="12">
        <f t="shared" si="2185"/>
        <v>3.8</v>
      </c>
    </row>
    <row r="14060" ht="15.0" customHeight="1">
      <c r="A14060" s="11"/>
      <c r="B14060" s="11"/>
      <c r="C14060" s="11"/>
      <c r="D14060" s="10" t="s">
        <v>22</v>
      </c>
      <c r="E14060" s="14">
        <v>0.6</v>
      </c>
      <c r="F14060" s="15">
        <f>ROUND((G14057+G14058+G14059),3)</f>
        <v>43.8</v>
      </c>
      <c r="G14060" s="12">
        <f t="shared" si="2185"/>
        <v>26.28</v>
      </c>
    </row>
    <row r="14061" ht="15.0" customHeight="1">
      <c r="A14061" s="10" t="s">
        <v>32</v>
      </c>
      <c r="B14061" s="10"/>
      <c r="C14061" s="10" t="s">
        <v>33</v>
      </c>
      <c r="D14061" s="10" t="s">
        <v>34</v>
      </c>
      <c r="E14061" s="14">
        <v>3.0</v>
      </c>
      <c r="F14061" s="15">
        <f>ROUND(26.28,3)</f>
        <v>26.28</v>
      </c>
      <c r="G14061" s="12">
        <f>ROUND((E14061*F14061)/100,2)</f>
        <v>0.79</v>
      </c>
    </row>
    <row r="14062" ht="15.0" customHeight="1">
      <c r="A14062" s="16"/>
      <c r="B14062" s="16"/>
      <c r="C14062" s="16"/>
      <c r="D14062" s="17" t="s">
        <v>5849</v>
      </c>
      <c r="E14062" s="16"/>
      <c r="F14062" s="18">
        <f>ROUND((G14050+G14051+G14052+G14053+G14054+G14055+G14056+G14061)*(1+G2/100),2)</f>
        <v>41.55</v>
      </c>
      <c r="G14062" s="16"/>
    </row>
    <row r="14063" ht="39.75" customHeight="1">
      <c r="A14063" s="19" t="s">
        <v>5854</v>
      </c>
      <c r="B14063" s="20" t="s">
        <v>18</v>
      </c>
      <c r="C14063" s="20" t="s">
        <v>251</v>
      </c>
      <c r="D14063" s="20" t="s">
        <v>5855</v>
      </c>
      <c r="E14063" s="21"/>
      <c r="F14063" s="22">
        <f>F14077</f>
        <v>60.37</v>
      </c>
      <c r="G14063" s="21"/>
    </row>
    <row r="14064" ht="48.75" customHeight="1">
      <c r="A14064" s="11"/>
      <c r="B14064" s="11"/>
      <c r="C14064" s="11"/>
      <c r="D14064" s="10" t="s">
        <v>5856</v>
      </c>
    </row>
    <row r="14065" ht="30.0" customHeight="1">
      <c r="A14065" s="10" t="s">
        <v>1938</v>
      </c>
      <c r="B14065" s="10" t="s">
        <v>42</v>
      </c>
      <c r="C14065" s="10" t="s">
        <v>1939</v>
      </c>
      <c r="D14065" s="10" t="s">
        <v>1940</v>
      </c>
      <c r="E14065" s="14">
        <v>0.08</v>
      </c>
      <c r="F14065" s="15">
        <f>ROUND(29.17,3)</f>
        <v>29.17</v>
      </c>
      <c r="G14065" s="12">
        <f t="shared" ref="G14065:G14075" si="2187">ROUND(E14065*F14065,2)</f>
        <v>2.33</v>
      </c>
    </row>
    <row r="14066" ht="30.0" customHeight="1">
      <c r="A14066" s="10" t="s">
        <v>1941</v>
      </c>
      <c r="B14066" s="10" t="s">
        <v>42</v>
      </c>
      <c r="C14066" s="10" t="s">
        <v>184</v>
      </c>
      <c r="D14066" s="10" t="s">
        <v>1942</v>
      </c>
      <c r="E14066" s="14">
        <v>0.8</v>
      </c>
      <c r="F14066" s="15">
        <f>ROUND(8.33,3)</f>
        <v>8.33</v>
      </c>
      <c r="G14066" s="12">
        <f t="shared" si="2187"/>
        <v>6.66</v>
      </c>
    </row>
    <row r="14067" ht="21.0" customHeight="1">
      <c r="A14067" s="10" t="s">
        <v>5852</v>
      </c>
      <c r="B14067" s="10" t="s">
        <v>42</v>
      </c>
      <c r="C14067" s="10" t="s">
        <v>255</v>
      </c>
      <c r="D14067" s="10" t="s">
        <v>5853</v>
      </c>
      <c r="E14067" s="14">
        <v>0.5</v>
      </c>
      <c r="F14067" s="15">
        <f>ROUND(7.21,3)</f>
        <v>7.21</v>
      </c>
      <c r="G14067" s="12">
        <f t="shared" si="2187"/>
        <v>3.61</v>
      </c>
    </row>
    <row r="14068" ht="30.0" customHeight="1">
      <c r="A14068" s="10" t="s">
        <v>1227</v>
      </c>
      <c r="B14068" s="10" t="s">
        <v>42</v>
      </c>
      <c r="C14068" s="10" t="s">
        <v>226</v>
      </c>
      <c r="D14068" s="10" t="s">
        <v>1228</v>
      </c>
      <c r="E14068" s="14">
        <v>0.022</v>
      </c>
      <c r="F14068" s="15">
        <f>ROUND(27.5,3)</f>
        <v>27.5</v>
      </c>
      <c r="G14068" s="12">
        <f t="shared" si="2187"/>
        <v>0.61</v>
      </c>
    </row>
    <row r="14069" ht="21.0" customHeight="1">
      <c r="A14069" s="10" t="s">
        <v>1857</v>
      </c>
      <c r="B14069" s="10" t="s">
        <v>42</v>
      </c>
      <c r="C14069" s="10" t="s">
        <v>231</v>
      </c>
      <c r="D14069" s="10" t="s">
        <v>1858</v>
      </c>
      <c r="E14069" s="14">
        <v>0.375</v>
      </c>
      <c r="F14069" s="15">
        <f>ROUND(1.05,3)</f>
        <v>1.05</v>
      </c>
      <c r="G14069" s="12">
        <f t="shared" si="2187"/>
        <v>0.39</v>
      </c>
    </row>
    <row r="14070" ht="21.0" customHeight="1">
      <c r="A14070" s="10" t="s">
        <v>5606</v>
      </c>
      <c r="B14070" s="10" t="s">
        <v>42</v>
      </c>
      <c r="C14070" s="10" t="s">
        <v>304</v>
      </c>
      <c r="D14070" s="10" t="s">
        <v>5607</v>
      </c>
      <c r="E14070" s="14">
        <v>0.5</v>
      </c>
      <c r="F14070" s="15">
        <f>ROUND(1.76,3)</f>
        <v>1.76</v>
      </c>
      <c r="G14070" s="12">
        <f t="shared" si="2187"/>
        <v>0.88</v>
      </c>
    </row>
    <row r="14071" ht="24.0" customHeight="1">
      <c r="A14071" s="10" t="s">
        <v>286</v>
      </c>
      <c r="B14071" s="10" t="s">
        <v>18</v>
      </c>
      <c r="C14071" s="10" t="s">
        <v>23</v>
      </c>
      <c r="D14071" s="10" t="s">
        <v>287</v>
      </c>
      <c r="E14071" s="14">
        <v>0.9</v>
      </c>
      <c r="F14071" s="15">
        <f>F14075</f>
        <v>49.5</v>
      </c>
      <c r="G14071" s="12">
        <f t="shared" si="2187"/>
        <v>44.55</v>
      </c>
    </row>
    <row r="14072" ht="24.0" customHeight="1">
      <c r="A14072" s="10" t="s">
        <v>288</v>
      </c>
      <c r="B14072" s="10" t="s">
        <v>26</v>
      </c>
      <c r="C14072" s="10" t="s">
        <v>23</v>
      </c>
      <c r="D14072" s="10" t="s">
        <v>289</v>
      </c>
      <c r="E14072" s="14">
        <v>1.0</v>
      </c>
      <c r="F14072" s="15">
        <f>ROUND(21,3)</f>
        <v>21</v>
      </c>
      <c r="G14072" s="12">
        <f t="shared" si="2187"/>
        <v>21</v>
      </c>
    </row>
    <row r="14073" ht="24.0" customHeight="1">
      <c r="A14073" s="10" t="s">
        <v>290</v>
      </c>
      <c r="B14073" s="10" t="s">
        <v>26</v>
      </c>
      <c r="C14073" s="10" t="s">
        <v>23</v>
      </c>
      <c r="D14073" s="10" t="s">
        <v>291</v>
      </c>
      <c r="E14073" s="14">
        <v>1.0</v>
      </c>
      <c r="F14073" s="15">
        <f t="shared" ref="F14073:F14074" si="2188">ROUND(19,3)</f>
        <v>19</v>
      </c>
      <c r="G14073" s="12">
        <f t="shared" si="2187"/>
        <v>19</v>
      </c>
    </row>
    <row r="14074" ht="24.0" customHeight="1">
      <c r="A14074" s="10" t="s">
        <v>292</v>
      </c>
      <c r="B14074" s="10" t="s">
        <v>26</v>
      </c>
      <c r="C14074" s="10" t="s">
        <v>23</v>
      </c>
      <c r="D14074" s="10" t="s">
        <v>293</v>
      </c>
      <c r="E14074" s="14">
        <v>0.5</v>
      </c>
      <c r="F14074" s="15">
        <f t="shared" si="2188"/>
        <v>19</v>
      </c>
      <c r="G14074" s="12">
        <f t="shared" si="2187"/>
        <v>9.5</v>
      </c>
    </row>
    <row r="14075" ht="15.0" customHeight="1">
      <c r="A14075" s="11"/>
      <c r="B14075" s="11"/>
      <c r="C14075" s="11"/>
      <c r="D14075" s="10" t="s">
        <v>286</v>
      </c>
      <c r="E14075" s="14">
        <v>0.9</v>
      </c>
      <c r="F14075" s="15">
        <f>ROUND((G14072+G14073+G14074),3)</f>
        <v>49.5</v>
      </c>
      <c r="G14075" s="12">
        <f t="shared" si="2187"/>
        <v>44.55</v>
      </c>
    </row>
    <row r="14076" ht="15.0" customHeight="1">
      <c r="A14076" s="10" t="s">
        <v>32</v>
      </c>
      <c r="B14076" s="10"/>
      <c r="C14076" s="10" t="s">
        <v>33</v>
      </c>
      <c r="D14076" s="10" t="s">
        <v>34</v>
      </c>
      <c r="E14076" s="14">
        <v>3.0</v>
      </c>
      <c r="F14076" s="15">
        <f>ROUND(44.55,3)</f>
        <v>44.55</v>
      </c>
      <c r="G14076" s="12">
        <f>ROUND((E14076*F14076)/100,2)</f>
        <v>1.34</v>
      </c>
    </row>
    <row r="14077" ht="15.0" customHeight="1">
      <c r="A14077" s="16"/>
      <c r="B14077" s="16"/>
      <c r="C14077" s="16"/>
      <c r="D14077" s="17" t="s">
        <v>5854</v>
      </c>
      <c r="E14077" s="16"/>
      <c r="F14077" s="18">
        <f>ROUND((G14065+G14066+G14067+G14068+G14069+G14070+G14071+G14076)*(1+G2/100),2)</f>
        <v>60.37</v>
      </c>
      <c r="G14077" s="16"/>
    </row>
    <row r="14078" ht="30.0" customHeight="1">
      <c r="A14078" s="19" t="s">
        <v>5857</v>
      </c>
      <c r="B14078" s="20" t="s">
        <v>18</v>
      </c>
      <c r="C14078" s="20" t="s">
        <v>251</v>
      </c>
      <c r="D14078" s="20" t="s">
        <v>5858</v>
      </c>
      <c r="E14078" s="21"/>
      <c r="F14078" s="22">
        <f>F14092</f>
        <v>45.76</v>
      </c>
      <c r="G14078" s="21"/>
    </row>
    <row r="14079" ht="39.75" customHeight="1">
      <c r="A14079" s="11"/>
      <c r="B14079" s="11"/>
      <c r="C14079" s="11"/>
      <c r="D14079" s="10" t="s">
        <v>5859</v>
      </c>
    </row>
    <row r="14080" ht="30.0" customHeight="1">
      <c r="A14080" s="10" t="s">
        <v>1938</v>
      </c>
      <c r="B14080" s="10" t="s">
        <v>42</v>
      </c>
      <c r="C14080" s="10" t="s">
        <v>1939</v>
      </c>
      <c r="D14080" s="10" t="s">
        <v>1940</v>
      </c>
      <c r="E14080" s="14">
        <v>0.08</v>
      </c>
      <c r="F14080" s="15">
        <f>ROUND(29.17,3)</f>
        <v>29.17</v>
      </c>
      <c r="G14080" s="12">
        <f t="shared" ref="G14080:G14090" si="2189">ROUND(E14080*F14080,2)</f>
        <v>2.33</v>
      </c>
    </row>
    <row r="14081" ht="30.0" customHeight="1">
      <c r="A14081" s="10" t="s">
        <v>5860</v>
      </c>
      <c r="B14081" s="10" t="s">
        <v>42</v>
      </c>
      <c r="C14081" s="10" t="s">
        <v>184</v>
      </c>
      <c r="D14081" s="10" t="s">
        <v>5861</v>
      </c>
      <c r="E14081" s="14">
        <v>0.8</v>
      </c>
      <c r="F14081" s="15">
        <f>ROUND(11.74,3)</f>
        <v>11.74</v>
      </c>
      <c r="G14081" s="12">
        <f t="shared" si="2189"/>
        <v>9.39</v>
      </c>
    </row>
    <row r="14082" ht="30.0" customHeight="1">
      <c r="A14082" s="10" t="s">
        <v>1929</v>
      </c>
      <c r="B14082" s="10" t="s">
        <v>42</v>
      </c>
      <c r="C14082" s="10" t="s">
        <v>184</v>
      </c>
      <c r="D14082" s="10" t="s">
        <v>1930</v>
      </c>
      <c r="E14082" s="14">
        <v>0.5</v>
      </c>
      <c r="F14082" s="15">
        <f>ROUND(10.18,3)</f>
        <v>10.18</v>
      </c>
      <c r="G14082" s="12">
        <f t="shared" si="2189"/>
        <v>5.09</v>
      </c>
    </row>
    <row r="14083" ht="30.0" customHeight="1">
      <c r="A14083" s="10" t="s">
        <v>1227</v>
      </c>
      <c r="B14083" s="10" t="s">
        <v>42</v>
      </c>
      <c r="C14083" s="10" t="s">
        <v>226</v>
      </c>
      <c r="D14083" s="10" t="s">
        <v>1228</v>
      </c>
      <c r="E14083" s="14">
        <v>0.022</v>
      </c>
      <c r="F14083" s="15">
        <f>ROUND(27.5,3)</f>
        <v>27.5</v>
      </c>
      <c r="G14083" s="12">
        <f t="shared" si="2189"/>
        <v>0.61</v>
      </c>
    </row>
    <row r="14084" ht="21.0" customHeight="1">
      <c r="A14084" s="10" t="s">
        <v>1857</v>
      </c>
      <c r="B14084" s="10" t="s">
        <v>42</v>
      </c>
      <c r="C14084" s="10" t="s">
        <v>231</v>
      </c>
      <c r="D14084" s="10" t="s">
        <v>1858</v>
      </c>
      <c r="E14084" s="14">
        <v>0.375</v>
      </c>
      <c r="F14084" s="15">
        <f>ROUND(1.05,3)</f>
        <v>1.05</v>
      </c>
      <c r="G14084" s="12">
        <f t="shared" si="2189"/>
        <v>0.39</v>
      </c>
    </row>
    <row r="14085" ht="21.0" customHeight="1">
      <c r="A14085" s="10" t="s">
        <v>5606</v>
      </c>
      <c r="B14085" s="10" t="s">
        <v>42</v>
      </c>
      <c r="C14085" s="10" t="s">
        <v>304</v>
      </c>
      <c r="D14085" s="10" t="s">
        <v>5607</v>
      </c>
      <c r="E14085" s="14">
        <v>0.5</v>
      </c>
      <c r="F14085" s="15">
        <f>ROUND(1.76,3)</f>
        <v>1.76</v>
      </c>
      <c r="G14085" s="12">
        <f t="shared" si="2189"/>
        <v>0.88</v>
      </c>
    </row>
    <row r="14086" ht="21.0" customHeight="1">
      <c r="A14086" s="10" t="s">
        <v>22</v>
      </c>
      <c r="B14086" s="10" t="s">
        <v>18</v>
      </c>
      <c r="C14086" s="10" t="s">
        <v>23</v>
      </c>
      <c r="D14086" s="10" t="s">
        <v>24</v>
      </c>
      <c r="E14086" s="14">
        <v>0.6</v>
      </c>
      <c r="F14086" s="15">
        <f>F14090</f>
        <v>43.8</v>
      </c>
      <c r="G14086" s="12">
        <f t="shared" si="2189"/>
        <v>26.28</v>
      </c>
    </row>
    <row r="14087" ht="24.0" customHeight="1">
      <c r="A14087" s="10" t="s">
        <v>25</v>
      </c>
      <c r="B14087" s="10" t="s">
        <v>26</v>
      </c>
      <c r="C14087" s="10" t="s">
        <v>23</v>
      </c>
      <c r="D14087" s="10" t="s">
        <v>27</v>
      </c>
      <c r="E14087" s="14">
        <v>1.0</v>
      </c>
      <c r="F14087" s="15">
        <f>ROUND(21,3)</f>
        <v>21</v>
      </c>
      <c r="G14087" s="12">
        <f t="shared" si="2189"/>
        <v>21</v>
      </c>
    </row>
    <row r="14088" ht="24.0" customHeight="1">
      <c r="A14088" s="10" t="s">
        <v>28</v>
      </c>
      <c r="B14088" s="10" t="s">
        <v>26</v>
      </c>
      <c r="C14088" s="10" t="s">
        <v>23</v>
      </c>
      <c r="D14088" s="10" t="s">
        <v>29</v>
      </c>
      <c r="E14088" s="14">
        <v>1.0</v>
      </c>
      <c r="F14088" s="15">
        <f t="shared" ref="F14088:F14089" si="2190">ROUND(19,3)</f>
        <v>19</v>
      </c>
      <c r="G14088" s="12">
        <f t="shared" si="2189"/>
        <v>19</v>
      </c>
    </row>
    <row r="14089" ht="24.0" customHeight="1">
      <c r="A14089" s="10" t="s">
        <v>30</v>
      </c>
      <c r="B14089" s="10" t="s">
        <v>26</v>
      </c>
      <c r="C14089" s="10" t="s">
        <v>23</v>
      </c>
      <c r="D14089" s="10" t="s">
        <v>31</v>
      </c>
      <c r="E14089" s="14">
        <v>0.2</v>
      </c>
      <c r="F14089" s="15">
        <f t="shared" si="2190"/>
        <v>19</v>
      </c>
      <c r="G14089" s="12">
        <f t="shared" si="2189"/>
        <v>3.8</v>
      </c>
    </row>
    <row r="14090" ht="15.0" customHeight="1">
      <c r="A14090" s="11"/>
      <c r="B14090" s="11"/>
      <c r="C14090" s="11"/>
      <c r="D14090" s="10" t="s">
        <v>22</v>
      </c>
      <c r="E14090" s="14">
        <v>0.6</v>
      </c>
      <c r="F14090" s="15">
        <f>ROUND((G14087+G14088+G14089),3)</f>
        <v>43.8</v>
      </c>
      <c r="G14090" s="12">
        <f t="shared" si="2189"/>
        <v>26.28</v>
      </c>
    </row>
    <row r="14091" ht="15.0" customHeight="1">
      <c r="A14091" s="10" t="s">
        <v>32</v>
      </c>
      <c r="B14091" s="10"/>
      <c r="C14091" s="10" t="s">
        <v>33</v>
      </c>
      <c r="D14091" s="10" t="s">
        <v>34</v>
      </c>
      <c r="E14091" s="14">
        <v>3.0</v>
      </c>
      <c r="F14091" s="15">
        <f>ROUND(26.28,3)</f>
        <v>26.28</v>
      </c>
      <c r="G14091" s="12">
        <f>ROUND((E14091*F14091)/100,2)</f>
        <v>0.79</v>
      </c>
    </row>
    <row r="14092" ht="15.0" customHeight="1">
      <c r="A14092" s="16"/>
      <c r="B14092" s="16"/>
      <c r="C14092" s="16"/>
      <c r="D14092" s="17" t="s">
        <v>5857</v>
      </c>
      <c r="E14092" s="16"/>
      <c r="F14092" s="18">
        <f>ROUND((G14080+G14081+G14082+G14083+G14084+G14085+G14086+G14091)*(1+G2/100),2)</f>
        <v>45.76</v>
      </c>
      <c r="G14092" s="16"/>
    </row>
    <row r="14093" ht="39.75" customHeight="1">
      <c r="A14093" s="19" t="s">
        <v>5862</v>
      </c>
      <c r="B14093" s="20" t="s">
        <v>18</v>
      </c>
      <c r="C14093" s="20" t="s">
        <v>251</v>
      </c>
      <c r="D14093" s="20" t="s">
        <v>5863</v>
      </c>
      <c r="E14093" s="21"/>
      <c r="F14093" s="22">
        <f>F14107</f>
        <v>64.58</v>
      </c>
      <c r="G14093" s="21"/>
    </row>
    <row r="14094" ht="48.75" customHeight="1">
      <c r="A14094" s="11"/>
      <c r="B14094" s="11"/>
      <c r="C14094" s="11"/>
      <c r="D14094" s="10" t="s">
        <v>5864</v>
      </c>
    </row>
    <row r="14095" ht="30.0" customHeight="1">
      <c r="A14095" s="10" t="s">
        <v>1938</v>
      </c>
      <c r="B14095" s="10" t="s">
        <v>42</v>
      </c>
      <c r="C14095" s="10" t="s">
        <v>1939</v>
      </c>
      <c r="D14095" s="10" t="s">
        <v>1940</v>
      </c>
      <c r="E14095" s="14">
        <v>0.08</v>
      </c>
      <c r="F14095" s="15">
        <f>ROUND(29.17,3)</f>
        <v>29.17</v>
      </c>
      <c r="G14095" s="12">
        <f t="shared" ref="G14095:G14105" si="2191">ROUND(E14095*F14095,2)</f>
        <v>2.33</v>
      </c>
    </row>
    <row r="14096" ht="30.0" customHeight="1">
      <c r="A14096" s="10" t="s">
        <v>5860</v>
      </c>
      <c r="B14096" s="10" t="s">
        <v>42</v>
      </c>
      <c r="C14096" s="10" t="s">
        <v>184</v>
      </c>
      <c r="D14096" s="10" t="s">
        <v>5861</v>
      </c>
      <c r="E14096" s="14">
        <v>0.8</v>
      </c>
      <c r="F14096" s="15">
        <f>ROUND(11.74,3)</f>
        <v>11.74</v>
      </c>
      <c r="G14096" s="12">
        <f t="shared" si="2191"/>
        <v>9.39</v>
      </c>
    </row>
    <row r="14097" ht="30.0" customHeight="1">
      <c r="A14097" s="10" t="s">
        <v>1929</v>
      </c>
      <c r="B14097" s="10" t="s">
        <v>42</v>
      </c>
      <c r="C14097" s="10" t="s">
        <v>184</v>
      </c>
      <c r="D14097" s="10" t="s">
        <v>1930</v>
      </c>
      <c r="E14097" s="14">
        <v>0.5</v>
      </c>
      <c r="F14097" s="15">
        <f>ROUND(10.18,3)</f>
        <v>10.18</v>
      </c>
      <c r="G14097" s="12">
        <f t="shared" si="2191"/>
        <v>5.09</v>
      </c>
    </row>
    <row r="14098" ht="30.0" customHeight="1">
      <c r="A14098" s="10" t="s">
        <v>1227</v>
      </c>
      <c r="B14098" s="10" t="s">
        <v>42</v>
      </c>
      <c r="C14098" s="10" t="s">
        <v>226</v>
      </c>
      <c r="D14098" s="10" t="s">
        <v>1228</v>
      </c>
      <c r="E14098" s="14">
        <v>0.022</v>
      </c>
      <c r="F14098" s="15">
        <f>ROUND(27.5,3)</f>
        <v>27.5</v>
      </c>
      <c r="G14098" s="12">
        <f t="shared" si="2191"/>
        <v>0.61</v>
      </c>
    </row>
    <row r="14099" ht="21.0" customHeight="1">
      <c r="A14099" s="10" t="s">
        <v>1857</v>
      </c>
      <c r="B14099" s="10" t="s">
        <v>42</v>
      </c>
      <c r="C14099" s="10" t="s">
        <v>231</v>
      </c>
      <c r="D14099" s="10" t="s">
        <v>1858</v>
      </c>
      <c r="E14099" s="14">
        <v>0.375</v>
      </c>
      <c r="F14099" s="15">
        <f>ROUND(1.05,3)</f>
        <v>1.05</v>
      </c>
      <c r="G14099" s="12">
        <f t="shared" si="2191"/>
        <v>0.39</v>
      </c>
    </row>
    <row r="14100" ht="21.0" customHeight="1">
      <c r="A14100" s="10" t="s">
        <v>5606</v>
      </c>
      <c r="B14100" s="10" t="s">
        <v>42</v>
      </c>
      <c r="C14100" s="10" t="s">
        <v>304</v>
      </c>
      <c r="D14100" s="10" t="s">
        <v>5607</v>
      </c>
      <c r="E14100" s="14">
        <v>0.5</v>
      </c>
      <c r="F14100" s="15">
        <f>ROUND(1.76,3)</f>
        <v>1.76</v>
      </c>
      <c r="G14100" s="12">
        <f t="shared" si="2191"/>
        <v>0.88</v>
      </c>
    </row>
    <row r="14101" ht="24.0" customHeight="1">
      <c r="A14101" s="10" t="s">
        <v>286</v>
      </c>
      <c r="B14101" s="10" t="s">
        <v>18</v>
      </c>
      <c r="C14101" s="10" t="s">
        <v>23</v>
      </c>
      <c r="D14101" s="10" t="s">
        <v>287</v>
      </c>
      <c r="E14101" s="14">
        <v>0.9</v>
      </c>
      <c r="F14101" s="15">
        <f>F14105</f>
        <v>49.5</v>
      </c>
      <c r="G14101" s="12">
        <f t="shared" si="2191"/>
        <v>44.55</v>
      </c>
    </row>
    <row r="14102" ht="24.0" customHeight="1">
      <c r="A14102" s="10" t="s">
        <v>288</v>
      </c>
      <c r="B14102" s="10" t="s">
        <v>26</v>
      </c>
      <c r="C14102" s="10" t="s">
        <v>23</v>
      </c>
      <c r="D14102" s="10" t="s">
        <v>289</v>
      </c>
      <c r="E14102" s="14">
        <v>1.0</v>
      </c>
      <c r="F14102" s="15">
        <f>ROUND(21,3)</f>
        <v>21</v>
      </c>
      <c r="G14102" s="12">
        <f t="shared" si="2191"/>
        <v>21</v>
      </c>
    </row>
    <row r="14103" ht="24.0" customHeight="1">
      <c r="A14103" s="10" t="s">
        <v>290</v>
      </c>
      <c r="B14103" s="10" t="s">
        <v>26</v>
      </c>
      <c r="C14103" s="10" t="s">
        <v>23</v>
      </c>
      <c r="D14103" s="10" t="s">
        <v>291</v>
      </c>
      <c r="E14103" s="14">
        <v>1.0</v>
      </c>
      <c r="F14103" s="15">
        <f t="shared" ref="F14103:F14104" si="2192">ROUND(19,3)</f>
        <v>19</v>
      </c>
      <c r="G14103" s="12">
        <f t="shared" si="2191"/>
        <v>19</v>
      </c>
    </row>
    <row r="14104" ht="24.0" customHeight="1">
      <c r="A14104" s="10" t="s">
        <v>292</v>
      </c>
      <c r="B14104" s="10" t="s">
        <v>26</v>
      </c>
      <c r="C14104" s="10" t="s">
        <v>23</v>
      </c>
      <c r="D14104" s="10" t="s">
        <v>293</v>
      </c>
      <c r="E14104" s="14">
        <v>0.5</v>
      </c>
      <c r="F14104" s="15">
        <f t="shared" si="2192"/>
        <v>19</v>
      </c>
      <c r="G14104" s="12">
        <f t="shared" si="2191"/>
        <v>9.5</v>
      </c>
    </row>
    <row r="14105" ht="15.0" customHeight="1">
      <c r="A14105" s="11"/>
      <c r="B14105" s="11"/>
      <c r="C14105" s="11"/>
      <c r="D14105" s="10" t="s">
        <v>286</v>
      </c>
      <c r="E14105" s="14">
        <v>0.9</v>
      </c>
      <c r="F14105" s="15">
        <f>ROUND((G14102+G14103+G14104),3)</f>
        <v>49.5</v>
      </c>
      <c r="G14105" s="12">
        <f t="shared" si="2191"/>
        <v>44.55</v>
      </c>
    </row>
    <row r="14106" ht="15.0" customHeight="1">
      <c r="A14106" s="10" t="s">
        <v>32</v>
      </c>
      <c r="B14106" s="10"/>
      <c r="C14106" s="10" t="s">
        <v>33</v>
      </c>
      <c r="D14106" s="10" t="s">
        <v>34</v>
      </c>
      <c r="E14106" s="14">
        <v>3.0</v>
      </c>
      <c r="F14106" s="15">
        <f>ROUND(44.55,3)</f>
        <v>44.55</v>
      </c>
      <c r="G14106" s="12">
        <f>ROUND((E14106*F14106)/100,2)</f>
        <v>1.34</v>
      </c>
    </row>
    <row r="14107" ht="15.0" customHeight="1">
      <c r="A14107" s="16"/>
      <c r="B14107" s="16"/>
      <c r="C14107" s="16"/>
      <c r="D14107" s="17" t="s">
        <v>5862</v>
      </c>
      <c r="E14107" s="16"/>
      <c r="F14107" s="18">
        <f>ROUND((G14095+G14096+G14097+G14098+G14099+G14100+G14101+G14106)*(1+G2/100),2)</f>
        <v>64.58</v>
      </c>
      <c r="G14107" s="16"/>
    </row>
    <row r="14108" ht="30.0" customHeight="1">
      <c r="A14108" s="19" t="s">
        <v>5865</v>
      </c>
      <c r="B14108" s="20" t="s">
        <v>18</v>
      </c>
      <c r="C14108" s="20" t="s">
        <v>251</v>
      </c>
      <c r="D14108" s="20" t="s">
        <v>5866</v>
      </c>
      <c r="E14108" s="21"/>
      <c r="F14108" s="22">
        <f>F14122</f>
        <v>47.88</v>
      </c>
      <c r="G14108" s="21"/>
    </row>
    <row r="14109" ht="39.75" customHeight="1">
      <c r="A14109" s="11"/>
      <c r="B14109" s="11"/>
      <c r="C14109" s="11"/>
      <c r="D14109" s="10" t="s">
        <v>5867</v>
      </c>
    </row>
    <row r="14110" ht="30.0" customHeight="1">
      <c r="A14110" s="10" t="s">
        <v>2140</v>
      </c>
      <c r="B14110" s="10" t="s">
        <v>42</v>
      </c>
      <c r="C14110" s="10" t="s">
        <v>276</v>
      </c>
      <c r="D14110" s="10" t="s">
        <v>2141</v>
      </c>
      <c r="E14110" s="14">
        <v>0.015</v>
      </c>
      <c r="F14110" s="15">
        <f>ROUND(143.22,3)</f>
        <v>143.22</v>
      </c>
      <c r="G14110" s="12">
        <f t="shared" ref="G14110:G14120" si="2193">ROUND(E14110*F14110,2)</f>
        <v>2.15</v>
      </c>
    </row>
    <row r="14111" ht="24.0" customHeight="1">
      <c r="A14111" s="10" t="s">
        <v>5868</v>
      </c>
      <c r="B14111" s="10" t="s">
        <v>42</v>
      </c>
      <c r="C14111" s="10" t="s">
        <v>184</v>
      </c>
      <c r="D14111" s="10" t="s">
        <v>5869</v>
      </c>
      <c r="E14111" s="14">
        <v>0.78</v>
      </c>
      <c r="F14111" s="15">
        <f>ROUND(14.95,3)</f>
        <v>14.95</v>
      </c>
      <c r="G14111" s="12">
        <f t="shared" si="2193"/>
        <v>11.66</v>
      </c>
    </row>
    <row r="14112" ht="21.0" customHeight="1">
      <c r="A14112" s="10" t="s">
        <v>5852</v>
      </c>
      <c r="B14112" s="10" t="s">
        <v>42</v>
      </c>
      <c r="C14112" s="10" t="s">
        <v>255</v>
      </c>
      <c r="D14112" s="10" t="s">
        <v>5853</v>
      </c>
      <c r="E14112" s="14">
        <v>0.5</v>
      </c>
      <c r="F14112" s="15">
        <f>ROUND(7.21,3)</f>
        <v>7.21</v>
      </c>
      <c r="G14112" s="12">
        <f t="shared" si="2193"/>
        <v>3.61</v>
      </c>
    </row>
    <row r="14113" ht="57.75" customHeight="1">
      <c r="A14113" s="10" t="s">
        <v>5870</v>
      </c>
      <c r="B14113" s="10" t="s">
        <v>42</v>
      </c>
      <c r="C14113" s="10" t="s">
        <v>1357</v>
      </c>
      <c r="D14113" s="10" t="s">
        <v>5871</v>
      </c>
      <c r="E14113" s="14">
        <v>1.26</v>
      </c>
      <c r="F14113" s="15">
        <f>ROUND(1.68,3)</f>
        <v>1.68</v>
      </c>
      <c r="G14113" s="12">
        <f t="shared" si="2193"/>
        <v>2.12</v>
      </c>
    </row>
    <row r="14114" ht="21.0" customHeight="1">
      <c r="A14114" s="10" t="s">
        <v>1857</v>
      </c>
      <c r="B14114" s="10" t="s">
        <v>42</v>
      </c>
      <c r="C14114" s="10" t="s">
        <v>231</v>
      </c>
      <c r="D14114" s="10" t="s">
        <v>1858</v>
      </c>
      <c r="E14114" s="14">
        <v>0.375</v>
      </c>
      <c r="F14114" s="15">
        <f>ROUND(1.05,3)</f>
        <v>1.05</v>
      </c>
      <c r="G14114" s="12">
        <f t="shared" si="2193"/>
        <v>0.39</v>
      </c>
    </row>
    <row r="14115" ht="21.0" customHeight="1">
      <c r="A14115" s="10" t="s">
        <v>5606</v>
      </c>
      <c r="B14115" s="10" t="s">
        <v>42</v>
      </c>
      <c r="C14115" s="10" t="s">
        <v>304</v>
      </c>
      <c r="D14115" s="10" t="s">
        <v>5607</v>
      </c>
      <c r="E14115" s="14">
        <v>0.5</v>
      </c>
      <c r="F14115" s="15">
        <f>ROUND(1.76,3)</f>
        <v>1.76</v>
      </c>
      <c r="G14115" s="12">
        <f t="shared" si="2193"/>
        <v>0.88</v>
      </c>
    </row>
    <row r="14116" ht="21.0" customHeight="1">
      <c r="A14116" s="10" t="s">
        <v>22</v>
      </c>
      <c r="B14116" s="10" t="s">
        <v>18</v>
      </c>
      <c r="C14116" s="10" t="s">
        <v>23</v>
      </c>
      <c r="D14116" s="10" t="s">
        <v>24</v>
      </c>
      <c r="E14116" s="14">
        <v>0.6</v>
      </c>
      <c r="F14116" s="15">
        <f>F14120</f>
        <v>43.8</v>
      </c>
      <c r="G14116" s="12">
        <f t="shared" si="2193"/>
        <v>26.28</v>
      </c>
    </row>
    <row r="14117" ht="24.0" customHeight="1">
      <c r="A14117" s="10" t="s">
        <v>25</v>
      </c>
      <c r="B14117" s="10" t="s">
        <v>26</v>
      </c>
      <c r="C14117" s="10" t="s">
        <v>23</v>
      </c>
      <c r="D14117" s="10" t="s">
        <v>27</v>
      </c>
      <c r="E14117" s="14">
        <v>1.0</v>
      </c>
      <c r="F14117" s="15">
        <f>ROUND(21,3)</f>
        <v>21</v>
      </c>
      <c r="G14117" s="12">
        <f t="shared" si="2193"/>
        <v>21</v>
      </c>
    </row>
    <row r="14118" ht="24.0" customHeight="1">
      <c r="A14118" s="10" t="s">
        <v>28</v>
      </c>
      <c r="B14118" s="10" t="s">
        <v>26</v>
      </c>
      <c r="C14118" s="10" t="s">
        <v>23</v>
      </c>
      <c r="D14118" s="10" t="s">
        <v>29</v>
      </c>
      <c r="E14118" s="14">
        <v>1.0</v>
      </c>
      <c r="F14118" s="15">
        <f t="shared" ref="F14118:F14119" si="2194">ROUND(19,3)</f>
        <v>19</v>
      </c>
      <c r="G14118" s="12">
        <f t="shared" si="2193"/>
        <v>19</v>
      </c>
    </row>
    <row r="14119" ht="24.0" customHeight="1">
      <c r="A14119" s="10" t="s">
        <v>30</v>
      </c>
      <c r="B14119" s="10" t="s">
        <v>26</v>
      </c>
      <c r="C14119" s="10" t="s">
        <v>23</v>
      </c>
      <c r="D14119" s="10" t="s">
        <v>31</v>
      </c>
      <c r="E14119" s="14">
        <v>0.2</v>
      </c>
      <c r="F14119" s="15">
        <f t="shared" si="2194"/>
        <v>19</v>
      </c>
      <c r="G14119" s="12">
        <f t="shared" si="2193"/>
        <v>3.8</v>
      </c>
    </row>
    <row r="14120" ht="15.0" customHeight="1">
      <c r="A14120" s="11"/>
      <c r="B14120" s="11"/>
      <c r="C14120" s="11"/>
      <c r="D14120" s="10" t="s">
        <v>22</v>
      </c>
      <c r="E14120" s="14">
        <v>0.6</v>
      </c>
      <c r="F14120" s="15">
        <f>ROUND((G14117+G14118+G14119),3)</f>
        <v>43.8</v>
      </c>
      <c r="G14120" s="12">
        <f t="shared" si="2193"/>
        <v>26.28</v>
      </c>
    </row>
    <row r="14121" ht="15.0" customHeight="1">
      <c r="A14121" s="10" t="s">
        <v>32</v>
      </c>
      <c r="B14121" s="10"/>
      <c r="C14121" s="10" t="s">
        <v>33</v>
      </c>
      <c r="D14121" s="10" t="s">
        <v>34</v>
      </c>
      <c r="E14121" s="14">
        <v>3.0</v>
      </c>
      <c r="F14121" s="15">
        <f>ROUND(26.28,3)</f>
        <v>26.28</v>
      </c>
      <c r="G14121" s="12">
        <f>ROUND((E14121*F14121)/100,2)</f>
        <v>0.79</v>
      </c>
    </row>
    <row r="14122" ht="15.0" customHeight="1">
      <c r="A14122" s="16"/>
      <c r="B14122" s="16"/>
      <c r="C14122" s="16"/>
      <c r="D14122" s="17" t="s">
        <v>5865</v>
      </c>
      <c r="E14122" s="16"/>
      <c r="F14122" s="18">
        <f>ROUND((G14110+G14111+G14112+G14113+G14114+G14115+G14116+G14121)*(1+G2/100),2)</f>
        <v>47.88</v>
      </c>
      <c r="G14122" s="16"/>
    </row>
    <row r="14123" ht="48.75" customHeight="1">
      <c r="A14123" s="19" t="s">
        <v>5872</v>
      </c>
      <c r="B14123" s="20" t="s">
        <v>18</v>
      </c>
      <c r="C14123" s="20" t="s">
        <v>19</v>
      </c>
      <c r="D14123" s="20" t="s">
        <v>5873</v>
      </c>
      <c r="E14123" s="21"/>
      <c r="F14123" s="22">
        <f>F14136</f>
        <v>54.16</v>
      </c>
      <c r="G14123" s="21"/>
    </row>
    <row r="14124" ht="21.0" customHeight="1">
      <c r="A14124" s="11"/>
      <c r="B14124" s="11"/>
      <c r="C14124" s="11"/>
      <c r="D14124" s="10" t="s">
        <v>5874</v>
      </c>
    </row>
    <row r="14125" ht="30.0" customHeight="1">
      <c r="A14125" s="10" t="s">
        <v>1938</v>
      </c>
      <c r="B14125" s="10" t="s">
        <v>42</v>
      </c>
      <c r="C14125" s="10" t="s">
        <v>1939</v>
      </c>
      <c r="D14125" s="10" t="s">
        <v>1940</v>
      </c>
      <c r="E14125" s="14">
        <v>0.06</v>
      </c>
      <c r="F14125" s="15">
        <f>ROUND(29.17,3)</f>
        <v>29.17</v>
      </c>
      <c r="G14125" s="12">
        <f t="shared" ref="G14125:G14134" si="2195">ROUND(E14125*F14125,2)</f>
        <v>1.75</v>
      </c>
    </row>
    <row r="14126" ht="39.75" customHeight="1">
      <c r="A14126" s="10" t="s">
        <v>1303</v>
      </c>
      <c r="B14126" s="10" t="s">
        <v>42</v>
      </c>
      <c r="C14126" s="10" t="s">
        <v>184</v>
      </c>
      <c r="D14126" s="10" t="s">
        <v>1304</v>
      </c>
      <c r="E14126" s="14">
        <v>0.8</v>
      </c>
      <c r="F14126" s="15">
        <f>ROUND(24.84,3)</f>
        <v>24.84</v>
      </c>
      <c r="G14126" s="12">
        <f t="shared" si="2195"/>
        <v>19.87</v>
      </c>
    </row>
    <row r="14127" ht="30.0" customHeight="1">
      <c r="A14127" s="10" t="s">
        <v>1227</v>
      </c>
      <c r="B14127" s="10" t="s">
        <v>42</v>
      </c>
      <c r="C14127" s="10" t="s">
        <v>226</v>
      </c>
      <c r="D14127" s="10" t="s">
        <v>1228</v>
      </c>
      <c r="E14127" s="14">
        <v>0.021</v>
      </c>
      <c r="F14127" s="15">
        <f>ROUND(27.5,3)</f>
        <v>27.5</v>
      </c>
      <c r="G14127" s="12">
        <f t="shared" si="2195"/>
        <v>0.58</v>
      </c>
    </row>
    <row r="14128" ht="21.0" customHeight="1">
      <c r="A14128" s="10" t="s">
        <v>1857</v>
      </c>
      <c r="B14128" s="10" t="s">
        <v>42</v>
      </c>
      <c r="C14128" s="10" t="s">
        <v>231</v>
      </c>
      <c r="D14128" s="10" t="s">
        <v>1858</v>
      </c>
      <c r="E14128" s="14">
        <v>0.4</v>
      </c>
      <c r="F14128" s="15">
        <f>ROUND(1.05,3)</f>
        <v>1.05</v>
      </c>
      <c r="G14128" s="12">
        <f t="shared" si="2195"/>
        <v>0.42</v>
      </c>
    </row>
    <row r="14129" ht="30.0" customHeight="1">
      <c r="A14129" s="10" t="s">
        <v>5847</v>
      </c>
      <c r="B14129" s="10" t="s">
        <v>42</v>
      </c>
      <c r="C14129" s="10" t="s">
        <v>344</v>
      </c>
      <c r="D14129" s="10" t="s">
        <v>5848</v>
      </c>
      <c r="E14129" s="14">
        <v>0.5</v>
      </c>
      <c r="F14129" s="15">
        <f>ROUND(1.76,3)</f>
        <v>1.76</v>
      </c>
      <c r="G14129" s="12">
        <f t="shared" si="2195"/>
        <v>0.88</v>
      </c>
    </row>
    <row r="14130" ht="21.0" customHeight="1">
      <c r="A14130" s="10" t="s">
        <v>22</v>
      </c>
      <c r="B14130" s="10" t="s">
        <v>18</v>
      </c>
      <c r="C14130" s="10" t="s">
        <v>23</v>
      </c>
      <c r="D14130" s="10" t="s">
        <v>24</v>
      </c>
      <c r="E14130" s="14">
        <v>0.66666</v>
      </c>
      <c r="F14130" s="15">
        <f>F14134</f>
        <v>43.8</v>
      </c>
      <c r="G14130" s="12">
        <f t="shared" si="2195"/>
        <v>29.2</v>
      </c>
    </row>
    <row r="14131" ht="24.0" customHeight="1">
      <c r="A14131" s="10" t="s">
        <v>25</v>
      </c>
      <c r="B14131" s="10" t="s">
        <v>26</v>
      </c>
      <c r="C14131" s="10" t="s">
        <v>23</v>
      </c>
      <c r="D14131" s="10" t="s">
        <v>27</v>
      </c>
      <c r="E14131" s="14">
        <v>1.0</v>
      </c>
      <c r="F14131" s="15">
        <f>ROUND(21,3)</f>
        <v>21</v>
      </c>
      <c r="G14131" s="12">
        <f t="shared" si="2195"/>
        <v>21</v>
      </c>
    </row>
    <row r="14132" ht="24.0" customHeight="1">
      <c r="A14132" s="10" t="s">
        <v>28</v>
      </c>
      <c r="B14132" s="10" t="s">
        <v>26</v>
      </c>
      <c r="C14132" s="10" t="s">
        <v>23</v>
      </c>
      <c r="D14132" s="10" t="s">
        <v>29</v>
      </c>
      <c r="E14132" s="14">
        <v>1.0</v>
      </c>
      <c r="F14132" s="15">
        <f t="shared" ref="F14132:F14133" si="2196">ROUND(19,3)</f>
        <v>19</v>
      </c>
      <c r="G14132" s="12">
        <f t="shared" si="2195"/>
        <v>19</v>
      </c>
    </row>
    <row r="14133" ht="24.0" customHeight="1">
      <c r="A14133" s="10" t="s">
        <v>30</v>
      </c>
      <c r="B14133" s="10" t="s">
        <v>26</v>
      </c>
      <c r="C14133" s="10" t="s">
        <v>23</v>
      </c>
      <c r="D14133" s="10" t="s">
        <v>31</v>
      </c>
      <c r="E14133" s="14">
        <v>0.2</v>
      </c>
      <c r="F14133" s="15">
        <f t="shared" si="2196"/>
        <v>19</v>
      </c>
      <c r="G14133" s="12">
        <f t="shared" si="2195"/>
        <v>3.8</v>
      </c>
    </row>
    <row r="14134" ht="15.0" customHeight="1">
      <c r="A14134" s="11"/>
      <c r="B14134" s="11"/>
      <c r="C14134" s="11"/>
      <c r="D14134" s="10" t="s">
        <v>22</v>
      </c>
      <c r="E14134" s="14">
        <v>0.66666</v>
      </c>
      <c r="F14134" s="15">
        <f>ROUND((G14131+G14132+G14133),3)</f>
        <v>43.8</v>
      </c>
      <c r="G14134" s="12">
        <f t="shared" si="2195"/>
        <v>29.2</v>
      </c>
    </row>
    <row r="14135" ht="15.0" customHeight="1">
      <c r="A14135" s="10" t="s">
        <v>32</v>
      </c>
      <c r="B14135" s="10"/>
      <c r="C14135" s="10" t="s">
        <v>33</v>
      </c>
      <c r="D14135" s="10" t="s">
        <v>34</v>
      </c>
      <c r="E14135" s="14">
        <v>5.0</v>
      </c>
      <c r="F14135" s="15">
        <f>ROUND(29.2,3)</f>
        <v>29.2</v>
      </c>
      <c r="G14135" s="12">
        <f>ROUND((E14135*F14135)/100,2)</f>
        <v>1.46</v>
      </c>
    </row>
    <row r="14136" ht="15.0" customHeight="1">
      <c r="A14136" s="16"/>
      <c r="B14136" s="16"/>
      <c r="C14136" s="16"/>
      <c r="D14136" s="17" t="s">
        <v>5872</v>
      </c>
      <c r="E14136" s="16"/>
      <c r="F14136" s="18">
        <f>ROUND((G14125+G14126+G14127+G14128+G14129+G14130+G14135)*(1+G2/100),2)</f>
        <v>54.16</v>
      </c>
      <c r="G14136" s="16"/>
    </row>
    <row r="14137" ht="48.75" customHeight="1">
      <c r="A14137" s="19" t="s">
        <v>5875</v>
      </c>
      <c r="B14137" s="20" t="s">
        <v>18</v>
      </c>
      <c r="C14137" s="20" t="s">
        <v>19</v>
      </c>
      <c r="D14137" s="20" t="s">
        <v>5876</v>
      </c>
      <c r="E14137" s="21"/>
      <c r="F14137" s="22">
        <f>F14151</f>
        <v>106.76</v>
      </c>
      <c r="G14137" s="21"/>
    </row>
    <row r="14138" ht="21.0" customHeight="1">
      <c r="A14138" s="11"/>
      <c r="B14138" s="11"/>
      <c r="C14138" s="11"/>
      <c r="D14138" s="10" t="s">
        <v>5877</v>
      </c>
    </row>
    <row r="14139" ht="30.0" customHeight="1">
      <c r="A14139" s="10" t="s">
        <v>1938</v>
      </c>
      <c r="B14139" s="10" t="s">
        <v>42</v>
      </c>
      <c r="C14139" s="10" t="s">
        <v>1939</v>
      </c>
      <c r="D14139" s="10" t="s">
        <v>1940</v>
      </c>
      <c r="E14139" s="14">
        <v>0.06</v>
      </c>
      <c r="F14139" s="15">
        <f>ROUND(29.17,3)</f>
        <v>29.17</v>
      </c>
      <c r="G14139" s="12">
        <f t="shared" ref="G14139:G14148" si="2197">ROUND(E14139*F14139,2)</f>
        <v>1.75</v>
      </c>
    </row>
    <row r="14140" ht="39.75" customHeight="1">
      <c r="A14140" s="10" t="s">
        <v>1303</v>
      </c>
      <c r="B14140" s="10" t="s">
        <v>42</v>
      </c>
      <c r="C14140" s="10" t="s">
        <v>184</v>
      </c>
      <c r="D14140" s="10" t="s">
        <v>1304</v>
      </c>
      <c r="E14140" s="14">
        <v>0.8</v>
      </c>
      <c r="F14140" s="15">
        <f>ROUND(24.84,3)</f>
        <v>24.84</v>
      </c>
      <c r="G14140" s="12">
        <f t="shared" si="2197"/>
        <v>19.87</v>
      </c>
    </row>
    <row r="14141" ht="30.0" customHeight="1">
      <c r="A14141" s="10" t="s">
        <v>1227</v>
      </c>
      <c r="B14141" s="10" t="s">
        <v>42</v>
      </c>
      <c r="C14141" s="10" t="s">
        <v>226</v>
      </c>
      <c r="D14141" s="10" t="s">
        <v>1228</v>
      </c>
      <c r="E14141" s="14">
        <v>0.021</v>
      </c>
      <c r="F14141" s="15">
        <f>ROUND(27.5,3)</f>
        <v>27.5</v>
      </c>
      <c r="G14141" s="12">
        <f t="shared" si="2197"/>
        <v>0.58</v>
      </c>
    </row>
    <row r="14142" ht="21.0" customHeight="1">
      <c r="A14142" s="10" t="s">
        <v>1857</v>
      </c>
      <c r="B14142" s="10" t="s">
        <v>42</v>
      </c>
      <c r="C14142" s="10" t="s">
        <v>231</v>
      </c>
      <c r="D14142" s="10" t="s">
        <v>1858</v>
      </c>
      <c r="E14142" s="14">
        <v>0.4</v>
      </c>
      <c r="F14142" s="15">
        <f>ROUND(1.05,3)</f>
        <v>1.05</v>
      </c>
      <c r="G14142" s="12">
        <f t="shared" si="2197"/>
        <v>0.42</v>
      </c>
    </row>
    <row r="14143" ht="30.0" customHeight="1">
      <c r="A14143" s="10" t="s">
        <v>5847</v>
      </c>
      <c r="B14143" s="10" t="s">
        <v>42</v>
      </c>
      <c r="C14143" s="10" t="s">
        <v>344</v>
      </c>
      <c r="D14143" s="10" t="s">
        <v>5848</v>
      </c>
      <c r="E14143" s="14">
        <v>0.5</v>
      </c>
      <c r="F14143" s="15">
        <f>ROUND(1.76,3)</f>
        <v>1.76</v>
      </c>
      <c r="G14143" s="12">
        <f t="shared" si="2197"/>
        <v>0.88</v>
      </c>
    </row>
    <row r="14144" ht="21.0" customHeight="1">
      <c r="A14144" s="10" t="s">
        <v>22</v>
      </c>
      <c r="B14144" s="10" t="s">
        <v>18</v>
      </c>
      <c r="C14144" s="10" t="s">
        <v>23</v>
      </c>
      <c r="D14144" s="10" t="s">
        <v>24</v>
      </c>
      <c r="E14144" s="14">
        <v>0.75</v>
      </c>
      <c r="F14144" s="15">
        <f>F14148</f>
        <v>43.8</v>
      </c>
      <c r="G14144" s="12">
        <f t="shared" si="2197"/>
        <v>32.85</v>
      </c>
    </row>
    <row r="14145" ht="24.0" customHeight="1">
      <c r="A14145" s="10" t="s">
        <v>25</v>
      </c>
      <c r="B14145" s="10" t="s">
        <v>26</v>
      </c>
      <c r="C14145" s="10" t="s">
        <v>23</v>
      </c>
      <c r="D14145" s="10" t="s">
        <v>27</v>
      </c>
      <c r="E14145" s="14">
        <v>1.0</v>
      </c>
      <c r="F14145" s="15">
        <f>ROUND(21,3)</f>
        <v>21</v>
      </c>
      <c r="G14145" s="12">
        <f t="shared" si="2197"/>
        <v>21</v>
      </c>
    </row>
    <row r="14146" ht="24.0" customHeight="1">
      <c r="A14146" s="10" t="s">
        <v>28</v>
      </c>
      <c r="B14146" s="10" t="s">
        <v>26</v>
      </c>
      <c r="C14146" s="10" t="s">
        <v>23</v>
      </c>
      <c r="D14146" s="10" t="s">
        <v>29</v>
      </c>
      <c r="E14146" s="14">
        <v>1.0</v>
      </c>
      <c r="F14146" s="15">
        <f t="shared" ref="F14146:F14147" si="2198">ROUND(19,3)</f>
        <v>19</v>
      </c>
      <c r="G14146" s="12">
        <f t="shared" si="2197"/>
        <v>19</v>
      </c>
    </row>
    <row r="14147" ht="24.0" customHeight="1">
      <c r="A14147" s="10" t="s">
        <v>30</v>
      </c>
      <c r="B14147" s="10" t="s">
        <v>26</v>
      </c>
      <c r="C14147" s="10" t="s">
        <v>23</v>
      </c>
      <c r="D14147" s="10" t="s">
        <v>31</v>
      </c>
      <c r="E14147" s="14">
        <v>0.2</v>
      </c>
      <c r="F14147" s="15">
        <f t="shared" si="2198"/>
        <v>19</v>
      </c>
      <c r="G14147" s="12">
        <f t="shared" si="2197"/>
        <v>3.8</v>
      </c>
    </row>
    <row r="14148" ht="15.0" customHeight="1">
      <c r="A14148" s="11"/>
      <c r="B14148" s="11"/>
      <c r="C14148" s="11"/>
      <c r="D14148" s="10" t="s">
        <v>22</v>
      </c>
      <c r="E14148" s="14">
        <v>0.75</v>
      </c>
      <c r="F14148" s="15">
        <f>ROUND((G14145+G14146+G14147),3)</f>
        <v>43.8</v>
      </c>
      <c r="G14148" s="12">
        <f t="shared" si="2197"/>
        <v>32.85</v>
      </c>
    </row>
    <row r="14149" ht="15.0" customHeight="1">
      <c r="A14149" s="10" t="s">
        <v>32</v>
      </c>
      <c r="B14149" s="10"/>
      <c r="C14149" s="10" t="s">
        <v>33</v>
      </c>
      <c r="D14149" s="10" t="s">
        <v>34</v>
      </c>
      <c r="E14149" s="14">
        <v>5.0</v>
      </c>
      <c r="F14149" s="15">
        <f>ROUND(32.85,3)</f>
        <v>32.85</v>
      </c>
      <c r="G14149" s="12">
        <f>ROUND((E14149*F14149)/100,2)</f>
        <v>1.64</v>
      </c>
    </row>
    <row r="14150" ht="30.0" customHeight="1">
      <c r="A14150" s="10" t="s">
        <v>1062</v>
      </c>
      <c r="B14150" s="10" t="s">
        <v>42</v>
      </c>
      <c r="C14150" s="10" t="s">
        <v>43</v>
      </c>
      <c r="D14150" s="10" t="s">
        <v>1063</v>
      </c>
      <c r="E14150" s="14">
        <v>0.66</v>
      </c>
      <c r="F14150" s="15">
        <f>ROUND(73.89,3)</f>
        <v>73.89</v>
      </c>
      <c r="G14150" s="12">
        <f>ROUND(E14150*F14150,2)</f>
        <v>48.77</v>
      </c>
    </row>
    <row r="14151" ht="15.0" customHeight="1">
      <c r="A14151" s="16"/>
      <c r="B14151" s="16"/>
      <c r="C14151" s="16"/>
      <c r="D14151" s="17" t="s">
        <v>5875</v>
      </c>
      <c r="E14151" s="16"/>
      <c r="F14151" s="18">
        <f>ROUND((G14139+G14140+G14141+G14142+G14143+G14144+G14149+G14150)*(1+G2/100),2)</f>
        <v>106.76</v>
      </c>
      <c r="G14151" s="16"/>
    </row>
    <row r="14152" ht="48.75" customHeight="1">
      <c r="A14152" s="19" t="s">
        <v>5878</v>
      </c>
      <c r="B14152" s="20" t="s">
        <v>18</v>
      </c>
      <c r="C14152" s="20" t="s">
        <v>19</v>
      </c>
      <c r="D14152" s="20" t="s">
        <v>5879</v>
      </c>
      <c r="E14152" s="21"/>
      <c r="F14152" s="22">
        <f>F14165</f>
        <v>48.03</v>
      </c>
      <c r="G14152" s="21"/>
    </row>
    <row r="14153" ht="21.0" customHeight="1">
      <c r="A14153" s="11"/>
      <c r="B14153" s="11"/>
      <c r="C14153" s="11"/>
      <c r="D14153" s="10" t="s">
        <v>5880</v>
      </c>
    </row>
    <row r="14154" ht="30.0" customHeight="1">
      <c r="A14154" s="10" t="s">
        <v>1938</v>
      </c>
      <c r="B14154" s="10" t="s">
        <v>42</v>
      </c>
      <c r="C14154" s="10" t="s">
        <v>1939</v>
      </c>
      <c r="D14154" s="10" t="s">
        <v>1940</v>
      </c>
      <c r="E14154" s="14">
        <v>0.06</v>
      </c>
      <c r="F14154" s="15">
        <f>ROUND(29.17,3)</f>
        <v>29.17</v>
      </c>
      <c r="G14154" s="12">
        <f t="shared" ref="G14154:G14163" si="2199">ROUND(E14154*F14154,2)</f>
        <v>1.75</v>
      </c>
    </row>
    <row r="14155" ht="39.75" customHeight="1">
      <c r="A14155" s="10" t="s">
        <v>1303</v>
      </c>
      <c r="B14155" s="10" t="s">
        <v>42</v>
      </c>
      <c r="C14155" s="10" t="s">
        <v>184</v>
      </c>
      <c r="D14155" s="10" t="s">
        <v>1304</v>
      </c>
      <c r="E14155" s="14">
        <v>0.8</v>
      </c>
      <c r="F14155" s="15">
        <f>ROUND(24.84,3)</f>
        <v>24.84</v>
      </c>
      <c r="G14155" s="12">
        <f t="shared" si="2199"/>
        <v>19.87</v>
      </c>
    </row>
    <row r="14156" ht="30.0" customHeight="1">
      <c r="A14156" s="10" t="s">
        <v>1227</v>
      </c>
      <c r="B14156" s="10" t="s">
        <v>42</v>
      </c>
      <c r="C14156" s="10" t="s">
        <v>226</v>
      </c>
      <c r="D14156" s="10" t="s">
        <v>1228</v>
      </c>
      <c r="E14156" s="14">
        <v>0.021</v>
      </c>
      <c r="F14156" s="15">
        <f>ROUND(27.5,3)</f>
        <v>27.5</v>
      </c>
      <c r="G14156" s="12">
        <f t="shared" si="2199"/>
        <v>0.58</v>
      </c>
    </row>
    <row r="14157" ht="21.0" customHeight="1">
      <c r="A14157" s="10" t="s">
        <v>1857</v>
      </c>
      <c r="B14157" s="10" t="s">
        <v>42</v>
      </c>
      <c r="C14157" s="10" t="s">
        <v>231</v>
      </c>
      <c r="D14157" s="10" t="s">
        <v>1858</v>
      </c>
      <c r="E14157" s="14">
        <v>0.4</v>
      </c>
      <c r="F14157" s="15">
        <f>ROUND(1.05,3)</f>
        <v>1.05</v>
      </c>
      <c r="G14157" s="12">
        <f t="shared" si="2199"/>
        <v>0.42</v>
      </c>
    </row>
    <row r="14158" ht="30.0" customHeight="1">
      <c r="A14158" s="10" t="s">
        <v>5847</v>
      </c>
      <c r="B14158" s="10" t="s">
        <v>42</v>
      </c>
      <c r="C14158" s="10" t="s">
        <v>344</v>
      </c>
      <c r="D14158" s="10" t="s">
        <v>5848</v>
      </c>
      <c r="E14158" s="14">
        <v>0.5</v>
      </c>
      <c r="F14158" s="15">
        <f>ROUND(1.76,3)</f>
        <v>1.76</v>
      </c>
      <c r="G14158" s="12">
        <f t="shared" si="2199"/>
        <v>0.88</v>
      </c>
    </row>
    <row r="14159" ht="21.0" customHeight="1">
      <c r="A14159" s="10" t="s">
        <v>22</v>
      </c>
      <c r="B14159" s="10" t="s">
        <v>18</v>
      </c>
      <c r="C14159" s="10" t="s">
        <v>23</v>
      </c>
      <c r="D14159" s="10" t="s">
        <v>24</v>
      </c>
      <c r="E14159" s="14">
        <v>0.53333</v>
      </c>
      <c r="F14159" s="15">
        <f>F14163</f>
        <v>43.8</v>
      </c>
      <c r="G14159" s="12">
        <f t="shared" si="2199"/>
        <v>23.36</v>
      </c>
    </row>
    <row r="14160" ht="24.0" customHeight="1">
      <c r="A14160" s="10" t="s">
        <v>25</v>
      </c>
      <c r="B14160" s="10" t="s">
        <v>26</v>
      </c>
      <c r="C14160" s="10" t="s">
        <v>23</v>
      </c>
      <c r="D14160" s="10" t="s">
        <v>27</v>
      </c>
      <c r="E14160" s="14">
        <v>1.0</v>
      </c>
      <c r="F14160" s="15">
        <f>ROUND(21,3)</f>
        <v>21</v>
      </c>
      <c r="G14160" s="12">
        <f t="shared" si="2199"/>
        <v>21</v>
      </c>
    </row>
    <row r="14161" ht="24.0" customHeight="1">
      <c r="A14161" s="10" t="s">
        <v>28</v>
      </c>
      <c r="B14161" s="10" t="s">
        <v>26</v>
      </c>
      <c r="C14161" s="10" t="s">
        <v>23</v>
      </c>
      <c r="D14161" s="10" t="s">
        <v>29</v>
      </c>
      <c r="E14161" s="14">
        <v>1.0</v>
      </c>
      <c r="F14161" s="15">
        <f t="shared" ref="F14161:F14162" si="2200">ROUND(19,3)</f>
        <v>19</v>
      </c>
      <c r="G14161" s="12">
        <f t="shared" si="2199"/>
        <v>19</v>
      </c>
    </row>
    <row r="14162" ht="24.0" customHeight="1">
      <c r="A14162" s="10" t="s">
        <v>30</v>
      </c>
      <c r="B14162" s="10" t="s">
        <v>26</v>
      </c>
      <c r="C14162" s="10" t="s">
        <v>23</v>
      </c>
      <c r="D14162" s="10" t="s">
        <v>31</v>
      </c>
      <c r="E14162" s="14">
        <v>0.2</v>
      </c>
      <c r="F14162" s="15">
        <f t="shared" si="2200"/>
        <v>19</v>
      </c>
      <c r="G14162" s="12">
        <f t="shared" si="2199"/>
        <v>3.8</v>
      </c>
    </row>
    <row r="14163" ht="15.0" customHeight="1">
      <c r="A14163" s="11"/>
      <c r="B14163" s="11"/>
      <c r="C14163" s="11"/>
      <c r="D14163" s="10" t="s">
        <v>22</v>
      </c>
      <c r="E14163" s="14">
        <v>0.53333</v>
      </c>
      <c r="F14163" s="15">
        <f>ROUND((G14160+G14161+G14162),3)</f>
        <v>43.8</v>
      </c>
      <c r="G14163" s="12">
        <f t="shared" si="2199"/>
        <v>23.36</v>
      </c>
    </row>
    <row r="14164" ht="15.0" customHeight="1">
      <c r="A14164" s="10" t="s">
        <v>32</v>
      </c>
      <c r="B14164" s="10"/>
      <c r="C14164" s="10" t="s">
        <v>33</v>
      </c>
      <c r="D14164" s="10" t="s">
        <v>34</v>
      </c>
      <c r="E14164" s="14">
        <v>5.0</v>
      </c>
      <c r="F14164" s="15">
        <f>ROUND(23.36,3)</f>
        <v>23.36</v>
      </c>
      <c r="G14164" s="12">
        <f>ROUND((E14164*F14164)/100,2)</f>
        <v>1.17</v>
      </c>
    </row>
    <row r="14165" ht="15.0" customHeight="1">
      <c r="A14165" s="16"/>
      <c r="B14165" s="16"/>
      <c r="C14165" s="16"/>
      <c r="D14165" s="17" t="s">
        <v>5878</v>
      </c>
      <c r="E14165" s="16"/>
      <c r="F14165" s="18">
        <f>ROUND((G14154+G14155+G14156+G14157+G14158+G14159+G14164)*(1+G2/100),2)</f>
        <v>48.03</v>
      </c>
      <c r="G14165" s="16"/>
    </row>
    <row r="14166" ht="48.75" customHeight="1">
      <c r="A14166" s="19" t="s">
        <v>5881</v>
      </c>
      <c r="B14166" s="20" t="s">
        <v>18</v>
      </c>
      <c r="C14166" s="20" t="s">
        <v>19</v>
      </c>
      <c r="D14166" s="20" t="s">
        <v>5882</v>
      </c>
      <c r="E14166" s="21"/>
      <c r="F14166" s="22">
        <f>F14179</f>
        <v>64.89</v>
      </c>
      <c r="G14166" s="21"/>
    </row>
    <row r="14167" ht="21.0" customHeight="1">
      <c r="A14167" s="11"/>
      <c r="B14167" s="11"/>
      <c r="C14167" s="11"/>
      <c r="D14167" s="10" t="s">
        <v>5883</v>
      </c>
    </row>
    <row r="14168" ht="30.0" customHeight="1">
      <c r="A14168" s="10" t="s">
        <v>1938</v>
      </c>
      <c r="B14168" s="10" t="s">
        <v>42</v>
      </c>
      <c r="C14168" s="10" t="s">
        <v>1939</v>
      </c>
      <c r="D14168" s="10" t="s">
        <v>1940</v>
      </c>
      <c r="E14168" s="14">
        <v>0.06</v>
      </c>
      <c r="F14168" s="15">
        <f>ROUND(29.17,3)</f>
        <v>29.17</v>
      </c>
      <c r="G14168" s="12">
        <f t="shared" ref="G14168:G14177" si="2201">ROUND(E14168*F14168,2)</f>
        <v>1.75</v>
      </c>
    </row>
    <row r="14169" ht="39.75" customHeight="1">
      <c r="A14169" s="10" t="s">
        <v>1303</v>
      </c>
      <c r="B14169" s="10" t="s">
        <v>42</v>
      </c>
      <c r="C14169" s="10" t="s">
        <v>184</v>
      </c>
      <c r="D14169" s="10" t="s">
        <v>1304</v>
      </c>
      <c r="E14169" s="14">
        <v>0.8</v>
      </c>
      <c r="F14169" s="15">
        <f>ROUND(24.84,3)</f>
        <v>24.84</v>
      </c>
      <c r="G14169" s="12">
        <f t="shared" si="2201"/>
        <v>19.87</v>
      </c>
    </row>
    <row r="14170" ht="30.0" customHeight="1">
      <c r="A14170" s="10" t="s">
        <v>1227</v>
      </c>
      <c r="B14170" s="10" t="s">
        <v>42</v>
      </c>
      <c r="C14170" s="10" t="s">
        <v>226</v>
      </c>
      <c r="D14170" s="10" t="s">
        <v>1228</v>
      </c>
      <c r="E14170" s="14">
        <v>0.021</v>
      </c>
      <c r="F14170" s="15">
        <f>ROUND(27.5,3)</f>
        <v>27.5</v>
      </c>
      <c r="G14170" s="12">
        <f t="shared" si="2201"/>
        <v>0.58</v>
      </c>
    </row>
    <row r="14171" ht="21.0" customHeight="1">
      <c r="A14171" s="10" t="s">
        <v>1857</v>
      </c>
      <c r="B14171" s="10" t="s">
        <v>42</v>
      </c>
      <c r="C14171" s="10" t="s">
        <v>231</v>
      </c>
      <c r="D14171" s="10" t="s">
        <v>1858</v>
      </c>
      <c r="E14171" s="14">
        <v>0.4</v>
      </c>
      <c r="F14171" s="15">
        <f>ROUND(1.05,3)</f>
        <v>1.05</v>
      </c>
      <c r="G14171" s="12">
        <f t="shared" si="2201"/>
        <v>0.42</v>
      </c>
    </row>
    <row r="14172" ht="30.0" customHeight="1">
      <c r="A14172" s="10" t="s">
        <v>5847</v>
      </c>
      <c r="B14172" s="10" t="s">
        <v>42</v>
      </c>
      <c r="C14172" s="10" t="s">
        <v>344</v>
      </c>
      <c r="D14172" s="10" t="s">
        <v>5848</v>
      </c>
      <c r="E14172" s="14">
        <v>0.5</v>
      </c>
      <c r="F14172" s="15">
        <f>ROUND(1.76,3)</f>
        <v>1.76</v>
      </c>
      <c r="G14172" s="12">
        <f t="shared" si="2201"/>
        <v>0.88</v>
      </c>
    </row>
    <row r="14173" ht="21.0" customHeight="1">
      <c r="A14173" s="10" t="s">
        <v>22</v>
      </c>
      <c r="B14173" s="10" t="s">
        <v>18</v>
      </c>
      <c r="C14173" s="10" t="s">
        <v>23</v>
      </c>
      <c r="D14173" s="10" t="s">
        <v>24</v>
      </c>
      <c r="E14173" s="14">
        <v>0.9</v>
      </c>
      <c r="F14173" s="15">
        <f>F14177</f>
        <v>43.8</v>
      </c>
      <c r="G14173" s="12">
        <f t="shared" si="2201"/>
        <v>39.42</v>
      </c>
    </row>
    <row r="14174" ht="24.0" customHeight="1">
      <c r="A14174" s="10" t="s">
        <v>25</v>
      </c>
      <c r="B14174" s="10" t="s">
        <v>26</v>
      </c>
      <c r="C14174" s="10" t="s">
        <v>23</v>
      </c>
      <c r="D14174" s="10" t="s">
        <v>27</v>
      </c>
      <c r="E14174" s="14">
        <v>1.0</v>
      </c>
      <c r="F14174" s="15">
        <f>ROUND(21,3)</f>
        <v>21</v>
      </c>
      <c r="G14174" s="12">
        <f t="shared" si="2201"/>
        <v>21</v>
      </c>
    </row>
    <row r="14175" ht="24.0" customHeight="1">
      <c r="A14175" s="10" t="s">
        <v>28</v>
      </c>
      <c r="B14175" s="10" t="s">
        <v>26</v>
      </c>
      <c r="C14175" s="10" t="s">
        <v>23</v>
      </c>
      <c r="D14175" s="10" t="s">
        <v>29</v>
      </c>
      <c r="E14175" s="14">
        <v>1.0</v>
      </c>
      <c r="F14175" s="15">
        <f t="shared" ref="F14175:F14176" si="2202">ROUND(19,3)</f>
        <v>19</v>
      </c>
      <c r="G14175" s="12">
        <f t="shared" si="2201"/>
        <v>19</v>
      </c>
    </row>
    <row r="14176" ht="24.0" customHeight="1">
      <c r="A14176" s="10" t="s">
        <v>30</v>
      </c>
      <c r="B14176" s="10" t="s">
        <v>26</v>
      </c>
      <c r="C14176" s="10" t="s">
        <v>23</v>
      </c>
      <c r="D14176" s="10" t="s">
        <v>31</v>
      </c>
      <c r="E14176" s="14">
        <v>0.2</v>
      </c>
      <c r="F14176" s="15">
        <f t="shared" si="2202"/>
        <v>19</v>
      </c>
      <c r="G14176" s="12">
        <f t="shared" si="2201"/>
        <v>3.8</v>
      </c>
    </row>
    <row r="14177" ht="15.0" customHeight="1">
      <c r="A14177" s="11"/>
      <c r="B14177" s="11"/>
      <c r="C14177" s="11"/>
      <c r="D14177" s="10" t="s">
        <v>22</v>
      </c>
      <c r="E14177" s="14">
        <v>0.9</v>
      </c>
      <c r="F14177" s="15">
        <f>ROUND((G14174+G14175+G14176),3)</f>
        <v>43.8</v>
      </c>
      <c r="G14177" s="12">
        <f t="shared" si="2201"/>
        <v>39.42</v>
      </c>
    </row>
    <row r="14178" ht="15.0" customHeight="1">
      <c r="A14178" s="10" t="s">
        <v>32</v>
      </c>
      <c r="B14178" s="10"/>
      <c r="C14178" s="10" t="s">
        <v>33</v>
      </c>
      <c r="D14178" s="10" t="s">
        <v>34</v>
      </c>
      <c r="E14178" s="14">
        <v>5.0</v>
      </c>
      <c r="F14178" s="15">
        <f>ROUND(39.42,3)</f>
        <v>39.42</v>
      </c>
      <c r="G14178" s="12">
        <f>ROUND((E14178*F14178)/100,2)</f>
        <v>1.97</v>
      </c>
    </row>
    <row r="14179" ht="15.0" customHeight="1">
      <c r="A14179" s="16"/>
      <c r="B14179" s="16"/>
      <c r="C14179" s="16"/>
      <c r="D14179" s="17" t="s">
        <v>5881</v>
      </c>
      <c r="E14179" s="16"/>
      <c r="F14179" s="18">
        <f>ROUND((G14168+G14169+G14170+G14171+G14172+G14173+G14178)*(1+G2/100),2)</f>
        <v>64.89</v>
      </c>
      <c r="G14179" s="16"/>
    </row>
    <row r="14180" ht="30.0" customHeight="1">
      <c r="A14180" s="19" t="s">
        <v>5884</v>
      </c>
      <c r="B14180" s="20" t="s">
        <v>18</v>
      </c>
      <c r="C14180" s="20" t="s">
        <v>19</v>
      </c>
      <c r="D14180" s="20" t="s">
        <v>5885</v>
      </c>
      <c r="E14180" s="21"/>
      <c r="F14180" s="22">
        <f>F14192</f>
        <v>30.29</v>
      </c>
      <c r="G14180" s="21"/>
    </row>
    <row r="14181" ht="21.0" customHeight="1">
      <c r="A14181" s="11"/>
      <c r="B14181" s="11"/>
      <c r="C14181" s="11"/>
      <c r="D14181" s="10" t="s">
        <v>5886</v>
      </c>
    </row>
    <row r="14182" ht="30.0" customHeight="1">
      <c r="A14182" s="10" t="s">
        <v>1855</v>
      </c>
      <c r="B14182" s="10" t="s">
        <v>42</v>
      </c>
      <c r="C14182" s="10" t="s">
        <v>184</v>
      </c>
      <c r="D14182" s="10" t="s">
        <v>1856</v>
      </c>
      <c r="E14182" s="14">
        <v>1.0</v>
      </c>
      <c r="F14182" s="15">
        <f>ROUND(3.85,3)</f>
        <v>3.85</v>
      </c>
      <c r="G14182" s="12">
        <f t="shared" ref="G14182:G14190" si="2203">ROUND(E14182*F14182,2)</f>
        <v>3.85</v>
      </c>
    </row>
    <row r="14183" ht="30.0" customHeight="1">
      <c r="A14183" s="10" t="s">
        <v>1227</v>
      </c>
      <c r="B14183" s="10" t="s">
        <v>42</v>
      </c>
      <c r="C14183" s="10" t="s">
        <v>226</v>
      </c>
      <c r="D14183" s="10" t="s">
        <v>1228</v>
      </c>
      <c r="E14183" s="14">
        <v>0.022</v>
      </c>
      <c r="F14183" s="15">
        <f>ROUND(27.5,3)</f>
        <v>27.5</v>
      </c>
      <c r="G14183" s="12">
        <f t="shared" si="2203"/>
        <v>0.61</v>
      </c>
    </row>
    <row r="14184" ht="21.0" customHeight="1">
      <c r="A14184" s="10" t="s">
        <v>1857</v>
      </c>
      <c r="B14184" s="10" t="s">
        <v>42</v>
      </c>
      <c r="C14184" s="10" t="s">
        <v>231</v>
      </c>
      <c r="D14184" s="10" t="s">
        <v>1858</v>
      </c>
      <c r="E14184" s="14">
        <v>0.4</v>
      </c>
      <c r="F14184" s="15">
        <f>ROUND(1.05,3)</f>
        <v>1.05</v>
      </c>
      <c r="G14184" s="12">
        <f t="shared" si="2203"/>
        <v>0.42</v>
      </c>
    </row>
    <row r="14185" ht="30.0" customHeight="1">
      <c r="A14185" s="10" t="s">
        <v>5847</v>
      </c>
      <c r="B14185" s="10" t="s">
        <v>42</v>
      </c>
      <c r="C14185" s="10" t="s">
        <v>344</v>
      </c>
      <c r="D14185" s="10" t="s">
        <v>5848</v>
      </c>
      <c r="E14185" s="14">
        <v>0.5</v>
      </c>
      <c r="F14185" s="15">
        <f>ROUND(1.76,3)</f>
        <v>1.76</v>
      </c>
      <c r="G14185" s="12">
        <f t="shared" si="2203"/>
        <v>0.88</v>
      </c>
    </row>
    <row r="14186" ht="21.0" customHeight="1">
      <c r="A14186" s="10" t="s">
        <v>22</v>
      </c>
      <c r="B14186" s="10" t="s">
        <v>18</v>
      </c>
      <c r="C14186" s="10" t="s">
        <v>23</v>
      </c>
      <c r="D14186" s="10" t="s">
        <v>24</v>
      </c>
      <c r="E14186" s="14">
        <v>0.53333</v>
      </c>
      <c r="F14186" s="15">
        <f>F14190</f>
        <v>43.8</v>
      </c>
      <c r="G14186" s="12">
        <f t="shared" si="2203"/>
        <v>23.36</v>
      </c>
    </row>
    <row r="14187" ht="24.0" customHeight="1">
      <c r="A14187" s="10" t="s">
        <v>25</v>
      </c>
      <c r="B14187" s="10" t="s">
        <v>26</v>
      </c>
      <c r="C14187" s="10" t="s">
        <v>23</v>
      </c>
      <c r="D14187" s="10" t="s">
        <v>27</v>
      </c>
      <c r="E14187" s="14">
        <v>1.0</v>
      </c>
      <c r="F14187" s="15">
        <f>ROUND(21,3)</f>
        <v>21</v>
      </c>
      <c r="G14187" s="12">
        <f t="shared" si="2203"/>
        <v>21</v>
      </c>
    </row>
    <row r="14188" ht="24.0" customHeight="1">
      <c r="A14188" s="10" t="s">
        <v>28</v>
      </c>
      <c r="B14188" s="10" t="s">
        <v>26</v>
      </c>
      <c r="C14188" s="10" t="s">
        <v>23</v>
      </c>
      <c r="D14188" s="10" t="s">
        <v>29</v>
      </c>
      <c r="E14188" s="14">
        <v>1.0</v>
      </c>
      <c r="F14188" s="15">
        <f t="shared" ref="F14188:F14189" si="2204">ROUND(19,3)</f>
        <v>19</v>
      </c>
      <c r="G14188" s="12">
        <f t="shared" si="2203"/>
        <v>19</v>
      </c>
    </row>
    <row r="14189" ht="24.0" customHeight="1">
      <c r="A14189" s="10" t="s">
        <v>30</v>
      </c>
      <c r="B14189" s="10" t="s">
        <v>26</v>
      </c>
      <c r="C14189" s="10" t="s">
        <v>23</v>
      </c>
      <c r="D14189" s="10" t="s">
        <v>31</v>
      </c>
      <c r="E14189" s="14">
        <v>0.2</v>
      </c>
      <c r="F14189" s="15">
        <f t="shared" si="2204"/>
        <v>19</v>
      </c>
      <c r="G14189" s="12">
        <f t="shared" si="2203"/>
        <v>3.8</v>
      </c>
    </row>
    <row r="14190" ht="15.0" customHeight="1">
      <c r="A14190" s="11"/>
      <c r="B14190" s="11"/>
      <c r="C14190" s="11"/>
      <c r="D14190" s="10" t="s">
        <v>22</v>
      </c>
      <c r="E14190" s="14">
        <v>0.53333</v>
      </c>
      <c r="F14190" s="15">
        <f>ROUND((G14187+G14188+G14189),3)</f>
        <v>43.8</v>
      </c>
      <c r="G14190" s="12">
        <f t="shared" si="2203"/>
        <v>23.36</v>
      </c>
    </row>
    <row r="14191" ht="15.0" customHeight="1">
      <c r="A14191" s="10" t="s">
        <v>32</v>
      </c>
      <c r="B14191" s="10"/>
      <c r="C14191" s="10" t="s">
        <v>33</v>
      </c>
      <c r="D14191" s="10" t="s">
        <v>34</v>
      </c>
      <c r="E14191" s="14">
        <v>5.0</v>
      </c>
      <c r="F14191" s="15">
        <f>ROUND(23.36,3)</f>
        <v>23.36</v>
      </c>
      <c r="G14191" s="12">
        <f>ROUND((E14191*F14191)/100,2)</f>
        <v>1.17</v>
      </c>
    </row>
    <row r="14192" ht="15.0" customHeight="1">
      <c r="A14192" s="16"/>
      <c r="B14192" s="16"/>
      <c r="C14192" s="16"/>
      <c r="D14192" s="17" t="s">
        <v>5884</v>
      </c>
      <c r="E14192" s="16"/>
      <c r="F14192" s="18">
        <f>ROUND((G14182+G14183+G14184+G14185+G14186+G14191)*(1+G2/100),2)</f>
        <v>30.29</v>
      </c>
      <c r="G14192" s="16"/>
    </row>
    <row r="14193" ht="67.5" customHeight="1">
      <c r="A14193" s="19" t="s">
        <v>5887</v>
      </c>
      <c r="B14193" s="20" t="s">
        <v>18</v>
      </c>
      <c r="C14193" s="20" t="s">
        <v>19</v>
      </c>
      <c r="D14193" s="20" t="s">
        <v>5888</v>
      </c>
      <c r="E14193" s="21"/>
      <c r="F14193" s="22">
        <f>F14207</f>
        <v>45.31</v>
      </c>
      <c r="G14193" s="21"/>
    </row>
    <row r="14194" ht="39.75" customHeight="1">
      <c r="A14194" s="11"/>
      <c r="B14194" s="11"/>
      <c r="C14194" s="11"/>
      <c r="D14194" s="10" t="s">
        <v>5889</v>
      </c>
    </row>
    <row r="14195" ht="30.0" customHeight="1">
      <c r="A14195" s="10" t="s">
        <v>5860</v>
      </c>
      <c r="B14195" s="10" t="s">
        <v>42</v>
      </c>
      <c r="C14195" s="10" t="s">
        <v>184</v>
      </c>
      <c r="D14195" s="10" t="s">
        <v>5861</v>
      </c>
      <c r="E14195" s="14">
        <v>1.0</v>
      </c>
      <c r="F14195" s="15">
        <f>ROUND(11.74,3)</f>
        <v>11.74</v>
      </c>
      <c r="G14195" s="12">
        <f t="shared" ref="G14195:G14205" si="2205">ROUND(E14195*F14195,2)</f>
        <v>11.74</v>
      </c>
    </row>
    <row r="14196" ht="30.0" customHeight="1">
      <c r="A14196" s="10" t="s">
        <v>5890</v>
      </c>
      <c r="B14196" s="10" t="s">
        <v>42</v>
      </c>
      <c r="C14196" s="10" t="s">
        <v>184</v>
      </c>
      <c r="D14196" s="10" t="s">
        <v>5891</v>
      </c>
      <c r="E14196" s="14">
        <v>0.5</v>
      </c>
      <c r="F14196" s="15">
        <f>ROUND(6.72,3)</f>
        <v>6.72</v>
      </c>
      <c r="G14196" s="12">
        <f t="shared" si="2205"/>
        <v>3.36</v>
      </c>
    </row>
    <row r="14197" ht="30.0" customHeight="1">
      <c r="A14197" s="10" t="s">
        <v>1227</v>
      </c>
      <c r="B14197" s="10" t="s">
        <v>42</v>
      </c>
      <c r="C14197" s="10" t="s">
        <v>226</v>
      </c>
      <c r="D14197" s="10" t="s">
        <v>1228</v>
      </c>
      <c r="E14197" s="14">
        <v>0.021</v>
      </c>
      <c r="F14197" s="15">
        <f>ROUND(27.5,3)</f>
        <v>27.5</v>
      </c>
      <c r="G14197" s="12">
        <f t="shared" si="2205"/>
        <v>0.58</v>
      </c>
    </row>
    <row r="14198" ht="21.0" customHeight="1">
      <c r="A14198" s="10" t="s">
        <v>1857</v>
      </c>
      <c r="B14198" s="10" t="s">
        <v>42</v>
      </c>
      <c r="C14198" s="10" t="s">
        <v>231</v>
      </c>
      <c r="D14198" s="10" t="s">
        <v>1858</v>
      </c>
      <c r="E14198" s="14">
        <v>0.4</v>
      </c>
      <c r="F14198" s="15">
        <f>ROUND(1.05,3)</f>
        <v>1.05</v>
      </c>
      <c r="G14198" s="12">
        <f t="shared" si="2205"/>
        <v>0.42</v>
      </c>
    </row>
    <row r="14199" ht="30.0" customHeight="1">
      <c r="A14199" s="10" t="s">
        <v>5847</v>
      </c>
      <c r="B14199" s="10" t="s">
        <v>42</v>
      </c>
      <c r="C14199" s="10" t="s">
        <v>344</v>
      </c>
      <c r="D14199" s="10" t="s">
        <v>5848</v>
      </c>
      <c r="E14199" s="14">
        <v>0.5</v>
      </c>
      <c r="F14199" s="15">
        <f>ROUND(1.76,3)</f>
        <v>1.76</v>
      </c>
      <c r="G14199" s="12">
        <f t="shared" si="2205"/>
        <v>0.88</v>
      </c>
    </row>
    <row r="14200" ht="21.0" customHeight="1">
      <c r="A14200" s="10" t="s">
        <v>228</v>
      </c>
      <c r="B14200" s="10" t="s">
        <v>42</v>
      </c>
      <c r="C14200" s="10" t="s">
        <v>226</v>
      </c>
      <c r="D14200" s="10" t="s">
        <v>229</v>
      </c>
      <c r="E14200" s="14">
        <v>0.02444</v>
      </c>
      <c r="F14200" s="15">
        <f>ROUND(1.32,3)</f>
        <v>1.32</v>
      </c>
      <c r="G14200" s="12">
        <f t="shared" si="2205"/>
        <v>0.03</v>
      </c>
    </row>
    <row r="14201" ht="21.0" customHeight="1">
      <c r="A14201" s="10" t="s">
        <v>22</v>
      </c>
      <c r="B14201" s="10" t="s">
        <v>18</v>
      </c>
      <c r="C14201" s="10" t="s">
        <v>23</v>
      </c>
      <c r="D14201" s="10" t="s">
        <v>24</v>
      </c>
      <c r="E14201" s="14">
        <v>0.6154</v>
      </c>
      <c r="F14201" s="15">
        <f>F14205</f>
        <v>43.8</v>
      </c>
      <c r="G14201" s="12">
        <f t="shared" si="2205"/>
        <v>26.95</v>
      </c>
    </row>
    <row r="14202" ht="24.0" customHeight="1">
      <c r="A14202" s="10" t="s">
        <v>25</v>
      </c>
      <c r="B14202" s="10" t="s">
        <v>26</v>
      </c>
      <c r="C14202" s="10" t="s">
        <v>23</v>
      </c>
      <c r="D14202" s="10" t="s">
        <v>27</v>
      </c>
      <c r="E14202" s="14">
        <v>1.0</v>
      </c>
      <c r="F14202" s="15">
        <f>ROUND(21,3)</f>
        <v>21</v>
      </c>
      <c r="G14202" s="12">
        <f t="shared" si="2205"/>
        <v>21</v>
      </c>
    </row>
    <row r="14203" ht="24.0" customHeight="1">
      <c r="A14203" s="10" t="s">
        <v>28</v>
      </c>
      <c r="B14203" s="10" t="s">
        <v>26</v>
      </c>
      <c r="C14203" s="10" t="s">
        <v>23</v>
      </c>
      <c r="D14203" s="10" t="s">
        <v>29</v>
      </c>
      <c r="E14203" s="14">
        <v>1.0</v>
      </c>
      <c r="F14203" s="15">
        <f t="shared" ref="F14203:F14204" si="2206">ROUND(19,3)</f>
        <v>19</v>
      </c>
      <c r="G14203" s="12">
        <f t="shared" si="2205"/>
        <v>19</v>
      </c>
    </row>
    <row r="14204" ht="24.0" customHeight="1">
      <c r="A14204" s="10" t="s">
        <v>30</v>
      </c>
      <c r="B14204" s="10" t="s">
        <v>26</v>
      </c>
      <c r="C14204" s="10" t="s">
        <v>23</v>
      </c>
      <c r="D14204" s="10" t="s">
        <v>31</v>
      </c>
      <c r="E14204" s="14">
        <v>0.2</v>
      </c>
      <c r="F14204" s="15">
        <f t="shared" si="2206"/>
        <v>19</v>
      </c>
      <c r="G14204" s="12">
        <f t="shared" si="2205"/>
        <v>3.8</v>
      </c>
    </row>
    <row r="14205" ht="15.0" customHeight="1">
      <c r="A14205" s="11"/>
      <c r="B14205" s="11"/>
      <c r="C14205" s="11"/>
      <c r="D14205" s="10" t="s">
        <v>22</v>
      </c>
      <c r="E14205" s="14">
        <v>0.6154</v>
      </c>
      <c r="F14205" s="15">
        <f>ROUND((G14202+G14203+G14204),3)</f>
        <v>43.8</v>
      </c>
      <c r="G14205" s="12">
        <f t="shared" si="2205"/>
        <v>26.95</v>
      </c>
    </row>
    <row r="14206" ht="15.0" customHeight="1">
      <c r="A14206" s="10" t="s">
        <v>32</v>
      </c>
      <c r="B14206" s="10"/>
      <c r="C14206" s="10" t="s">
        <v>33</v>
      </c>
      <c r="D14206" s="10" t="s">
        <v>34</v>
      </c>
      <c r="E14206" s="14">
        <v>5.0</v>
      </c>
      <c r="F14206" s="15">
        <f>ROUND(26.95,3)</f>
        <v>26.95</v>
      </c>
      <c r="G14206" s="12">
        <f>ROUND((E14206*F14206)/100,2)</f>
        <v>1.35</v>
      </c>
    </row>
    <row r="14207" ht="24.75" customHeight="1">
      <c r="A14207" s="16"/>
      <c r="B14207" s="16"/>
      <c r="C14207" s="16"/>
      <c r="D14207" s="17" t="s">
        <v>5887</v>
      </c>
      <c r="E14207" s="16"/>
      <c r="F14207" s="18">
        <f>ROUND((G14195+G14196+G14197+G14198+G14199+G14200+G14201+G14206)*(1+G2/100),2)</f>
        <v>45.31</v>
      </c>
      <c r="G14207" s="16"/>
    </row>
    <row r="14208" ht="67.5" customHeight="1">
      <c r="A14208" s="19" t="s">
        <v>5892</v>
      </c>
      <c r="B14208" s="20" t="s">
        <v>18</v>
      </c>
      <c r="C14208" s="20" t="s">
        <v>19</v>
      </c>
      <c r="D14208" s="20" t="s">
        <v>5893</v>
      </c>
      <c r="E14208" s="21"/>
      <c r="F14208" s="22">
        <f>F14222</f>
        <v>38.65</v>
      </c>
      <c r="G14208" s="21"/>
    </row>
    <row r="14209" ht="39.75" customHeight="1">
      <c r="A14209" s="11"/>
      <c r="B14209" s="11"/>
      <c r="C14209" s="11"/>
      <c r="D14209" s="10" t="s">
        <v>5894</v>
      </c>
    </row>
    <row r="14210" ht="30.0" customHeight="1">
      <c r="A14210" s="10" t="s">
        <v>5860</v>
      </c>
      <c r="B14210" s="10" t="s">
        <v>42</v>
      </c>
      <c r="C14210" s="10" t="s">
        <v>184</v>
      </c>
      <c r="D14210" s="10" t="s">
        <v>5861</v>
      </c>
      <c r="E14210" s="14">
        <v>1.0</v>
      </c>
      <c r="F14210" s="15">
        <f>ROUND(11.74,3)</f>
        <v>11.74</v>
      </c>
      <c r="G14210" s="12">
        <f t="shared" ref="G14210:G14220" si="2207">ROUND(E14210*F14210,2)</f>
        <v>11.74</v>
      </c>
    </row>
    <row r="14211" ht="30.0" customHeight="1">
      <c r="A14211" s="10" t="s">
        <v>5890</v>
      </c>
      <c r="B14211" s="10" t="s">
        <v>42</v>
      </c>
      <c r="C14211" s="10" t="s">
        <v>184</v>
      </c>
      <c r="D14211" s="10" t="s">
        <v>5891</v>
      </c>
      <c r="E14211" s="14">
        <v>0.5</v>
      </c>
      <c r="F14211" s="15">
        <f>ROUND(6.72,3)</f>
        <v>6.72</v>
      </c>
      <c r="G14211" s="12">
        <f t="shared" si="2207"/>
        <v>3.36</v>
      </c>
    </row>
    <row r="14212" ht="30.0" customHeight="1">
      <c r="A14212" s="10" t="s">
        <v>1227</v>
      </c>
      <c r="B14212" s="10" t="s">
        <v>42</v>
      </c>
      <c r="C14212" s="10" t="s">
        <v>226</v>
      </c>
      <c r="D14212" s="10" t="s">
        <v>1228</v>
      </c>
      <c r="E14212" s="14">
        <v>0.021</v>
      </c>
      <c r="F14212" s="15">
        <f>ROUND(27.5,3)</f>
        <v>27.5</v>
      </c>
      <c r="G14212" s="12">
        <f t="shared" si="2207"/>
        <v>0.58</v>
      </c>
    </row>
    <row r="14213" ht="21.0" customHeight="1">
      <c r="A14213" s="10" t="s">
        <v>1857</v>
      </c>
      <c r="B14213" s="10" t="s">
        <v>42</v>
      </c>
      <c r="C14213" s="10" t="s">
        <v>231</v>
      </c>
      <c r="D14213" s="10" t="s">
        <v>1858</v>
      </c>
      <c r="E14213" s="14">
        <v>0.4</v>
      </c>
      <c r="F14213" s="15">
        <f>ROUND(1.05,3)</f>
        <v>1.05</v>
      </c>
      <c r="G14213" s="12">
        <f t="shared" si="2207"/>
        <v>0.42</v>
      </c>
    </row>
    <row r="14214" ht="30.0" customHeight="1">
      <c r="A14214" s="10" t="s">
        <v>5847</v>
      </c>
      <c r="B14214" s="10" t="s">
        <v>42</v>
      </c>
      <c r="C14214" s="10" t="s">
        <v>344</v>
      </c>
      <c r="D14214" s="10" t="s">
        <v>5848</v>
      </c>
      <c r="E14214" s="14">
        <v>0.5</v>
      </c>
      <c r="F14214" s="15">
        <f>ROUND(1.76,3)</f>
        <v>1.76</v>
      </c>
      <c r="G14214" s="12">
        <f t="shared" si="2207"/>
        <v>0.88</v>
      </c>
    </row>
    <row r="14215" ht="21.0" customHeight="1">
      <c r="A14215" s="10" t="s">
        <v>228</v>
      </c>
      <c r="B14215" s="10" t="s">
        <v>42</v>
      </c>
      <c r="C14215" s="10" t="s">
        <v>226</v>
      </c>
      <c r="D14215" s="10" t="s">
        <v>229</v>
      </c>
      <c r="E14215" s="14">
        <v>0.02444</v>
      </c>
      <c r="F14215" s="15">
        <f>ROUND(1.32,3)</f>
        <v>1.32</v>
      </c>
      <c r="G14215" s="12">
        <f t="shared" si="2207"/>
        <v>0.03</v>
      </c>
    </row>
    <row r="14216" ht="21.0" customHeight="1">
      <c r="A14216" s="10" t="s">
        <v>22</v>
      </c>
      <c r="B14216" s="10" t="s">
        <v>18</v>
      </c>
      <c r="C14216" s="10" t="s">
        <v>23</v>
      </c>
      <c r="D14216" s="10" t="s">
        <v>24</v>
      </c>
      <c r="E14216" s="14">
        <v>0.4706</v>
      </c>
      <c r="F14216" s="15">
        <f>F14220</f>
        <v>43.8</v>
      </c>
      <c r="G14216" s="12">
        <f t="shared" si="2207"/>
        <v>20.61</v>
      </c>
    </row>
    <row r="14217" ht="24.0" customHeight="1">
      <c r="A14217" s="10" t="s">
        <v>25</v>
      </c>
      <c r="B14217" s="10" t="s">
        <v>26</v>
      </c>
      <c r="C14217" s="10" t="s">
        <v>23</v>
      </c>
      <c r="D14217" s="10" t="s">
        <v>27</v>
      </c>
      <c r="E14217" s="14">
        <v>1.0</v>
      </c>
      <c r="F14217" s="15">
        <f>ROUND(21,3)</f>
        <v>21</v>
      </c>
      <c r="G14217" s="12">
        <f t="shared" si="2207"/>
        <v>21</v>
      </c>
    </row>
    <row r="14218" ht="24.0" customHeight="1">
      <c r="A14218" s="10" t="s">
        <v>28</v>
      </c>
      <c r="B14218" s="10" t="s">
        <v>26</v>
      </c>
      <c r="C14218" s="10" t="s">
        <v>23</v>
      </c>
      <c r="D14218" s="10" t="s">
        <v>29</v>
      </c>
      <c r="E14218" s="14">
        <v>1.0</v>
      </c>
      <c r="F14218" s="15">
        <f t="shared" ref="F14218:F14219" si="2208">ROUND(19,3)</f>
        <v>19</v>
      </c>
      <c r="G14218" s="12">
        <f t="shared" si="2207"/>
        <v>19</v>
      </c>
    </row>
    <row r="14219" ht="24.0" customHeight="1">
      <c r="A14219" s="10" t="s">
        <v>30</v>
      </c>
      <c r="B14219" s="10" t="s">
        <v>26</v>
      </c>
      <c r="C14219" s="10" t="s">
        <v>23</v>
      </c>
      <c r="D14219" s="10" t="s">
        <v>31</v>
      </c>
      <c r="E14219" s="14">
        <v>0.2</v>
      </c>
      <c r="F14219" s="15">
        <f t="shared" si="2208"/>
        <v>19</v>
      </c>
      <c r="G14219" s="12">
        <f t="shared" si="2207"/>
        <v>3.8</v>
      </c>
    </row>
    <row r="14220" ht="15.0" customHeight="1">
      <c r="A14220" s="11"/>
      <c r="B14220" s="11"/>
      <c r="C14220" s="11"/>
      <c r="D14220" s="10" t="s">
        <v>22</v>
      </c>
      <c r="E14220" s="14">
        <v>0.4706</v>
      </c>
      <c r="F14220" s="15">
        <f>ROUND((G14217+G14218+G14219),3)</f>
        <v>43.8</v>
      </c>
      <c r="G14220" s="12">
        <f t="shared" si="2207"/>
        <v>20.61</v>
      </c>
    </row>
    <row r="14221" ht="15.0" customHeight="1">
      <c r="A14221" s="10" t="s">
        <v>32</v>
      </c>
      <c r="B14221" s="10"/>
      <c r="C14221" s="10" t="s">
        <v>33</v>
      </c>
      <c r="D14221" s="10" t="s">
        <v>34</v>
      </c>
      <c r="E14221" s="14">
        <v>5.0</v>
      </c>
      <c r="F14221" s="15">
        <f>ROUND(20.61,3)</f>
        <v>20.61</v>
      </c>
      <c r="G14221" s="12">
        <f>ROUND((E14221*F14221)/100,2)</f>
        <v>1.03</v>
      </c>
    </row>
    <row r="14222" ht="24.75" customHeight="1">
      <c r="A14222" s="16"/>
      <c r="B14222" s="16"/>
      <c r="C14222" s="16"/>
      <c r="D14222" s="17" t="s">
        <v>5892</v>
      </c>
      <c r="E14222" s="16"/>
      <c r="F14222" s="18">
        <f>ROUND((G14210+G14211+G14212+G14213+G14214+G14215+G14216+G14221)*(1+G2/100),2)</f>
        <v>38.65</v>
      </c>
      <c r="G14222" s="16"/>
    </row>
    <row r="14223" ht="67.5" customHeight="1">
      <c r="A14223" s="19" t="s">
        <v>5895</v>
      </c>
      <c r="B14223" s="20" t="s">
        <v>18</v>
      </c>
      <c r="C14223" s="20" t="s">
        <v>19</v>
      </c>
      <c r="D14223" s="20" t="s">
        <v>5896</v>
      </c>
      <c r="E14223" s="21"/>
      <c r="F14223" s="22">
        <f>F14237</f>
        <v>41.55</v>
      </c>
      <c r="G14223" s="21"/>
    </row>
    <row r="14224" ht="39.75" customHeight="1">
      <c r="A14224" s="11"/>
      <c r="B14224" s="11"/>
      <c r="C14224" s="11"/>
      <c r="D14224" s="10" t="s">
        <v>5897</v>
      </c>
    </row>
    <row r="14225" ht="30.0" customHeight="1">
      <c r="A14225" s="10" t="s">
        <v>5898</v>
      </c>
      <c r="B14225" s="10" t="s">
        <v>42</v>
      </c>
      <c r="C14225" s="10" t="s">
        <v>184</v>
      </c>
      <c r="D14225" s="10" t="s">
        <v>5899</v>
      </c>
      <c r="E14225" s="14">
        <v>1.0</v>
      </c>
      <c r="F14225" s="15">
        <f>ROUND(7.89,3)</f>
        <v>7.89</v>
      </c>
      <c r="G14225" s="12">
        <f t="shared" ref="G14225:G14235" si="2209">ROUND(E14225*F14225,2)</f>
        <v>7.89</v>
      </c>
    </row>
    <row r="14226" ht="21.0" customHeight="1">
      <c r="A14226" s="10" t="s">
        <v>1943</v>
      </c>
      <c r="B14226" s="10" t="s">
        <v>42</v>
      </c>
      <c r="C14226" s="10" t="s">
        <v>184</v>
      </c>
      <c r="D14226" s="10" t="s">
        <v>1944</v>
      </c>
      <c r="E14226" s="14">
        <v>0.5</v>
      </c>
      <c r="F14226" s="15">
        <f>ROUND(6.9,3)</f>
        <v>6.9</v>
      </c>
      <c r="G14226" s="12">
        <f t="shared" si="2209"/>
        <v>3.45</v>
      </c>
    </row>
    <row r="14227" ht="30.0" customHeight="1">
      <c r="A14227" s="10" t="s">
        <v>1227</v>
      </c>
      <c r="B14227" s="10" t="s">
        <v>42</v>
      </c>
      <c r="C14227" s="10" t="s">
        <v>226</v>
      </c>
      <c r="D14227" s="10" t="s">
        <v>1228</v>
      </c>
      <c r="E14227" s="14">
        <v>0.021</v>
      </c>
      <c r="F14227" s="15">
        <f>ROUND(27.5,3)</f>
        <v>27.5</v>
      </c>
      <c r="G14227" s="12">
        <f t="shared" si="2209"/>
        <v>0.58</v>
      </c>
    </row>
    <row r="14228" ht="21.0" customHeight="1">
      <c r="A14228" s="10" t="s">
        <v>1857</v>
      </c>
      <c r="B14228" s="10" t="s">
        <v>42</v>
      </c>
      <c r="C14228" s="10" t="s">
        <v>231</v>
      </c>
      <c r="D14228" s="10" t="s">
        <v>1858</v>
      </c>
      <c r="E14228" s="14">
        <v>0.4</v>
      </c>
      <c r="F14228" s="15">
        <f>ROUND(1.05,3)</f>
        <v>1.05</v>
      </c>
      <c r="G14228" s="12">
        <f t="shared" si="2209"/>
        <v>0.42</v>
      </c>
    </row>
    <row r="14229" ht="30.0" customHeight="1">
      <c r="A14229" s="10" t="s">
        <v>5847</v>
      </c>
      <c r="B14229" s="10" t="s">
        <v>42</v>
      </c>
      <c r="C14229" s="10" t="s">
        <v>344</v>
      </c>
      <c r="D14229" s="10" t="s">
        <v>5848</v>
      </c>
      <c r="E14229" s="14">
        <v>0.5</v>
      </c>
      <c r="F14229" s="15">
        <f>ROUND(1.76,3)</f>
        <v>1.76</v>
      </c>
      <c r="G14229" s="12">
        <f t="shared" si="2209"/>
        <v>0.88</v>
      </c>
    </row>
    <row r="14230" ht="21.0" customHeight="1">
      <c r="A14230" s="10" t="s">
        <v>228</v>
      </c>
      <c r="B14230" s="10" t="s">
        <v>42</v>
      </c>
      <c r="C14230" s="10" t="s">
        <v>226</v>
      </c>
      <c r="D14230" s="10" t="s">
        <v>229</v>
      </c>
      <c r="E14230" s="14">
        <v>0.02444</v>
      </c>
      <c r="F14230" s="15">
        <f>ROUND(1.32,3)</f>
        <v>1.32</v>
      </c>
      <c r="G14230" s="12">
        <f t="shared" si="2209"/>
        <v>0.03</v>
      </c>
    </row>
    <row r="14231" ht="21.0" customHeight="1">
      <c r="A14231" s="10" t="s">
        <v>22</v>
      </c>
      <c r="B14231" s="10" t="s">
        <v>18</v>
      </c>
      <c r="C14231" s="10" t="s">
        <v>23</v>
      </c>
      <c r="D14231" s="10" t="s">
        <v>24</v>
      </c>
      <c r="E14231" s="14">
        <v>0.6154</v>
      </c>
      <c r="F14231" s="15">
        <f>F14235</f>
        <v>43.8</v>
      </c>
      <c r="G14231" s="12">
        <f t="shared" si="2209"/>
        <v>26.95</v>
      </c>
    </row>
    <row r="14232" ht="24.0" customHeight="1">
      <c r="A14232" s="10" t="s">
        <v>25</v>
      </c>
      <c r="B14232" s="10" t="s">
        <v>26</v>
      </c>
      <c r="C14232" s="10" t="s">
        <v>23</v>
      </c>
      <c r="D14232" s="10" t="s">
        <v>27</v>
      </c>
      <c r="E14232" s="14">
        <v>1.0</v>
      </c>
      <c r="F14232" s="15">
        <f>ROUND(21,3)</f>
        <v>21</v>
      </c>
      <c r="G14232" s="12">
        <f t="shared" si="2209"/>
        <v>21</v>
      </c>
    </row>
    <row r="14233" ht="24.0" customHeight="1">
      <c r="A14233" s="10" t="s">
        <v>28</v>
      </c>
      <c r="B14233" s="10" t="s">
        <v>26</v>
      </c>
      <c r="C14233" s="10" t="s">
        <v>23</v>
      </c>
      <c r="D14233" s="10" t="s">
        <v>29</v>
      </c>
      <c r="E14233" s="14">
        <v>1.0</v>
      </c>
      <c r="F14233" s="15">
        <f t="shared" ref="F14233:F14234" si="2210">ROUND(19,3)</f>
        <v>19</v>
      </c>
      <c r="G14233" s="12">
        <f t="shared" si="2209"/>
        <v>19</v>
      </c>
    </row>
    <row r="14234" ht="24.0" customHeight="1">
      <c r="A14234" s="10" t="s">
        <v>30</v>
      </c>
      <c r="B14234" s="10" t="s">
        <v>26</v>
      </c>
      <c r="C14234" s="10" t="s">
        <v>23</v>
      </c>
      <c r="D14234" s="10" t="s">
        <v>31</v>
      </c>
      <c r="E14234" s="14">
        <v>0.2</v>
      </c>
      <c r="F14234" s="15">
        <f t="shared" si="2210"/>
        <v>19</v>
      </c>
      <c r="G14234" s="12">
        <f t="shared" si="2209"/>
        <v>3.8</v>
      </c>
    </row>
    <row r="14235" ht="15.0" customHeight="1">
      <c r="A14235" s="11"/>
      <c r="B14235" s="11"/>
      <c r="C14235" s="11"/>
      <c r="D14235" s="10" t="s">
        <v>22</v>
      </c>
      <c r="E14235" s="14">
        <v>0.6154</v>
      </c>
      <c r="F14235" s="15">
        <f>ROUND((G14232+G14233+G14234),3)</f>
        <v>43.8</v>
      </c>
      <c r="G14235" s="12">
        <f t="shared" si="2209"/>
        <v>26.95</v>
      </c>
    </row>
    <row r="14236" ht="15.0" customHeight="1">
      <c r="A14236" s="10" t="s">
        <v>32</v>
      </c>
      <c r="B14236" s="10"/>
      <c r="C14236" s="10" t="s">
        <v>33</v>
      </c>
      <c r="D14236" s="10" t="s">
        <v>34</v>
      </c>
      <c r="E14236" s="14">
        <v>5.0</v>
      </c>
      <c r="F14236" s="15">
        <f>ROUND(26.95,3)</f>
        <v>26.95</v>
      </c>
      <c r="G14236" s="12">
        <f>ROUND((E14236*F14236)/100,2)</f>
        <v>1.35</v>
      </c>
    </row>
    <row r="14237" ht="24.75" customHeight="1">
      <c r="A14237" s="16"/>
      <c r="B14237" s="16"/>
      <c r="C14237" s="16"/>
      <c r="D14237" s="17" t="s">
        <v>5895</v>
      </c>
      <c r="E14237" s="16"/>
      <c r="F14237" s="18">
        <f>ROUND((G14225+G14226+G14227+G14228+G14229+G14230+G14231+G14236)*(1+G2/100),2)</f>
        <v>41.55</v>
      </c>
      <c r="G14237" s="16"/>
    </row>
    <row r="14238" ht="67.5" customHeight="1">
      <c r="A14238" s="19" t="s">
        <v>5900</v>
      </c>
      <c r="B14238" s="20" t="s">
        <v>18</v>
      </c>
      <c r="C14238" s="20" t="s">
        <v>19</v>
      </c>
      <c r="D14238" s="20" t="s">
        <v>5901</v>
      </c>
      <c r="E14238" s="21"/>
      <c r="F14238" s="22">
        <f>F14252</f>
        <v>34.89</v>
      </c>
      <c r="G14238" s="21"/>
    </row>
    <row r="14239" ht="39.75" customHeight="1">
      <c r="A14239" s="11"/>
      <c r="B14239" s="11"/>
      <c r="C14239" s="11"/>
      <c r="D14239" s="10" t="s">
        <v>5902</v>
      </c>
    </row>
    <row r="14240" ht="30.0" customHeight="1">
      <c r="A14240" s="10" t="s">
        <v>5898</v>
      </c>
      <c r="B14240" s="10" t="s">
        <v>42</v>
      </c>
      <c r="C14240" s="10" t="s">
        <v>184</v>
      </c>
      <c r="D14240" s="10" t="s">
        <v>5899</v>
      </c>
      <c r="E14240" s="14">
        <v>1.0</v>
      </c>
      <c r="F14240" s="15">
        <f>ROUND(7.89,3)</f>
        <v>7.89</v>
      </c>
      <c r="G14240" s="12">
        <f t="shared" ref="G14240:G14250" si="2211">ROUND(E14240*F14240,2)</f>
        <v>7.89</v>
      </c>
    </row>
    <row r="14241" ht="21.0" customHeight="1">
      <c r="A14241" s="10" t="s">
        <v>1943</v>
      </c>
      <c r="B14241" s="10" t="s">
        <v>42</v>
      </c>
      <c r="C14241" s="10" t="s">
        <v>184</v>
      </c>
      <c r="D14241" s="10" t="s">
        <v>1944</v>
      </c>
      <c r="E14241" s="14">
        <v>0.5</v>
      </c>
      <c r="F14241" s="15">
        <f>ROUND(6.9,3)</f>
        <v>6.9</v>
      </c>
      <c r="G14241" s="12">
        <f t="shared" si="2211"/>
        <v>3.45</v>
      </c>
    </row>
    <row r="14242" ht="30.0" customHeight="1">
      <c r="A14242" s="10" t="s">
        <v>1227</v>
      </c>
      <c r="B14242" s="10" t="s">
        <v>42</v>
      </c>
      <c r="C14242" s="10" t="s">
        <v>226</v>
      </c>
      <c r="D14242" s="10" t="s">
        <v>1228</v>
      </c>
      <c r="E14242" s="14">
        <v>0.021</v>
      </c>
      <c r="F14242" s="15">
        <f>ROUND(27.5,3)</f>
        <v>27.5</v>
      </c>
      <c r="G14242" s="12">
        <f t="shared" si="2211"/>
        <v>0.58</v>
      </c>
    </row>
    <row r="14243" ht="21.0" customHeight="1">
      <c r="A14243" s="10" t="s">
        <v>1857</v>
      </c>
      <c r="B14243" s="10" t="s">
        <v>42</v>
      </c>
      <c r="C14243" s="10" t="s">
        <v>231</v>
      </c>
      <c r="D14243" s="10" t="s">
        <v>1858</v>
      </c>
      <c r="E14243" s="14">
        <v>0.4</v>
      </c>
      <c r="F14243" s="15">
        <f>ROUND(1.05,3)</f>
        <v>1.05</v>
      </c>
      <c r="G14243" s="12">
        <f t="shared" si="2211"/>
        <v>0.42</v>
      </c>
    </row>
    <row r="14244" ht="30.0" customHeight="1">
      <c r="A14244" s="10" t="s">
        <v>5847</v>
      </c>
      <c r="B14244" s="10" t="s">
        <v>42</v>
      </c>
      <c r="C14244" s="10" t="s">
        <v>344</v>
      </c>
      <c r="D14244" s="10" t="s">
        <v>5848</v>
      </c>
      <c r="E14244" s="14">
        <v>0.5</v>
      </c>
      <c r="F14244" s="15">
        <f>ROUND(1.76,3)</f>
        <v>1.76</v>
      </c>
      <c r="G14244" s="12">
        <f t="shared" si="2211"/>
        <v>0.88</v>
      </c>
    </row>
    <row r="14245" ht="21.0" customHeight="1">
      <c r="A14245" s="10" t="s">
        <v>228</v>
      </c>
      <c r="B14245" s="10" t="s">
        <v>42</v>
      </c>
      <c r="C14245" s="10" t="s">
        <v>226</v>
      </c>
      <c r="D14245" s="10" t="s">
        <v>229</v>
      </c>
      <c r="E14245" s="14">
        <v>0.02444</v>
      </c>
      <c r="F14245" s="15">
        <f>ROUND(1.32,3)</f>
        <v>1.32</v>
      </c>
      <c r="G14245" s="12">
        <f t="shared" si="2211"/>
        <v>0.03</v>
      </c>
    </row>
    <row r="14246" ht="21.0" customHeight="1">
      <c r="A14246" s="10" t="s">
        <v>22</v>
      </c>
      <c r="B14246" s="10" t="s">
        <v>18</v>
      </c>
      <c r="C14246" s="10" t="s">
        <v>23</v>
      </c>
      <c r="D14246" s="10" t="s">
        <v>24</v>
      </c>
      <c r="E14246" s="14">
        <v>0.4706</v>
      </c>
      <c r="F14246" s="15">
        <f>F14250</f>
        <v>43.8</v>
      </c>
      <c r="G14246" s="12">
        <f t="shared" si="2211"/>
        <v>20.61</v>
      </c>
    </row>
    <row r="14247" ht="24.0" customHeight="1">
      <c r="A14247" s="10" t="s">
        <v>25</v>
      </c>
      <c r="B14247" s="10" t="s">
        <v>26</v>
      </c>
      <c r="C14247" s="10" t="s">
        <v>23</v>
      </c>
      <c r="D14247" s="10" t="s">
        <v>27</v>
      </c>
      <c r="E14247" s="14">
        <v>1.0</v>
      </c>
      <c r="F14247" s="15">
        <f>ROUND(21,3)</f>
        <v>21</v>
      </c>
      <c r="G14247" s="12">
        <f t="shared" si="2211"/>
        <v>21</v>
      </c>
    </row>
    <row r="14248" ht="24.0" customHeight="1">
      <c r="A14248" s="10" t="s">
        <v>28</v>
      </c>
      <c r="B14248" s="10" t="s">
        <v>26</v>
      </c>
      <c r="C14248" s="10" t="s">
        <v>23</v>
      </c>
      <c r="D14248" s="10" t="s">
        <v>29</v>
      </c>
      <c r="E14248" s="14">
        <v>1.0</v>
      </c>
      <c r="F14248" s="15">
        <f t="shared" ref="F14248:F14249" si="2212">ROUND(19,3)</f>
        <v>19</v>
      </c>
      <c r="G14248" s="12">
        <f t="shared" si="2211"/>
        <v>19</v>
      </c>
    </row>
    <row r="14249" ht="24.0" customHeight="1">
      <c r="A14249" s="10" t="s">
        <v>30</v>
      </c>
      <c r="B14249" s="10" t="s">
        <v>26</v>
      </c>
      <c r="C14249" s="10" t="s">
        <v>23</v>
      </c>
      <c r="D14249" s="10" t="s">
        <v>31</v>
      </c>
      <c r="E14249" s="14">
        <v>0.2</v>
      </c>
      <c r="F14249" s="15">
        <f t="shared" si="2212"/>
        <v>19</v>
      </c>
      <c r="G14249" s="12">
        <f t="shared" si="2211"/>
        <v>3.8</v>
      </c>
    </row>
    <row r="14250" ht="15.0" customHeight="1">
      <c r="A14250" s="11"/>
      <c r="B14250" s="11"/>
      <c r="C14250" s="11"/>
      <c r="D14250" s="10" t="s">
        <v>22</v>
      </c>
      <c r="E14250" s="14">
        <v>0.4706</v>
      </c>
      <c r="F14250" s="15">
        <f>ROUND((G14247+G14248+G14249),3)</f>
        <v>43.8</v>
      </c>
      <c r="G14250" s="12">
        <f t="shared" si="2211"/>
        <v>20.61</v>
      </c>
    </row>
    <row r="14251" ht="15.0" customHeight="1">
      <c r="A14251" s="10" t="s">
        <v>32</v>
      </c>
      <c r="B14251" s="10"/>
      <c r="C14251" s="10" t="s">
        <v>33</v>
      </c>
      <c r="D14251" s="10" t="s">
        <v>34</v>
      </c>
      <c r="E14251" s="14">
        <v>5.0</v>
      </c>
      <c r="F14251" s="15">
        <f>ROUND(20.61,3)</f>
        <v>20.61</v>
      </c>
      <c r="G14251" s="12">
        <f>ROUND((E14251*F14251)/100,2)</f>
        <v>1.03</v>
      </c>
    </row>
    <row r="14252" ht="24.75" customHeight="1">
      <c r="A14252" s="16"/>
      <c r="B14252" s="16"/>
      <c r="C14252" s="16"/>
      <c r="D14252" s="17" t="s">
        <v>5900</v>
      </c>
      <c r="E14252" s="16"/>
      <c r="F14252" s="18">
        <f>ROUND((G14240+G14241+G14242+G14243+G14244+G14245+G14246+G14251)*(1+G2/100),2)</f>
        <v>34.89</v>
      </c>
      <c r="G14252" s="16"/>
    </row>
    <row r="14253" ht="39.75" customHeight="1">
      <c r="A14253" s="19" t="s">
        <v>5903</v>
      </c>
      <c r="B14253" s="20" t="s">
        <v>18</v>
      </c>
      <c r="C14253" s="20" t="s">
        <v>19</v>
      </c>
      <c r="D14253" s="20" t="s">
        <v>5904</v>
      </c>
      <c r="E14253" s="21"/>
      <c r="F14253" s="22">
        <f>F14265</f>
        <v>36.42</v>
      </c>
      <c r="G14253" s="21"/>
    </row>
    <row r="14254" ht="21.0" customHeight="1">
      <c r="A14254" s="11"/>
      <c r="B14254" s="11"/>
      <c r="C14254" s="11"/>
      <c r="D14254" s="10" t="s">
        <v>5905</v>
      </c>
    </row>
    <row r="14255" ht="30.0" customHeight="1">
      <c r="A14255" s="10" t="s">
        <v>1855</v>
      </c>
      <c r="B14255" s="10" t="s">
        <v>42</v>
      </c>
      <c r="C14255" s="10" t="s">
        <v>184</v>
      </c>
      <c r="D14255" s="10" t="s">
        <v>1856</v>
      </c>
      <c r="E14255" s="14">
        <v>1.0</v>
      </c>
      <c r="F14255" s="15">
        <f>ROUND(3.85,3)</f>
        <v>3.85</v>
      </c>
      <c r="G14255" s="12">
        <f t="shared" ref="G14255:G14263" si="2213">ROUND(E14255*F14255,2)</f>
        <v>3.85</v>
      </c>
    </row>
    <row r="14256" ht="30.0" customHeight="1">
      <c r="A14256" s="10" t="s">
        <v>1227</v>
      </c>
      <c r="B14256" s="10" t="s">
        <v>42</v>
      </c>
      <c r="C14256" s="10" t="s">
        <v>226</v>
      </c>
      <c r="D14256" s="10" t="s">
        <v>1228</v>
      </c>
      <c r="E14256" s="14">
        <v>0.022</v>
      </c>
      <c r="F14256" s="15">
        <f>ROUND(27.5,3)</f>
        <v>27.5</v>
      </c>
      <c r="G14256" s="12">
        <f t="shared" si="2213"/>
        <v>0.61</v>
      </c>
    </row>
    <row r="14257" ht="21.0" customHeight="1">
      <c r="A14257" s="10" t="s">
        <v>1857</v>
      </c>
      <c r="B14257" s="10" t="s">
        <v>42</v>
      </c>
      <c r="C14257" s="10" t="s">
        <v>231</v>
      </c>
      <c r="D14257" s="10" t="s">
        <v>1858</v>
      </c>
      <c r="E14257" s="14">
        <v>0.4</v>
      </c>
      <c r="F14257" s="15">
        <f>ROUND(1.05,3)</f>
        <v>1.05</v>
      </c>
      <c r="G14257" s="12">
        <f t="shared" si="2213"/>
        <v>0.42</v>
      </c>
    </row>
    <row r="14258" ht="30.0" customHeight="1">
      <c r="A14258" s="10" t="s">
        <v>5847</v>
      </c>
      <c r="B14258" s="10" t="s">
        <v>42</v>
      </c>
      <c r="C14258" s="10" t="s">
        <v>344</v>
      </c>
      <c r="D14258" s="10" t="s">
        <v>5848</v>
      </c>
      <c r="E14258" s="14">
        <v>0.5</v>
      </c>
      <c r="F14258" s="15">
        <f>ROUND(1.76,3)</f>
        <v>1.76</v>
      </c>
      <c r="G14258" s="12">
        <f t="shared" si="2213"/>
        <v>0.88</v>
      </c>
    </row>
    <row r="14259" ht="21.0" customHeight="1">
      <c r="A14259" s="10" t="s">
        <v>22</v>
      </c>
      <c r="B14259" s="10" t="s">
        <v>18</v>
      </c>
      <c r="C14259" s="10" t="s">
        <v>23</v>
      </c>
      <c r="D14259" s="10" t="s">
        <v>24</v>
      </c>
      <c r="E14259" s="14">
        <v>0.66667</v>
      </c>
      <c r="F14259" s="15">
        <f>F14263</f>
        <v>43.8</v>
      </c>
      <c r="G14259" s="12">
        <f t="shared" si="2213"/>
        <v>29.2</v>
      </c>
    </row>
    <row r="14260" ht="24.0" customHeight="1">
      <c r="A14260" s="10" t="s">
        <v>25</v>
      </c>
      <c r="B14260" s="10" t="s">
        <v>26</v>
      </c>
      <c r="C14260" s="10" t="s">
        <v>23</v>
      </c>
      <c r="D14260" s="10" t="s">
        <v>27</v>
      </c>
      <c r="E14260" s="14">
        <v>1.0</v>
      </c>
      <c r="F14260" s="15">
        <f>ROUND(21,3)</f>
        <v>21</v>
      </c>
      <c r="G14260" s="12">
        <f t="shared" si="2213"/>
        <v>21</v>
      </c>
    </row>
    <row r="14261" ht="24.0" customHeight="1">
      <c r="A14261" s="10" t="s">
        <v>28</v>
      </c>
      <c r="B14261" s="10" t="s">
        <v>26</v>
      </c>
      <c r="C14261" s="10" t="s">
        <v>23</v>
      </c>
      <c r="D14261" s="10" t="s">
        <v>29</v>
      </c>
      <c r="E14261" s="14">
        <v>1.0</v>
      </c>
      <c r="F14261" s="15">
        <f t="shared" ref="F14261:F14262" si="2214">ROUND(19,3)</f>
        <v>19</v>
      </c>
      <c r="G14261" s="12">
        <f t="shared" si="2213"/>
        <v>19</v>
      </c>
    </row>
    <row r="14262" ht="24.0" customHeight="1">
      <c r="A14262" s="10" t="s">
        <v>30</v>
      </c>
      <c r="B14262" s="10" t="s">
        <v>26</v>
      </c>
      <c r="C14262" s="10" t="s">
        <v>23</v>
      </c>
      <c r="D14262" s="10" t="s">
        <v>31</v>
      </c>
      <c r="E14262" s="14">
        <v>0.2</v>
      </c>
      <c r="F14262" s="15">
        <f t="shared" si="2214"/>
        <v>19</v>
      </c>
      <c r="G14262" s="12">
        <f t="shared" si="2213"/>
        <v>3.8</v>
      </c>
    </row>
    <row r="14263" ht="15.0" customHeight="1">
      <c r="A14263" s="11"/>
      <c r="B14263" s="11"/>
      <c r="C14263" s="11"/>
      <c r="D14263" s="10" t="s">
        <v>22</v>
      </c>
      <c r="E14263" s="14">
        <v>0.66667</v>
      </c>
      <c r="F14263" s="15">
        <f>ROUND((G14260+G14261+G14262),3)</f>
        <v>43.8</v>
      </c>
      <c r="G14263" s="12">
        <f t="shared" si="2213"/>
        <v>29.2</v>
      </c>
    </row>
    <row r="14264" ht="15.0" customHeight="1">
      <c r="A14264" s="10" t="s">
        <v>32</v>
      </c>
      <c r="B14264" s="10"/>
      <c r="C14264" s="10" t="s">
        <v>33</v>
      </c>
      <c r="D14264" s="10" t="s">
        <v>34</v>
      </c>
      <c r="E14264" s="14">
        <v>5.0</v>
      </c>
      <c r="F14264" s="15">
        <f>ROUND(29.2,3)</f>
        <v>29.2</v>
      </c>
      <c r="G14264" s="12">
        <f>ROUND((E14264*F14264)/100,2)</f>
        <v>1.46</v>
      </c>
    </row>
    <row r="14265" ht="15.0" customHeight="1">
      <c r="A14265" s="16"/>
      <c r="B14265" s="16"/>
      <c r="C14265" s="16"/>
      <c r="D14265" s="17" t="s">
        <v>5903</v>
      </c>
      <c r="E14265" s="16"/>
      <c r="F14265" s="18">
        <f>ROUND((G14255+G14256+G14257+G14258+G14259+G14264)*(1+G2/100),2)</f>
        <v>36.42</v>
      </c>
      <c r="G14265" s="16"/>
    </row>
    <row r="14266" ht="39.75" customHeight="1">
      <c r="A14266" s="19" t="s">
        <v>5906</v>
      </c>
      <c r="B14266" s="20" t="s">
        <v>18</v>
      </c>
      <c r="C14266" s="20" t="s">
        <v>19</v>
      </c>
      <c r="D14266" s="20" t="s">
        <v>5907</v>
      </c>
      <c r="E14266" s="21"/>
      <c r="F14266" s="22">
        <f>F14279</f>
        <v>42.69</v>
      </c>
      <c r="G14266" s="21"/>
    </row>
    <row r="14267" ht="21.0" customHeight="1">
      <c r="A14267" s="11"/>
      <c r="B14267" s="11"/>
      <c r="C14267" s="11"/>
      <c r="D14267" s="10" t="s">
        <v>5908</v>
      </c>
    </row>
    <row r="14268" ht="30.0" customHeight="1">
      <c r="A14268" s="10" t="s">
        <v>1938</v>
      </c>
      <c r="B14268" s="10" t="s">
        <v>42</v>
      </c>
      <c r="C14268" s="10" t="s">
        <v>1939</v>
      </c>
      <c r="D14268" s="10" t="s">
        <v>1940</v>
      </c>
      <c r="E14268" s="14">
        <v>0.06</v>
      </c>
      <c r="F14268" s="15">
        <f>ROUND(29.17,3)</f>
        <v>29.17</v>
      </c>
      <c r="G14268" s="12">
        <f t="shared" ref="G14268:G14277" si="2215">ROUND(E14268*F14268,2)</f>
        <v>1.75</v>
      </c>
    </row>
    <row r="14269" ht="30.0" customHeight="1">
      <c r="A14269" s="10" t="s">
        <v>1941</v>
      </c>
      <c r="B14269" s="10" t="s">
        <v>42</v>
      </c>
      <c r="C14269" s="10" t="s">
        <v>184</v>
      </c>
      <c r="D14269" s="10" t="s">
        <v>1942</v>
      </c>
      <c r="E14269" s="14">
        <v>1.008</v>
      </c>
      <c r="F14269" s="15">
        <f>ROUND(8.33,3)</f>
        <v>8.33</v>
      </c>
      <c r="G14269" s="12">
        <f t="shared" si="2215"/>
        <v>8.4</v>
      </c>
    </row>
    <row r="14270" ht="30.0" customHeight="1">
      <c r="A14270" s="10" t="s">
        <v>1227</v>
      </c>
      <c r="B14270" s="10" t="s">
        <v>42</v>
      </c>
      <c r="C14270" s="10" t="s">
        <v>226</v>
      </c>
      <c r="D14270" s="10" t="s">
        <v>1228</v>
      </c>
      <c r="E14270" s="14">
        <v>0.021</v>
      </c>
      <c r="F14270" s="15">
        <f>ROUND(27.5,3)</f>
        <v>27.5</v>
      </c>
      <c r="G14270" s="12">
        <f t="shared" si="2215"/>
        <v>0.58</v>
      </c>
    </row>
    <row r="14271" ht="21.0" customHeight="1">
      <c r="A14271" s="10" t="s">
        <v>1857</v>
      </c>
      <c r="B14271" s="10" t="s">
        <v>42</v>
      </c>
      <c r="C14271" s="10" t="s">
        <v>231</v>
      </c>
      <c r="D14271" s="10" t="s">
        <v>1858</v>
      </c>
      <c r="E14271" s="14">
        <v>0.4</v>
      </c>
      <c r="F14271" s="15">
        <f>ROUND(1.05,3)</f>
        <v>1.05</v>
      </c>
      <c r="G14271" s="12">
        <f t="shared" si="2215"/>
        <v>0.42</v>
      </c>
    </row>
    <row r="14272" ht="30.0" customHeight="1">
      <c r="A14272" s="10" t="s">
        <v>5847</v>
      </c>
      <c r="B14272" s="10" t="s">
        <v>42</v>
      </c>
      <c r="C14272" s="10" t="s">
        <v>344</v>
      </c>
      <c r="D14272" s="10" t="s">
        <v>5848</v>
      </c>
      <c r="E14272" s="14">
        <v>0.5</v>
      </c>
      <c r="F14272" s="15">
        <f>ROUND(1.76,3)</f>
        <v>1.76</v>
      </c>
      <c r="G14272" s="12">
        <f t="shared" si="2215"/>
        <v>0.88</v>
      </c>
    </row>
    <row r="14273" ht="21.0" customHeight="1">
      <c r="A14273" s="10" t="s">
        <v>22</v>
      </c>
      <c r="B14273" s="10" t="s">
        <v>18</v>
      </c>
      <c r="C14273" s="10" t="s">
        <v>23</v>
      </c>
      <c r="D14273" s="10" t="s">
        <v>24</v>
      </c>
      <c r="E14273" s="14">
        <v>0.66666</v>
      </c>
      <c r="F14273" s="15">
        <f>F14277</f>
        <v>43.8</v>
      </c>
      <c r="G14273" s="12">
        <f t="shared" si="2215"/>
        <v>29.2</v>
      </c>
    </row>
    <row r="14274" ht="24.0" customHeight="1">
      <c r="A14274" s="10" t="s">
        <v>25</v>
      </c>
      <c r="B14274" s="10" t="s">
        <v>26</v>
      </c>
      <c r="C14274" s="10" t="s">
        <v>23</v>
      </c>
      <c r="D14274" s="10" t="s">
        <v>27</v>
      </c>
      <c r="E14274" s="14">
        <v>1.0</v>
      </c>
      <c r="F14274" s="15">
        <f>ROUND(21,3)</f>
        <v>21</v>
      </c>
      <c r="G14274" s="12">
        <f t="shared" si="2215"/>
        <v>21</v>
      </c>
    </row>
    <row r="14275" ht="24.0" customHeight="1">
      <c r="A14275" s="10" t="s">
        <v>28</v>
      </c>
      <c r="B14275" s="10" t="s">
        <v>26</v>
      </c>
      <c r="C14275" s="10" t="s">
        <v>23</v>
      </c>
      <c r="D14275" s="10" t="s">
        <v>29</v>
      </c>
      <c r="E14275" s="14">
        <v>1.0</v>
      </c>
      <c r="F14275" s="15">
        <f t="shared" ref="F14275:F14276" si="2216">ROUND(19,3)</f>
        <v>19</v>
      </c>
      <c r="G14275" s="12">
        <f t="shared" si="2215"/>
        <v>19</v>
      </c>
    </row>
    <row r="14276" ht="24.0" customHeight="1">
      <c r="A14276" s="10" t="s">
        <v>30</v>
      </c>
      <c r="B14276" s="10" t="s">
        <v>26</v>
      </c>
      <c r="C14276" s="10" t="s">
        <v>23</v>
      </c>
      <c r="D14276" s="10" t="s">
        <v>31</v>
      </c>
      <c r="E14276" s="14">
        <v>0.2</v>
      </c>
      <c r="F14276" s="15">
        <f t="shared" si="2216"/>
        <v>19</v>
      </c>
      <c r="G14276" s="12">
        <f t="shared" si="2215"/>
        <v>3.8</v>
      </c>
    </row>
    <row r="14277" ht="15.0" customHeight="1">
      <c r="A14277" s="11"/>
      <c r="B14277" s="11"/>
      <c r="C14277" s="11"/>
      <c r="D14277" s="10" t="s">
        <v>22</v>
      </c>
      <c r="E14277" s="14">
        <v>0.66666</v>
      </c>
      <c r="F14277" s="15">
        <f>ROUND((G14274+G14275+G14276),3)</f>
        <v>43.8</v>
      </c>
      <c r="G14277" s="12">
        <f t="shared" si="2215"/>
        <v>29.2</v>
      </c>
    </row>
    <row r="14278" ht="15.0" customHeight="1">
      <c r="A14278" s="10" t="s">
        <v>32</v>
      </c>
      <c r="B14278" s="10"/>
      <c r="C14278" s="10" t="s">
        <v>33</v>
      </c>
      <c r="D14278" s="10" t="s">
        <v>34</v>
      </c>
      <c r="E14278" s="14">
        <v>5.0</v>
      </c>
      <c r="F14278" s="15">
        <f>ROUND(29.2,3)</f>
        <v>29.2</v>
      </c>
      <c r="G14278" s="12">
        <f>ROUND((E14278*F14278)/100,2)</f>
        <v>1.46</v>
      </c>
    </row>
    <row r="14279" ht="15.0" customHeight="1">
      <c r="A14279" s="16"/>
      <c r="B14279" s="16"/>
      <c r="C14279" s="16"/>
      <c r="D14279" s="17" t="s">
        <v>5906</v>
      </c>
      <c r="E14279" s="16"/>
      <c r="F14279" s="18">
        <f>ROUND((G14268+G14269+G14270+G14271+G14272+G14273+G14278)*(1+G2/100),2)</f>
        <v>42.69</v>
      </c>
      <c r="G14279" s="16"/>
    </row>
    <row r="14280" ht="39.75" customHeight="1">
      <c r="A14280" s="19" t="s">
        <v>5909</v>
      </c>
      <c r="B14280" s="20" t="s">
        <v>18</v>
      </c>
      <c r="C14280" s="20" t="s">
        <v>19</v>
      </c>
      <c r="D14280" s="20" t="s">
        <v>5910</v>
      </c>
      <c r="E14280" s="21"/>
      <c r="F14280" s="22">
        <f>F14293</f>
        <v>36.56</v>
      </c>
      <c r="G14280" s="21"/>
    </row>
    <row r="14281" ht="21.0" customHeight="1">
      <c r="A14281" s="11"/>
      <c r="B14281" s="11"/>
      <c r="C14281" s="11"/>
      <c r="D14281" s="10" t="s">
        <v>5911</v>
      </c>
    </row>
    <row r="14282" ht="30.0" customHeight="1">
      <c r="A14282" s="10" t="s">
        <v>1938</v>
      </c>
      <c r="B14282" s="10" t="s">
        <v>42</v>
      </c>
      <c r="C14282" s="10" t="s">
        <v>1939</v>
      </c>
      <c r="D14282" s="10" t="s">
        <v>1940</v>
      </c>
      <c r="E14282" s="14">
        <v>0.06</v>
      </c>
      <c r="F14282" s="15">
        <f>ROUND(29.17,3)</f>
        <v>29.17</v>
      </c>
      <c r="G14282" s="12">
        <f t="shared" ref="G14282:G14291" si="2217">ROUND(E14282*F14282,2)</f>
        <v>1.75</v>
      </c>
    </row>
    <row r="14283" ht="30.0" customHeight="1">
      <c r="A14283" s="10" t="s">
        <v>1941</v>
      </c>
      <c r="B14283" s="10" t="s">
        <v>42</v>
      </c>
      <c r="C14283" s="10" t="s">
        <v>184</v>
      </c>
      <c r="D14283" s="10" t="s">
        <v>1942</v>
      </c>
      <c r="E14283" s="14">
        <v>1.008</v>
      </c>
      <c r="F14283" s="15">
        <f>ROUND(8.33,3)</f>
        <v>8.33</v>
      </c>
      <c r="G14283" s="12">
        <f t="shared" si="2217"/>
        <v>8.4</v>
      </c>
    </row>
    <row r="14284" ht="30.0" customHeight="1">
      <c r="A14284" s="10" t="s">
        <v>1227</v>
      </c>
      <c r="B14284" s="10" t="s">
        <v>42</v>
      </c>
      <c r="C14284" s="10" t="s">
        <v>226</v>
      </c>
      <c r="D14284" s="10" t="s">
        <v>1228</v>
      </c>
      <c r="E14284" s="14">
        <v>0.021</v>
      </c>
      <c r="F14284" s="15">
        <f>ROUND(27.5,3)</f>
        <v>27.5</v>
      </c>
      <c r="G14284" s="12">
        <f t="shared" si="2217"/>
        <v>0.58</v>
      </c>
    </row>
    <row r="14285" ht="21.0" customHeight="1">
      <c r="A14285" s="10" t="s">
        <v>1857</v>
      </c>
      <c r="B14285" s="10" t="s">
        <v>42</v>
      </c>
      <c r="C14285" s="10" t="s">
        <v>231</v>
      </c>
      <c r="D14285" s="10" t="s">
        <v>1858</v>
      </c>
      <c r="E14285" s="14">
        <v>0.4</v>
      </c>
      <c r="F14285" s="15">
        <f>ROUND(1.05,3)</f>
        <v>1.05</v>
      </c>
      <c r="G14285" s="12">
        <f t="shared" si="2217"/>
        <v>0.42</v>
      </c>
    </row>
    <row r="14286" ht="30.0" customHeight="1">
      <c r="A14286" s="10" t="s">
        <v>5847</v>
      </c>
      <c r="B14286" s="10" t="s">
        <v>42</v>
      </c>
      <c r="C14286" s="10" t="s">
        <v>344</v>
      </c>
      <c r="D14286" s="10" t="s">
        <v>5848</v>
      </c>
      <c r="E14286" s="14">
        <v>0.5</v>
      </c>
      <c r="F14286" s="15">
        <f>ROUND(1.76,3)</f>
        <v>1.76</v>
      </c>
      <c r="G14286" s="12">
        <f t="shared" si="2217"/>
        <v>0.88</v>
      </c>
    </row>
    <row r="14287" ht="21.0" customHeight="1">
      <c r="A14287" s="10" t="s">
        <v>22</v>
      </c>
      <c r="B14287" s="10" t="s">
        <v>18</v>
      </c>
      <c r="C14287" s="10" t="s">
        <v>23</v>
      </c>
      <c r="D14287" s="10" t="s">
        <v>24</v>
      </c>
      <c r="E14287" s="14">
        <v>0.53333</v>
      </c>
      <c r="F14287" s="15">
        <f>F14291</f>
        <v>43.8</v>
      </c>
      <c r="G14287" s="12">
        <f t="shared" si="2217"/>
        <v>23.36</v>
      </c>
    </row>
    <row r="14288" ht="24.0" customHeight="1">
      <c r="A14288" s="10" t="s">
        <v>25</v>
      </c>
      <c r="B14288" s="10" t="s">
        <v>26</v>
      </c>
      <c r="C14288" s="10" t="s">
        <v>23</v>
      </c>
      <c r="D14288" s="10" t="s">
        <v>27</v>
      </c>
      <c r="E14288" s="14">
        <v>1.0</v>
      </c>
      <c r="F14288" s="15">
        <f>ROUND(21,3)</f>
        <v>21</v>
      </c>
      <c r="G14288" s="12">
        <f t="shared" si="2217"/>
        <v>21</v>
      </c>
    </row>
    <row r="14289" ht="24.0" customHeight="1">
      <c r="A14289" s="10" t="s">
        <v>28</v>
      </c>
      <c r="B14289" s="10" t="s">
        <v>26</v>
      </c>
      <c r="C14289" s="10" t="s">
        <v>23</v>
      </c>
      <c r="D14289" s="10" t="s">
        <v>29</v>
      </c>
      <c r="E14289" s="14">
        <v>1.0</v>
      </c>
      <c r="F14289" s="15">
        <f t="shared" ref="F14289:F14290" si="2218">ROUND(19,3)</f>
        <v>19</v>
      </c>
      <c r="G14289" s="12">
        <f t="shared" si="2217"/>
        <v>19</v>
      </c>
    </row>
    <row r="14290" ht="24.0" customHeight="1">
      <c r="A14290" s="10" t="s">
        <v>30</v>
      </c>
      <c r="B14290" s="10" t="s">
        <v>26</v>
      </c>
      <c r="C14290" s="10" t="s">
        <v>23</v>
      </c>
      <c r="D14290" s="10" t="s">
        <v>31</v>
      </c>
      <c r="E14290" s="14">
        <v>0.2</v>
      </c>
      <c r="F14290" s="15">
        <f t="shared" si="2218"/>
        <v>19</v>
      </c>
      <c r="G14290" s="12">
        <f t="shared" si="2217"/>
        <v>3.8</v>
      </c>
    </row>
    <row r="14291" ht="15.0" customHeight="1">
      <c r="A14291" s="11"/>
      <c r="B14291" s="11"/>
      <c r="C14291" s="11"/>
      <c r="D14291" s="10" t="s">
        <v>22</v>
      </c>
      <c r="E14291" s="14">
        <v>0.53333</v>
      </c>
      <c r="F14291" s="15">
        <f>ROUND((G14288+G14289+G14290),3)</f>
        <v>43.8</v>
      </c>
      <c r="G14291" s="12">
        <f t="shared" si="2217"/>
        <v>23.36</v>
      </c>
    </row>
    <row r="14292" ht="15.0" customHeight="1">
      <c r="A14292" s="10" t="s">
        <v>32</v>
      </c>
      <c r="B14292" s="10"/>
      <c r="C14292" s="10" t="s">
        <v>33</v>
      </c>
      <c r="D14292" s="10" t="s">
        <v>34</v>
      </c>
      <c r="E14292" s="14">
        <v>5.0</v>
      </c>
      <c r="F14292" s="15">
        <f>ROUND(23.36,3)</f>
        <v>23.36</v>
      </c>
      <c r="G14292" s="12">
        <f>ROUND((E14292*F14292)/100,2)</f>
        <v>1.17</v>
      </c>
    </row>
    <row r="14293" ht="15.0" customHeight="1">
      <c r="A14293" s="16"/>
      <c r="B14293" s="16"/>
      <c r="C14293" s="16"/>
      <c r="D14293" s="17" t="s">
        <v>5909</v>
      </c>
      <c r="E14293" s="16"/>
      <c r="F14293" s="18">
        <f>ROUND((G14282+G14283+G14284+G14285+G14286+G14287+G14292)*(1+G2/100),2)</f>
        <v>36.56</v>
      </c>
      <c r="G14293" s="16"/>
    </row>
    <row r="14294" ht="67.5" customHeight="1">
      <c r="A14294" s="19" t="s">
        <v>5912</v>
      </c>
      <c r="B14294" s="20" t="s">
        <v>18</v>
      </c>
      <c r="C14294" s="20" t="s">
        <v>19</v>
      </c>
      <c r="D14294" s="20" t="s">
        <v>5913</v>
      </c>
      <c r="E14294" s="21"/>
      <c r="F14294" s="22">
        <f>F14308</f>
        <v>47.04</v>
      </c>
      <c r="G14294" s="21"/>
    </row>
    <row r="14295" ht="39.75" customHeight="1">
      <c r="A14295" s="11"/>
      <c r="B14295" s="11"/>
      <c r="C14295" s="11"/>
      <c r="D14295" s="10" t="s">
        <v>5914</v>
      </c>
    </row>
    <row r="14296" ht="30.0" customHeight="1">
      <c r="A14296" s="10" t="s">
        <v>5860</v>
      </c>
      <c r="B14296" s="10" t="s">
        <v>42</v>
      </c>
      <c r="C14296" s="10" t="s">
        <v>184</v>
      </c>
      <c r="D14296" s="10" t="s">
        <v>5861</v>
      </c>
      <c r="E14296" s="14">
        <v>1.0</v>
      </c>
      <c r="F14296" s="15">
        <f>ROUND(11.74,3)</f>
        <v>11.74</v>
      </c>
      <c r="G14296" s="12">
        <f t="shared" ref="G14296:G14306" si="2219">ROUND(E14296*F14296,2)</f>
        <v>11.74</v>
      </c>
    </row>
    <row r="14297" ht="30.0" customHeight="1">
      <c r="A14297" s="10" t="s">
        <v>1929</v>
      </c>
      <c r="B14297" s="10" t="s">
        <v>42</v>
      </c>
      <c r="C14297" s="10" t="s">
        <v>184</v>
      </c>
      <c r="D14297" s="10" t="s">
        <v>1930</v>
      </c>
      <c r="E14297" s="14">
        <v>0.5</v>
      </c>
      <c r="F14297" s="15">
        <f>ROUND(10.18,3)</f>
        <v>10.18</v>
      </c>
      <c r="G14297" s="12">
        <f t="shared" si="2219"/>
        <v>5.09</v>
      </c>
    </row>
    <row r="14298" ht="30.0" customHeight="1">
      <c r="A14298" s="10" t="s">
        <v>1227</v>
      </c>
      <c r="B14298" s="10" t="s">
        <v>42</v>
      </c>
      <c r="C14298" s="10" t="s">
        <v>226</v>
      </c>
      <c r="D14298" s="10" t="s">
        <v>1228</v>
      </c>
      <c r="E14298" s="14">
        <v>0.021</v>
      </c>
      <c r="F14298" s="15">
        <f>ROUND(27.5,3)</f>
        <v>27.5</v>
      </c>
      <c r="G14298" s="12">
        <f t="shared" si="2219"/>
        <v>0.58</v>
      </c>
    </row>
    <row r="14299" ht="21.0" customHeight="1">
      <c r="A14299" s="10" t="s">
        <v>1857</v>
      </c>
      <c r="B14299" s="10" t="s">
        <v>42</v>
      </c>
      <c r="C14299" s="10" t="s">
        <v>231</v>
      </c>
      <c r="D14299" s="10" t="s">
        <v>1858</v>
      </c>
      <c r="E14299" s="14">
        <v>0.4</v>
      </c>
      <c r="F14299" s="15">
        <f>ROUND(1.05,3)</f>
        <v>1.05</v>
      </c>
      <c r="G14299" s="12">
        <f t="shared" si="2219"/>
        <v>0.42</v>
      </c>
    </row>
    <row r="14300" ht="30.0" customHeight="1">
      <c r="A14300" s="10" t="s">
        <v>5847</v>
      </c>
      <c r="B14300" s="10" t="s">
        <v>42</v>
      </c>
      <c r="C14300" s="10" t="s">
        <v>344</v>
      </c>
      <c r="D14300" s="10" t="s">
        <v>5848</v>
      </c>
      <c r="E14300" s="14">
        <v>0.5</v>
      </c>
      <c r="F14300" s="15">
        <f>ROUND(1.76,3)</f>
        <v>1.76</v>
      </c>
      <c r="G14300" s="12">
        <f t="shared" si="2219"/>
        <v>0.88</v>
      </c>
    </row>
    <row r="14301" ht="21.0" customHeight="1">
      <c r="A14301" s="10" t="s">
        <v>228</v>
      </c>
      <c r="B14301" s="10" t="s">
        <v>42</v>
      </c>
      <c r="C14301" s="10" t="s">
        <v>226</v>
      </c>
      <c r="D14301" s="10" t="s">
        <v>229</v>
      </c>
      <c r="E14301" s="14">
        <v>0.02444</v>
      </c>
      <c r="F14301" s="15">
        <f>ROUND(1.32,3)</f>
        <v>1.32</v>
      </c>
      <c r="G14301" s="12">
        <f t="shared" si="2219"/>
        <v>0.03</v>
      </c>
    </row>
    <row r="14302" ht="21.0" customHeight="1">
      <c r="A14302" s="10" t="s">
        <v>22</v>
      </c>
      <c r="B14302" s="10" t="s">
        <v>18</v>
      </c>
      <c r="C14302" s="10" t="s">
        <v>23</v>
      </c>
      <c r="D14302" s="10" t="s">
        <v>24</v>
      </c>
      <c r="E14302" s="14">
        <v>0.6154</v>
      </c>
      <c r="F14302" s="15">
        <f>F14306</f>
        <v>43.8</v>
      </c>
      <c r="G14302" s="12">
        <f t="shared" si="2219"/>
        <v>26.95</v>
      </c>
    </row>
    <row r="14303" ht="24.0" customHeight="1">
      <c r="A14303" s="10" t="s">
        <v>25</v>
      </c>
      <c r="B14303" s="10" t="s">
        <v>26</v>
      </c>
      <c r="C14303" s="10" t="s">
        <v>23</v>
      </c>
      <c r="D14303" s="10" t="s">
        <v>27</v>
      </c>
      <c r="E14303" s="14">
        <v>1.0</v>
      </c>
      <c r="F14303" s="15">
        <f>ROUND(21,3)</f>
        <v>21</v>
      </c>
      <c r="G14303" s="12">
        <f t="shared" si="2219"/>
        <v>21</v>
      </c>
    </row>
    <row r="14304" ht="24.0" customHeight="1">
      <c r="A14304" s="10" t="s">
        <v>28</v>
      </c>
      <c r="B14304" s="10" t="s">
        <v>26</v>
      </c>
      <c r="C14304" s="10" t="s">
        <v>23</v>
      </c>
      <c r="D14304" s="10" t="s">
        <v>29</v>
      </c>
      <c r="E14304" s="14">
        <v>1.0</v>
      </c>
      <c r="F14304" s="15">
        <f t="shared" ref="F14304:F14305" si="2220">ROUND(19,3)</f>
        <v>19</v>
      </c>
      <c r="G14304" s="12">
        <f t="shared" si="2219"/>
        <v>19</v>
      </c>
    </row>
    <row r="14305" ht="24.0" customHeight="1">
      <c r="A14305" s="10" t="s">
        <v>30</v>
      </c>
      <c r="B14305" s="10" t="s">
        <v>26</v>
      </c>
      <c r="C14305" s="10" t="s">
        <v>23</v>
      </c>
      <c r="D14305" s="10" t="s">
        <v>31</v>
      </c>
      <c r="E14305" s="14">
        <v>0.2</v>
      </c>
      <c r="F14305" s="15">
        <f t="shared" si="2220"/>
        <v>19</v>
      </c>
      <c r="G14305" s="12">
        <f t="shared" si="2219"/>
        <v>3.8</v>
      </c>
    </row>
    <row r="14306" ht="15.0" customHeight="1">
      <c r="A14306" s="11"/>
      <c r="B14306" s="11"/>
      <c r="C14306" s="11"/>
      <c r="D14306" s="10" t="s">
        <v>22</v>
      </c>
      <c r="E14306" s="14">
        <v>0.6154</v>
      </c>
      <c r="F14306" s="15">
        <f>ROUND((G14303+G14304+G14305),3)</f>
        <v>43.8</v>
      </c>
      <c r="G14306" s="12">
        <f t="shared" si="2219"/>
        <v>26.95</v>
      </c>
    </row>
    <row r="14307" ht="15.0" customHeight="1">
      <c r="A14307" s="10" t="s">
        <v>32</v>
      </c>
      <c r="B14307" s="10"/>
      <c r="C14307" s="10" t="s">
        <v>33</v>
      </c>
      <c r="D14307" s="10" t="s">
        <v>34</v>
      </c>
      <c r="E14307" s="14">
        <v>5.0</v>
      </c>
      <c r="F14307" s="15">
        <f>ROUND(26.95,3)</f>
        <v>26.95</v>
      </c>
      <c r="G14307" s="12">
        <f>ROUND((E14307*F14307)/100,2)</f>
        <v>1.35</v>
      </c>
    </row>
    <row r="14308" ht="15.0" customHeight="1">
      <c r="A14308" s="16"/>
      <c r="B14308" s="16"/>
      <c r="C14308" s="16"/>
      <c r="D14308" s="17" t="s">
        <v>5912</v>
      </c>
      <c r="E14308" s="16"/>
      <c r="F14308" s="18">
        <f>ROUND((G14296+G14297+G14298+G14299+G14300+G14301+G14302+G14307)*(1+G2/100),2)</f>
        <v>47.04</v>
      </c>
      <c r="G14308" s="16"/>
    </row>
    <row r="14309" ht="76.5" customHeight="1">
      <c r="A14309" s="19" t="s">
        <v>5915</v>
      </c>
      <c r="B14309" s="20" t="s">
        <v>18</v>
      </c>
      <c r="C14309" s="20" t="s">
        <v>19</v>
      </c>
      <c r="D14309" s="20" t="s">
        <v>5916</v>
      </c>
      <c r="E14309" s="21"/>
      <c r="F14309" s="22">
        <f>F14323</f>
        <v>40.38</v>
      </c>
      <c r="G14309" s="21"/>
    </row>
    <row r="14310" ht="39.75" customHeight="1">
      <c r="A14310" s="11"/>
      <c r="B14310" s="11"/>
      <c r="C14310" s="11"/>
      <c r="D14310" s="10" t="s">
        <v>5917</v>
      </c>
    </row>
    <row r="14311" ht="30.0" customHeight="1">
      <c r="A14311" s="10" t="s">
        <v>5860</v>
      </c>
      <c r="B14311" s="10" t="s">
        <v>42</v>
      </c>
      <c r="C14311" s="10" t="s">
        <v>184</v>
      </c>
      <c r="D14311" s="10" t="s">
        <v>5861</v>
      </c>
      <c r="E14311" s="14">
        <v>1.0</v>
      </c>
      <c r="F14311" s="15">
        <f>ROUND(11.74,3)</f>
        <v>11.74</v>
      </c>
      <c r="G14311" s="12">
        <f t="shared" ref="G14311:G14321" si="2221">ROUND(E14311*F14311,2)</f>
        <v>11.74</v>
      </c>
    </row>
    <row r="14312" ht="30.0" customHeight="1">
      <c r="A14312" s="10" t="s">
        <v>1929</v>
      </c>
      <c r="B14312" s="10" t="s">
        <v>42</v>
      </c>
      <c r="C14312" s="10" t="s">
        <v>184</v>
      </c>
      <c r="D14312" s="10" t="s">
        <v>1930</v>
      </c>
      <c r="E14312" s="14">
        <v>0.5</v>
      </c>
      <c r="F14312" s="15">
        <f>ROUND(10.18,3)</f>
        <v>10.18</v>
      </c>
      <c r="G14312" s="12">
        <f t="shared" si="2221"/>
        <v>5.09</v>
      </c>
    </row>
    <row r="14313" ht="30.0" customHeight="1">
      <c r="A14313" s="10" t="s">
        <v>1227</v>
      </c>
      <c r="B14313" s="10" t="s">
        <v>42</v>
      </c>
      <c r="C14313" s="10" t="s">
        <v>226</v>
      </c>
      <c r="D14313" s="10" t="s">
        <v>1228</v>
      </c>
      <c r="E14313" s="14">
        <v>0.021</v>
      </c>
      <c r="F14313" s="15">
        <f>ROUND(27.5,3)</f>
        <v>27.5</v>
      </c>
      <c r="G14313" s="12">
        <f t="shared" si="2221"/>
        <v>0.58</v>
      </c>
    </row>
    <row r="14314" ht="21.0" customHeight="1">
      <c r="A14314" s="10" t="s">
        <v>1857</v>
      </c>
      <c r="B14314" s="10" t="s">
        <v>42</v>
      </c>
      <c r="C14314" s="10" t="s">
        <v>231</v>
      </c>
      <c r="D14314" s="10" t="s">
        <v>1858</v>
      </c>
      <c r="E14314" s="14">
        <v>0.4</v>
      </c>
      <c r="F14314" s="15">
        <f>ROUND(1.05,3)</f>
        <v>1.05</v>
      </c>
      <c r="G14314" s="12">
        <f t="shared" si="2221"/>
        <v>0.42</v>
      </c>
    </row>
    <row r="14315" ht="30.0" customHeight="1">
      <c r="A14315" s="10" t="s">
        <v>5847</v>
      </c>
      <c r="B14315" s="10" t="s">
        <v>42</v>
      </c>
      <c r="C14315" s="10" t="s">
        <v>344</v>
      </c>
      <c r="D14315" s="10" t="s">
        <v>5848</v>
      </c>
      <c r="E14315" s="14">
        <v>0.5</v>
      </c>
      <c r="F14315" s="15">
        <f>ROUND(1.76,3)</f>
        <v>1.76</v>
      </c>
      <c r="G14315" s="12">
        <f t="shared" si="2221"/>
        <v>0.88</v>
      </c>
    </row>
    <row r="14316" ht="21.0" customHeight="1">
      <c r="A14316" s="10" t="s">
        <v>228</v>
      </c>
      <c r="B14316" s="10" t="s">
        <v>42</v>
      </c>
      <c r="C14316" s="10" t="s">
        <v>226</v>
      </c>
      <c r="D14316" s="10" t="s">
        <v>229</v>
      </c>
      <c r="E14316" s="14">
        <v>0.02444</v>
      </c>
      <c r="F14316" s="15">
        <f>ROUND(1.32,3)</f>
        <v>1.32</v>
      </c>
      <c r="G14316" s="12">
        <f t="shared" si="2221"/>
        <v>0.03</v>
      </c>
    </row>
    <row r="14317" ht="21.0" customHeight="1">
      <c r="A14317" s="10" t="s">
        <v>22</v>
      </c>
      <c r="B14317" s="10" t="s">
        <v>18</v>
      </c>
      <c r="C14317" s="10" t="s">
        <v>23</v>
      </c>
      <c r="D14317" s="10" t="s">
        <v>24</v>
      </c>
      <c r="E14317" s="14">
        <v>0.4706</v>
      </c>
      <c r="F14317" s="15">
        <f>F14321</f>
        <v>43.8</v>
      </c>
      <c r="G14317" s="12">
        <f t="shared" si="2221"/>
        <v>20.61</v>
      </c>
    </row>
    <row r="14318" ht="24.0" customHeight="1">
      <c r="A14318" s="10" t="s">
        <v>25</v>
      </c>
      <c r="B14318" s="10" t="s">
        <v>26</v>
      </c>
      <c r="C14318" s="10" t="s">
        <v>23</v>
      </c>
      <c r="D14318" s="10" t="s">
        <v>27</v>
      </c>
      <c r="E14318" s="14">
        <v>1.0</v>
      </c>
      <c r="F14318" s="15">
        <f>ROUND(21,3)</f>
        <v>21</v>
      </c>
      <c r="G14318" s="12">
        <f t="shared" si="2221"/>
        <v>21</v>
      </c>
    </row>
    <row r="14319" ht="24.0" customHeight="1">
      <c r="A14319" s="10" t="s">
        <v>28</v>
      </c>
      <c r="B14319" s="10" t="s">
        <v>26</v>
      </c>
      <c r="C14319" s="10" t="s">
        <v>23</v>
      </c>
      <c r="D14319" s="10" t="s">
        <v>29</v>
      </c>
      <c r="E14319" s="14">
        <v>1.0</v>
      </c>
      <c r="F14319" s="15">
        <f t="shared" ref="F14319:F14320" si="2222">ROUND(19,3)</f>
        <v>19</v>
      </c>
      <c r="G14319" s="12">
        <f t="shared" si="2221"/>
        <v>19</v>
      </c>
    </row>
    <row r="14320" ht="24.0" customHeight="1">
      <c r="A14320" s="10" t="s">
        <v>30</v>
      </c>
      <c r="B14320" s="10" t="s">
        <v>26</v>
      </c>
      <c r="C14320" s="10" t="s">
        <v>23</v>
      </c>
      <c r="D14320" s="10" t="s">
        <v>31</v>
      </c>
      <c r="E14320" s="14">
        <v>0.2</v>
      </c>
      <c r="F14320" s="15">
        <f t="shared" si="2222"/>
        <v>19</v>
      </c>
      <c r="G14320" s="12">
        <f t="shared" si="2221"/>
        <v>3.8</v>
      </c>
    </row>
    <row r="14321" ht="15.0" customHeight="1">
      <c r="A14321" s="11"/>
      <c r="B14321" s="11"/>
      <c r="C14321" s="11"/>
      <c r="D14321" s="10" t="s">
        <v>22</v>
      </c>
      <c r="E14321" s="14">
        <v>0.4706</v>
      </c>
      <c r="F14321" s="15">
        <f>ROUND((G14318+G14319+G14320),3)</f>
        <v>43.8</v>
      </c>
      <c r="G14321" s="12">
        <f t="shared" si="2221"/>
        <v>20.61</v>
      </c>
    </row>
    <row r="14322" ht="15.0" customHeight="1">
      <c r="A14322" s="10" t="s">
        <v>32</v>
      </c>
      <c r="B14322" s="10"/>
      <c r="C14322" s="10" t="s">
        <v>33</v>
      </c>
      <c r="D14322" s="10" t="s">
        <v>34</v>
      </c>
      <c r="E14322" s="14">
        <v>5.0</v>
      </c>
      <c r="F14322" s="15">
        <f>ROUND(20.61,3)</f>
        <v>20.61</v>
      </c>
      <c r="G14322" s="12">
        <f>ROUND((E14322*F14322)/100,2)</f>
        <v>1.03</v>
      </c>
    </row>
    <row r="14323" ht="15.0" customHeight="1">
      <c r="A14323" s="16"/>
      <c r="B14323" s="16"/>
      <c r="C14323" s="16"/>
      <c r="D14323" s="17" t="s">
        <v>5915</v>
      </c>
      <c r="E14323" s="16"/>
      <c r="F14323" s="18">
        <f>ROUND((G14311+G14312+G14313+G14314+G14315+G14316+G14317+G14322)*(1+G2/100),2)</f>
        <v>40.38</v>
      </c>
      <c r="G14323" s="16"/>
    </row>
    <row r="14324" ht="85.5" customHeight="1">
      <c r="A14324" s="19" t="s">
        <v>5918</v>
      </c>
      <c r="B14324" s="20" t="s">
        <v>18</v>
      </c>
      <c r="C14324" s="20" t="s">
        <v>19</v>
      </c>
      <c r="D14324" s="20" t="s">
        <v>5919</v>
      </c>
      <c r="E14324" s="21"/>
      <c r="F14324" s="22">
        <f>F14338</f>
        <v>49.4</v>
      </c>
      <c r="G14324" s="21"/>
    </row>
    <row r="14325" ht="48.75" customHeight="1">
      <c r="A14325" s="11"/>
      <c r="B14325" s="11"/>
      <c r="C14325" s="11"/>
      <c r="D14325" s="10" t="s">
        <v>5920</v>
      </c>
    </row>
    <row r="14326" ht="30.0" customHeight="1">
      <c r="A14326" s="10" t="s">
        <v>5860</v>
      </c>
      <c r="B14326" s="10" t="s">
        <v>42</v>
      </c>
      <c r="C14326" s="10" t="s">
        <v>184</v>
      </c>
      <c r="D14326" s="10" t="s">
        <v>5861</v>
      </c>
      <c r="E14326" s="14">
        <v>1.0</v>
      </c>
      <c r="F14326" s="15">
        <f>ROUND(11.74,3)</f>
        <v>11.74</v>
      </c>
      <c r="G14326" s="12">
        <f t="shared" ref="G14326:G14336" si="2223">ROUND(E14326*F14326,2)</f>
        <v>11.74</v>
      </c>
    </row>
    <row r="14327" ht="30.0" customHeight="1">
      <c r="A14327" s="10" t="s">
        <v>1929</v>
      </c>
      <c r="B14327" s="10" t="s">
        <v>42</v>
      </c>
      <c r="C14327" s="10" t="s">
        <v>184</v>
      </c>
      <c r="D14327" s="10" t="s">
        <v>1930</v>
      </c>
      <c r="E14327" s="14">
        <v>0.5</v>
      </c>
      <c r="F14327" s="15">
        <f>ROUND(10.18,3)</f>
        <v>10.18</v>
      </c>
      <c r="G14327" s="12">
        <f t="shared" si="2223"/>
        <v>5.09</v>
      </c>
    </row>
    <row r="14328" ht="30.0" customHeight="1">
      <c r="A14328" s="10" t="s">
        <v>1227</v>
      </c>
      <c r="B14328" s="10" t="s">
        <v>42</v>
      </c>
      <c r="C14328" s="10" t="s">
        <v>226</v>
      </c>
      <c r="D14328" s="10" t="s">
        <v>1228</v>
      </c>
      <c r="E14328" s="14">
        <v>0.021</v>
      </c>
      <c r="F14328" s="15">
        <f>ROUND(27.5,3)</f>
        <v>27.5</v>
      </c>
      <c r="G14328" s="12">
        <f t="shared" si="2223"/>
        <v>0.58</v>
      </c>
    </row>
    <row r="14329" ht="21.0" customHeight="1">
      <c r="A14329" s="10" t="s">
        <v>1857</v>
      </c>
      <c r="B14329" s="10" t="s">
        <v>42</v>
      </c>
      <c r="C14329" s="10" t="s">
        <v>231</v>
      </c>
      <c r="D14329" s="10" t="s">
        <v>1858</v>
      </c>
      <c r="E14329" s="14">
        <v>0.4</v>
      </c>
      <c r="F14329" s="15">
        <f>ROUND(1.05,3)</f>
        <v>1.05</v>
      </c>
      <c r="G14329" s="12">
        <f t="shared" si="2223"/>
        <v>0.42</v>
      </c>
    </row>
    <row r="14330" ht="30.0" customHeight="1">
      <c r="A14330" s="10" t="s">
        <v>5847</v>
      </c>
      <c r="B14330" s="10" t="s">
        <v>42</v>
      </c>
      <c r="C14330" s="10" t="s">
        <v>344</v>
      </c>
      <c r="D14330" s="10" t="s">
        <v>5848</v>
      </c>
      <c r="E14330" s="14">
        <v>0.5</v>
      </c>
      <c r="F14330" s="15">
        <f>ROUND(1.76,3)</f>
        <v>1.76</v>
      </c>
      <c r="G14330" s="12">
        <f t="shared" si="2223"/>
        <v>0.88</v>
      </c>
    </row>
    <row r="14331" ht="21.0" customHeight="1">
      <c r="A14331" s="10" t="s">
        <v>228</v>
      </c>
      <c r="B14331" s="10" t="s">
        <v>42</v>
      </c>
      <c r="C14331" s="10" t="s">
        <v>226</v>
      </c>
      <c r="D14331" s="10" t="s">
        <v>229</v>
      </c>
      <c r="E14331" s="14">
        <v>0.02444</v>
      </c>
      <c r="F14331" s="15">
        <f>ROUND(1.32,3)</f>
        <v>1.32</v>
      </c>
      <c r="G14331" s="12">
        <f t="shared" si="2223"/>
        <v>0.03</v>
      </c>
    </row>
    <row r="14332" ht="21.0" customHeight="1">
      <c r="A14332" s="10" t="s">
        <v>22</v>
      </c>
      <c r="B14332" s="10" t="s">
        <v>18</v>
      </c>
      <c r="C14332" s="10" t="s">
        <v>23</v>
      </c>
      <c r="D14332" s="10" t="s">
        <v>24</v>
      </c>
      <c r="E14332" s="14">
        <v>0.6666</v>
      </c>
      <c r="F14332" s="15">
        <f>F14336</f>
        <v>43.8</v>
      </c>
      <c r="G14332" s="12">
        <f t="shared" si="2223"/>
        <v>29.2</v>
      </c>
    </row>
    <row r="14333" ht="24.0" customHeight="1">
      <c r="A14333" s="10" t="s">
        <v>25</v>
      </c>
      <c r="B14333" s="10" t="s">
        <v>26</v>
      </c>
      <c r="C14333" s="10" t="s">
        <v>23</v>
      </c>
      <c r="D14333" s="10" t="s">
        <v>27</v>
      </c>
      <c r="E14333" s="14">
        <v>1.0</v>
      </c>
      <c r="F14333" s="15">
        <f>ROUND(21,3)</f>
        <v>21</v>
      </c>
      <c r="G14333" s="12">
        <f t="shared" si="2223"/>
        <v>21</v>
      </c>
    </row>
    <row r="14334" ht="24.0" customHeight="1">
      <c r="A14334" s="10" t="s">
        <v>28</v>
      </c>
      <c r="B14334" s="10" t="s">
        <v>26</v>
      </c>
      <c r="C14334" s="10" t="s">
        <v>23</v>
      </c>
      <c r="D14334" s="10" t="s">
        <v>29</v>
      </c>
      <c r="E14334" s="14">
        <v>1.0</v>
      </c>
      <c r="F14334" s="15">
        <f t="shared" ref="F14334:F14335" si="2224">ROUND(19,3)</f>
        <v>19</v>
      </c>
      <c r="G14334" s="12">
        <f t="shared" si="2223"/>
        <v>19</v>
      </c>
    </row>
    <row r="14335" ht="24.0" customHeight="1">
      <c r="A14335" s="10" t="s">
        <v>30</v>
      </c>
      <c r="B14335" s="10" t="s">
        <v>26</v>
      </c>
      <c r="C14335" s="10" t="s">
        <v>23</v>
      </c>
      <c r="D14335" s="10" t="s">
        <v>31</v>
      </c>
      <c r="E14335" s="14">
        <v>0.2</v>
      </c>
      <c r="F14335" s="15">
        <f t="shared" si="2224"/>
        <v>19</v>
      </c>
      <c r="G14335" s="12">
        <f t="shared" si="2223"/>
        <v>3.8</v>
      </c>
    </row>
    <row r="14336" ht="15.0" customHeight="1">
      <c r="A14336" s="11"/>
      <c r="B14336" s="11"/>
      <c r="C14336" s="11"/>
      <c r="D14336" s="10" t="s">
        <v>22</v>
      </c>
      <c r="E14336" s="14">
        <v>0.6666</v>
      </c>
      <c r="F14336" s="15">
        <f>ROUND((G14333+G14334+G14335),3)</f>
        <v>43.8</v>
      </c>
      <c r="G14336" s="12">
        <f t="shared" si="2223"/>
        <v>29.2</v>
      </c>
    </row>
    <row r="14337" ht="15.0" customHeight="1">
      <c r="A14337" s="10" t="s">
        <v>32</v>
      </c>
      <c r="B14337" s="10"/>
      <c r="C14337" s="10" t="s">
        <v>33</v>
      </c>
      <c r="D14337" s="10" t="s">
        <v>34</v>
      </c>
      <c r="E14337" s="14">
        <v>5.0</v>
      </c>
      <c r="F14337" s="15">
        <f>ROUND(29.2,3)</f>
        <v>29.2</v>
      </c>
      <c r="G14337" s="12">
        <f>ROUND((E14337*F14337)/100,2)</f>
        <v>1.46</v>
      </c>
    </row>
    <row r="14338" ht="15.0" customHeight="1">
      <c r="A14338" s="16"/>
      <c r="B14338" s="16"/>
      <c r="C14338" s="16"/>
      <c r="D14338" s="17" t="s">
        <v>5918</v>
      </c>
      <c r="E14338" s="16"/>
      <c r="F14338" s="18">
        <f>ROUND((G14326+G14327+G14328+G14329+G14330+G14331+G14332+G14337)*(1+G2/100),2)</f>
        <v>49.4</v>
      </c>
      <c r="G14338" s="16"/>
    </row>
    <row r="14339" ht="67.5" customHeight="1">
      <c r="A14339" s="19" t="s">
        <v>5921</v>
      </c>
      <c r="B14339" s="20" t="s">
        <v>18</v>
      </c>
      <c r="C14339" s="20" t="s">
        <v>19</v>
      </c>
      <c r="D14339" s="20" t="s">
        <v>5922</v>
      </c>
      <c r="E14339" s="21"/>
      <c r="F14339" s="22">
        <f>F14353</f>
        <v>43.19</v>
      </c>
      <c r="G14339" s="21"/>
    </row>
    <row r="14340" ht="39.75" customHeight="1">
      <c r="A14340" s="11"/>
      <c r="B14340" s="11"/>
      <c r="C14340" s="11"/>
      <c r="D14340" s="10" t="s">
        <v>5923</v>
      </c>
    </row>
    <row r="14341" ht="30.0" customHeight="1">
      <c r="A14341" s="10" t="s">
        <v>5898</v>
      </c>
      <c r="B14341" s="10" t="s">
        <v>42</v>
      </c>
      <c r="C14341" s="10" t="s">
        <v>184</v>
      </c>
      <c r="D14341" s="10" t="s">
        <v>5899</v>
      </c>
      <c r="E14341" s="14">
        <v>1.0</v>
      </c>
      <c r="F14341" s="15">
        <f>ROUND(7.89,3)</f>
        <v>7.89</v>
      </c>
      <c r="G14341" s="12">
        <f t="shared" ref="G14341:G14351" si="2225">ROUND(E14341*F14341,2)</f>
        <v>7.89</v>
      </c>
    </row>
    <row r="14342" ht="21.0" customHeight="1">
      <c r="A14342" s="10" t="s">
        <v>5924</v>
      </c>
      <c r="B14342" s="10" t="s">
        <v>42</v>
      </c>
      <c r="C14342" s="10" t="s">
        <v>184</v>
      </c>
      <c r="D14342" s="10" t="s">
        <v>5925</v>
      </c>
      <c r="E14342" s="14">
        <v>0.5</v>
      </c>
      <c r="F14342" s="15">
        <f>ROUND(10.18,3)</f>
        <v>10.18</v>
      </c>
      <c r="G14342" s="12">
        <f t="shared" si="2225"/>
        <v>5.09</v>
      </c>
    </row>
    <row r="14343" ht="30.0" customHeight="1">
      <c r="A14343" s="10" t="s">
        <v>1227</v>
      </c>
      <c r="B14343" s="10" t="s">
        <v>42</v>
      </c>
      <c r="C14343" s="10" t="s">
        <v>226</v>
      </c>
      <c r="D14343" s="10" t="s">
        <v>1228</v>
      </c>
      <c r="E14343" s="14">
        <v>0.021</v>
      </c>
      <c r="F14343" s="15">
        <f>ROUND(27.5,3)</f>
        <v>27.5</v>
      </c>
      <c r="G14343" s="12">
        <f t="shared" si="2225"/>
        <v>0.58</v>
      </c>
    </row>
    <row r="14344" ht="21.0" customHeight="1">
      <c r="A14344" s="10" t="s">
        <v>1857</v>
      </c>
      <c r="B14344" s="10" t="s">
        <v>42</v>
      </c>
      <c r="C14344" s="10" t="s">
        <v>231</v>
      </c>
      <c r="D14344" s="10" t="s">
        <v>1858</v>
      </c>
      <c r="E14344" s="14">
        <v>0.4</v>
      </c>
      <c r="F14344" s="15">
        <f>ROUND(1.05,3)</f>
        <v>1.05</v>
      </c>
      <c r="G14344" s="12">
        <f t="shared" si="2225"/>
        <v>0.42</v>
      </c>
    </row>
    <row r="14345" ht="30.0" customHeight="1">
      <c r="A14345" s="10" t="s">
        <v>5847</v>
      </c>
      <c r="B14345" s="10" t="s">
        <v>42</v>
      </c>
      <c r="C14345" s="10" t="s">
        <v>344</v>
      </c>
      <c r="D14345" s="10" t="s">
        <v>5848</v>
      </c>
      <c r="E14345" s="14">
        <v>0.5</v>
      </c>
      <c r="F14345" s="15">
        <f>ROUND(1.76,3)</f>
        <v>1.76</v>
      </c>
      <c r="G14345" s="12">
        <f t="shared" si="2225"/>
        <v>0.88</v>
      </c>
    </row>
    <row r="14346" ht="21.0" customHeight="1">
      <c r="A14346" s="10" t="s">
        <v>228</v>
      </c>
      <c r="B14346" s="10" t="s">
        <v>42</v>
      </c>
      <c r="C14346" s="10" t="s">
        <v>226</v>
      </c>
      <c r="D14346" s="10" t="s">
        <v>229</v>
      </c>
      <c r="E14346" s="14">
        <v>0.02444</v>
      </c>
      <c r="F14346" s="15">
        <f>ROUND(1.32,3)</f>
        <v>1.32</v>
      </c>
      <c r="G14346" s="12">
        <f t="shared" si="2225"/>
        <v>0.03</v>
      </c>
    </row>
    <row r="14347" ht="21.0" customHeight="1">
      <c r="A14347" s="10" t="s">
        <v>22</v>
      </c>
      <c r="B14347" s="10" t="s">
        <v>18</v>
      </c>
      <c r="C14347" s="10" t="s">
        <v>23</v>
      </c>
      <c r="D14347" s="10" t="s">
        <v>24</v>
      </c>
      <c r="E14347" s="14">
        <v>0.6154</v>
      </c>
      <c r="F14347" s="15">
        <f>F14351</f>
        <v>43.8</v>
      </c>
      <c r="G14347" s="12">
        <f t="shared" si="2225"/>
        <v>26.95</v>
      </c>
    </row>
    <row r="14348" ht="24.0" customHeight="1">
      <c r="A14348" s="10" t="s">
        <v>25</v>
      </c>
      <c r="B14348" s="10" t="s">
        <v>26</v>
      </c>
      <c r="C14348" s="10" t="s">
        <v>23</v>
      </c>
      <c r="D14348" s="10" t="s">
        <v>27</v>
      </c>
      <c r="E14348" s="14">
        <v>1.0</v>
      </c>
      <c r="F14348" s="15">
        <f>ROUND(21,3)</f>
        <v>21</v>
      </c>
      <c r="G14348" s="12">
        <f t="shared" si="2225"/>
        <v>21</v>
      </c>
    </row>
    <row r="14349" ht="24.0" customHeight="1">
      <c r="A14349" s="10" t="s">
        <v>28</v>
      </c>
      <c r="B14349" s="10" t="s">
        <v>26</v>
      </c>
      <c r="C14349" s="10" t="s">
        <v>23</v>
      </c>
      <c r="D14349" s="10" t="s">
        <v>29</v>
      </c>
      <c r="E14349" s="14">
        <v>1.0</v>
      </c>
      <c r="F14349" s="15">
        <f t="shared" ref="F14349:F14350" si="2226">ROUND(19,3)</f>
        <v>19</v>
      </c>
      <c r="G14349" s="12">
        <f t="shared" si="2225"/>
        <v>19</v>
      </c>
    </row>
    <row r="14350" ht="24.0" customHeight="1">
      <c r="A14350" s="10" t="s">
        <v>30</v>
      </c>
      <c r="B14350" s="10" t="s">
        <v>26</v>
      </c>
      <c r="C14350" s="10" t="s">
        <v>23</v>
      </c>
      <c r="D14350" s="10" t="s">
        <v>31</v>
      </c>
      <c r="E14350" s="14">
        <v>0.2</v>
      </c>
      <c r="F14350" s="15">
        <f t="shared" si="2226"/>
        <v>19</v>
      </c>
      <c r="G14350" s="12">
        <f t="shared" si="2225"/>
        <v>3.8</v>
      </c>
    </row>
    <row r="14351" ht="15.0" customHeight="1">
      <c r="A14351" s="11"/>
      <c r="B14351" s="11"/>
      <c r="C14351" s="11"/>
      <c r="D14351" s="10" t="s">
        <v>22</v>
      </c>
      <c r="E14351" s="14">
        <v>0.6154</v>
      </c>
      <c r="F14351" s="15">
        <f>ROUND((G14348+G14349+G14350),3)</f>
        <v>43.8</v>
      </c>
      <c r="G14351" s="12">
        <f t="shared" si="2225"/>
        <v>26.95</v>
      </c>
    </row>
    <row r="14352" ht="15.0" customHeight="1">
      <c r="A14352" s="10" t="s">
        <v>32</v>
      </c>
      <c r="B14352" s="10"/>
      <c r="C14352" s="10" t="s">
        <v>33</v>
      </c>
      <c r="D14352" s="10" t="s">
        <v>34</v>
      </c>
      <c r="E14352" s="14">
        <v>5.0</v>
      </c>
      <c r="F14352" s="15">
        <f>ROUND(26.95,3)</f>
        <v>26.95</v>
      </c>
      <c r="G14352" s="12">
        <f>ROUND((E14352*F14352)/100,2)</f>
        <v>1.35</v>
      </c>
    </row>
    <row r="14353" ht="15.0" customHeight="1">
      <c r="A14353" s="16"/>
      <c r="B14353" s="16"/>
      <c r="C14353" s="16"/>
      <c r="D14353" s="17" t="s">
        <v>5921</v>
      </c>
      <c r="E14353" s="16"/>
      <c r="F14353" s="18">
        <f>ROUND((G14341+G14342+G14343+G14344+G14345+G14346+G14347+G14352)*(1+G2/100),2)</f>
        <v>43.19</v>
      </c>
      <c r="G14353" s="16"/>
    </row>
    <row r="14354" ht="67.5" customHeight="1">
      <c r="A14354" s="19" t="s">
        <v>5926</v>
      </c>
      <c r="B14354" s="20" t="s">
        <v>18</v>
      </c>
      <c r="C14354" s="20" t="s">
        <v>19</v>
      </c>
      <c r="D14354" s="20" t="s">
        <v>5922</v>
      </c>
      <c r="E14354" s="21"/>
      <c r="F14354" s="22">
        <f>F14368</f>
        <v>36.53</v>
      </c>
      <c r="G14354" s="21"/>
    </row>
    <row r="14355" ht="39.75" customHeight="1">
      <c r="A14355" s="11"/>
      <c r="B14355" s="11"/>
      <c r="C14355" s="11"/>
      <c r="D14355" s="10" t="s">
        <v>5927</v>
      </c>
    </row>
    <row r="14356" ht="30.0" customHeight="1">
      <c r="A14356" s="10" t="s">
        <v>5898</v>
      </c>
      <c r="B14356" s="10" t="s">
        <v>42</v>
      </c>
      <c r="C14356" s="10" t="s">
        <v>184</v>
      </c>
      <c r="D14356" s="10" t="s">
        <v>5899</v>
      </c>
      <c r="E14356" s="14">
        <v>1.0</v>
      </c>
      <c r="F14356" s="15">
        <f>ROUND(7.89,3)</f>
        <v>7.89</v>
      </c>
      <c r="G14356" s="12">
        <f t="shared" ref="G14356:G14366" si="2227">ROUND(E14356*F14356,2)</f>
        <v>7.89</v>
      </c>
    </row>
    <row r="14357" ht="21.0" customHeight="1">
      <c r="A14357" s="10" t="s">
        <v>5924</v>
      </c>
      <c r="B14357" s="10" t="s">
        <v>42</v>
      </c>
      <c r="C14357" s="10" t="s">
        <v>184</v>
      </c>
      <c r="D14357" s="10" t="s">
        <v>5925</v>
      </c>
      <c r="E14357" s="14">
        <v>0.5</v>
      </c>
      <c r="F14357" s="15">
        <f>ROUND(10.18,3)</f>
        <v>10.18</v>
      </c>
      <c r="G14357" s="12">
        <f t="shared" si="2227"/>
        <v>5.09</v>
      </c>
    </row>
    <row r="14358" ht="30.0" customHeight="1">
      <c r="A14358" s="10" t="s">
        <v>1227</v>
      </c>
      <c r="B14358" s="10" t="s">
        <v>42</v>
      </c>
      <c r="C14358" s="10" t="s">
        <v>226</v>
      </c>
      <c r="D14358" s="10" t="s">
        <v>1228</v>
      </c>
      <c r="E14358" s="14">
        <v>0.021</v>
      </c>
      <c r="F14358" s="15">
        <f>ROUND(27.5,3)</f>
        <v>27.5</v>
      </c>
      <c r="G14358" s="12">
        <f t="shared" si="2227"/>
        <v>0.58</v>
      </c>
    </row>
    <row r="14359" ht="21.0" customHeight="1">
      <c r="A14359" s="10" t="s">
        <v>1857</v>
      </c>
      <c r="B14359" s="10" t="s">
        <v>42</v>
      </c>
      <c r="C14359" s="10" t="s">
        <v>231</v>
      </c>
      <c r="D14359" s="10" t="s">
        <v>1858</v>
      </c>
      <c r="E14359" s="14">
        <v>0.4</v>
      </c>
      <c r="F14359" s="15">
        <f>ROUND(1.05,3)</f>
        <v>1.05</v>
      </c>
      <c r="G14359" s="12">
        <f t="shared" si="2227"/>
        <v>0.42</v>
      </c>
    </row>
    <row r="14360" ht="30.0" customHeight="1">
      <c r="A14360" s="10" t="s">
        <v>5847</v>
      </c>
      <c r="B14360" s="10" t="s">
        <v>42</v>
      </c>
      <c r="C14360" s="10" t="s">
        <v>344</v>
      </c>
      <c r="D14360" s="10" t="s">
        <v>5848</v>
      </c>
      <c r="E14360" s="14">
        <v>0.5</v>
      </c>
      <c r="F14360" s="15">
        <f>ROUND(1.76,3)</f>
        <v>1.76</v>
      </c>
      <c r="G14360" s="12">
        <f t="shared" si="2227"/>
        <v>0.88</v>
      </c>
    </row>
    <row r="14361" ht="21.0" customHeight="1">
      <c r="A14361" s="10" t="s">
        <v>228</v>
      </c>
      <c r="B14361" s="10" t="s">
        <v>42</v>
      </c>
      <c r="C14361" s="10" t="s">
        <v>226</v>
      </c>
      <c r="D14361" s="10" t="s">
        <v>229</v>
      </c>
      <c r="E14361" s="14">
        <v>0.02444</v>
      </c>
      <c r="F14361" s="15">
        <f>ROUND(1.32,3)</f>
        <v>1.32</v>
      </c>
      <c r="G14361" s="12">
        <f t="shared" si="2227"/>
        <v>0.03</v>
      </c>
    </row>
    <row r="14362" ht="21.0" customHeight="1">
      <c r="A14362" s="10" t="s">
        <v>22</v>
      </c>
      <c r="B14362" s="10" t="s">
        <v>18</v>
      </c>
      <c r="C14362" s="10" t="s">
        <v>23</v>
      </c>
      <c r="D14362" s="10" t="s">
        <v>24</v>
      </c>
      <c r="E14362" s="14">
        <v>0.4706</v>
      </c>
      <c r="F14362" s="15">
        <f>F14366</f>
        <v>43.8</v>
      </c>
      <c r="G14362" s="12">
        <f t="shared" si="2227"/>
        <v>20.61</v>
      </c>
    </row>
    <row r="14363" ht="24.0" customHeight="1">
      <c r="A14363" s="10" t="s">
        <v>25</v>
      </c>
      <c r="B14363" s="10" t="s">
        <v>26</v>
      </c>
      <c r="C14363" s="10" t="s">
        <v>23</v>
      </c>
      <c r="D14363" s="10" t="s">
        <v>27</v>
      </c>
      <c r="E14363" s="14">
        <v>1.0</v>
      </c>
      <c r="F14363" s="15">
        <f>ROUND(21,3)</f>
        <v>21</v>
      </c>
      <c r="G14363" s="12">
        <f t="shared" si="2227"/>
        <v>21</v>
      </c>
    </row>
    <row r="14364" ht="24.0" customHeight="1">
      <c r="A14364" s="10" t="s">
        <v>28</v>
      </c>
      <c r="B14364" s="10" t="s">
        <v>26</v>
      </c>
      <c r="C14364" s="10" t="s">
        <v>23</v>
      </c>
      <c r="D14364" s="10" t="s">
        <v>29</v>
      </c>
      <c r="E14364" s="14">
        <v>1.0</v>
      </c>
      <c r="F14364" s="15">
        <f t="shared" ref="F14364:F14365" si="2228">ROUND(19,3)</f>
        <v>19</v>
      </c>
      <c r="G14364" s="12">
        <f t="shared" si="2227"/>
        <v>19</v>
      </c>
    </row>
    <row r="14365" ht="24.0" customHeight="1">
      <c r="A14365" s="10" t="s">
        <v>30</v>
      </c>
      <c r="B14365" s="10" t="s">
        <v>26</v>
      </c>
      <c r="C14365" s="10" t="s">
        <v>23</v>
      </c>
      <c r="D14365" s="10" t="s">
        <v>31</v>
      </c>
      <c r="E14365" s="14">
        <v>0.2</v>
      </c>
      <c r="F14365" s="15">
        <f t="shared" si="2228"/>
        <v>19</v>
      </c>
      <c r="G14365" s="12">
        <f t="shared" si="2227"/>
        <v>3.8</v>
      </c>
    </row>
    <row r="14366" ht="15.0" customHeight="1">
      <c r="A14366" s="11"/>
      <c r="B14366" s="11"/>
      <c r="C14366" s="11"/>
      <c r="D14366" s="10" t="s">
        <v>22</v>
      </c>
      <c r="E14366" s="14">
        <v>0.4706</v>
      </c>
      <c r="F14366" s="15">
        <f>ROUND((G14363+G14364+G14365),3)</f>
        <v>43.8</v>
      </c>
      <c r="G14366" s="12">
        <f t="shared" si="2227"/>
        <v>20.61</v>
      </c>
    </row>
    <row r="14367" ht="15.0" customHeight="1">
      <c r="A14367" s="10" t="s">
        <v>32</v>
      </c>
      <c r="B14367" s="10"/>
      <c r="C14367" s="10" t="s">
        <v>33</v>
      </c>
      <c r="D14367" s="10" t="s">
        <v>34</v>
      </c>
      <c r="E14367" s="14">
        <v>5.0</v>
      </c>
      <c r="F14367" s="15">
        <f>ROUND(20.61,3)</f>
        <v>20.61</v>
      </c>
      <c r="G14367" s="12">
        <f>ROUND((E14367*F14367)/100,2)</f>
        <v>1.03</v>
      </c>
    </row>
    <row r="14368" ht="15.0" customHeight="1">
      <c r="A14368" s="16"/>
      <c r="B14368" s="16"/>
      <c r="C14368" s="16"/>
      <c r="D14368" s="17" t="s">
        <v>5926</v>
      </c>
      <c r="E14368" s="16"/>
      <c r="F14368" s="18">
        <f>ROUND((G14356+G14357+G14358+G14359+G14360+G14361+G14362+G14367)*(1+G2/100),2)</f>
        <v>36.53</v>
      </c>
      <c r="G14368" s="16"/>
    </row>
    <row r="14369" ht="67.5" customHeight="1">
      <c r="A14369" s="19" t="s">
        <v>5928</v>
      </c>
      <c r="B14369" s="20" t="s">
        <v>18</v>
      </c>
      <c r="C14369" s="20" t="s">
        <v>19</v>
      </c>
      <c r="D14369" s="20" t="s">
        <v>5929</v>
      </c>
      <c r="E14369" s="21"/>
      <c r="F14369" s="22">
        <f>F14382</f>
        <v>36.33</v>
      </c>
      <c r="G14369" s="21"/>
    </row>
    <row r="14370" ht="39.75" customHeight="1">
      <c r="A14370" s="11"/>
      <c r="B14370" s="11"/>
      <c r="C14370" s="11"/>
      <c r="D14370" s="10" t="s">
        <v>5930</v>
      </c>
    </row>
    <row r="14371" ht="30.0" customHeight="1">
      <c r="A14371" s="10" t="s">
        <v>5931</v>
      </c>
      <c r="B14371" s="10" t="s">
        <v>42</v>
      </c>
      <c r="C14371" s="10" t="s">
        <v>184</v>
      </c>
      <c r="D14371" s="10" t="s">
        <v>5932</v>
      </c>
      <c r="E14371" s="14">
        <v>1.323</v>
      </c>
      <c r="F14371" s="15">
        <f>ROUND(6.15,3)</f>
        <v>6.15</v>
      </c>
      <c r="G14371" s="12">
        <f t="shared" ref="G14371:G14380" si="2229">ROUND(E14371*F14371,2)</f>
        <v>8.14</v>
      </c>
    </row>
    <row r="14372" ht="30.0" customHeight="1">
      <c r="A14372" s="10" t="s">
        <v>1227</v>
      </c>
      <c r="B14372" s="10" t="s">
        <v>42</v>
      </c>
      <c r="C14372" s="10" t="s">
        <v>226</v>
      </c>
      <c r="D14372" s="10" t="s">
        <v>1228</v>
      </c>
      <c r="E14372" s="14">
        <v>0.021</v>
      </c>
      <c r="F14372" s="15">
        <f>ROUND(27.5,3)</f>
        <v>27.5</v>
      </c>
      <c r="G14372" s="12">
        <f t="shared" si="2229"/>
        <v>0.58</v>
      </c>
    </row>
    <row r="14373" ht="21.0" customHeight="1">
      <c r="A14373" s="10" t="s">
        <v>1857</v>
      </c>
      <c r="B14373" s="10" t="s">
        <v>42</v>
      </c>
      <c r="C14373" s="10" t="s">
        <v>231</v>
      </c>
      <c r="D14373" s="10" t="s">
        <v>1858</v>
      </c>
      <c r="E14373" s="14">
        <v>0.4</v>
      </c>
      <c r="F14373" s="15">
        <f>ROUND(1.05,3)</f>
        <v>1.05</v>
      </c>
      <c r="G14373" s="12">
        <f t="shared" si="2229"/>
        <v>0.42</v>
      </c>
    </row>
    <row r="14374" ht="30.0" customHeight="1">
      <c r="A14374" s="10" t="s">
        <v>5847</v>
      </c>
      <c r="B14374" s="10" t="s">
        <v>42</v>
      </c>
      <c r="C14374" s="10" t="s">
        <v>344</v>
      </c>
      <c r="D14374" s="10" t="s">
        <v>5848</v>
      </c>
      <c r="E14374" s="14">
        <v>0.5</v>
      </c>
      <c r="F14374" s="15">
        <f>ROUND(1.76,3)</f>
        <v>1.76</v>
      </c>
      <c r="G14374" s="12">
        <f t="shared" si="2229"/>
        <v>0.88</v>
      </c>
    </row>
    <row r="14375" ht="21.0" customHeight="1">
      <c r="A14375" s="10" t="s">
        <v>228</v>
      </c>
      <c r="B14375" s="10" t="s">
        <v>42</v>
      </c>
      <c r="C14375" s="10" t="s">
        <v>226</v>
      </c>
      <c r="D14375" s="10" t="s">
        <v>229</v>
      </c>
      <c r="E14375" s="14">
        <v>0.02444</v>
      </c>
      <c r="F14375" s="15">
        <f>ROUND(1.32,3)</f>
        <v>1.32</v>
      </c>
      <c r="G14375" s="12">
        <f t="shared" si="2229"/>
        <v>0.03</v>
      </c>
    </row>
    <row r="14376" ht="21.0" customHeight="1">
      <c r="A14376" s="10" t="s">
        <v>22</v>
      </c>
      <c r="B14376" s="10" t="s">
        <v>18</v>
      </c>
      <c r="C14376" s="10" t="s">
        <v>23</v>
      </c>
      <c r="D14376" s="10" t="s">
        <v>24</v>
      </c>
      <c r="E14376" s="14">
        <v>0.5714</v>
      </c>
      <c r="F14376" s="15">
        <f>F14380</f>
        <v>43.8</v>
      </c>
      <c r="G14376" s="12">
        <f t="shared" si="2229"/>
        <v>25.03</v>
      </c>
    </row>
    <row r="14377" ht="24.0" customHeight="1">
      <c r="A14377" s="10" t="s">
        <v>25</v>
      </c>
      <c r="B14377" s="10" t="s">
        <v>26</v>
      </c>
      <c r="C14377" s="10" t="s">
        <v>23</v>
      </c>
      <c r="D14377" s="10" t="s">
        <v>27</v>
      </c>
      <c r="E14377" s="14">
        <v>1.0</v>
      </c>
      <c r="F14377" s="15">
        <f>ROUND(21,3)</f>
        <v>21</v>
      </c>
      <c r="G14377" s="12">
        <f t="shared" si="2229"/>
        <v>21</v>
      </c>
    </row>
    <row r="14378" ht="24.0" customHeight="1">
      <c r="A14378" s="10" t="s">
        <v>28</v>
      </c>
      <c r="B14378" s="10" t="s">
        <v>26</v>
      </c>
      <c r="C14378" s="10" t="s">
        <v>23</v>
      </c>
      <c r="D14378" s="10" t="s">
        <v>29</v>
      </c>
      <c r="E14378" s="14">
        <v>1.0</v>
      </c>
      <c r="F14378" s="15">
        <f t="shared" ref="F14378:F14379" si="2230">ROUND(19,3)</f>
        <v>19</v>
      </c>
      <c r="G14378" s="12">
        <f t="shared" si="2229"/>
        <v>19</v>
      </c>
    </row>
    <row r="14379" ht="24.0" customHeight="1">
      <c r="A14379" s="10" t="s">
        <v>30</v>
      </c>
      <c r="B14379" s="10" t="s">
        <v>26</v>
      </c>
      <c r="C14379" s="10" t="s">
        <v>23</v>
      </c>
      <c r="D14379" s="10" t="s">
        <v>31</v>
      </c>
      <c r="E14379" s="14">
        <v>0.2</v>
      </c>
      <c r="F14379" s="15">
        <f t="shared" si="2230"/>
        <v>19</v>
      </c>
      <c r="G14379" s="12">
        <f t="shared" si="2229"/>
        <v>3.8</v>
      </c>
    </row>
    <row r="14380" ht="15.0" customHeight="1">
      <c r="A14380" s="11"/>
      <c r="B14380" s="11"/>
      <c r="C14380" s="11"/>
      <c r="D14380" s="10" t="s">
        <v>22</v>
      </c>
      <c r="E14380" s="14">
        <v>0.5714</v>
      </c>
      <c r="F14380" s="15">
        <f>ROUND((G14377+G14378+G14379),3)</f>
        <v>43.8</v>
      </c>
      <c r="G14380" s="12">
        <f t="shared" si="2229"/>
        <v>25.03</v>
      </c>
    </row>
    <row r="14381" ht="15.0" customHeight="1">
      <c r="A14381" s="10" t="s">
        <v>32</v>
      </c>
      <c r="B14381" s="10"/>
      <c r="C14381" s="10" t="s">
        <v>33</v>
      </c>
      <c r="D14381" s="10" t="s">
        <v>34</v>
      </c>
      <c r="E14381" s="14">
        <v>5.0</v>
      </c>
      <c r="F14381" s="15">
        <f>ROUND(25.03,3)</f>
        <v>25.03</v>
      </c>
      <c r="G14381" s="12">
        <f>ROUND((E14381*F14381)/100,2)</f>
        <v>1.25</v>
      </c>
    </row>
    <row r="14382" ht="15.0" customHeight="1">
      <c r="A14382" s="16"/>
      <c r="B14382" s="16"/>
      <c r="C14382" s="16"/>
      <c r="D14382" s="17" t="s">
        <v>5928</v>
      </c>
      <c r="E14382" s="16"/>
      <c r="F14382" s="18">
        <f>ROUND((G14371+G14372+G14373+G14374+G14375+G14376+G14381)*(1+G2/100),2)</f>
        <v>36.33</v>
      </c>
      <c r="G14382" s="16"/>
    </row>
    <row r="14383" ht="67.5" customHeight="1">
      <c r="A14383" s="19" t="s">
        <v>5933</v>
      </c>
      <c r="B14383" s="20" t="s">
        <v>18</v>
      </c>
      <c r="C14383" s="20" t="s">
        <v>19</v>
      </c>
      <c r="D14383" s="20" t="s">
        <v>5934</v>
      </c>
      <c r="E14383" s="21"/>
      <c r="F14383" s="22">
        <f>F14396</f>
        <v>30.49</v>
      </c>
      <c r="G14383" s="21"/>
    </row>
    <row r="14384" ht="39.75" customHeight="1">
      <c r="A14384" s="11"/>
      <c r="B14384" s="11"/>
      <c r="C14384" s="11"/>
      <c r="D14384" s="10" t="s">
        <v>5935</v>
      </c>
    </row>
    <row r="14385" ht="30.0" customHeight="1">
      <c r="A14385" s="10" t="s">
        <v>5931</v>
      </c>
      <c r="B14385" s="10" t="s">
        <v>42</v>
      </c>
      <c r="C14385" s="10" t="s">
        <v>184</v>
      </c>
      <c r="D14385" s="10" t="s">
        <v>5932</v>
      </c>
      <c r="E14385" s="14">
        <v>1.323</v>
      </c>
      <c r="F14385" s="15">
        <f>ROUND(6.15,3)</f>
        <v>6.15</v>
      </c>
      <c r="G14385" s="12">
        <f t="shared" ref="G14385:G14394" si="2231">ROUND(E14385*F14385,2)</f>
        <v>8.14</v>
      </c>
    </row>
    <row r="14386" ht="30.0" customHeight="1">
      <c r="A14386" s="10" t="s">
        <v>1227</v>
      </c>
      <c r="B14386" s="10" t="s">
        <v>42</v>
      </c>
      <c r="C14386" s="10" t="s">
        <v>226</v>
      </c>
      <c r="D14386" s="10" t="s">
        <v>1228</v>
      </c>
      <c r="E14386" s="14">
        <v>0.021</v>
      </c>
      <c r="F14386" s="15">
        <f>ROUND(27.5,3)</f>
        <v>27.5</v>
      </c>
      <c r="G14386" s="12">
        <f t="shared" si="2231"/>
        <v>0.58</v>
      </c>
    </row>
    <row r="14387" ht="21.0" customHeight="1">
      <c r="A14387" s="10" t="s">
        <v>1857</v>
      </c>
      <c r="B14387" s="10" t="s">
        <v>42</v>
      </c>
      <c r="C14387" s="10" t="s">
        <v>231</v>
      </c>
      <c r="D14387" s="10" t="s">
        <v>1858</v>
      </c>
      <c r="E14387" s="14">
        <v>0.4</v>
      </c>
      <c r="F14387" s="15">
        <f>ROUND(1.05,3)</f>
        <v>1.05</v>
      </c>
      <c r="G14387" s="12">
        <f t="shared" si="2231"/>
        <v>0.42</v>
      </c>
    </row>
    <row r="14388" ht="30.0" customHeight="1">
      <c r="A14388" s="10" t="s">
        <v>5847</v>
      </c>
      <c r="B14388" s="10" t="s">
        <v>42</v>
      </c>
      <c r="C14388" s="10" t="s">
        <v>344</v>
      </c>
      <c r="D14388" s="10" t="s">
        <v>5848</v>
      </c>
      <c r="E14388" s="14">
        <v>0.5</v>
      </c>
      <c r="F14388" s="15">
        <f>ROUND(1.76,3)</f>
        <v>1.76</v>
      </c>
      <c r="G14388" s="12">
        <f t="shared" si="2231"/>
        <v>0.88</v>
      </c>
    </row>
    <row r="14389" ht="21.0" customHeight="1">
      <c r="A14389" s="10" t="s">
        <v>228</v>
      </c>
      <c r="B14389" s="10" t="s">
        <v>42</v>
      </c>
      <c r="C14389" s="10" t="s">
        <v>226</v>
      </c>
      <c r="D14389" s="10" t="s">
        <v>229</v>
      </c>
      <c r="E14389" s="14">
        <v>0.02444</v>
      </c>
      <c r="F14389" s="15">
        <f>ROUND(1.32,3)</f>
        <v>1.32</v>
      </c>
      <c r="G14389" s="12">
        <f t="shared" si="2231"/>
        <v>0.03</v>
      </c>
    </row>
    <row r="14390" ht="21.0" customHeight="1">
      <c r="A14390" s="10" t="s">
        <v>22</v>
      </c>
      <c r="B14390" s="10" t="s">
        <v>18</v>
      </c>
      <c r="C14390" s="10" t="s">
        <v>23</v>
      </c>
      <c r="D14390" s="10" t="s">
        <v>24</v>
      </c>
      <c r="E14390" s="14">
        <v>0.44444</v>
      </c>
      <c r="F14390" s="15">
        <f>F14394</f>
        <v>43.8</v>
      </c>
      <c r="G14390" s="12">
        <f t="shared" si="2231"/>
        <v>19.47</v>
      </c>
    </row>
    <row r="14391" ht="24.0" customHeight="1">
      <c r="A14391" s="10" t="s">
        <v>25</v>
      </c>
      <c r="B14391" s="10" t="s">
        <v>26</v>
      </c>
      <c r="C14391" s="10" t="s">
        <v>23</v>
      </c>
      <c r="D14391" s="10" t="s">
        <v>27</v>
      </c>
      <c r="E14391" s="14">
        <v>1.0</v>
      </c>
      <c r="F14391" s="15">
        <f>ROUND(21,3)</f>
        <v>21</v>
      </c>
      <c r="G14391" s="12">
        <f t="shared" si="2231"/>
        <v>21</v>
      </c>
    </row>
    <row r="14392" ht="24.0" customHeight="1">
      <c r="A14392" s="10" t="s">
        <v>28</v>
      </c>
      <c r="B14392" s="10" t="s">
        <v>26</v>
      </c>
      <c r="C14392" s="10" t="s">
        <v>23</v>
      </c>
      <c r="D14392" s="10" t="s">
        <v>29</v>
      </c>
      <c r="E14392" s="14">
        <v>1.0</v>
      </c>
      <c r="F14392" s="15">
        <f t="shared" ref="F14392:F14393" si="2232">ROUND(19,3)</f>
        <v>19</v>
      </c>
      <c r="G14392" s="12">
        <f t="shared" si="2231"/>
        <v>19</v>
      </c>
    </row>
    <row r="14393" ht="24.0" customHeight="1">
      <c r="A14393" s="10" t="s">
        <v>30</v>
      </c>
      <c r="B14393" s="10" t="s">
        <v>26</v>
      </c>
      <c r="C14393" s="10" t="s">
        <v>23</v>
      </c>
      <c r="D14393" s="10" t="s">
        <v>31</v>
      </c>
      <c r="E14393" s="14">
        <v>0.2</v>
      </c>
      <c r="F14393" s="15">
        <f t="shared" si="2232"/>
        <v>19</v>
      </c>
      <c r="G14393" s="12">
        <f t="shared" si="2231"/>
        <v>3.8</v>
      </c>
    </row>
    <row r="14394" ht="15.0" customHeight="1">
      <c r="A14394" s="11"/>
      <c r="B14394" s="11"/>
      <c r="C14394" s="11"/>
      <c r="D14394" s="10" t="s">
        <v>22</v>
      </c>
      <c r="E14394" s="14">
        <v>0.44444</v>
      </c>
      <c r="F14394" s="15">
        <f>ROUND((G14391+G14392+G14393),3)</f>
        <v>43.8</v>
      </c>
      <c r="G14394" s="12">
        <f t="shared" si="2231"/>
        <v>19.47</v>
      </c>
    </row>
    <row r="14395" ht="15.0" customHeight="1">
      <c r="A14395" s="10" t="s">
        <v>32</v>
      </c>
      <c r="B14395" s="10"/>
      <c r="C14395" s="10" t="s">
        <v>33</v>
      </c>
      <c r="D14395" s="10" t="s">
        <v>34</v>
      </c>
      <c r="E14395" s="14">
        <v>5.0</v>
      </c>
      <c r="F14395" s="15">
        <f>ROUND(19.47,3)</f>
        <v>19.47</v>
      </c>
      <c r="G14395" s="12">
        <f>ROUND((E14395*F14395)/100,2)</f>
        <v>0.97</v>
      </c>
    </row>
    <row r="14396" ht="15.0" customHeight="1">
      <c r="A14396" s="16"/>
      <c r="B14396" s="16"/>
      <c r="C14396" s="16"/>
      <c r="D14396" s="17" t="s">
        <v>5933</v>
      </c>
      <c r="E14396" s="16"/>
      <c r="F14396" s="18">
        <f>ROUND((G14385+G14386+G14387+G14388+G14389+G14390+G14395)*(1+G2/100),2)</f>
        <v>30.49</v>
      </c>
      <c r="G14396" s="16"/>
    </row>
    <row r="14397" ht="76.5" customHeight="1">
      <c r="A14397" s="19" t="s">
        <v>5936</v>
      </c>
      <c r="B14397" s="20" t="s">
        <v>18</v>
      </c>
      <c r="C14397" s="20" t="s">
        <v>19</v>
      </c>
      <c r="D14397" s="20" t="s">
        <v>5937</v>
      </c>
      <c r="E14397" s="21"/>
      <c r="F14397" s="22">
        <f>F14412</f>
        <v>37.36</v>
      </c>
      <c r="G14397" s="21"/>
    </row>
    <row r="14398" ht="39.75" customHeight="1">
      <c r="A14398" s="11"/>
      <c r="B14398" s="11"/>
      <c r="C14398" s="11"/>
      <c r="D14398" s="10" t="s">
        <v>5938</v>
      </c>
    </row>
    <row r="14399" ht="30.0" customHeight="1">
      <c r="A14399" s="10" t="s">
        <v>5860</v>
      </c>
      <c r="B14399" s="10" t="s">
        <v>42</v>
      </c>
      <c r="C14399" s="10" t="s">
        <v>184</v>
      </c>
      <c r="D14399" s="10" t="s">
        <v>5861</v>
      </c>
      <c r="E14399" s="14">
        <v>1.0</v>
      </c>
      <c r="F14399" s="15">
        <f>ROUND(11.74,3)</f>
        <v>11.74</v>
      </c>
      <c r="G14399" s="12">
        <f t="shared" ref="G14399:G14410" si="2233">ROUND(E14399*F14399,2)</f>
        <v>11.74</v>
      </c>
    </row>
    <row r="14400" ht="30.0" customHeight="1">
      <c r="A14400" s="10" t="s">
        <v>5890</v>
      </c>
      <c r="B14400" s="10" t="s">
        <v>42</v>
      </c>
      <c r="C14400" s="10" t="s">
        <v>184</v>
      </c>
      <c r="D14400" s="10" t="s">
        <v>5891</v>
      </c>
      <c r="E14400" s="14">
        <v>0.5</v>
      </c>
      <c r="F14400" s="15">
        <f>ROUND(6.72,3)</f>
        <v>6.72</v>
      </c>
      <c r="G14400" s="12">
        <f t="shared" si="2233"/>
        <v>3.36</v>
      </c>
    </row>
    <row r="14401" ht="30.0" customHeight="1">
      <c r="A14401" s="10" t="s">
        <v>1227</v>
      </c>
      <c r="B14401" s="10" t="s">
        <v>42</v>
      </c>
      <c r="C14401" s="10" t="s">
        <v>226</v>
      </c>
      <c r="D14401" s="10" t="s">
        <v>1228</v>
      </c>
      <c r="E14401" s="14">
        <v>0.021</v>
      </c>
      <c r="F14401" s="15">
        <f>ROUND(27.5,3)</f>
        <v>27.5</v>
      </c>
      <c r="G14401" s="12">
        <f t="shared" si="2233"/>
        <v>0.58</v>
      </c>
    </row>
    <row r="14402" ht="21.0" customHeight="1">
      <c r="A14402" s="10" t="s">
        <v>1857</v>
      </c>
      <c r="B14402" s="10" t="s">
        <v>42</v>
      </c>
      <c r="C14402" s="10" t="s">
        <v>231</v>
      </c>
      <c r="D14402" s="10" t="s">
        <v>1858</v>
      </c>
      <c r="E14402" s="14">
        <v>0.4</v>
      </c>
      <c r="F14402" s="15">
        <f>ROUND(1.05,3)</f>
        <v>1.05</v>
      </c>
      <c r="G14402" s="12">
        <f t="shared" si="2233"/>
        <v>0.42</v>
      </c>
    </row>
    <row r="14403" ht="30.0" customHeight="1">
      <c r="A14403" s="10" t="s">
        <v>5847</v>
      </c>
      <c r="B14403" s="10" t="s">
        <v>42</v>
      </c>
      <c r="C14403" s="10" t="s">
        <v>344</v>
      </c>
      <c r="D14403" s="10" t="s">
        <v>5848</v>
      </c>
      <c r="E14403" s="14">
        <v>0.5</v>
      </c>
      <c r="F14403" s="15">
        <f>ROUND(1.76,3)</f>
        <v>1.76</v>
      </c>
      <c r="G14403" s="12">
        <f t="shared" si="2233"/>
        <v>0.88</v>
      </c>
    </row>
    <row r="14404" ht="21.0" customHeight="1">
      <c r="A14404" s="10" t="s">
        <v>228</v>
      </c>
      <c r="B14404" s="10" t="s">
        <v>42</v>
      </c>
      <c r="C14404" s="10" t="s">
        <v>226</v>
      </c>
      <c r="D14404" s="10" t="s">
        <v>229</v>
      </c>
      <c r="E14404" s="14">
        <v>0.02444</v>
      </c>
      <c r="F14404" s="15">
        <f>ROUND(1.32,3)</f>
        <v>1.32</v>
      </c>
      <c r="G14404" s="12">
        <f t="shared" si="2233"/>
        <v>0.03</v>
      </c>
    </row>
    <row r="14405" ht="21.0" customHeight="1">
      <c r="A14405" s="10" t="s">
        <v>1605</v>
      </c>
      <c r="B14405" s="10" t="s">
        <v>112</v>
      </c>
      <c r="C14405" s="10" t="s">
        <v>23</v>
      </c>
      <c r="D14405" s="10" t="s">
        <v>1606</v>
      </c>
      <c r="E14405" s="14">
        <v>0.2</v>
      </c>
      <c r="F14405" s="15">
        <f>ROUND(11.5,3)</f>
        <v>11.5</v>
      </c>
      <c r="G14405" s="12">
        <f t="shared" si="2233"/>
        <v>2.3</v>
      </c>
    </row>
    <row r="14406" ht="21.0" customHeight="1">
      <c r="A14406" s="10" t="s">
        <v>22</v>
      </c>
      <c r="B14406" s="10" t="s">
        <v>18</v>
      </c>
      <c r="C14406" s="10" t="s">
        <v>23</v>
      </c>
      <c r="D14406" s="10" t="s">
        <v>24</v>
      </c>
      <c r="E14406" s="14">
        <v>0.4</v>
      </c>
      <c r="F14406" s="15">
        <f>F14410</f>
        <v>43.8</v>
      </c>
      <c r="G14406" s="12">
        <f t="shared" si="2233"/>
        <v>17.52</v>
      </c>
    </row>
    <row r="14407" ht="24.0" customHeight="1">
      <c r="A14407" s="10" t="s">
        <v>25</v>
      </c>
      <c r="B14407" s="10" t="s">
        <v>26</v>
      </c>
      <c r="C14407" s="10" t="s">
        <v>23</v>
      </c>
      <c r="D14407" s="10" t="s">
        <v>27</v>
      </c>
      <c r="E14407" s="14">
        <v>1.0</v>
      </c>
      <c r="F14407" s="15">
        <f>ROUND(21,3)</f>
        <v>21</v>
      </c>
      <c r="G14407" s="12">
        <f t="shared" si="2233"/>
        <v>21</v>
      </c>
    </row>
    <row r="14408" ht="24.0" customHeight="1">
      <c r="A14408" s="10" t="s">
        <v>28</v>
      </c>
      <c r="B14408" s="10" t="s">
        <v>26</v>
      </c>
      <c r="C14408" s="10" t="s">
        <v>23</v>
      </c>
      <c r="D14408" s="10" t="s">
        <v>29</v>
      </c>
      <c r="E14408" s="14">
        <v>1.0</v>
      </c>
      <c r="F14408" s="15">
        <f t="shared" ref="F14408:F14409" si="2234">ROUND(19,3)</f>
        <v>19</v>
      </c>
      <c r="G14408" s="12">
        <f t="shared" si="2233"/>
        <v>19</v>
      </c>
    </row>
    <row r="14409" ht="24.0" customHeight="1">
      <c r="A14409" s="10" t="s">
        <v>30</v>
      </c>
      <c r="B14409" s="10" t="s">
        <v>26</v>
      </c>
      <c r="C14409" s="10" t="s">
        <v>23</v>
      </c>
      <c r="D14409" s="10" t="s">
        <v>31</v>
      </c>
      <c r="E14409" s="14">
        <v>0.2</v>
      </c>
      <c r="F14409" s="15">
        <f t="shared" si="2234"/>
        <v>19</v>
      </c>
      <c r="G14409" s="12">
        <f t="shared" si="2233"/>
        <v>3.8</v>
      </c>
    </row>
    <row r="14410" ht="15.0" customHeight="1">
      <c r="A14410" s="11"/>
      <c r="B14410" s="11"/>
      <c r="C14410" s="11"/>
      <c r="D14410" s="10" t="s">
        <v>22</v>
      </c>
      <c r="E14410" s="14">
        <v>0.4</v>
      </c>
      <c r="F14410" s="15">
        <f>ROUND((G14407+G14408+G14409),3)</f>
        <v>43.8</v>
      </c>
      <c r="G14410" s="12">
        <f t="shared" si="2233"/>
        <v>17.52</v>
      </c>
    </row>
    <row r="14411" ht="15.0" customHeight="1">
      <c r="A14411" s="10" t="s">
        <v>32</v>
      </c>
      <c r="B14411" s="10"/>
      <c r="C14411" s="10" t="s">
        <v>33</v>
      </c>
      <c r="D14411" s="10" t="s">
        <v>34</v>
      </c>
      <c r="E14411" s="14">
        <v>3.0</v>
      </c>
      <c r="F14411" s="15">
        <f>ROUND(17.52,3)</f>
        <v>17.52</v>
      </c>
      <c r="G14411" s="12">
        <f>ROUND((E14411*F14411)/100,2)</f>
        <v>0.53</v>
      </c>
    </row>
    <row r="14412" ht="24.75" customHeight="1">
      <c r="A14412" s="16"/>
      <c r="B14412" s="16"/>
      <c r="C14412" s="16"/>
      <c r="D14412" s="17" t="s">
        <v>5936</v>
      </c>
      <c r="E14412" s="16"/>
      <c r="F14412" s="18">
        <f>ROUND((G14399+G14400+G14401+G14402+G14403+G14404+G14405+G14406+G14411)*(1+G2/100),2)</f>
        <v>37.36</v>
      </c>
      <c r="G14412" s="16"/>
    </row>
    <row r="14413" ht="67.5" customHeight="1">
      <c r="A14413" s="19" t="s">
        <v>5939</v>
      </c>
      <c r="B14413" s="20" t="s">
        <v>18</v>
      </c>
      <c r="C14413" s="20" t="s">
        <v>19</v>
      </c>
      <c r="D14413" s="20" t="s">
        <v>5940</v>
      </c>
      <c r="E14413" s="21"/>
      <c r="F14413" s="22">
        <f>F14428</f>
        <v>33.75</v>
      </c>
      <c r="G14413" s="21"/>
    </row>
    <row r="14414" ht="39.75" customHeight="1">
      <c r="A14414" s="11"/>
      <c r="B14414" s="11"/>
      <c r="C14414" s="11"/>
      <c r="D14414" s="10" t="s">
        <v>5941</v>
      </c>
    </row>
    <row r="14415" ht="30.0" customHeight="1">
      <c r="A14415" s="10" t="s">
        <v>5860</v>
      </c>
      <c r="B14415" s="10" t="s">
        <v>42</v>
      </c>
      <c r="C14415" s="10" t="s">
        <v>184</v>
      </c>
      <c r="D14415" s="10" t="s">
        <v>5861</v>
      </c>
      <c r="E14415" s="14">
        <v>1.0</v>
      </c>
      <c r="F14415" s="15">
        <f>ROUND(11.74,3)</f>
        <v>11.74</v>
      </c>
      <c r="G14415" s="12">
        <f t="shared" ref="G14415:G14426" si="2235">ROUND(E14415*F14415,2)</f>
        <v>11.74</v>
      </c>
    </row>
    <row r="14416" ht="30.0" customHeight="1">
      <c r="A14416" s="10" t="s">
        <v>5890</v>
      </c>
      <c r="B14416" s="10" t="s">
        <v>42</v>
      </c>
      <c r="C14416" s="10" t="s">
        <v>184</v>
      </c>
      <c r="D14416" s="10" t="s">
        <v>5891</v>
      </c>
      <c r="E14416" s="14">
        <v>0.5</v>
      </c>
      <c r="F14416" s="15">
        <f>ROUND(6.72,3)</f>
        <v>6.72</v>
      </c>
      <c r="G14416" s="12">
        <f t="shared" si="2235"/>
        <v>3.36</v>
      </c>
    </row>
    <row r="14417" ht="30.0" customHeight="1">
      <c r="A14417" s="10" t="s">
        <v>1227</v>
      </c>
      <c r="B14417" s="10" t="s">
        <v>42</v>
      </c>
      <c r="C14417" s="10" t="s">
        <v>226</v>
      </c>
      <c r="D14417" s="10" t="s">
        <v>1228</v>
      </c>
      <c r="E14417" s="14">
        <v>0.021</v>
      </c>
      <c r="F14417" s="15">
        <f>ROUND(27.5,3)</f>
        <v>27.5</v>
      </c>
      <c r="G14417" s="12">
        <f t="shared" si="2235"/>
        <v>0.58</v>
      </c>
    </row>
    <row r="14418" ht="21.0" customHeight="1">
      <c r="A14418" s="10" t="s">
        <v>1857</v>
      </c>
      <c r="B14418" s="10" t="s">
        <v>42</v>
      </c>
      <c r="C14418" s="10" t="s">
        <v>231</v>
      </c>
      <c r="D14418" s="10" t="s">
        <v>1858</v>
      </c>
      <c r="E14418" s="14">
        <v>0.4</v>
      </c>
      <c r="F14418" s="15">
        <f>ROUND(1.05,3)</f>
        <v>1.05</v>
      </c>
      <c r="G14418" s="12">
        <f t="shared" si="2235"/>
        <v>0.42</v>
      </c>
    </row>
    <row r="14419" ht="30.0" customHeight="1">
      <c r="A14419" s="10" t="s">
        <v>5847</v>
      </c>
      <c r="B14419" s="10" t="s">
        <v>42</v>
      </c>
      <c r="C14419" s="10" t="s">
        <v>344</v>
      </c>
      <c r="D14419" s="10" t="s">
        <v>5848</v>
      </c>
      <c r="E14419" s="14">
        <v>0.5</v>
      </c>
      <c r="F14419" s="15">
        <f>ROUND(1.76,3)</f>
        <v>1.76</v>
      </c>
      <c r="G14419" s="12">
        <f t="shared" si="2235"/>
        <v>0.88</v>
      </c>
    </row>
    <row r="14420" ht="21.0" customHeight="1">
      <c r="A14420" s="10" t="s">
        <v>228</v>
      </c>
      <c r="B14420" s="10" t="s">
        <v>42</v>
      </c>
      <c r="C14420" s="10" t="s">
        <v>226</v>
      </c>
      <c r="D14420" s="10" t="s">
        <v>229</v>
      </c>
      <c r="E14420" s="14">
        <v>0.02444</v>
      </c>
      <c r="F14420" s="15">
        <f>ROUND(1.32,3)</f>
        <v>1.32</v>
      </c>
      <c r="G14420" s="12">
        <f t="shared" si="2235"/>
        <v>0.03</v>
      </c>
    </row>
    <row r="14421" ht="21.0" customHeight="1">
      <c r="A14421" s="10" t="s">
        <v>1605</v>
      </c>
      <c r="B14421" s="10" t="s">
        <v>112</v>
      </c>
      <c r="C14421" s="10" t="s">
        <v>23</v>
      </c>
      <c r="D14421" s="10" t="s">
        <v>1606</v>
      </c>
      <c r="E14421" s="14">
        <v>0.2</v>
      </c>
      <c r="F14421" s="15">
        <f>ROUND(11.5,3)</f>
        <v>11.5</v>
      </c>
      <c r="G14421" s="12">
        <f t="shared" si="2235"/>
        <v>2.3</v>
      </c>
    </row>
    <row r="14422" ht="21.0" customHeight="1">
      <c r="A14422" s="10" t="s">
        <v>22</v>
      </c>
      <c r="B14422" s="10" t="s">
        <v>18</v>
      </c>
      <c r="C14422" s="10" t="s">
        <v>23</v>
      </c>
      <c r="D14422" s="10" t="s">
        <v>24</v>
      </c>
      <c r="E14422" s="14">
        <v>0.32</v>
      </c>
      <c r="F14422" s="15">
        <f>F14426</f>
        <v>43.8</v>
      </c>
      <c r="G14422" s="12">
        <f t="shared" si="2235"/>
        <v>14.02</v>
      </c>
    </row>
    <row r="14423" ht="24.0" customHeight="1">
      <c r="A14423" s="10" t="s">
        <v>25</v>
      </c>
      <c r="B14423" s="10" t="s">
        <v>26</v>
      </c>
      <c r="C14423" s="10" t="s">
        <v>23</v>
      </c>
      <c r="D14423" s="10" t="s">
        <v>27</v>
      </c>
      <c r="E14423" s="14">
        <v>1.0</v>
      </c>
      <c r="F14423" s="15">
        <f>ROUND(21,3)</f>
        <v>21</v>
      </c>
      <c r="G14423" s="12">
        <f t="shared" si="2235"/>
        <v>21</v>
      </c>
    </row>
    <row r="14424" ht="24.0" customHeight="1">
      <c r="A14424" s="10" t="s">
        <v>28</v>
      </c>
      <c r="B14424" s="10" t="s">
        <v>26</v>
      </c>
      <c r="C14424" s="10" t="s">
        <v>23</v>
      </c>
      <c r="D14424" s="10" t="s">
        <v>29</v>
      </c>
      <c r="E14424" s="14">
        <v>1.0</v>
      </c>
      <c r="F14424" s="15">
        <f t="shared" ref="F14424:F14425" si="2236">ROUND(19,3)</f>
        <v>19</v>
      </c>
      <c r="G14424" s="12">
        <f t="shared" si="2235"/>
        <v>19</v>
      </c>
    </row>
    <row r="14425" ht="24.0" customHeight="1">
      <c r="A14425" s="10" t="s">
        <v>30</v>
      </c>
      <c r="B14425" s="10" t="s">
        <v>26</v>
      </c>
      <c r="C14425" s="10" t="s">
        <v>23</v>
      </c>
      <c r="D14425" s="10" t="s">
        <v>31</v>
      </c>
      <c r="E14425" s="14">
        <v>0.2</v>
      </c>
      <c r="F14425" s="15">
        <f t="shared" si="2236"/>
        <v>19</v>
      </c>
      <c r="G14425" s="12">
        <f t="shared" si="2235"/>
        <v>3.8</v>
      </c>
    </row>
    <row r="14426" ht="15.0" customHeight="1">
      <c r="A14426" s="11"/>
      <c r="B14426" s="11"/>
      <c r="C14426" s="11"/>
      <c r="D14426" s="10" t="s">
        <v>22</v>
      </c>
      <c r="E14426" s="14">
        <v>0.32</v>
      </c>
      <c r="F14426" s="15">
        <f>ROUND((G14423+G14424+G14425),3)</f>
        <v>43.8</v>
      </c>
      <c r="G14426" s="12">
        <f t="shared" si="2235"/>
        <v>14.02</v>
      </c>
    </row>
    <row r="14427" ht="15.0" customHeight="1">
      <c r="A14427" s="10" t="s">
        <v>32</v>
      </c>
      <c r="B14427" s="10"/>
      <c r="C14427" s="10" t="s">
        <v>33</v>
      </c>
      <c r="D14427" s="10" t="s">
        <v>34</v>
      </c>
      <c r="E14427" s="14">
        <v>3.0</v>
      </c>
      <c r="F14427" s="15">
        <f>ROUND(14.02,3)</f>
        <v>14.02</v>
      </c>
      <c r="G14427" s="12">
        <f>ROUND((E14427*F14427)/100,2)</f>
        <v>0.42</v>
      </c>
    </row>
    <row r="14428" ht="24.75" customHeight="1">
      <c r="A14428" s="16"/>
      <c r="B14428" s="16"/>
      <c r="C14428" s="16"/>
      <c r="D14428" s="17" t="s">
        <v>5939</v>
      </c>
      <c r="E14428" s="16"/>
      <c r="F14428" s="18">
        <f>ROUND((G14415+G14416+G14417+G14418+G14419+G14420+G14421+G14422+G14427)*(1+G2/100),2)</f>
        <v>33.75</v>
      </c>
      <c r="G14428" s="16"/>
    </row>
    <row r="14429" ht="76.5" customHeight="1">
      <c r="A14429" s="19" t="s">
        <v>5942</v>
      </c>
      <c r="B14429" s="20" t="s">
        <v>18</v>
      </c>
      <c r="C14429" s="20" t="s">
        <v>19</v>
      </c>
      <c r="D14429" s="20" t="s">
        <v>5943</v>
      </c>
      <c r="E14429" s="21"/>
      <c r="F14429" s="22">
        <f>F14444</f>
        <v>33.6</v>
      </c>
      <c r="G14429" s="21"/>
    </row>
    <row r="14430" ht="39.75" customHeight="1">
      <c r="A14430" s="11"/>
      <c r="B14430" s="11"/>
      <c r="C14430" s="11"/>
      <c r="D14430" s="10" t="s">
        <v>5944</v>
      </c>
    </row>
    <row r="14431" ht="30.0" customHeight="1">
      <c r="A14431" s="10" t="s">
        <v>5898</v>
      </c>
      <c r="B14431" s="10" t="s">
        <v>42</v>
      </c>
      <c r="C14431" s="10" t="s">
        <v>184</v>
      </c>
      <c r="D14431" s="10" t="s">
        <v>5899</v>
      </c>
      <c r="E14431" s="14">
        <v>1.0</v>
      </c>
      <c r="F14431" s="15">
        <f>ROUND(7.89,3)</f>
        <v>7.89</v>
      </c>
      <c r="G14431" s="12">
        <f t="shared" ref="G14431:G14442" si="2237">ROUND(E14431*F14431,2)</f>
        <v>7.89</v>
      </c>
    </row>
    <row r="14432" ht="21.0" customHeight="1">
      <c r="A14432" s="10" t="s">
        <v>1943</v>
      </c>
      <c r="B14432" s="10" t="s">
        <v>42</v>
      </c>
      <c r="C14432" s="10" t="s">
        <v>184</v>
      </c>
      <c r="D14432" s="10" t="s">
        <v>1944</v>
      </c>
      <c r="E14432" s="14">
        <v>0.5</v>
      </c>
      <c r="F14432" s="15">
        <f>ROUND(6.9,3)</f>
        <v>6.9</v>
      </c>
      <c r="G14432" s="12">
        <f t="shared" si="2237"/>
        <v>3.45</v>
      </c>
    </row>
    <row r="14433" ht="30.0" customHeight="1">
      <c r="A14433" s="10" t="s">
        <v>1227</v>
      </c>
      <c r="B14433" s="10" t="s">
        <v>42</v>
      </c>
      <c r="C14433" s="10" t="s">
        <v>226</v>
      </c>
      <c r="D14433" s="10" t="s">
        <v>1228</v>
      </c>
      <c r="E14433" s="14">
        <v>0.021</v>
      </c>
      <c r="F14433" s="15">
        <f>ROUND(27.5,3)</f>
        <v>27.5</v>
      </c>
      <c r="G14433" s="12">
        <f t="shared" si="2237"/>
        <v>0.58</v>
      </c>
    </row>
    <row r="14434" ht="21.0" customHeight="1">
      <c r="A14434" s="10" t="s">
        <v>1857</v>
      </c>
      <c r="B14434" s="10" t="s">
        <v>42</v>
      </c>
      <c r="C14434" s="10" t="s">
        <v>231</v>
      </c>
      <c r="D14434" s="10" t="s">
        <v>1858</v>
      </c>
      <c r="E14434" s="14">
        <v>0.4</v>
      </c>
      <c r="F14434" s="15">
        <f>ROUND(1.05,3)</f>
        <v>1.05</v>
      </c>
      <c r="G14434" s="12">
        <f t="shared" si="2237"/>
        <v>0.42</v>
      </c>
    </row>
    <row r="14435" ht="30.0" customHeight="1">
      <c r="A14435" s="10" t="s">
        <v>5847</v>
      </c>
      <c r="B14435" s="10" t="s">
        <v>42</v>
      </c>
      <c r="C14435" s="10" t="s">
        <v>344</v>
      </c>
      <c r="D14435" s="10" t="s">
        <v>5848</v>
      </c>
      <c r="E14435" s="14">
        <v>0.5</v>
      </c>
      <c r="F14435" s="15">
        <f>ROUND(1.76,3)</f>
        <v>1.76</v>
      </c>
      <c r="G14435" s="12">
        <f t="shared" si="2237"/>
        <v>0.88</v>
      </c>
    </row>
    <row r="14436" ht="21.0" customHeight="1">
      <c r="A14436" s="10" t="s">
        <v>228</v>
      </c>
      <c r="B14436" s="10" t="s">
        <v>42</v>
      </c>
      <c r="C14436" s="10" t="s">
        <v>226</v>
      </c>
      <c r="D14436" s="10" t="s">
        <v>229</v>
      </c>
      <c r="E14436" s="14">
        <v>0.02444</v>
      </c>
      <c r="F14436" s="15">
        <f>ROUND(1.32,3)</f>
        <v>1.32</v>
      </c>
      <c r="G14436" s="12">
        <f t="shared" si="2237"/>
        <v>0.03</v>
      </c>
    </row>
    <row r="14437" ht="21.0" customHeight="1">
      <c r="A14437" s="10" t="s">
        <v>1605</v>
      </c>
      <c r="B14437" s="10" t="s">
        <v>112</v>
      </c>
      <c r="C14437" s="10" t="s">
        <v>23</v>
      </c>
      <c r="D14437" s="10" t="s">
        <v>1606</v>
      </c>
      <c r="E14437" s="14">
        <v>0.2</v>
      </c>
      <c r="F14437" s="15">
        <f>ROUND(11.5,3)</f>
        <v>11.5</v>
      </c>
      <c r="G14437" s="12">
        <f t="shared" si="2237"/>
        <v>2.3</v>
      </c>
    </row>
    <row r="14438" ht="21.0" customHeight="1">
      <c r="A14438" s="10" t="s">
        <v>22</v>
      </c>
      <c r="B14438" s="10" t="s">
        <v>18</v>
      </c>
      <c r="C14438" s="10" t="s">
        <v>23</v>
      </c>
      <c r="D14438" s="10" t="s">
        <v>24</v>
      </c>
      <c r="E14438" s="14">
        <v>0.4</v>
      </c>
      <c r="F14438" s="15">
        <f>F14442</f>
        <v>43.8</v>
      </c>
      <c r="G14438" s="12">
        <f t="shared" si="2237"/>
        <v>17.52</v>
      </c>
    </row>
    <row r="14439" ht="24.0" customHeight="1">
      <c r="A14439" s="10" t="s">
        <v>25</v>
      </c>
      <c r="B14439" s="10" t="s">
        <v>26</v>
      </c>
      <c r="C14439" s="10" t="s">
        <v>23</v>
      </c>
      <c r="D14439" s="10" t="s">
        <v>27</v>
      </c>
      <c r="E14439" s="14">
        <v>1.0</v>
      </c>
      <c r="F14439" s="15">
        <f>ROUND(21,3)</f>
        <v>21</v>
      </c>
      <c r="G14439" s="12">
        <f t="shared" si="2237"/>
        <v>21</v>
      </c>
    </row>
    <row r="14440" ht="24.0" customHeight="1">
      <c r="A14440" s="10" t="s">
        <v>28</v>
      </c>
      <c r="B14440" s="10" t="s">
        <v>26</v>
      </c>
      <c r="C14440" s="10" t="s">
        <v>23</v>
      </c>
      <c r="D14440" s="10" t="s">
        <v>29</v>
      </c>
      <c r="E14440" s="14">
        <v>1.0</v>
      </c>
      <c r="F14440" s="15">
        <f t="shared" ref="F14440:F14441" si="2238">ROUND(19,3)</f>
        <v>19</v>
      </c>
      <c r="G14440" s="12">
        <f t="shared" si="2237"/>
        <v>19</v>
      </c>
    </row>
    <row r="14441" ht="24.0" customHeight="1">
      <c r="A14441" s="10" t="s">
        <v>30</v>
      </c>
      <c r="B14441" s="10" t="s">
        <v>26</v>
      </c>
      <c r="C14441" s="10" t="s">
        <v>23</v>
      </c>
      <c r="D14441" s="10" t="s">
        <v>31</v>
      </c>
      <c r="E14441" s="14">
        <v>0.2</v>
      </c>
      <c r="F14441" s="15">
        <f t="shared" si="2238"/>
        <v>19</v>
      </c>
      <c r="G14441" s="12">
        <f t="shared" si="2237"/>
        <v>3.8</v>
      </c>
    </row>
    <row r="14442" ht="15.0" customHeight="1">
      <c r="A14442" s="11"/>
      <c r="B14442" s="11"/>
      <c r="C14442" s="11"/>
      <c r="D14442" s="10" t="s">
        <v>22</v>
      </c>
      <c r="E14442" s="14">
        <v>0.4</v>
      </c>
      <c r="F14442" s="15">
        <f>ROUND((G14439+G14440+G14441),3)</f>
        <v>43.8</v>
      </c>
      <c r="G14442" s="12">
        <f t="shared" si="2237"/>
        <v>17.52</v>
      </c>
    </row>
    <row r="14443" ht="15.0" customHeight="1">
      <c r="A14443" s="10" t="s">
        <v>32</v>
      </c>
      <c r="B14443" s="10"/>
      <c r="C14443" s="10" t="s">
        <v>33</v>
      </c>
      <c r="D14443" s="10" t="s">
        <v>34</v>
      </c>
      <c r="E14443" s="14">
        <v>3.0</v>
      </c>
      <c r="F14443" s="15">
        <f>ROUND(17.52,3)</f>
        <v>17.52</v>
      </c>
      <c r="G14443" s="12">
        <f>ROUND((E14443*F14443)/100,2)</f>
        <v>0.53</v>
      </c>
    </row>
    <row r="14444" ht="24.75" customHeight="1">
      <c r="A14444" s="16"/>
      <c r="B14444" s="16"/>
      <c r="C14444" s="16"/>
      <c r="D14444" s="17" t="s">
        <v>5942</v>
      </c>
      <c r="E14444" s="16"/>
      <c r="F14444" s="18">
        <f>ROUND((G14431+G14432+G14433+G14434+G14435+G14436+G14437+G14438+G14443)*(1+G2/100),2)</f>
        <v>33.6</v>
      </c>
      <c r="G14444" s="16"/>
    </row>
    <row r="14445" ht="67.5" customHeight="1">
      <c r="A14445" s="19" t="s">
        <v>5945</v>
      </c>
      <c r="B14445" s="20" t="s">
        <v>18</v>
      </c>
      <c r="C14445" s="20" t="s">
        <v>19</v>
      </c>
      <c r="D14445" s="20" t="s">
        <v>5946</v>
      </c>
      <c r="E14445" s="21"/>
      <c r="F14445" s="22">
        <f>F14460</f>
        <v>29.99</v>
      </c>
      <c r="G14445" s="21"/>
    </row>
    <row r="14446" ht="39.75" customHeight="1">
      <c r="A14446" s="11"/>
      <c r="B14446" s="11"/>
      <c r="C14446" s="11"/>
      <c r="D14446" s="10" t="s">
        <v>5947</v>
      </c>
    </row>
    <row r="14447" ht="30.0" customHeight="1">
      <c r="A14447" s="10" t="s">
        <v>5898</v>
      </c>
      <c r="B14447" s="10" t="s">
        <v>42</v>
      </c>
      <c r="C14447" s="10" t="s">
        <v>184</v>
      </c>
      <c r="D14447" s="10" t="s">
        <v>5899</v>
      </c>
      <c r="E14447" s="14">
        <v>1.0</v>
      </c>
      <c r="F14447" s="15">
        <f>ROUND(7.89,3)</f>
        <v>7.89</v>
      </c>
      <c r="G14447" s="12">
        <f t="shared" ref="G14447:G14458" si="2239">ROUND(E14447*F14447,2)</f>
        <v>7.89</v>
      </c>
    </row>
    <row r="14448" ht="21.0" customHeight="1">
      <c r="A14448" s="10" t="s">
        <v>1943</v>
      </c>
      <c r="B14448" s="10" t="s">
        <v>42</v>
      </c>
      <c r="C14448" s="10" t="s">
        <v>184</v>
      </c>
      <c r="D14448" s="10" t="s">
        <v>1944</v>
      </c>
      <c r="E14448" s="14">
        <v>0.5</v>
      </c>
      <c r="F14448" s="15">
        <f>ROUND(6.9,3)</f>
        <v>6.9</v>
      </c>
      <c r="G14448" s="12">
        <f t="shared" si="2239"/>
        <v>3.45</v>
      </c>
    </row>
    <row r="14449" ht="30.0" customHeight="1">
      <c r="A14449" s="10" t="s">
        <v>1227</v>
      </c>
      <c r="B14449" s="10" t="s">
        <v>42</v>
      </c>
      <c r="C14449" s="10" t="s">
        <v>226</v>
      </c>
      <c r="D14449" s="10" t="s">
        <v>1228</v>
      </c>
      <c r="E14449" s="14">
        <v>0.021</v>
      </c>
      <c r="F14449" s="15">
        <f>ROUND(27.5,3)</f>
        <v>27.5</v>
      </c>
      <c r="G14449" s="12">
        <f t="shared" si="2239"/>
        <v>0.58</v>
      </c>
    </row>
    <row r="14450" ht="21.0" customHeight="1">
      <c r="A14450" s="10" t="s">
        <v>1857</v>
      </c>
      <c r="B14450" s="10" t="s">
        <v>42</v>
      </c>
      <c r="C14450" s="10" t="s">
        <v>231</v>
      </c>
      <c r="D14450" s="10" t="s">
        <v>1858</v>
      </c>
      <c r="E14450" s="14">
        <v>0.4</v>
      </c>
      <c r="F14450" s="15">
        <f>ROUND(1.05,3)</f>
        <v>1.05</v>
      </c>
      <c r="G14450" s="12">
        <f t="shared" si="2239"/>
        <v>0.42</v>
      </c>
    </row>
    <row r="14451" ht="30.0" customHeight="1">
      <c r="A14451" s="10" t="s">
        <v>5847</v>
      </c>
      <c r="B14451" s="10" t="s">
        <v>42</v>
      </c>
      <c r="C14451" s="10" t="s">
        <v>344</v>
      </c>
      <c r="D14451" s="10" t="s">
        <v>5848</v>
      </c>
      <c r="E14451" s="14">
        <v>0.5</v>
      </c>
      <c r="F14451" s="15">
        <f>ROUND(1.76,3)</f>
        <v>1.76</v>
      </c>
      <c r="G14451" s="12">
        <f t="shared" si="2239"/>
        <v>0.88</v>
      </c>
    </row>
    <row r="14452" ht="21.0" customHeight="1">
      <c r="A14452" s="10" t="s">
        <v>228</v>
      </c>
      <c r="B14452" s="10" t="s">
        <v>42</v>
      </c>
      <c r="C14452" s="10" t="s">
        <v>226</v>
      </c>
      <c r="D14452" s="10" t="s">
        <v>229</v>
      </c>
      <c r="E14452" s="14">
        <v>0.02444</v>
      </c>
      <c r="F14452" s="15">
        <f>ROUND(1.32,3)</f>
        <v>1.32</v>
      </c>
      <c r="G14452" s="12">
        <f t="shared" si="2239"/>
        <v>0.03</v>
      </c>
    </row>
    <row r="14453" ht="21.0" customHeight="1">
      <c r="A14453" s="10" t="s">
        <v>1605</v>
      </c>
      <c r="B14453" s="10" t="s">
        <v>112</v>
      </c>
      <c r="C14453" s="10" t="s">
        <v>23</v>
      </c>
      <c r="D14453" s="10" t="s">
        <v>1606</v>
      </c>
      <c r="E14453" s="14">
        <v>0.2</v>
      </c>
      <c r="F14453" s="15">
        <f>ROUND(11.5,3)</f>
        <v>11.5</v>
      </c>
      <c r="G14453" s="12">
        <f t="shared" si="2239"/>
        <v>2.3</v>
      </c>
    </row>
    <row r="14454" ht="21.0" customHeight="1">
      <c r="A14454" s="10" t="s">
        <v>22</v>
      </c>
      <c r="B14454" s="10" t="s">
        <v>18</v>
      </c>
      <c r="C14454" s="10" t="s">
        <v>23</v>
      </c>
      <c r="D14454" s="10" t="s">
        <v>24</v>
      </c>
      <c r="E14454" s="14">
        <v>0.32</v>
      </c>
      <c r="F14454" s="15">
        <f>F14458</f>
        <v>43.8</v>
      </c>
      <c r="G14454" s="12">
        <f t="shared" si="2239"/>
        <v>14.02</v>
      </c>
    </row>
    <row r="14455" ht="24.0" customHeight="1">
      <c r="A14455" s="10" t="s">
        <v>25</v>
      </c>
      <c r="B14455" s="10" t="s">
        <v>26</v>
      </c>
      <c r="C14455" s="10" t="s">
        <v>23</v>
      </c>
      <c r="D14455" s="10" t="s">
        <v>27</v>
      </c>
      <c r="E14455" s="14">
        <v>1.0</v>
      </c>
      <c r="F14455" s="15">
        <f>ROUND(21,3)</f>
        <v>21</v>
      </c>
      <c r="G14455" s="12">
        <f t="shared" si="2239"/>
        <v>21</v>
      </c>
    </row>
    <row r="14456" ht="24.0" customHeight="1">
      <c r="A14456" s="10" t="s">
        <v>28</v>
      </c>
      <c r="B14456" s="10" t="s">
        <v>26</v>
      </c>
      <c r="C14456" s="10" t="s">
        <v>23</v>
      </c>
      <c r="D14456" s="10" t="s">
        <v>29</v>
      </c>
      <c r="E14456" s="14">
        <v>1.0</v>
      </c>
      <c r="F14456" s="15">
        <f t="shared" ref="F14456:F14457" si="2240">ROUND(19,3)</f>
        <v>19</v>
      </c>
      <c r="G14456" s="12">
        <f t="shared" si="2239"/>
        <v>19</v>
      </c>
    </row>
    <row r="14457" ht="24.0" customHeight="1">
      <c r="A14457" s="10" t="s">
        <v>30</v>
      </c>
      <c r="B14457" s="10" t="s">
        <v>26</v>
      </c>
      <c r="C14457" s="10" t="s">
        <v>23</v>
      </c>
      <c r="D14457" s="10" t="s">
        <v>31</v>
      </c>
      <c r="E14457" s="14">
        <v>0.2</v>
      </c>
      <c r="F14457" s="15">
        <f t="shared" si="2240"/>
        <v>19</v>
      </c>
      <c r="G14457" s="12">
        <f t="shared" si="2239"/>
        <v>3.8</v>
      </c>
    </row>
    <row r="14458" ht="15.0" customHeight="1">
      <c r="A14458" s="11"/>
      <c r="B14458" s="11"/>
      <c r="C14458" s="11"/>
      <c r="D14458" s="10" t="s">
        <v>22</v>
      </c>
      <c r="E14458" s="14">
        <v>0.32</v>
      </c>
      <c r="F14458" s="15">
        <f>ROUND((G14455+G14456+G14457),3)</f>
        <v>43.8</v>
      </c>
      <c r="G14458" s="12">
        <f t="shared" si="2239"/>
        <v>14.02</v>
      </c>
    </row>
    <row r="14459" ht="15.0" customHeight="1">
      <c r="A14459" s="10" t="s">
        <v>32</v>
      </c>
      <c r="B14459" s="10"/>
      <c r="C14459" s="10" t="s">
        <v>33</v>
      </c>
      <c r="D14459" s="10" t="s">
        <v>34</v>
      </c>
      <c r="E14459" s="14">
        <v>3.0</v>
      </c>
      <c r="F14459" s="15">
        <f>ROUND(14.02,3)</f>
        <v>14.02</v>
      </c>
      <c r="G14459" s="12">
        <f>ROUND((E14459*F14459)/100,2)</f>
        <v>0.42</v>
      </c>
    </row>
    <row r="14460" ht="24.75" customHeight="1">
      <c r="A14460" s="16"/>
      <c r="B14460" s="16"/>
      <c r="C14460" s="16"/>
      <c r="D14460" s="17" t="s">
        <v>5945</v>
      </c>
      <c r="E14460" s="16"/>
      <c r="F14460" s="18">
        <f>ROUND((G14447+G14448+G14449+G14450+G14451+G14452+G14453+G14454+G14459)*(1+G2/100),2)</f>
        <v>29.99</v>
      </c>
      <c r="G14460" s="16"/>
    </row>
    <row r="14461" ht="76.5" customHeight="1">
      <c r="A14461" s="19" t="s">
        <v>5948</v>
      </c>
      <c r="B14461" s="20" t="s">
        <v>18</v>
      </c>
      <c r="C14461" s="20" t="s">
        <v>19</v>
      </c>
      <c r="D14461" s="20" t="s">
        <v>5949</v>
      </c>
      <c r="E14461" s="21"/>
      <c r="F14461" s="22">
        <f>F14476</f>
        <v>39.09</v>
      </c>
      <c r="G14461" s="21"/>
    </row>
    <row r="14462" ht="39.75" customHeight="1">
      <c r="A14462" s="11"/>
      <c r="B14462" s="11"/>
      <c r="C14462" s="11"/>
      <c r="D14462" s="10" t="s">
        <v>5950</v>
      </c>
    </row>
    <row r="14463" ht="30.0" customHeight="1">
      <c r="A14463" s="10" t="s">
        <v>5860</v>
      </c>
      <c r="B14463" s="10" t="s">
        <v>42</v>
      </c>
      <c r="C14463" s="10" t="s">
        <v>184</v>
      </c>
      <c r="D14463" s="10" t="s">
        <v>5861</v>
      </c>
      <c r="E14463" s="14">
        <v>1.0</v>
      </c>
      <c r="F14463" s="15">
        <f>ROUND(11.74,3)</f>
        <v>11.74</v>
      </c>
      <c r="G14463" s="12">
        <f t="shared" ref="G14463:G14474" si="2241">ROUND(E14463*F14463,2)</f>
        <v>11.74</v>
      </c>
    </row>
    <row r="14464" ht="30.0" customHeight="1">
      <c r="A14464" s="10" t="s">
        <v>1929</v>
      </c>
      <c r="B14464" s="10" t="s">
        <v>42</v>
      </c>
      <c r="C14464" s="10" t="s">
        <v>184</v>
      </c>
      <c r="D14464" s="10" t="s">
        <v>1930</v>
      </c>
      <c r="E14464" s="14">
        <v>0.5</v>
      </c>
      <c r="F14464" s="15">
        <f>ROUND(10.18,3)</f>
        <v>10.18</v>
      </c>
      <c r="G14464" s="12">
        <f t="shared" si="2241"/>
        <v>5.09</v>
      </c>
    </row>
    <row r="14465" ht="30.0" customHeight="1">
      <c r="A14465" s="10" t="s">
        <v>1227</v>
      </c>
      <c r="B14465" s="10" t="s">
        <v>42</v>
      </c>
      <c r="C14465" s="10" t="s">
        <v>226</v>
      </c>
      <c r="D14465" s="10" t="s">
        <v>1228</v>
      </c>
      <c r="E14465" s="14">
        <v>0.021</v>
      </c>
      <c r="F14465" s="15">
        <f>ROUND(27.5,3)</f>
        <v>27.5</v>
      </c>
      <c r="G14465" s="12">
        <f t="shared" si="2241"/>
        <v>0.58</v>
      </c>
    </row>
    <row r="14466" ht="21.0" customHeight="1">
      <c r="A14466" s="10" t="s">
        <v>1857</v>
      </c>
      <c r="B14466" s="10" t="s">
        <v>42</v>
      </c>
      <c r="C14466" s="10" t="s">
        <v>231</v>
      </c>
      <c r="D14466" s="10" t="s">
        <v>1858</v>
      </c>
      <c r="E14466" s="14">
        <v>0.4</v>
      </c>
      <c r="F14466" s="15">
        <f>ROUND(1.05,3)</f>
        <v>1.05</v>
      </c>
      <c r="G14466" s="12">
        <f t="shared" si="2241"/>
        <v>0.42</v>
      </c>
    </row>
    <row r="14467" ht="30.0" customHeight="1">
      <c r="A14467" s="10" t="s">
        <v>5847</v>
      </c>
      <c r="B14467" s="10" t="s">
        <v>42</v>
      </c>
      <c r="C14467" s="10" t="s">
        <v>344</v>
      </c>
      <c r="D14467" s="10" t="s">
        <v>5848</v>
      </c>
      <c r="E14467" s="14">
        <v>0.5</v>
      </c>
      <c r="F14467" s="15">
        <f>ROUND(1.76,3)</f>
        <v>1.76</v>
      </c>
      <c r="G14467" s="12">
        <f t="shared" si="2241"/>
        <v>0.88</v>
      </c>
    </row>
    <row r="14468" ht="21.0" customHeight="1">
      <c r="A14468" s="10" t="s">
        <v>228</v>
      </c>
      <c r="B14468" s="10" t="s">
        <v>42</v>
      </c>
      <c r="C14468" s="10" t="s">
        <v>226</v>
      </c>
      <c r="D14468" s="10" t="s">
        <v>229</v>
      </c>
      <c r="E14468" s="14">
        <v>0.02444</v>
      </c>
      <c r="F14468" s="15">
        <f>ROUND(1.32,3)</f>
        <v>1.32</v>
      </c>
      <c r="G14468" s="12">
        <f t="shared" si="2241"/>
        <v>0.03</v>
      </c>
    </row>
    <row r="14469" ht="21.0" customHeight="1">
      <c r="A14469" s="10" t="s">
        <v>1605</v>
      </c>
      <c r="B14469" s="10" t="s">
        <v>112</v>
      </c>
      <c r="C14469" s="10" t="s">
        <v>23</v>
      </c>
      <c r="D14469" s="10" t="s">
        <v>1606</v>
      </c>
      <c r="E14469" s="14">
        <v>0.2</v>
      </c>
      <c r="F14469" s="15">
        <f>ROUND(11.5,3)</f>
        <v>11.5</v>
      </c>
      <c r="G14469" s="12">
        <f t="shared" si="2241"/>
        <v>2.3</v>
      </c>
    </row>
    <row r="14470" ht="21.0" customHeight="1">
      <c r="A14470" s="10" t="s">
        <v>22</v>
      </c>
      <c r="B14470" s="10" t="s">
        <v>18</v>
      </c>
      <c r="C14470" s="10" t="s">
        <v>23</v>
      </c>
      <c r="D14470" s="10" t="s">
        <v>24</v>
      </c>
      <c r="E14470" s="14">
        <v>0.4</v>
      </c>
      <c r="F14470" s="15">
        <f>F14474</f>
        <v>43.8</v>
      </c>
      <c r="G14470" s="12">
        <f t="shared" si="2241"/>
        <v>17.52</v>
      </c>
    </row>
    <row r="14471" ht="24.0" customHeight="1">
      <c r="A14471" s="10" t="s">
        <v>25</v>
      </c>
      <c r="B14471" s="10" t="s">
        <v>26</v>
      </c>
      <c r="C14471" s="10" t="s">
        <v>23</v>
      </c>
      <c r="D14471" s="10" t="s">
        <v>27</v>
      </c>
      <c r="E14471" s="14">
        <v>1.0</v>
      </c>
      <c r="F14471" s="15">
        <f>ROUND(21,3)</f>
        <v>21</v>
      </c>
      <c r="G14471" s="12">
        <f t="shared" si="2241"/>
        <v>21</v>
      </c>
    </row>
    <row r="14472" ht="24.0" customHeight="1">
      <c r="A14472" s="10" t="s">
        <v>28</v>
      </c>
      <c r="B14472" s="10" t="s">
        <v>26</v>
      </c>
      <c r="C14472" s="10" t="s">
        <v>23</v>
      </c>
      <c r="D14472" s="10" t="s">
        <v>29</v>
      </c>
      <c r="E14472" s="14">
        <v>1.0</v>
      </c>
      <c r="F14472" s="15">
        <f t="shared" ref="F14472:F14473" si="2242">ROUND(19,3)</f>
        <v>19</v>
      </c>
      <c r="G14472" s="12">
        <f t="shared" si="2241"/>
        <v>19</v>
      </c>
    </row>
    <row r="14473" ht="24.0" customHeight="1">
      <c r="A14473" s="10" t="s">
        <v>30</v>
      </c>
      <c r="B14473" s="10" t="s">
        <v>26</v>
      </c>
      <c r="C14473" s="10" t="s">
        <v>23</v>
      </c>
      <c r="D14473" s="10" t="s">
        <v>31</v>
      </c>
      <c r="E14473" s="14">
        <v>0.2</v>
      </c>
      <c r="F14473" s="15">
        <f t="shared" si="2242"/>
        <v>19</v>
      </c>
      <c r="G14473" s="12">
        <f t="shared" si="2241"/>
        <v>3.8</v>
      </c>
    </row>
    <row r="14474" ht="15.0" customHeight="1">
      <c r="A14474" s="11"/>
      <c r="B14474" s="11"/>
      <c r="C14474" s="11"/>
      <c r="D14474" s="10" t="s">
        <v>22</v>
      </c>
      <c r="E14474" s="14">
        <v>0.4</v>
      </c>
      <c r="F14474" s="15">
        <f>ROUND((G14471+G14472+G14473),3)</f>
        <v>43.8</v>
      </c>
      <c r="G14474" s="12">
        <f t="shared" si="2241"/>
        <v>17.52</v>
      </c>
    </row>
    <row r="14475" ht="15.0" customHeight="1">
      <c r="A14475" s="10" t="s">
        <v>32</v>
      </c>
      <c r="B14475" s="10"/>
      <c r="C14475" s="10" t="s">
        <v>33</v>
      </c>
      <c r="D14475" s="10" t="s">
        <v>34</v>
      </c>
      <c r="E14475" s="14">
        <v>3.0</v>
      </c>
      <c r="F14475" s="15">
        <f>ROUND(17.52,3)</f>
        <v>17.52</v>
      </c>
      <c r="G14475" s="12">
        <f>ROUND((E14475*F14475)/100,2)</f>
        <v>0.53</v>
      </c>
    </row>
    <row r="14476" ht="15.0" customHeight="1">
      <c r="A14476" s="16"/>
      <c r="B14476" s="16"/>
      <c r="C14476" s="16"/>
      <c r="D14476" s="17" t="s">
        <v>5948</v>
      </c>
      <c r="E14476" s="16"/>
      <c r="F14476" s="18">
        <f>ROUND((G14463+G14464+G14465+G14466+G14467+G14468+G14469+G14470+G14475)*(1+G2/100),2)</f>
        <v>39.09</v>
      </c>
      <c r="G14476" s="16"/>
    </row>
    <row r="14477" ht="67.5" customHeight="1">
      <c r="A14477" s="19" t="s">
        <v>5951</v>
      </c>
      <c r="B14477" s="20" t="s">
        <v>18</v>
      </c>
      <c r="C14477" s="20" t="s">
        <v>19</v>
      </c>
      <c r="D14477" s="20" t="s">
        <v>5952</v>
      </c>
      <c r="E14477" s="21"/>
      <c r="F14477" s="22">
        <f>F14492</f>
        <v>35.48</v>
      </c>
      <c r="G14477" s="21"/>
    </row>
    <row r="14478" ht="39.75" customHeight="1">
      <c r="A14478" s="11"/>
      <c r="B14478" s="11"/>
      <c r="C14478" s="11"/>
      <c r="D14478" s="10" t="s">
        <v>5953</v>
      </c>
    </row>
    <row r="14479" ht="30.0" customHeight="1">
      <c r="A14479" s="10" t="s">
        <v>5860</v>
      </c>
      <c r="B14479" s="10" t="s">
        <v>42</v>
      </c>
      <c r="C14479" s="10" t="s">
        <v>184</v>
      </c>
      <c r="D14479" s="10" t="s">
        <v>5861</v>
      </c>
      <c r="E14479" s="14">
        <v>1.0</v>
      </c>
      <c r="F14479" s="15">
        <f>ROUND(11.74,3)</f>
        <v>11.74</v>
      </c>
      <c r="G14479" s="12">
        <f t="shared" ref="G14479:G14490" si="2243">ROUND(E14479*F14479,2)</f>
        <v>11.74</v>
      </c>
    </row>
    <row r="14480" ht="30.0" customHeight="1">
      <c r="A14480" s="10" t="s">
        <v>1929</v>
      </c>
      <c r="B14480" s="10" t="s">
        <v>42</v>
      </c>
      <c r="C14480" s="10" t="s">
        <v>184</v>
      </c>
      <c r="D14480" s="10" t="s">
        <v>1930</v>
      </c>
      <c r="E14480" s="14">
        <v>0.5</v>
      </c>
      <c r="F14480" s="15">
        <f>ROUND(10.18,3)</f>
        <v>10.18</v>
      </c>
      <c r="G14480" s="12">
        <f t="shared" si="2243"/>
        <v>5.09</v>
      </c>
    </row>
    <row r="14481" ht="30.0" customHeight="1">
      <c r="A14481" s="10" t="s">
        <v>1227</v>
      </c>
      <c r="B14481" s="10" t="s">
        <v>42</v>
      </c>
      <c r="C14481" s="10" t="s">
        <v>226</v>
      </c>
      <c r="D14481" s="10" t="s">
        <v>1228</v>
      </c>
      <c r="E14481" s="14">
        <v>0.021</v>
      </c>
      <c r="F14481" s="15">
        <f>ROUND(27.5,3)</f>
        <v>27.5</v>
      </c>
      <c r="G14481" s="12">
        <f t="shared" si="2243"/>
        <v>0.58</v>
      </c>
    </row>
    <row r="14482" ht="21.0" customHeight="1">
      <c r="A14482" s="10" t="s">
        <v>1857</v>
      </c>
      <c r="B14482" s="10" t="s">
        <v>42</v>
      </c>
      <c r="C14482" s="10" t="s">
        <v>231</v>
      </c>
      <c r="D14482" s="10" t="s">
        <v>1858</v>
      </c>
      <c r="E14482" s="14">
        <v>0.4</v>
      </c>
      <c r="F14482" s="15">
        <f>ROUND(1.05,3)</f>
        <v>1.05</v>
      </c>
      <c r="G14482" s="12">
        <f t="shared" si="2243"/>
        <v>0.42</v>
      </c>
    </row>
    <row r="14483" ht="30.0" customHeight="1">
      <c r="A14483" s="10" t="s">
        <v>5847</v>
      </c>
      <c r="B14483" s="10" t="s">
        <v>42</v>
      </c>
      <c r="C14483" s="10" t="s">
        <v>344</v>
      </c>
      <c r="D14483" s="10" t="s">
        <v>5848</v>
      </c>
      <c r="E14483" s="14">
        <v>0.5</v>
      </c>
      <c r="F14483" s="15">
        <f>ROUND(1.76,3)</f>
        <v>1.76</v>
      </c>
      <c r="G14483" s="12">
        <f t="shared" si="2243"/>
        <v>0.88</v>
      </c>
    </row>
    <row r="14484" ht="21.0" customHeight="1">
      <c r="A14484" s="10" t="s">
        <v>228</v>
      </c>
      <c r="B14484" s="10" t="s">
        <v>42</v>
      </c>
      <c r="C14484" s="10" t="s">
        <v>226</v>
      </c>
      <c r="D14484" s="10" t="s">
        <v>229</v>
      </c>
      <c r="E14484" s="14">
        <v>0.02444</v>
      </c>
      <c r="F14484" s="15">
        <f>ROUND(1.32,3)</f>
        <v>1.32</v>
      </c>
      <c r="G14484" s="12">
        <f t="shared" si="2243"/>
        <v>0.03</v>
      </c>
    </row>
    <row r="14485" ht="21.0" customHeight="1">
      <c r="A14485" s="10" t="s">
        <v>1605</v>
      </c>
      <c r="B14485" s="10" t="s">
        <v>112</v>
      </c>
      <c r="C14485" s="10" t="s">
        <v>23</v>
      </c>
      <c r="D14485" s="10" t="s">
        <v>1606</v>
      </c>
      <c r="E14485" s="14">
        <v>0.2</v>
      </c>
      <c r="F14485" s="15">
        <f>ROUND(11.5,3)</f>
        <v>11.5</v>
      </c>
      <c r="G14485" s="12">
        <f t="shared" si="2243"/>
        <v>2.3</v>
      </c>
    </row>
    <row r="14486" ht="21.0" customHeight="1">
      <c r="A14486" s="10" t="s">
        <v>22</v>
      </c>
      <c r="B14486" s="10" t="s">
        <v>18</v>
      </c>
      <c r="C14486" s="10" t="s">
        <v>23</v>
      </c>
      <c r="D14486" s="10" t="s">
        <v>24</v>
      </c>
      <c r="E14486" s="14">
        <v>0.32</v>
      </c>
      <c r="F14486" s="15">
        <f>F14490</f>
        <v>43.8</v>
      </c>
      <c r="G14486" s="12">
        <f t="shared" si="2243"/>
        <v>14.02</v>
      </c>
    </row>
    <row r="14487" ht="24.0" customHeight="1">
      <c r="A14487" s="10" t="s">
        <v>25</v>
      </c>
      <c r="B14487" s="10" t="s">
        <v>26</v>
      </c>
      <c r="C14487" s="10" t="s">
        <v>23</v>
      </c>
      <c r="D14487" s="10" t="s">
        <v>27</v>
      </c>
      <c r="E14487" s="14">
        <v>1.0</v>
      </c>
      <c r="F14487" s="15">
        <f>ROUND(21,3)</f>
        <v>21</v>
      </c>
      <c r="G14487" s="12">
        <f t="shared" si="2243"/>
        <v>21</v>
      </c>
    </row>
    <row r="14488" ht="24.0" customHeight="1">
      <c r="A14488" s="10" t="s">
        <v>28</v>
      </c>
      <c r="B14488" s="10" t="s">
        <v>26</v>
      </c>
      <c r="C14488" s="10" t="s">
        <v>23</v>
      </c>
      <c r="D14488" s="10" t="s">
        <v>29</v>
      </c>
      <c r="E14488" s="14">
        <v>1.0</v>
      </c>
      <c r="F14488" s="15">
        <f t="shared" ref="F14488:F14489" si="2244">ROUND(19,3)</f>
        <v>19</v>
      </c>
      <c r="G14488" s="12">
        <f t="shared" si="2243"/>
        <v>19</v>
      </c>
    </row>
    <row r="14489" ht="24.0" customHeight="1">
      <c r="A14489" s="10" t="s">
        <v>30</v>
      </c>
      <c r="B14489" s="10" t="s">
        <v>26</v>
      </c>
      <c r="C14489" s="10" t="s">
        <v>23</v>
      </c>
      <c r="D14489" s="10" t="s">
        <v>31</v>
      </c>
      <c r="E14489" s="14">
        <v>0.2</v>
      </c>
      <c r="F14489" s="15">
        <f t="shared" si="2244"/>
        <v>19</v>
      </c>
      <c r="G14489" s="12">
        <f t="shared" si="2243"/>
        <v>3.8</v>
      </c>
    </row>
    <row r="14490" ht="15.0" customHeight="1">
      <c r="A14490" s="11"/>
      <c r="B14490" s="11"/>
      <c r="C14490" s="11"/>
      <c r="D14490" s="10" t="s">
        <v>22</v>
      </c>
      <c r="E14490" s="14">
        <v>0.32</v>
      </c>
      <c r="F14490" s="15">
        <f>ROUND((G14487+G14488+G14489),3)</f>
        <v>43.8</v>
      </c>
      <c r="G14490" s="12">
        <f t="shared" si="2243"/>
        <v>14.02</v>
      </c>
    </row>
    <row r="14491" ht="15.0" customHeight="1">
      <c r="A14491" s="10" t="s">
        <v>32</v>
      </c>
      <c r="B14491" s="10"/>
      <c r="C14491" s="10" t="s">
        <v>33</v>
      </c>
      <c r="D14491" s="10" t="s">
        <v>34</v>
      </c>
      <c r="E14491" s="14">
        <v>3.0</v>
      </c>
      <c r="F14491" s="15">
        <f>ROUND(14.02,3)</f>
        <v>14.02</v>
      </c>
      <c r="G14491" s="12">
        <f>ROUND((E14491*F14491)/100,2)</f>
        <v>0.42</v>
      </c>
    </row>
    <row r="14492" ht="15.0" customHeight="1">
      <c r="A14492" s="16"/>
      <c r="B14492" s="16"/>
      <c r="C14492" s="16"/>
      <c r="D14492" s="17" t="s">
        <v>5951</v>
      </c>
      <c r="E14492" s="16"/>
      <c r="F14492" s="18">
        <f>ROUND((G14479+G14480+G14481+G14482+G14483+G14484+G14485+G14486+G14491)*(1+G2/100),2)</f>
        <v>35.48</v>
      </c>
      <c r="G14492" s="16"/>
    </row>
    <row r="14493" ht="76.5" customHeight="1">
      <c r="A14493" s="19" t="s">
        <v>5954</v>
      </c>
      <c r="B14493" s="20" t="s">
        <v>18</v>
      </c>
      <c r="C14493" s="20" t="s">
        <v>19</v>
      </c>
      <c r="D14493" s="20" t="s">
        <v>5955</v>
      </c>
      <c r="E14493" s="21"/>
      <c r="F14493" s="22">
        <f>F14508</f>
        <v>35.24</v>
      </c>
      <c r="G14493" s="21"/>
    </row>
    <row r="14494" ht="30.0" customHeight="1">
      <c r="A14494" s="11"/>
      <c r="B14494" s="11"/>
      <c r="C14494" s="11"/>
      <c r="D14494" s="10" t="s">
        <v>5956</v>
      </c>
    </row>
    <row r="14495" ht="30.0" customHeight="1">
      <c r="A14495" s="10" t="s">
        <v>5898</v>
      </c>
      <c r="B14495" s="10" t="s">
        <v>42</v>
      </c>
      <c r="C14495" s="10" t="s">
        <v>184</v>
      </c>
      <c r="D14495" s="10" t="s">
        <v>5899</v>
      </c>
      <c r="E14495" s="14">
        <v>1.0</v>
      </c>
      <c r="F14495" s="15">
        <f>ROUND(7.89,3)</f>
        <v>7.89</v>
      </c>
      <c r="G14495" s="12">
        <f t="shared" ref="G14495:G14506" si="2245">ROUND(E14495*F14495,2)</f>
        <v>7.89</v>
      </c>
    </row>
    <row r="14496" ht="21.0" customHeight="1">
      <c r="A14496" s="10" t="s">
        <v>5924</v>
      </c>
      <c r="B14496" s="10" t="s">
        <v>42</v>
      </c>
      <c r="C14496" s="10" t="s">
        <v>184</v>
      </c>
      <c r="D14496" s="10" t="s">
        <v>5925</v>
      </c>
      <c r="E14496" s="14">
        <v>0.5</v>
      </c>
      <c r="F14496" s="15">
        <f>ROUND(10.18,3)</f>
        <v>10.18</v>
      </c>
      <c r="G14496" s="12">
        <f t="shared" si="2245"/>
        <v>5.09</v>
      </c>
    </row>
    <row r="14497" ht="30.0" customHeight="1">
      <c r="A14497" s="10" t="s">
        <v>1227</v>
      </c>
      <c r="B14497" s="10" t="s">
        <v>42</v>
      </c>
      <c r="C14497" s="10" t="s">
        <v>226</v>
      </c>
      <c r="D14497" s="10" t="s">
        <v>1228</v>
      </c>
      <c r="E14497" s="14">
        <v>0.021</v>
      </c>
      <c r="F14497" s="15">
        <f>ROUND(27.5,3)</f>
        <v>27.5</v>
      </c>
      <c r="G14497" s="12">
        <f t="shared" si="2245"/>
        <v>0.58</v>
      </c>
    </row>
    <row r="14498" ht="21.0" customHeight="1">
      <c r="A14498" s="10" t="s">
        <v>1857</v>
      </c>
      <c r="B14498" s="10" t="s">
        <v>42</v>
      </c>
      <c r="C14498" s="10" t="s">
        <v>231</v>
      </c>
      <c r="D14498" s="10" t="s">
        <v>1858</v>
      </c>
      <c r="E14498" s="14">
        <v>0.4</v>
      </c>
      <c r="F14498" s="15">
        <f>ROUND(1.05,3)</f>
        <v>1.05</v>
      </c>
      <c r="G14498" s="12">
        <f t="shared" si="2245"/>
        <v>0.42</v>
      </c>
    </row>
    <row r="14499" ht="30.0" customHeight="1">
      <c r="A14499" s="10" t="s">
        <v>5847</v>
      </c>
      <c r="B14499" s="10" t="s">
        <v>42</v>
      </c>
      <c r="C14499" s="10" t="s">
        <v>344</v>
      </c>
      <c r="D14499" s="10" t="s">
        <v>5848</v>
      </c>
      <c r="E14499" s="14">
        <v>0.5</v>
      </c>
      <c r="F14499" s="15">
        <f>ROUND(1.76,3)</f>
        <v>1.76</v>
      </c>
      <c r="G14499" s="12">
        <f t="shared" si="2245"/>
        <v>0.88</v>
      </c>
    </row>
    <row r="14500" ht="21.0" customHeight="1">
      <c r="A14500" s="10" t="s">
        <v>228</v>
      </c>
      <c r="B14500" s="10" t="s">
        <v>42</v>
      </c>
      <c r="C14500" s="10" t="s">
        <v>226</v>
      </c>
      <c r="D14500" s="10" t="s">
        <v>229</v>
      </c>
      <c r="E14500" s="14">
        <v>0.02444</v>
      </c>
      <c r="F14500" s="15">
        <f>ROUND(1.32,3)</f>
        <v>1.32</v>
      </c>
      <c r="G14500" s="12">
        <f t="shared" si="2245"/>
        <v>0.03</v>
      </c>
    </row>
    <row r="14501" ht="21.0" customHeight="1">
      <c r="A14501" s="10" t="s">
        <v>1605</v>
      </c>
      <c r="B14501" s="10" t="s">
        <v>112</v>
      </c>
      <c r="C14501" s="10" t="s">
        <v>23</v>
      </c>
      <c r="D14501" s="10" t="s">
        <v>1606</v>
      </c>
      <c r="E14501" s="14">
        <v>0.2</v>
      </c>
      <c r="F14501" s="15">
        <f>ROUND(11.5,3)</f>
        <v>11.5</v>
      </c>
      <c r="G14501" s="12">
        <f t="shared" si="2245"/>
        <v>2.3</v>
      </c>
    </row>
    <row r="14502" ht="21.0" customHeight="1">
      <c r="A14502" s="10" t="s">
        <v>22</v>
      </c>
      <c r="B14502" s="10" t="s">
        <v>18</v>
      </c>
      <c r="C14502" s="10" t="s">
        <v>23</v>
      </c>
      <c r="D14502" s="10" t="s">
        <v>24</v>
      </c>
      <c r="E14502" s="14">
        <v>0.4</v>
      </c>
      <c r="F14502" s="15">
        <f>F14506</f>
        <v>43.8</v>
      </c>
      <c r="G14502" s="12">
        <f t="shared" si="2245"/>
        <v>17.52</v>
      </c>
    </row>
    <row r="14503" ht="24.0" customHeight="1">
      <c r="A14503" s="10" t="s">
        <v>25</v>
      </c>
      <c r="B14503" s="10" t="s">
        <v>26</v>
      </c>
      <c r="C14503" s="10" t="s">
        <v>23</v>
      </c>
      <c r="D14503" s="10" t="s">
        <v>27</v>
      </c>
      <c r="E14503" s="14">
        <v>1.0</v>
      </c>
      <c r="F14503" s="15">
        <f>ROUND(21,3)</f>
        <v>21</v>
      </c>
      <c r="G14503" s="12">
        <f t="shared" si="2245"/>
        <v>21</v>
      </c>
    </row>
    <row r="14504" ht="24.0" customHeight="1">
      <c r="A14504" s="10" t="s">
        <v>28</v>
      </c>
      <c r="B14504" s="10" t="s">
        <v>26</v>
      </c>
      <c r="C14504" s="10" t="s">
        <v>23</v>
      </c>
      <c r="D14504" s="10" t="s">
        <v>29</v>
      </c>
      <c r="E14504" s="14">
        <v>1.0</v>
      </c>
      <c r="F14504" s="15">
        <f t="shared" ref="F14504:F14505" si="2246">ROUND(19,3)</f>
        <v>19</v>
      </c>
      <c r="G14504" s="12">
        <f t="shared" si="2245"/>
        <v>19</v>
      </c>
    </row>
    <row r="14505" ht="24.0" customHeight="1">
      <c r="A14505" s="10" t="s">
        <v>30</v>
      </c>
      <c r="B14505" s="10" t="s">
        <v>26</v>
      </c>
      <c r="C14505" s="10" t="s">
        <v>23</v>
      </c>
      <c r="D14505" s="10" t="s">
        <v>31</v>
      </c>
      <c r="E14505" s="14">
        <v>0.2</v>
      </c>
      <c r="F14505" s="15">
        <f t="shared" si="2246"/>
        <v>19</v>
      </c>
      <c r="G14505" s="12">
        <f t="shared" si="2245"/>
        <v>3.8</v>
      </c>
    </row>
    <row r="14506" ht="15.0" customHeight="1">
      <c r="A14506" s="11"/>
      <c r="B14506" s="11"/>
      <c r="C14506" s="11"/>
      <c r="D14506" s="10" t="s">
        <v>22</v>
      </c>
      <c r="E14506" s="14">
        <v>0.4</v>
      </c>
      <c r="F14506" s="15">
        <f>ROUND((G14503+G14504+G14505),3)</f>
        <v>43.8</v>
      </c>
      <c r="G14506" s="12">
        <f t="shared" si="2245"/>
        <v>17.52</v>
      </c>
    </row>
    <row r="14507" ht="15.0" customHeight="1">
      <c r="A14507" s="10" t="s">
        <v>32</v>
      </c>
      <c r="B14507" s="10"/>
      <c r="C14507" s="10" t="s">
        <v>33</v>
      </c>
      <c r="D14507" s="10" t="s">
        <v>34</v>
      </c>
      <c r="E14507" s="14">
        <v>3.0</v>
      </c>
      <c r="F14507" s="15">
        <f>ROUND(17.52,3)</f>
        <v>17.52</v>
      </c>
      <c r="G14507" s="12">
        <f>ROUND((E14507*F14507)/100,2)</f>
        <v>0.53</v>
      </c>
    </row>
    <row r="14508" ht="15.0" customHeight="1">
      <c r="A14508" s="16"/>
      <c r="B14508" s="16"/>
      <c r="C14508" s="16"/>
      <c r="D14508" s="17" t="s">
        <v>5954</v>
      </c>
      <c r="E14508" s="16"/>
      <c r="F14508" s="18">
        <f>ROUND((G14495+G14496+G14497+G14498+G14499+G14500+G14501+G14502+G14507)*(1+G2/100),2)</f>
        <v>35.24</v>
      </c>
      <c r="G14508" s="16"/>
    </row>
    <row r="14509" ht="67.5" customHeight="1">
      <c r="A14509" s="19" t="s">
        <v>5957</v>
      </c>
      <c r="B14509" s="20" t="s">
        <v>18</v>
      </c>
      <c r="C14509" s="20" t="s">
        <v>19</v>
      </c>
      <c r="D14509" s="20" t="s">
        <v>5958</v>
      </c>
      <c r="E14509" s="21"/>
      <c r="F14509" s="22">
        <f>F14524</f>
        <v>31.63</v>
      </c>
      <c r="G14509" s="21"/>
    </row>
    <row r="14510" ht="39.75" customHeight="1">
      <c r="A14510" s="11"/>
      <c r="B14510" s="11"/>
      <c r="C14510" s="11"/>
      <c r="D14510" s="10" t="s">
        <v>5959</v>
      </c>
    </row>
    <row r="14511" ht="30.0" customHeight="1">
      <c r="A14511" s="10" t="s">
        <v>5898</v>
      </c>
      <c r="B14511" s="10" t="s">
        <v>42</v>
      </c>
      <c r="C14511" s="10" t="s">
        <v>184</v>
      </c>
      <c r="D14511" s="10" t="s">
        <v>5899</v>
      </c>
      <c r="E14511" s="14">
        <v>1.0</v>
      </c>
      <c r="F14511" s="15">
        <f>ROUND(7.89,3)</f>
        <v>7.89</v>
      </c>
      <c r="G14511" s="12">
        <f t="shared" ref="G14511:G14522" si="2247">ROUND(E14511*F14511,2)</f>
        <v>7.89</v>
      </c>
    </row>
    <row r="14512" ht="21.0" customHeight="1">
      <c r="A14512" s="10" t="s">
        <v>5924</v>
      </c>
      <c r="B14512" s="10" t="s">
        <v>42</v>
      </c>
      <c r="C14512" s="10" t="s">
        <v>184</v>
      </c>
      <c r="D14512" s="10" t="s">
        <v>5925</v>
      </c>
      <c r="E14512" s="14">
        <v>0.5</v>
      </c>
      <c r="F14512" s="15">
        <f>ROUND(10.18,3)</f>
        <v>10.18</v>
      </c>
      <c r="G14512" s="12">
        <f t="shared" si="2247"/>
        <v>5.09</v>
      </c>
    </row>
    <row r="14513" ht="30.0" customHeight="1">
      <c r="A14513" s="10" t="s">
        <v>1227</v>
      </c>
      <c r="B14513" s="10" t="s">
        <v>42</v>
      </c>
      <c r="C14513" s="10" t="s">
        <v>226</v>
      </c>
      <c r="D14513" s="10" t="s">
        <v>1228</v>
      </c>
      <c r="E14513" s="14">
        <v>0.021</v>
      </c>
      <c r="F14513" s="15">
        <f>ROUND(27.5,3)</f>
        <v>27.5</v>
      </c>
      <c r="G14513" s="12">
        <f t="shared" si="2247"/>
        <v>0.58</v>
      </c>
    </row>
    <row r="14514" ht="21.0" customHeight="1">
      <c r="A14514" s="10" t="s">
        <v>1857</v>
      </c>
      <c r="B14514" s="10" t="s">
        <v>42</v>
      </c>
      <c r="C14514" s="10" t="s">
        <v>231</v>
      </c>
      <c r="D14514" s="10" t="s">
        <v>1858</v>
      </c>
      <c r="E14514" s="14">
        <v>0.4</v>
      </c>
      <c r="F14514" s="15">
        <f>ROUND(1.05,3)</f>
        <v>1.05</v>
      </c>
      <c r="G14514" s="12">
        <f t="shared" si="2247"/>
        <v>0.42</v>
      </c>
    </row>
    <row r="14515" ht="30.0" customHeight="1">
      <c r="A14515" s="10" t="s">
        <v>5847</v>
      </c>
      <c r="B14515" s="10" t="s">
        <v>42</v>
      </c>
      <c r="C14515" s="10" t="s">
        <v>344</v>
      </c>
      <c r="D14515" s="10" t="s">
        <v>5848</v>
      </c>
      <c r="E14515" s="14">
        <v>0.5</v>
      </c>
      <c r="F14515" s="15">
        <f>ROUND(1.76,3)</f>
        <v>1.76</v>
      </c>
      <c r="G14515" s="12">
        <f t="shared" si="2247"/>
        <v>0.88</v>
      </c>
    </row>
    <row r="14516" ht="21.0" customHeight="1">
      <c r="A14516" s="10" t="s">
        <v>228</v>
      </c>
      <c r="B14516" s="10" t="s">
        <v>42</v>
      </c>
      <c r="C14516" s="10" t="s">
        <v>226</v>
      </c>
      <c r="D14516" s="10" t="s">
        <v>229</v>
      </c>
      <c r="E14516" s="14">
        <v>0.02444</v>
      </c>
      <c r="F14516" s="15">
        <f>ROUND(1.32,3)</f>
        <v>1.32</v>
      </c>
      <c r="G14516" s="12">
        <f t="shared" si="2247"/>
        <v>0.03</v>
      </c>
    </row>
    <row r="14517" ht="21.0" customHeight="1">
      <c r="A14517" s="10" t="s">
        <v>1605</v>
      </c>
      <c r="B14517" s="10" t="s">
        <v>112</v>
      </c>
      <c r="C14517" s="10" t="s">
        <v>23</v>
      </c>
      <c r="D14517" s="10" t="s">
        <v>1606</v>
      </c>
      <c r="E14517" s="14">
        <v>0.2</v>
      </c>
      <c r="F14517" s="15">
        <f>ROUND(11.5,3)</f>
        <v>11.5</v>
      </c>
      <c r="G14517" s="12">
        <f t="shared" si="2247"/>
        <v>2.3</v>
      </c>
    </row>
    <row r="14518" ht="21.0" customHeight="1">
      <c r="A14518" s="10" t="s">
        <v>22</v>
      </c>
      <c r="B14518" s="10" t="s">
        <v>18</v>
      </c>
      <c r="C14518" s="10" t="s">
        <v>23</v>
      </c>
      <c r="D14518" s="10" t="s">
        <v>24</v>
      </c>
      <c r="E14518" s="14">
        <v>0.32</v>
      </c>
      <c r="F14518" s="15">
        <f>F14522</f>
        <v>43.8</v>
      </c>
      <c r="G14518" s="12">
        <f t="shared" si="2247"/>
        <v>14.02</v>
      </c>
    </row>
    <row r="14519" ht="24.0" customHeight="1">
      <c r="A14519" s="10" t="s">
        <v>25</v>
      </c>
      <c r="B14519" s="10" t="s">
        <v>26</v>
      </c>
      <c r="C14519" s="10" t="s">
        <v>23</v>
      </c>
      <c r="D14519" s="10" t="s">
        <v>27</v>
      </c>
      <c r="E14519" s="14">
        <v>1.0</v>
      </c>
      <c r="F14519" s="15">
        <f>ROUND(21,3)</f>
        <v>21</v>
      </c>
      <c r="G14519" s="12">
        <f t="shared" si="2247"/>
        <v>21</v>
      </c>
    </row>
    <row r="14520" ht="24.0" customHeight="1">
      <c r="A14520" s="10" t="s">
        <v>28</v>
      </c>
      <c r="B14520" s="10" t="s">
        <v>26</v>
      </c>
      <c r="C14520" s="10" t="s">
        <v>23</v>
      </c>
      <c r="D14520" s="10" t="s">
        <v>29</v>
      </c>
      <c r="E14520" s="14">
        <v>1.0</v>
      </c>
      <c r="F14520" s="15">
        <f t="shared" ref="F14520:F14521" si="2248">ROUND(19,3)</f>
        <v>19</v>
      </c>
      <c r="G14520" s="12">
        <f t="shared" si="2247"/>
        <v>19</v>
      </c>
    </row>
    <row r="14521" ht="24.0" customHeight="1">
      <c r="A14521" s="10" t="s">
        <v>30</v>
      </c>
      <c r="B14521" s="10" t="s">
        <v>26</v>
      </c>
      <c r="C14521" s="10" t="s">
        <v>23</v>
      </c>
      <c r="D14521" s="10" t="s">
        <v>31</v>
      </c>
      <c r="E14521" s="14">
        <v>0.2</v>
      </c>
      <c r="F14521" s="15">
        <f t="shared" si="2248"/>
        <v>19</v>
      </c>
      <c r="G14521" s="12">
        <f t="shared" si="2247"/>
        <v>3.8</v>
      </c>
    </row>
    <row r="14522" ht="15.0" customHeight="1">
      <c r="A14522" s="11"/>
      <c r="B14522" s="11"/>
      <c r="C14522" s="11"/>
      <c r="D14522" s="10" t="s">
        <v>22</v>
      </c>
      <c r="E14522" s="14">
        <v>0.32</v>
      </c>
      <c r="F14522" s="15">
        <f>ROUND((G14519+G14520+G14521),3)</f>
        <v>43.8</v>
      </c>
      <c r="G14522" s="12">
        <f t="shared" si="2247"/>
        <v>14.02</v>
      </c>
    </row>
    <row r="14523" ht="15.0" customHeight="1">
      <c r="A14523" s="10" t="s">
        <v>32</v>
      </c>
      <c r="B14523" s="10"/>
      <c r="C14523" s="10" t="s">
        <v>33</v>
      </c>
      <c r="D14523" s="10" t="s">
        <v>34</v>
      </c>
      <c r="E14523" s="14">
        <v>3.0</v>
      </c>
      <c r="F14523" s="15">
        <f>ROUND(14.02,3)</f>
        <v>14.02</v>
      </c>
      <c r="G14523" s="12">
        <f>ROUND((E14523*F14523)/100,2)</f>
        <v>0.42</v>
      </c>
    </row>
    <row r="14524" ht="15.0" customHeight="1">
      <c r="A14524" s="16"/>
      <c r="B14524" s="16"/>
      <c r="C14524" s="16"/>
      <c r="D14524" s="17" t="s">
        <v>5957</v>
      </c>
      <c r="E14524" s="16"/>
      <c r="F14524" s="18">
        <f>ROUND((G14511+G14512+G14513+G14514+G14515+G14516+G14517+G14518+G14523)*(1+G2/100),2)</f>
        <v>31.63</v>
      </c>
      <c r="G14524" s="16"/>
    </row>
    <row r="14525" ht="67.5" customHeight="1">
      <c r="A14525" s="19" t="s">
        <v>5960</v>
      </c>
      <c r="B14525" s="20" t="s">
        <v>18</v>
      </c>
      <c r="C14525" s="20" t="s">
        <v>19</v>
      </c>
      <c r="D14525" s="20" t="s">
        <v>5961</v>
      </c>
      <c r="E14525" s="21"/>
      <c r="F14525" s="22">
        <f>F14539</f>
        <v>30.4</v>
      </c>
      <c r="G14525" s="21"/>
    </row>
    <row r="14526" ht="39.75" customHeight="1">
      <c r="A14526" s="11"/>
      <c r="B14526" s="11"/>
      <c r="C14526" s="11"/>
      <c r="D14526" s="10" t="s">
        <v>5962</v>
      </c>
    </row>
    <row r="14527" ht="30.0" customHeight="1">
      <c r="A14527" s="10" t="s">
        <v>5931</v>
      </c>
      <c r="B14527" s="10" t="s">
        <v>42</v>
      </c>
      <c r="C14527" s="10" t="s">
        <v>184</v>
      </c>
      <c r="D14527" s="10" t="s">
        <v>5932</v>
      </c>
      <c r="E14527" s="14">
        <v>1.323</v>
      </c>
      <c r="F14527" s="15">
        <f>ROUND(6.15,3)</f>
        <v>6.15</v>
      </c>
      <c r="G14527" s="12">
        <f t="shared" ref="G14527:G14537" si="2249">ROUND(E14527*F14527,2)</f>
        <v>8.14</v>
      </c>
    </row>
    <row r="14528" ht="30.0" customHeight="1">
      <c r="A14528" s="10" t="s">
        <v>1227</v>
      </c>
      <c r="B14528" s="10" t="s">
        <v>42</v>
      </c>
      <c r="C14528" s="10" t="s">
        <v>226</v>
      </c>
      <c r="D14528" s="10" t="s">
        <v>1228</v>
      </c>
      <c r="E14528" s="14">
        <v>0.021</v>
      </c>
      <c r="F14528" s="15">
        <f>ROUND(27.5,3)</f>
        <v>27.5</v>
      </c>
      <c r="G14528" s="12">
        <f t="shared" si="2249"/>
        <v>0.58</v>
      </c>
    </row>
    <row r="14529" ht="21.0" customHeight="1">
      <c r="A14529" s="10" t="s">
        <v>1857</v>
      </c>
      <c r="B14529" s="10" t="s">
        <v>42</v>
      </c>
      <c r="C14529" s="10" t="s">
        <v>231</v>
      </c>
      <c r="D14529" s="10" t="s">
        <v>1858</v>
      </c>
      <c r="E14529" s="14">
        <v>0.4</v>
      </c>
      <c r="F14529" s="15">
        <f>ROUND(1.05,3)</f>
        <v>1.05</v>
      </c>
      <c r="G14529" s="12">
        <f t="shared" si="2249"/>
        <v>0.42</v>
      </c>
    </row>
    <row r="14530" ht="30.0" customHeight="1">
      <c r="A14530" s="10" t="s">
        <v>5847</v>
      </c>
      <c r="B14530" s="10" t="s">
        <v>42</v>
      </c>
      <c r="C14530" s="10" t="s">
        <v>344</v>
      </c>
      <c r="D14530" s="10" t="s">
        <v>5848</v>
      </c>
      <c r="E14530" s="14">
        <v>0.5</v>
      </c>
      <c r="F14530" s="15">
        <f>ROUND(1.76,3)</f>
        <v>1.76</v>
      </c>
      <c r="G14530" s="12">
        <f t="shared" si="2249"/>
        <v>0.88</v>
      </c>
    </row>
    <row r="14531" ht="21.0" customHeight="1">
      <c r="A14531" s="10" t="s">
        <v>228</v>
      </c>
      <c r="B14531" s="10" t="s">
        <v>42</v>
      </c>
      <c r="C14531" s="10" t="s">
        <v>226</v>
      </c>
      <c r="D14531" s="10" t="s">
        <v>229</v>
      </c>
      <c r="E14531" s="14">
        <v>0.02444</v>
      </c>
      <c r="F14531" s="15">
        <f>ROUND(1.32,3)</f>
        <v>1.32</v>
      </c>
      <c r="G14531" s="12">
        <f t="shared" si="2249"/>
        <v>0.03</v>
      </c>
    </row>
    <row r="14532" ht="21.0" customHeight="1">
      <c r="A14532" s="10" t="s">
        <v>1605</v>
      </c>
      <c r="B14532" s="10" t="s">
        <v>112</v>
      </c>
      <c r="C14532" s="10" t="s">
        <v>23</v>
      </c>
      <c r="D14532" s="10" t="s">
        <v>1606</v>
      </c>
      <c r="E14532" s="14">
        <v>0.2</v>
      </c>
      <c r="F14532" s="15">
        <f>ROUND(11.5,3)</f>
        <v>11.5</v>
      </c>
      <c r="G14532" s="12">
        <f t="shared" si="2249"/>
        <v>2.3</v>
      </c>
    </row>
    <row r="14533" ht="21.0" customHeight="1">
      <c r="A14533" s="10" t="s">
        <v>22</v>
      </c>
      <c r="B14533" s="10" t="s">
        <v>18</v>
      </c>
      <c r="C14533" s="10" t="s">
        <v>23</v>
      </c>
      <c r="D14533" s="10" t="s">
        <v>24</v>
      </c>
      <c r="E14533" s="14">
        <v>0.4</v>
      </c>
      <c r="F14533" s="15">
        <f>F14537</f>
        <v>43.8</v>
      </c>
      <c r="G14533" s="12">
        <f t="shared" si="2249"/>
        <v>17.52</v>
      </c>
    </row>
    <row r="14534" ht="24.0" customHeight="1">
      <c r="A14534" s="10" t="s">
        <v>25</v>
      </c>
      <c r="B14534" s="10" t="s">
        <v>26</v>
      </c>
      <c r="C14534" s="10" t="s">
        <v>23</v>
      </c>
      <c r="D14534" s="10" t="s">
        <v>27</v>
      </c>
      <c r="E14534" s="14">
        <v>1.0</v>
      </c>
      <c r="F14534" s="15">
        <f>ROUND(21,3)</f>
        <v>21</v>
      </c>
      <c r="G14534" s="12">
        <f t="shared" si="2249"/>
        <v>21</v>
      </c>
    </row>
    <row r="14535" ht="24.0" customHeight="1">
      <c r="A14535" s="10" t="s">
        <v>28</v>
      </c>
      <c r="B14535" s="10" t="s">
        <v>26</v>
      </c>
      <c r="C14535" s="10" t="s">
        <v>23</v>
      </c>
      <c r="D14535" s="10" t="s">
        <v>29</v>
      </c>
      <c r="E14535" s="14">
        <v>1.0</v>
      </c>
      <c r="F14535" s="15">
        <f t="shared" ref="F14535:F14536" si="2250">ROUND(19,3)</f>
        <v>19</v>
      </c>
      <c r="G14535" s="12">
        <f t="shared" si="2249"/>
        <v>19</v>
      </c>
    </row>
    <row r="14536" ht="24.0" customHeight="1">
      <c r="A14536" s="10" t="s">
        <v>30</v>
      </c>
      <c r="B14536" s="10" t="s">
        <v>26</v>
      </c>
      <c r="C14536" s="10" t="s">
        <v>23</v>
      </c>
      <c r="D14536" s="10" t="s">
        <v>31</v>
      </c>
      <c r="E14536" s="14">
        <v>0.2</v>
      </c>
      <c r="F14536" s="15">
        <f t="shared" si="2250"/>
        <v>19</v>
      </c>
      <c r="G14536" s="12">
        <f t="shared" si="2249"/>
        <v>3.8</v>
      </c>
    </row>
    <row r="14537" ht="15.0" customHeight="1">
      <c r="A14537" s="11"/>
      <c r="B14537" s="11"/>
      <c r="C14537" s="11"/>
      <c r="D14537" s="10" t="s">
        <v>22</v>
      </c>
      <c r="E14537" s="14">
        <v>0.4</v>
      </c>
      <c r="F14537" s="15">
        <f>ROUND((G14534+G14535+G14536),3)</f>
        <v>43.8</v>
      </c>
      <c r="G14537" s="12">
        <f t="shared" si="2249"/>
        <v>17.52</v>
      </c>
    </row>
    <row r="14538" ht="15.0" customHeight="1">
      <c r="A14538" s="10" t="s">
        <v>32</v>
      </c>
      <c r="B14538" s="10"/>
      <c r="C14538" s="10" t="s">
        <v>33</v>
      </c>
      <c r="D14538" s="10" t="s">
        <v>34</v>
      </c>
      <c r="E14538" s="14">
        <v>3.0</v>
      </c>
      <c r="F14538" s="15">
        <f>ROUND(17.52,3)</f>
        <v>17.52</v>
      </c>
      <c r="G14538" s="12">
        <f>ROUND((E14538*F14538)/100,2)</f>
        <v>0.53</v>
      </c>
    </row>
    <row r="14539" ht="15.0" customHeight="1">
      <c r="A14539" s="16"/>
      <c r="B14539" s="16"/>
      <c r="C14539" s="16"/>
      <c r="D14539" s="17" t="s">
        <v>5960</v>
      </c>
      <c r="E14539" s="16"/>
      <c r="F14539" s="18">
        <f>ROUND((G14527+G14528+G14529+G14530+G14531+G14532+G14533+G14538)*(1+G2/100),2)</f>
        <v>30.4</v>
      </c>
      <c r="G14539" s="16"/>
    </row>
    <row r="14540" ht="67.5" customHeight="1">
      <c r="A14540" s="19" t="s">
        <v>5963</v>
      </c>
      <c r="B14540" s="20" t="s">
        <v>18</v>
      </c>
      <c r="C14540" s="20" t="s">
        <v>19</v>
      </c>
      <c r="D14540" s="20" t="s">
        <v>5964</v>
      </c>
      <c r="E14540" s="21"/>
      <c r="F14540" s="22">
        <f>F14554</f>
        <v>27.39</v>
      </c>
      <c r="G14540" s="21"/>
    </row>
    <row r="14541" ht="39.75" customHeight="1">
      <c r="A14541" s="11"/>
      <c r="B14541" s="11"/>
      <c r="C14541" s="11"/>
      <c r="D14541" s="10" t="s">
        <v>5965</v>
      </c>
    </row>
    <row r="14542" ht="30.0" customHeight="1">
      <c r="A14542" s="10" t="s">
        <v>5931</v>
      </c>
      <c r="B14542" s="10" t="s">
        <v>42</v>
      </c>
      <c r="C14542" s="10" t="s">
        <v>184</v>
      </c>
      <c r="D14542" s="10" t="s">
        <v>5932</v>
      </c>
      <c r="E14542" s="14">
        <v>1.323</v>
      </c>
      <c r="F14542" s="15">
        <f>ROUND(6.15,3)</f>
        <v>6.15</v>
      </c>
      <c r="G14542" s="12">
        <f t="shared" ref="G14542:G14552" si="2251">ROUND(E14542*F14542,2)</f>
        <v>8.14</v>
      </c>
    </row>
    <row r="14543" ht="30.0" customHeight="1">
      <c r="A14543" s="10" t="s">
        <v>1227</v>
      </c>
      <c r="B14543" s="10" t="s">
        <v>42</v>
      </c>
      <c r="C14543" s="10" t="s">
        <v>226</v>
      </c>
      <c r="D14543" s="10" t="s">
        <v>1228</v>
      </c>
      <c r="E14543" s="14">
        <v>0.021</v>
      </c>
      <c r="F14543" s="15">
        <f>ROUND(27.5,3)</f>
        <v>27.5</v>
      </c>
      <c r="G14543" s="12">
        <f t="shared" si="2251"/>
        <v>0.58</v>
      </c>
    </row>
    <row r="14544" ht="21.0" customHeight="1">
      <c r="A14544" s="10" t="s">
        <v>1857</v>
      </c>
      <c r="B14544" s="10" t="s">
        <v>42</v>
      </c>
      <c r="C14544" s="10" t="s">
        <v>231</v>
      </c>
      <c r="D14544" s="10" t="s">
        <v>1858</v>
      </c>
      <c r="E14544" s="14">
        <v>0.4</v>
      </c>
      <c r="F14544" s="15">
        <f>ROUND(1.05,3)</f>
        <v>1.05</v>
      </c>
      <c r="G14544" s="12">
        <f t="shared" si="2251"/>
        <v>0.42</v>
      </c>
    </row>
    <row r="14545" ht="30.0" customHeight="1">
      <c r="A14545" s="10" t="s">
        <v>5847</v>
      </c>
      <c r="B14545" s="10" t="s">
        <v>42</v>
      </c>
      <c r="C14545" s="10" t="s">
        <v>344</v>
      </c>
      <c r="D14545" s="10" t="s">
        <v>5848</v>
      </c>
      <c r="E14545" s="14">
        <v>0.5</v>
      </c>
      <c r="F14545" s="15">
        <f>ROUND(1.76,3)</f>
        <v>1.76</v>
      </c>
      <c r="G14545" s="12">
        <f t="shared" si="2251"/>
        <v>0.88</v>
      </c>
    </row>
    <row r="14546" ht="21.0" customHeight="1">
      <c r="A14546" s="10" t="s">
        <v>228</v>
      </c>
      <c r="B14546" s="10" t="s">
        <v>42</v>
      </c>
      <c r="C14546" s="10" t="s">
        <v>226</v>
      </c>
      <c r="D14546" s="10" t="s">
        <v>229</v>
      </c>
      <c r="E14546" s="14">
        <v>0.02444</v>
      </c>
      <c r="F14546" s="15">
        <f>ROUND(1.32,3)</f>
        <v>1.32</v>
      </c>
      <c r="G14546" s="12">
        <f t="shared" si="2251"/>
        <v>0.03</v>
      </c>
    </row>
    <row r="14547" ht="21.0" customHeight="1">
      <c r="A14547" s="10" t="s">
        <v>1605</v>
      </c>
      <c r="B14547" s="10" t="s">
        <v>112</v>
      </c>
      <c r="C14547" s="10" t="s">
        <v>23</v>
      </c>
      <c r="D14547" s="10" t="s">
        <v>1606</v>
      </c>
      <c r="E14547" s="14">
        <v>0.2</v>
      </c>
      <c r="F14547" s="15">
        <f>ROUND(11.5,3)</f>
        <v>11.5</v>
      </c>
      <c r="G14547" s="12">
        <f t="shared" si="2251"/>
        <v>2.3</v>
      </c>
    </row>
    <row r="14548" ht="21.0" customHeight="1">
      <c r="A14548" s="10" t="s">
        <v>22</v>
      </c>
      <c r="B14548" s="10" t="s">
        <v>18</v>
      </c>
      <c r="C14548" s="10" t="s">
        <v>23</v>
      </c>
      <c r="D14548" s="10" t="s">
        <v>24</v>
      </c>
      <c r="E14548" s="14">
        <v>0.33333</v>
      </c>
      <c r="F14548" s="15">
        <f>F14552</f>
        <v>43.8</v>
      </c>
      <c r="G14548" s="12">
        <f t="shared" si="2251"/>
        <v>14.6</v>
      </c>
    </row>
    <row r="14549" ht="24.0" customHeight="1">
      <c r="A14549" s="10" t="s">
        <v>25</v>
      </c>
      <c r="B14549" s="10" t="s">
        <v>26</v>
      </c>
      <c r="C14549" s="10" t="s">
        <v>23</v>
      </c>
      <c r="D14549" s="10" t="s">
        <v>27</v>
      </c>
      <c r="E14549" s="14">
        <v>1.0</v>
      </c>
      <c r="F14549" s="15">
        <f>ROUND(21,3)</f>
        <v>21</v>
      </c>
      <c r="G14549" s="12">
        <f t="shared" si="2251"/>
        <v>21</v>
      </c>
    </row>
    <row r="14550" ht="24.0" customHeight="1">
      <c r="A14550" s="10" t="s">
        <v>28</v>
      </c>
      <c r="B14550" s="10" t="s">
        <v>26</v>
      </c>
      <c r="C14550" s="10" t="s">
        <v>23</v>
      </c>
      <c r="D14550" s="10" t="s">
        <v>29</v>
      </c>
      <c r="E14550" s="14">
        <v>1.0</v>
      </c>
      <c r="F14550" s="15">
        <f t="shared" ref="F14550:F14551" si="2252">ROUND(19,3)</f>
        <v>19</v>
      </c>
      <c r="G14550" s="12">
        <f t="shared" si="2251"/>
        <v>19</v>
      </c>
    </row>
    <row r="14551" ht="24.0" customHeight="1">
      <c r="A14551" s="10" t="s">
        <v>30</v>
      </c>
      <c r="B14551" s="10" t="s">
        <v>26</v>
      </c>
      <c r="C14551" s="10" t="s">
        <v>23</v>
      </c>
      <c r="D14551" s="10" t="s">
        <v>31</v>
      </c>
      <c r="E14551" s="14">
        <v>0.2</v>
      </c>
      <c r="F14551" s="15">
        <f t="shared" si="2252"/>
        <v>19</v>
      </c>
      <c r="G14551" s="12">
        <f t="shared" si="2251"/>
        <v>3.8</v>
      </c>
    </row>
    <row r="14552" ht="15.0" customHeight="1">
      <c r="A14552" s="11"/>
      <c r="B14552" s="11"/>
      <c r="C14552" s="11"/>
      <c r="D14552" s="10" t="s">
        <v>22</v>
      </c>
      <c r="E14552" s="14">
        <v>0.33333</v>
      </c>
      <c r="F14552" s="15">
        <f>ROUND((G14549+G14550+G14551),3)</f>
        <v>43.8</v>
      </c>
      <c r="G14552" s="12">
        <f t="shared" si="2251"/>
        <v>14.6</v>
      </c>
    </row>
    <row r="14553" ht="15.0" customHeight="1">
      <c r="A14553" s="10" t="s">
        <v>32</v>
      </c>
      <c r="B14553" s="10"/>
      <c r="C14553" s="10" t="s">
        <v>33</v>
      </c>
      <c r="D14553" s="10" t="s">
        <v>34</v>
      </c>
      <c r="E14553" s="14">
        <v>3.0</v>
      </c>
      <c r="F14553" s="15">
        <f>ROUND(14.6,3)</f>
        <v>14.6</v>
      </c>
      <c r="G14553" s="12">
        <f>ROUND((E14553*F14553)/100,2)</f>
        <v>0.44</v>
      </c>
    </row>
    <row r="14554" ht="15.0" customHeight="1">
      <c r="A14554" s="16"/>
      <c r="B14554" s="16"/>
      <c r="C14554" s="16"/>
      <c r="D14554" s="17" t="s">
        <v>5963</v>
      </c>
      <c r="E14554" s="16"/>
      <c r="F14554" s="18">
        <f>ROUND((G14542+G14543+G14544+G14545+G14546+G14547+G14548+G14553)*(1+G2/100),2)</f>
        <v>27.39</v>
      </c>
      <c r="G14554" s="16"/>
    </row>
    <row r="14555" ht="67.5" customHeight="1">
      <c r="A14555" s="19" t="s">
        <v>5966</v>
      </c>
      <c r="B14555" s="20" t="s">
        <v>18</v>
      </c>
      <c r="C14555" s="20" t="s">
        <v>19</v>
      </c>
      <c r="D14555" s="20" t="s">
        <v>5967</v>
      </c>
      <c r="E14555" s="21"/>
      <c r="F14555" s="22">
        <f>F14570</f>
        <v>55.55</v>
      </c>
      <c r="G14555" s="21"/>
    </row>
    <row r="14556" ht="30.0" customHeight="1">
      <c r="A14556" s="11"/>
      <c r="B14556" s="11"/>
      <c r="C14556" s="11"/>
      <c r="D14556" s="10" t="s">
        <v>5968</v>
      </c>
    </row>
    <row r="14557" ht="30.0" customHeight="1">
      <c r="A14557" s="10" t="s">
        <v>1938</v>
      </c>
      <c r="B14557" s="10" t="s">
        <v>42</v>
      </c>
      <c r="C14557" s="10" t="s">
        <v>1939</v>
      </c>
      <c r="D14557" s="10" t="s">
        <v>1940</v>
      </c>
      <c r="E14557" s="14">
        <v>0.06</v>
      </c>
      <c r="F14557" s="15">
        <f>ROUND(29.17,3)</f>
        <v>29.17</v>
      </c>
      <c r="G14557" s="12">
        <f t="shared" ref="G14557:G14568" si="2253">ROUND(E14557*F14557,2)</f>
        <v>1.75</v>
      </c>
    </row>
    <row r="14558" ht="30.0" customHeight="1">
      <c r="A14558" s="10" t="s">
        <v>5860</v>
      </c>
      <c r="B14558" s="10" t="s">
        <v>42</v>
      </c>
      <c r="C14558" s="10" t="s">
        <v>184</v>
      </c>
      <c r="D14558" s="10" t="s">
        <v>5861</v>
      </c>
      <c r="E14558" s="14">
        <v>1.0</v>
      </c>
      <c r="F14558" s="15">
        <f>ROUND(11.74,3)</f>
        <v>11.74</v>
      </c>
      <c r="G14558" s="12">
        <f t="shared" si="2253"/>
        <v>11.74</v>
      </c>
    </row>
    <row r="14559" ht="30.0" customHeight="1">
      <c r="A14559" s="10" t="s">
        <v>5890</v>
      </c>
      <c r="B14559" s="10" t="s">
        <v>42</v>
      </c>
      <c r="C14559" s="10" t="s">
        <v>184</v>
      </c>
      <c r="D14559" s="10" t="s">
        <v>5891</v>
      </c>
      <c r="E14559" s="14">
        <v>0.5</v>
      </c>
      <c r="F14559" s="15">
        <f>ROUND(6.72,3)</f>
        <v>6.72</v>
      </c>
      <c r="G14559" s="12">
        <f t="shared" si="2253"/>
        <v>3.36</v>
      </c>
    </row>
    <row r="14560" ht="30.0" customHeight="1">
      <c r="A14560" s="10" t="s">
        <v>1227</v>
      </c>
      <c r="B14560" s="10" t="s">
        <v>42</v>
      </c>
      <c r="C14560" s="10" t="s">
        <v>226</v>
      </c>
      <c r="D14560" s="10" t="s">
        <v>1228</v>
      </c>
      <c r="E14560" s="14">
        <v>0.021</v>
      </c>
      <c r="F14560" s="15">
        <f>ROUND(27.5,3)</f>
        <v>27.5</v>
      </c>
      <c r="G14560" s="12">
        <f t="shared" si="2253"/>
        <v>0.58</v>
      </c>
    </row>
    <row r="14561" ht="21.0" customHeight="1">
      <c r="A14561" s="10" t="s">
        <v>1857</v>
      </c>
      <c r="B14561" s="10" t="s">
        <v>42</v>
      </c>
      <c r="C14561" s="10" t="s">
        <v>231</v>
      </c>
      <c r="D14561" s="10" t="s">
        <v>1858</v>
      </c>
      <c r="E14561" s="14">
        <v>0.4</v>
      </c>
      <c r="F14561" s="15">
        <f>ROUND(1.05,3)</f>
        <v>1.05</v>
      </c>
      <c r="G14561" s="12">
        <f t="shared" si="2253"/>
        <v>0.42</v>
      </c>
    </row>
    <row r="14562" ht="30.0" customHeight="1">
      <c r="A14562" s="10" t="s">
        <v>5847</v>
      </c>
      <c r="B14562" s="10" t="s">
        <v>42</v>
      </c>
      <c r="C14562" s="10" t="s">
        <v>344</v>
      </c>
      <c r="D14562" s="10" t="s">
        <v>5848</v>
      </c>
      <c r="E14562" s="14">
        <v>0.5</v>
      </c>
      <c r="F14562" s="15">
        <f>ROUND(1.76,3)</f>
        <v>1.76</v>
      </c>
      <c r="G14562" s="12">
        <f t="shared" si="2253"/>
        <v>0.88</v>
      </c>
    </row>
    <row r="14563" ht="21.0" customHeight="1">
      <c r="A14563" s="10" t="s">
        <v>228</v>
      </c>
      <c r="B14563" s="10" t="s">
        <v>42</v>
      </c>
      <c r="C14563" s="10" t="s">
        <v>226</v>
      </c>
      <c r="D14563" s="10" t="s">
        <v>229</v>
      </c>
      <c r="E14563" s="14">
        <v>0.02444</v>
      </c>
      <c r="F14563" s="15">
        <f>ROUND(1.32,3)</f>
        <v>1.32</v>
      </c>
      <c r="G14563" s="12">
        <f t="shared" si="2253"/>
        <v>0.03</v>
      </c>
    </row>
    <row r="14564" ht="21.0" customHeight="1">
      <c r="A14564" s="10" t="s">
        <v>22</v>
      </c>
      <c r="B14564" s="10" t="s">
        <v>18</v>
      </c>
      <c r="C14564" s="10" t="s">
        <v>23</v>
      </c>
      <c r="D14564" s="10" t="s">
        <v>24</v>
      </c>
      <c r="E14564" s="14">
        <v>0.8</v>
      </c>
      <c r="F14564" s="15">
        <f>F14568</f>
        <v>43.8</v>
      </c>
      <c r="G14564" s="12">
        <f t="shared" si="2253"/>
        <v>35.04</v>
      </c>
    </row>
    <row r="14565" ht="24.0" customHeight="1">
      <c r="A14565" s="10" t="s">
        <v>25</v>
      </c>
      <c r="B14565" s="10" t="s">
        <v>26</v>
      </c>
      <c r="C14565" s="10" t="s">
        <v>23</v>
      </c>
      <c r="D14565" s="10" t="s">
        <v>27</v>
      </c>
      <c r="E14565" s="14">
        <v>1.0</v>
      </c>
      <c r="F14565" s="15">
        <f>ROUND(21,3)</f>
        <v>21</v>
      </c>
      <c r="G14565" s="12">
        <f t="shared" si="2253"/>
        <v>21</v>
      </c>
    </row>
    <row r="14566" ht="24.0" customHeight="1">
      <c r="A14566" s="10" t="s">
        <v>28</v>
      </c>
      <c r="B14566" s="10" t="s">
        <v>26</v>
      </c>
      <c r="C14566" s="10" t="s">
        <v>23</v>
      </c>
      <c r="D14566" s="10" t="s">
        <v>29</v>
      </c>
      <c r="E14566" s="14">
        <v>1.0</v>
      </c>
      <c r="F14566" s="15">
        <f t="shared" ref="F14566:F14567" si="2254">ROUND(19,3)</f>
        <v>19</v>
      </c>
      <c r="G14566" s="12">
        <f t="shared" si="2253"/>
        <v>19</v>
      </c>
    </row>
    <row r="14567" ht="24.0" customHeight="1">
      <c r="A14567" s="10" t="s">
        <v>30</v>
      </c>
      <c r="B14567" s="10" t="s">
        <v>26</v>
      </c>
      <c r="C14567" s="10" t="s">
        <v>23</v>
      </c>
      <c r="D14567" s="10" t="s">
        <v>31</v>
      </c>
      <c r="E14567" s="14">
        <v>0.2</v>
      </c>
      <c r="F14567" s="15">
        <f t="shared" si="2254"/>
        <v>19</v>
      </c>
      <c r="G14567" s="12">
        <f t="shared" si="2253"/>
        <v>3.8</v>
      </c>
    </row>
    <row r="14568" ht="15.0" customHeight="1">
      <c r="A14568" s="11"/>
      <c r="B14568" s="11"/>
      <c r="C14568" s="11"/>
      <c r="D14568" s="10" t="s">
        <v>22</v>
      </c>
      <c r="E14568" s="14">
        <v>0.8</v>
      </c>
      <c r="F14568" s="15">
        <f>ROUND((G14565+G14566+G14567),3)</f>
        <v>43.8</v>
      </c>
      <c r="G14568" s="12">
        <f t="shared" si="2253"/>
        <v>35.04</v>
      </c>
    </row>
    <row r="14569" ht="15.0" customHeight="1">
      <c r="A14569" s="10" t="s">
        <v>32</v>
      </c>
      <c r="B14569" s="10"/>
      <c r="C14569" s="10" t="s">
        <v>33</v>
      </c>
      <c r="D14569" s="10" t="s">
        <v>34</v>
      </c>
      <c r="E14569" s="14">
        <v>5.0</v>
      </c>
      <c r="F14569" s="15">
        <f>ROUND(35.04,3)</f>
        <v>35.04</v>
      </c>
      <c r="G14569" s="12">
        <f>ROUND((E14569*F14569)/100,2)</f>
        <v>1.75</v>
      </c>
    </row>
    <row r="14570" ht="15.0" customHeight="1">
      <c r="A14570" s="16"/>
      <c r="B14570" s="16"/>
      <c r="C14570" s="16"/>
      <c r="D14570" s="17" t="s">
        <v>5966</v>
      </c>
      <c r="E14570" s="16"/>
      <c r="F14570" s="18">
        <f>ROUND((G14557+G14558+G14559+G14560+G14561+G14562+G14563+G14564+G14569)*(1+G2/100),2)</f>
        <v>55.55</v>
      </c>
      <c r="G14570" s="16"/>
    </row>
    <row r="14571" ht="67.5" customHeight="1">
      <c r="A14571" s="19" t="s">
        <v>5969</v>
      </c>
      <c r="B14571" s="20" t="s">
        <v>18</v>
      </c>
      <c r="C14571" s="20" t="s">
        <v>19</v>
      </c>
      <c r="D14571" s="20" t="s">
        <v>5970</v>
      </c>
      <c r="E14571" s="21"/>
      <c r="F14571" s="22">
        <f>F14586</f>
        <v>45.04</v>
      </c>
      <c r="G14571" s="21"/>
    </row>
    <row r="14572" ht="30.0" customHeight="1">
      <c r="A14572" s="11"/>
      <c r="B14572" s="11"/>
      <c r="C14572" s="11"/>
      <c r="D14572" s="10" t="s">
        <v>5971</v>
      </c>
    </row>
    <row r="14573" ht="30.0" customHeight="1">
      <c r="A14573" s="10" t="s">
        <v>1938</v>
      </c>
      <c r="B14573" s="10" t="s">
        <v>42</v>
      </c>
      <c r="C14573" s="10" t="s">
        <v>1939</v>
      </c>
      <c r="D14573" s="10" t="s">
        <v>1940</v>
      </c>
      <c r="E14573" s="14">
        <v>0.06</v>
      </c>
      <c r="F14573" s="15">
        <f>ROUND(29.17,3)</f>
        <v>29.17</v>
      </c>
      <c r="G14573" s="12">
        <f t="shared" ref="G14573:G14584" si="2255">ROUND(E14573*F14573,2)</f>
        <v>1.75</v>
      </c>
    </row>
    <row r="14574" ht="30.0" customHeight="1">
      <c r="A14574" s="10" t="s">
        <v>5860</v>
      </c>
      <c r="B14574" s="10" t="s">
        <v>42</v>
      </c>
      <c r="C14574" s="10" t="s">
        <v>184</v>
      </c>
      <c r="D14574" s="10" t="s">
        <v>5861</v>
      </c>
      <c r="E14574" s="14">
        <v>1.0</v>
      </c>
      <c r="F14574" s="15">
        <f>ROUND(11.74,3)</f>
        <v>11.74</v>
      </c>
      <c r="G14574" s="12">
        <f t="shared" si="2255"/>
        <v>11.74</v>
      </c>
    </row>
    <row r="14575" ht="30.0" customHeight="1">
      <c r="A14575" s="10" t="s">
        <v>5890</v>
      </c>
      <c r="B14575" s="10" t="s">
        <v>42</v>
      </c>
      <c r="C14575" s="10" t="s">
        <v>184</v>
      </c>
      <c r="D14575" s="10" t="s">
        <v>5891</v>
      </c>
      <c r="E14575" s="14">
        <v>0.5</v>
      </c>
      <c r="F14575" s="15">
        <f>ROUND(6.72,3)</f>
        <v>6.72</v>
      </c>
      <c r="G14575" s="12">
        <f t="shared" si="2255"/>
        <v>3.36</v>
      </c>
    </row>
    <row r="14576" ht="30.0" customHeight="1">
      <c r="A14576" s="10" t="s">
        <v>1227</v>
      </c>
      <c r="B14576" s="10" t="s">
        <v>42</v>
      </c>
      <c r="C14576" s="10" t="s">
        <v>226</v>
      </c>
      <c r="D14576" s="10" t="s">
        <v>1228</v>
      </c>
      <c r="E14576" s="14">
        <v>0.021</v>
      </c>
      <c r="F14576" s="15">
        <f>ROUND(27.5,3)</f>
        <v>27.5</v>
      </c>
      <c r="G14576" s="12">
        <f t="shared" si="2255"/>
        <v>0.58</v>
      </c>
    </row>
    <row r="14577" ht="21.0" customHeight="1">
      <c r="A14577" s="10" t="s">
        <v>1857</v>
      </c>
      <c r="B14577" s="10" t="s">
        <v>42</v>
      </c>
      <c r="C14577" s="10" t="s">
        <v>231</v>
      </c>
      <c r="D14577" s="10" t="s">
        <v>1858</v>
      </c>
      <c r="E14577" s="14">
        <v>0.4</v>
      </c>
      <c r="F14577" s="15">
        <f>ROUND(1.05,3)</f>
        <v>1.05</v>
      </c>
      <c r="G14577" s="12">
        <f t="shared" si="2255"/>
        <v>0.42</v>
      </c>
    </row>
    <row r="14578" ht="30.0" customHeight="1">
      <c r="A14578" s="10" t="s">
        <v>5847</v>
      </c>
      <c r="B14578" s="10" t="s">
        <v>42</v>
      </c>
      <c r="C14578" s="10" t="s">
        <v>344</v>
      </c>
      <c r="D14578" s="10" t="s">
        <v>5848</v>
      </c>
      <c r="E14578" s="14">
        <v>0.5</v>
      </c>
      <c r="F14578" s="15">
        <f>ROUND(1.76,3)</f>
        <v>1.76</v>
      </c>
      <c r="G14578" s="12">
        <f t="shared" si="2255"/>
        <v>0.88</v>
      </c>
    </row>
    <row r="14579" ht="21.0" customHeight="1">
      <c r="A14579" s="10" t="s">
        <v>228</v>
      </c>
      <c r="B14579" s="10" t="s">
        <v>42</v>
      </c>
      <c r="C14579" s="10" t="s">
        <v>226</v>
      </c>
      <c r="D14579" s="10" t="s">
        <v>229</v>
      </c>
      <c r="E14579" s="14">
        <v>0.02444</v>
      </c>
      <c r="F14579" s="15">
        <f>ROUND(1.32,3)</f>
        <v>1.32</v>
      </c>
      <c r="G14579" s="12">
        <f t="shared" si="2255"/>
        <v>0.03</v>
      </c>
    </row>
    <row r="14580" ht="21.0" customHeight="1">
      <c r="A14580" s="10" t="s">
        <v>22</v>
      </c>
      <c r="B14580" s="10" t="s">
        <v>18</v>
      </c>
      <c r="C14580" s="10" t="s">
        <v>23</v>
      </c>
      <c r="D14580" s="10" t="s">
        <v>24</v>
      </c>
      <c r="E14580" s="14">
        <v>0.5714</v>
      </c>
      <c r="F14580" s="15">
        <f>F14584</f>
        <v>43.8</v>
      </c>
      <c r="G14580" s="12">
        <f t="shared" si="2255"/>
        <v>25.03</v>
      </c>
    </row>
    <row r="14581" ht="24.0" customHeight="1">
      <c r="A14581" s="10" t="s">
        <v>25</v>
      </c>
      <c r="B14581" s="10" t="s">
        <v>26</v>
      </c>
      <c r="C14581" s="10" t="s">
        <v>23</v>
      </c>
      <c r="D14581" s="10" t="s">
        <v>27</v>
      </c>
      <c r="E14581" s="14">
        <v>1.0</v>
      </c>
      <c r="F14581" s="15">
        <f>ROUND(21,3)</f>
        <v>21</v>
      </c>
      <c r="G14581" s="12">
        <f t="shared" si="2255"/>
        <v>21</v>
      </c>
    </row>
    <row r="14582" ht="24.0" customHeight="1">
      <c r="A14582" s="10" t="s">
        <v>28</v>
      </c>
      <c r="B14582" s="10" t="s">
        <v>26</v>
      </c>
      <c r="C14582" s="10" t="s">
        <v>23</v>
      </c>
      <c r="D14582" s="10" t="s">
        <v>29</v>
      </c>
      <c r="E14582" s="14">
        <v>1.0</v>
      </c>
      <c r="F14582" s="15">
        <f t="shared" ref="F14582:F14583" si="2256">ROUND(19,3)</f>
        <v>19</v>
      </c>
      <c r="G14582" s="12">
        <f t="shared" si="2255"/>
        <v>19</v>
      </c>
    </row>
    <row r="14583" ht="24.0" customHeight="1">
      <c r="A14583" s="10" t="s">
        <v>30</v>
      </c>
      <c r="B14583" s="10" t="s">
        <v>26</v>
      </c>
      <c r="C14583" s="10" t="s">
        <v>23</v>
      </c>
      <c r="D14583" s="10" t="s">
        <v>31</v>
      </c>
      <c r="E14583" s="14">
        <v>0.2</v>
      </c>
      <c r="F14583" s="15">
        <f t="shared" si="2256"/>
        <v>19</v>
      </c>
      <c r="G14583" s="12">
        <f t="shared" si="2255"/>
        <v>3.8</v>
      </c>
    </row>
    <row r="14584" ht="15.0" customHeight="1">
      <c r="A14584" s="11"/>
      <c r="B14584" s="11"/>
      <c r="C14584" s="11"/>
      <c r="D14584" s="10" t="s">
        <v>22</v>
      </c>
      <c r="E14584" s="14">
        <v>0.5714</v>
      </c>
      <c r="F14584" s="15">
        <f>ROUND((G14581+G14582+G14583),3)</f>
        <v>43.8</v>
      </c>
      <c r="G14584" s="12">
        <f t="shared" si="2255"/>
        <v>25.03</v>
      </c>
    </row>
    <row r="14585" ht="15.0" customHeight="1">
      <c r="A14585" s="10" t="s">
        <v>32</v>
      </c>
      <c r="B14585" s="10"/>
      <c r="C14585" s="10" t="s">
        <v>33</v>
      </c>
      <c r="D14585" s="10" t="s">
        <v>34</v>
      </c>
      <c r="E14585" s="14">
        <v>5.0</v>
      </c>
      <c r="F14585" s="15">
        <f>ROUND(25.03,3)</f>
        <v>25.03</v>
      </c>
      <c r="G14585" s="12">
        <f>ROUND((E14585*F14585)/100,2)</f>
        <v>1.25</v>
      </c>
    </row>
    <row r="14586" ht="15.0" customHeight="1">
      <c r="A14586" s="16"/>
      <c r="B14586" s="16"/>
      <c r="C14586" s="16"/>
      <c r="D14586" s="17" t="s">
        <v>5969</v>
      </c>
      <c r="E14586" s="16"/>
      <c r="F14586" s="18">
        <f>ROUND((G14573+G14574+G14575+G14576+G14577+G14578+G14579+G14580+G14585)*(1+G2/100),2)</f>
        <v>45.04</v>
      </c>
      <c r="G14586" s="16"/>
    </row>
    <row r="14587" ht="57.75" customHeight="1">
      <c r="A14587" s="19" t="s">
        <v>5972</v>
      </c>
      <c r="B14587" s="20" t="s">
        <v>18</v>
      </c>
      <c r="C14587" s="20" t="s">
        <v>19</v>
      </c>
      <c r="D14587" s="20" t="s">
        <v>5973</v>
      </c>
      <c r="E14587" s="21"/>
      <c r="F14587" s="22">
        <f>F14602</f>
        <v>51.79</v>
      </c>
      <c r="G14587" s="21"/>
    </row>
    <row r="14588" ht="30.0" customHeight="1">
      <c r="A14588" s="11"/>
      <c r="B14588" s="11"/>
      <c r="C14588" s="11"/>
      <c r="D14588" s="10" t="s">
        <v>5974</v>
      </c>
    </row>
    <row r="14589" ht="30.0" customHeight="1">
      <c r="A14589" s="10" t="s">
        <v>1938</v>
      </c>
      <c r="B14589" s="10" t="s">
        <v>42</v>
      </c>
      <c r="C14589" s="10" t="s">
        <v>1939</v>
      </c>
      <c r="D14589" s="10" t="s">
        <v>1940</v>
      </c>
      <c r="E14589" s="14">
        <v>0.06</v>
      </c>
      <c r="F14589" s="15">
        <f>ROUND(29.17,3)</f>
        <v>29.17</v>
      </c>
      <c r="G14589" s="12">
        <f t="shared" ref="G14589:G14600" si="2257">ROUND(E14589*F14589,2)</f>
        <v>1.75</v>
      </c>
    </row>
    <row r="14590" ht="30.0" customHeight="1">
      <c r="A14590" s="10" t="s">
        <v>5898</v>
      </c>
      <c r="B14590" s="10" t="s">
        <v>42</v>
      </c>
      <c r="C14590" s="10" t="s">
        <v>184</v>
      </c>
      <c r="D14590" s="10" t="s">
        <v>5899</v>
      </c>
      <c r="E14590" s="14">
        <v>1.0</v>
      </c>
      <c r="F14590" s="15">
        <f>ROUND(7.89,3)</f>
        <v>7.89</v>
      </c>
      <c r="G14590" s="12">
        <f t="shared" si="2257"/>
        <v>7.89</v>
      </c>
    </row>
    <row r="14591" ht="21.0" customHeight="1">
      <c r="A14591" s="10" t="s">
        <v>1943</v>
      </c>
      <c r="B14591" s="10" t="s">
        <v>42</v>
      </c>
      <c r="C14591" s="10" t="s">
        <v>184</v>
      </c>
      <c r="D14591" s="10" t="s">
        <v>1944</v>
      </c>
      <c r="E14591" s="14">
        <v>0.5</v>
      </c>
      <c r="F14591" s="15">
        <f>ROUND(6.9,3)</f>
        <v>6.9</v>
      </c>
      <c r="G14591" s="12">
        <f t="shared" si="2257"/>
        <v>3.45</v>
      </c>
    </row>
    <row r="14592" ht="30.0" customHeight="1">
      <c r="A14592" s="10" t="s">
        <v>1227</v>
      </c>
      <c r="B14592" s="10" t="s">
        <v>42</v>
      </c>
      <c r="C14592" s="10" t="s">
        <v>226</v>
      </c>
      <c r="D14592" s="10" t="s">
        <v>1228</v>
      </c>
      <c r="E14592" s="14">
        <v>0.021</v>
      </c>
      <c r="F14592" s="15">
        <f>ROUND(27.5,3)</f>
        <v>27.5</v>
      </c>
      <c r="G14592" s="12">
        <f t="shared" si="2257"/>
        <v>0.58</v>
      </c>
    </row>
    <row r="14593" ht="21.0" customHeight="1">
      <c r="A14593" s="10" t="s">
        <v>1857</v>
      </c>
      <c r="B14593" s="10" t="s">
        <v>42</v>
      </c>
      <c r="C14593" s="10" t="s">
        <v>231</v>
      </c>
      <c r="D14593" s="10" t="s">
        <v>1858</v>
      </c>
      <c r="E14593" s="14">
        <v>0.4</v>
      </c>
      <c r="F14593" s="15">
        <f>ROUND(1.05,3)</f>
        <v>1.05</v>
      </c>
      <c r="G14593" s="12">
        <f t="shared" si="2257"/>
        <v>0.42</v>
      </c>
    </row>
    <row r="14594" ht="30.0" customHeight="1">
      <c r="A14594" s="10" t="s">
        <v>5847</v>
      </c>
      <c r="B14594" s="10" t="s">
        <v>42</v>
      </c>
      <c r="C14594" s="10" t="s">
        <v>344</v>
      </c>
      <c r="D14594" s="10" t="s">
        <v>5848</v>
      </c>
      <c r="E14594" s="14">
        <v>0.5</v>
      </c>
      <c r="F14594" s="15">
        <f>ROUND(1.76,3)</f>
        <v>1.76</v>
      </c>
      <c r="G14594" s="12">
        <f t="shared" si="2257"/>
        <v>0.88</v>
      </c>
    </row>
    <row r="14595" ht="21.0" customHeight="1">
      <c r="A14595" s="10" t="s">
        <v>228</v>
      </c>
      <c r="B14595" s="10" t="s">
        <v>42</v>
      </c>
      <c r="C14595" s="10" t="s">
        <v>226</v>
      </c>
      <c r="D14595" s="10" t="s">
        <v>229</v>
      </c>
      <c r="E14595" s="14">
        <v>0.02444</v>
      </c>
      <c r="F14595" s="15">
        <f>ROUND(1.32,3)</f>
        <v>1.32</v>
      </c>
      <c r="G14595" s="12">
        <f t="shared" si="2257"/>
        <v>0.03</v>
      </c>
    </row>
    <row r="14596" ht="21.0" customHeight="1">
      <c r="A14596" s="10" t="s">
        <v>22</v>
      </c>
      <c r="B14596" s="10" t="s">
        <v>18</v>
      </c>
      <c r="C14596" s="10" t="s">
        <v>23</v>
      </c>
      <c r="D14596" s="10" t="s">
        <v>24</v>
      </c>
      <c r="E14596" s="14">
        <v>0.8</v>
      </c>
      <c r="F14596" s="15">
        <f>F14600</f>
        <v>43.8</v>
      </c>
      <c r="G14596" s="12">
        <f t="shared" si="2257"/>
        <v>35.04</v>
      </c>
    </row>
    <row r="14597" ht="24.0" customHeight="1">
      <c r="A14597" s="10" t="s">
        <v>25</v>
      </c>
      <c r="B14597" s="10" t="s">
        <v>26</v>
      </c>
      <c r="C14597" s="10" t="s">
        <v>23</v>
      </c>
      <c r="D14597" s="10" t="s">
        <v>27</v>
      </c>
      <c r="E14597" s="14">
        <v>1.0</v>
      </c>
      <c r="F14597" s="15">
        <f>ROUND(21,3)</f>
        <v>21</v>
      </c>
      <c r="G14597" s="12">
        <f t="shared" si="2257"/>
        <v>21</v>
      </c>
    </row>
    <row r="14598" ht="24.0" customHeight="1">
      <c r="A14598" s="10" t="s">
        <v>28</v>
      </c>
      <c r="B14598" s="10" t="s">
        <v>26</v>
      </c>
      <c r="C14598" s="10" t="s">
        <v>23</v>
      </c>
      <c r="D14598" s="10" t="s">
        <v>29</v>
      </c>
      <c r="E14598" s="14">
        <v>1.0</v>
      </c>
      <c r="F14598" s="15">
        <f t="shared" ref="F14598:F14599" si="2258">ROUND(19,3)</f>
        <v>19</v>
      </c>
      <c r="G14598" s="12">
        <f t="shared" si="2257"/>
        <v>19</v>
      </c>
    </row>
    <row r="14599" ht="24.0" customHeight="1">
      <c r="A14599" s="10" t="s">
        <v>30</v>
      </c>
      <c r="B14599" s="10" t="s">
        <v>26</v>
      </c>
      <c r="C14599" s="10" t="s">
        <v>23</v>
      </c>
      <c r="D14599" s="10" t="s">
        <v>31</v>
      </c>
      <c r="E14599" s="14">
        <v>0.2</v>
      </c>
      <c r="F14599" s="15">
        <f t="shared" si="2258"/>
        <v>19</v>
      </c>
      <c r="G14599" s="12">
        <f t="shared" si="2257"/>
        <v>3.8</v>
      </c>
    </row>
    <row r="14600" ht="15.0" customHeight="1">
      <c r="A14600" s="11"/>
      <c r="B14600" s="11"/>
      <c r="C14600" s="11"/>
      <c r="D14600" s="10" t="s">
        <v>22</v>
      </c>
      <c r="E14600" s="14">
        <v>0.8</v>
      </c>
      <c r="F14600" s="15">
        <f>ROUND((G14597+G14598+G14599),3)</f>
        <v>43.8</v>
      </c>
      <c r="G14600" s="12">
        <f t="shared" si="2257"/>
        <v>35.04</v>
      </c>
    </row>
    <row r="14601" ht="15.0" customHeight="1">
      <c r="A14601" s="10" t="s">
        <v>32</v>
      </c>
      <c r="B14601" s="10"/>
      <c r="C14601" s="10" t="s">
        <v>33</v>
      </c>
      <c r="D14601" s="10" t="s">
        <v>34</v>
      </c>
      <c r="E14601" s="14">
        <v>5.0</v>
      </c>
      <c r="F14601" s="15">
        <f>ROUND(35.04,3)</f>
        <v>35.04</v>
      </c>
      <c r="G14601" s="12">
        <f>ROUND((E14601*F14601)/100,2)</f>
        <v>1.75</v>
      </c>
    </row>
    <row r="14602" ht="15.0" customHeight="1">
      <c r="A14602" s="16"/>
      <c r="B14602" s="16"/>
      <c r="C14602" s="16"/>
      <c r="D14602" s="17" t="s">
        <v>5972</v>
      </c>
      <c r="E14602" s="16"/>
      <c r="F14602" s="18">
        <f>ROUND((G14589+G14590+G14591+G14592+G14593+G14594+G14595+G14596+G14601)*(1+G2/100),2)</f>
        <v>51.79</v>
      </c>
      <c r="G14602" s="16"/>
    </row>
    <row r="14603" ht="57.75" customHeight="1">
      <c r="A14603" s="19" t="s">
        <v>5975</v>
      </c>
      <c r="B14603" s="20" t="s">
        <v>18</v>
      </c>
      <c r="C14603" s="20" t="s">
        <v>19</v>
      </c>
      <c r="D14603" s="20" t="s">
        <v>5976</v>
      </c>
      <c r="E14603" s="21"/>
      <c r="F14603" s="22">
        <f>F14618</f>
        <v>41.28</v>
      </c>
      <c r="G14603" s="21"/>
    </row>
    <row r="14604" ht="30.0" customHeight="1">
      <c r="A14604" s="11"/>
      <c r="B14604" s="11"/>
      <c r="C14604" s="11"/>
      <c r="D14604" s="10" t="s">
        <v>5977</v>
      </c>
    </row>
    <row r="14605" ht="30.0" customHeight="1">
      <c r="A14605" s="10" t="s">
        <v>1938</v>
      </c>
      <c r="B14605" s="10" t="s">
        <v>42</v>
      </c>
      <c r="C14605" s="10" t="s">
        <v>1939</v>
      </c>
      <c r="D14605" s="10" t="s">
        <v>1940</v>
      </c>
      <c r="E14605" s="14">
        <v>0.06</v>
      </c>
      <c r="F14605" s="15">
        <f>ROUND(29.17,3)</f>
        <v>29.17</v>
      </c>
      <c r="G14605" s="12">
        <f t="shared" ref="G14605:G14616" si="2259">ROUND(E14605*F14605,2)</f>
        <v>1.75</v>
      </c>
    </row>
    <row r="14606" ht="30.0" customHeight="1">
      <c r="A14606" s="10" t="s">
        <v>5898</v>
      </c>
      <c r="B14606" s="10" t="s">
        <v>42</v>
      </c>
      <c r="C14606" s="10" t="s">
        <v>184</v>
      </c>
      <c r="D14606" s="10" t="s">
        <v>5899</v>
      </c>
      <c r="E14606" s="14">
        <v>1.0</v>
      </c>
      <c r="F14606" s="15">
        <f>ROUND(7.89,3)</f>
        <v>7.89</v>
      </c>
      <c r="G14606" s="12">
        <f t="shared" si="2259"/>
        <v>7.89</v>
      </c>
    </row>
    <row r="14607" ht="21.0" customHeight="1">
      <c r="A14607" s="10" t="s">
        <v>1943</v>
      </c>
      <c r="B14607" s="10" t="s">
        <v>42</v>
      </c>
      <c r="C14607" s="10" t="s">
        <v>184</v>
      </c>
      <c r="D14607" s="10" t="s">
        <v>1944</v>
      </c>
      <c r="E14607" s="14">
        <v>0.5</v>
      </c>
      <c r="F14607" s="15">
        <f>ROUND(6.9,3)</f>
        <v>6.9</v>
      </c>
      <c r="G14607" s="12">
        <f t="shared" si="2259"/>
        <v>3.45</v>
      </c>
    </row>
    <row r="14608" ht="30.0" customHeight="1">
      <c r="A14608" s="10" t="s">
        <v>1227</v>
      </c>
      <c r="B14608" s="10" t="s">
        <v>42</v>
      </c>
      <c r="C14608" s="10" t="s">
        <v>226</v>
      </c>
      <c r="D14608" s="10" t="s">
        <v>1228</v>
      </c>
      <c r="E14608" s="14">
        <v>0.021</v>
      </c>
      <c r="F14608" s="15">
        <f>ROUND(27.5,3)</f>
        <v>27.5</v>
      </c>
      <c r="G14608" s="12">
        <f t="shared" si="2259"/>
        <v>0.58</v>
      </c>
    </row>
    <row r="14609" ht="21.0" customHeight="1">
      <c r="A14609" s="10" t="s">
        <v>1857</v>
      </c>
      <c r="B14609" s="10" t="s">
        <v>42</v>
      </c>
      <c r="C14609" s="10" t="s">
        <v>231</v>
      </c>
      <c r="D14609" s="10" t="s">
        <v>1858</v>
      </c>
      <c r="E14609" s="14">
        <v>0.4</v>
      </c>
      <c r="F14609" s="15">
        <f>ROUND(1.05,3)</f>
        <v>1.05</v>
      </c>
      <c r="G14609" s="12">
        <f t="shared" si="2259"/>
        <v>0.42</v>
      </c>
    </row>
    <row r="14610" ht="30.0" customHeight="1">
      <c r="A14610" s="10" t="s">
        <v>5847</v>
      </c>
      <c r="B14610" s="10" t="s">
        <v>42</v>
      </c>
      <c r="C14610" s="10" t="s">
        <v>344</v>
      </c>
      <c r="D14610" s="10" t="s">
        <v>5848</v>
      </c>
      <c r="E14610" s="14">
        <v>0.5</v>
      </c>
      <c r="F14610" s="15">
        <f>ROUND(1.76,3)</f>
        <v>1.76</v>
      </c>
      <c r="G14610" s="12">
        <f t="shared" si="2259"/>
        <v>0.88</v>
      </c>
    </row>
    <row r="14611" ht="21.0" customHeight="1">
      <c r="A14611" s="10" t="s">
        <v>228</v>
      </c>
      <c r="B14611" s="10" t="s">
        <v>42</v>
      </c>
      <c r="C14611" s="10" t="s">
        <v>226</v>
      </c>
      <c r="D14611" s="10" t="s">
        <v>229</v>
      </c>
      <c r="E14611" s="14">
        <v>0.02444</v>
      </c>
      <c r="F14611" s="15">
        <f>ROUND(1.32,3)</f>
        <v>1.32</v>
      </c>
      <c r="G14611" s="12">
        <f t="shared" si="2259"/>
        <v>0.03</v>
      </c>
    </row>
    <row r="14612" ht="21.0" customHeight="1">
      <c r="A14612" s="10" t="s">
        <v>22</v>
      </c>
      <c r="B14612" s="10" t="s">
        <v>18</v>
      </c>
      <c r="C14612" s="10" t="s">
        <v>23</v>
      </c>
      <c r="D14612" s="10" t="s">
        <v>24</v>
      </c>
      <c r="E14612" s="14">
        <v>0.5714</v>
      </c>
      <c r="F14612" s="15">
        <f>F14616</f>
        <v>43.8</v>
      </c>
      <c r="G14612" s="12">
        <f t="shared" si="2259"/>
        <v>25.03</v>
      </c>
    </row>
    <row r="14613" ht="24.0" customHeight="1">
      <c r="A14613" s="10" t="s">
        <v>25</v>
      </c>
      <c r="B14613" s="10" t="s">
        <v>26</v>
      </c>
      <c r="C14613" s="10" t="s">
        <v>23</v>
      </c>
      <c r="D14613" s="10" t="s">
        <v>27</v>
      </c>
      <c r="E14613" s="14">
        <v>1.0</v>
      </c>
      <c r="F14613" s="15">
        <f>ROUND(21,3)</f>
        <v>21</v>
      </c>
      <c r="G14613" s="12">
        <f t="shared" si="2259"/>
        <v>21</v>
      </c>
    </row>
    <row r="14614" ht="24.0" customHeight="1">
      <c r="A14614" s="10" t="s">
        <v>28</v>
      </c>
      <c r="B14614" s="10" t="s">
        <v>26</v>
      </c>
      <c r="C14614" s="10" t="s">
        <v>23</v>
      </c>
      <c r="D14614" s="10" t="s">
        <v>29</v>
      </c>
      <c r="E14614" s="14">
        <v>1.0</v>
      </c>
      <c r="F14614" s="15">
        <f t="shared" ref="F14614:F14615" si="2260">ROUND(19,3)</f>
        <v>19</v>
      </c>
      <c r="G14614" s="12">
        <f t="shared" si="2259"/>
        <v>19</v>
      </c>
    </row>
    <row r="14615" ht="24.0" customHeight="1">
      <c r="A14615" s="10" t="s">
        <v>30</v>
      </c>
      <c r="B14615" s="10" t="s">
        <v>26</v>
      </c>
      <c r="C14615" s="10" t="s">
        <v>23</v>
      </c>
      <c r="D14615" s="10" t="s">
        <v>31</v>
      </c>
      <c r="E14615" s="14">
        <v>0.2</v>
      </c>
      <c r="F14615" s="15">
        <f t="shared" si="2260"/>
        <v>19</v>
      </c>
      <c r="G14615" s="12">
        <f t="shared" si="2259"/>
        <v>3.8</v>
      </c>
    </row>
    <row r="14616" ht="15.0" customHeight="1">
      <c r="A14616" s="11"/>
      <c r="B14616" s="11"/>
      <c r="C14616" s="11"/>
      <c r="D14616" s="10" t="s">
        <v>22</v>
      </c>
      <c r="E14616" s="14">
        <v>0.5714</v>
      </c>
      <c r="F14616" s="15">
        <f>ROUND((G14613+G14614+G14615),3)</f>
        <v>43.8</v>
      </c>
      <c r="G14616" s="12">
        <f t="shared" si="2259"/>
        <v>25.03</v>
      </c>
    </row>
    <row r="14617" ht="15.0" customHeight="1">
      <c r="A14617" s="10" t="s">
        <v>32</v>
      </c>
      <c r="B14617" s="10"/>
      <c r="C14617" s="10" t="s">
        <v>33</v>
      </c>
      <c r="D14617" s="10" t="s">
        <v>34</v>
      </c>
      <c r="E14617" s="14">
        <v>5.0</v>
      </c>
      <c r="F14617" s="15">
        <f>ROUND(25.03,3)</f>
        <v>25.03</v>
      </c>
      <c r="G14617" s="12">
        <f>ROUND((E14617*F14617)/100,2)</f>
        <v>1.25</v>
      </c>
    </row>
    <row r="14618" ht="15.0" customHeight="1">
      <c r="A14618" s="16"/>
      <c r="B14618" s="16"/>
      <c r="C14618" s="16"/>
      <c r="D14618" s="17" t="s">
        <v>5975</v>
      </c>
      <c r="E14618" s="16"/>
      <c r="F14618" s="18">
        <f>ROUND((G14605+G14606+G14607+G14608+G14609+G14610+G14611+G14612+G14617)*(1+G2/100),2)</f>
        <v>41.28</v>
      </c>
      <c r="G14618" s="16"/>
    </row>
    <row r="14619" ht="67.5" customHeight="1">
      <c r="A14619" s="19" t="s">
        <v>5978</v>
      </c>
      <c r="B14619" s="20" t="s">
        <v>18</v>
      </c>
      <c r="C14619" s="20" t="s">
        <v>19</v>
      </c>
      <c r="D14619" s="20" t="s">
        <v>5979</v>
      </c>
      <c r="E14619" s="21"/>
      <c r="F14619" s="22">
        <f>F14634</f>
        <v>57.28</v>
      </c>
      <c r="G14619" s="21"/>
    </row>
    <row r="14620" ht="30.0" customHeight="1">
      <c r="A14620" s="11"/>
      <c r="B14620" s="11"/>
      <c r="C14620" s="11"/>
      <c r="D14620" s="10" t="s">
        <v>5980</v>
      </c>
    </row>
    <row r="14621" ht="30.0" customHeight="1">
      <c r="A14621" s="10" t="s">
        <v>1938</v>
      </c>
      <c r="B14621" s="10" t="s">
        <v>42</v>
      </c>
      <c r="C14621" s="10" t="s">
        <v>1939</v>
      </c>
      <c r="D14621" s="10" t="s">
        <v>1940</v>
      </c>
      <c r="E14621" s="14">
        <v>0.06</v>
      </c>
      <c r="F14621" s="15">
        <f>ROUND(29.17,3)</f>
        <v>29.17</v>
      </c>
      <c r="G14621" s="12">
        <f t="shared" ref="G14621:G14632" si="2261">ROUND(E14621*F14621,2)</f>
        <v>1.75</v>
      </c>
    </row>
    <row r="14622" ht="30.0" customHeight="1">
      <c r="A14622" s="10" t="s">
        <v>5860</v>
      </c>
      <c r="B14622" s="10" t="s">
        <v>42</v>
      </c>
      <c r="C14622" s="10" t="s">
        <v>184</v>
      </c>
      <c r="D14622" s="10" t="s">
        <v>5861</v>
      </c>
      <c r="E14622" s="14">
        <v>1.0</v>
      </c>
      <c r="F14622" s="15">
        <f>ROUND(11.74,3)</f>
        <v>11.74</v>
      </c>
      <c r="G14622" s="12">
        <f t="shared" si="2261"/>
        <v>11.74</v>
      </c>
    </row>
    <row r="14623" ht="30.0" customHeight="1">
      <c r="A14623" s="10" t="s">
        <v>1929</v>
      </c>
      <c r="B14623" s="10" t="s">
        <v>42</v>
      </c>
      <c r="C14623" s="10" t="s">
        <v>184</v>
      </c>
      <c r="D14623" s="10" t="s">
        <v>1930</v>
      </c>
      <c r="E14623" s="14">
        <v>0.5</v>
      </c>
      <c r="F14623" s="15">
        <f>ROUND(10.18,3)</f>
        <v>10.18</v>
      </c>
      <c r="G14623" s="12">
        <f t="shared" si="2261"/>
        <v>5.09</v>
      </c>
    </row>
    <row r="14624" ht="30.0" customHeight="1">
      <c r="A14624" s="10" t="s">
        <v>1227</v>
      </c>
      <c r="B14624" s="10" t="s">
        <v>42</v>
      </c>
      <c r="C14624" s="10" t="s">
        <v>226</v>
      </c>
      <c r="D14624" s="10" t="s">
        <v>1228</v>
      </c>
      <c r="E14624" s="14">
        <v>0.021</v>
      </c>
      <c r="F14624" s="15">
        <f>ROUND(27.5,3)</f>
        <v>27.5</v>
      </c>
      <c r="G14624" s="12">
        <f t="shared" si="2261"/>
        <v>0.58</v>
      </c>
    </row>
    <row r="14625" ht="21.0" customHeight="1">
      <c r="A14625" s="10" t="s">
        <v>1857</v>
      </c>
      <c r="B14625" s="10" t="s">
        <v>42</v>
      </c>
      <c r="C14625" s="10" t="s">
        <v>231</v>
      </c>
      <c r="D14625" s="10" t="s">
        <v>1858</v>
      </c>
      <c r="E14625" s="14">
        <v>0.4</v>
      </c>
      <c r="F14625" s="15">
        <f>ROUND(1.05,3)</f>
        <v>1.05</v>
      </c>
      <c r="G14625" s="12">
        <f t="shared" si="2261"/>
        <v>0.42</v>
      </c>
    </row>
    <row r="14626" ht="30.0" customHeight="1">
      <c r="A14626" s="10" t="s">
        <v>5847</v>
      </c>
      <c r="B14626" s="10" t="s">
        <v>42</v>
      </c>
      <c r="C14626" s="10" t="s">
        <v>344</v>
      </c>
      <c r="D14626" s="10" t="s">
        <v>5848</v>
      </c>
      <c r="E14626" s="14">
        <v>0.5</v>
      </c>
      <c r="F14626" s="15">
        <f>ROUND(1.76,3)</f>
        <v>1.76</v>
      </c>
      <c r="G14626" s="12">
        <f t="shared" si="2261"/>
        <v>0.88</v>
      </c>
    </row>
    <row r="14627" ht="21.0" customHeight="1">
      <c r="A14627" s="10" t="s">
        <v>228</v>
      </c>
      <c r="B14627" s="10" t="s">
        <v>42</v>
      </c>
      <c r="C14627" s="10" t="s">
        <v>226</v>
      </c>
      <c r="D14627" s="10" t="s">
        <v>229</v>
      </c>
      <c r="E14627" s="14">
        <v>0.02444</v>
      </c>
      <c r="F14627" s="15">
        <f>ROUND(1.32,3)</f>
        <v>1.32</v>
      </c>
      <c r="G14627" s="12">
        <f t="shared" si="2261"/>
        <v>0.03</v>
      </c>
    </row>
    <row r="14628" ht="21.0" customHeight="1">
      <c r="A14628" s="10" t="s">
        <v>22</v>
      </c>
      <c r="B14628" s="10" t="s">
        <v>18</v>
      </c>
      <c r="C14628" s="10" t="s">
        <v>23</v>
      </c>
      <c r="D14628" s="10" t="s">
        <v>24</v>
      </c>
      <c r="E14628" s="14">
        <v>0.8</v>
      </c>
      <c r="F14628" s="15">
        <f>F14632</f>
        <v>43.8</v>
      </c>
      <c r="G14628" s="12">
        <f t="shared" si="2261"/>
        <v>35.04</v>
      </c>
    </row>
    <row r="14629" ht="24.0" customHeight="1">
      <c r="A14629" s="10" t="s">
        <v>25</v>
      </c>
      <c r="B14629" s="10" t="s">
        <v>26</v>
      </c>
      <c r="C14629" s="10" t="s">
        <v>23</v>
      </c>
      <c r="D14629" s="10" t="s">
        <v>27</v>
      </c>
      <c r="E14629" s="14">
        <v>1.0</v>
      </c>
      <c r="F14629" s="15">
        <f>ROUND(21,3)</f>
        <v>21</v>
      </c>
      <c r="G14629" s="12">
        <f t="shared" si="2261"/>
        <v>21</v>
      </c>
    </row>
    <row r="14630" ht="24.0" customHeight="1">
      <c r="A14630" s="10" t="s">
        <v>28</v>
      </c>
      <c r="B14630" s="10" t="s">
        <v>26</v>
      </c>
      <c r="C14630" s="10" t="s">
        <v>23</v>
      </c>
      <c r="D14630" s="10" t="s">
        <v>29</v>
      </c>
      <c r="E14630" s="14">
        <v>1.0</v>
      </c>
      <c r="F14630" s="15">
        <f t="shared" ref="F14630:F14631" si="2262">ROUND(19,3)</f>
        <v>19</v>
      </c>
      <c r="G14630" s="12">
        <f t="shared" si="2261"/>
        <v>19</v>
      </c>
    </row>
    <row r="14631" ht="24.0" customHeight="1">
      <c r="A14631" s="10" t="s">
        <v>30</v>
      </c>
      <c r="B14631" s="10" t="s">
        <v>26</v>
      </c>
      <c r="C14631" s="10" t="s">
        <v>23</v>
      </c>
      <c r="D14631" s="10" t="s">
        <v>31</v>
      </c>
      <c r="E14631" s="14">
        <v>0.2</v>
      </c>
      <c r="F14631" s="15">
        <f t="shared" si="2262"/>
        <v>19</v>
      </c>
      <c r="G14631" s="12">
        <f t="shared" si="2261"/>
        <v>3.8</v>
      </c>
    </row>
    <row r="14632" ht="15.0" customHeight="1">
      <c r="A14632" s="11"/>
      <c r="B14632" s="11"/>
      <c r="C14632" s="11"/>
      <c r="D14632" s="10" t="s">
        <v>22</v>
      </c>
      <c r="E14632" s="14">
        <v>0.8</v>
      </c>
      <c r="F14632" s="15">
        <f>ROUND((G14629+G14630+G14631),3)</f>
        <v>43.8</v>
      </c>
      <c r="G14632" s="12">
        <f t="shared" si="2261"/>
        <v>35.04</v>
      </c>
    </row>
    <row r="14633" ht="15.0" customHeight="1">
      <c r="A14633" s="10" t="s">
        <v>32</v>
      </c>
      <c r="B14633" s="10"/>
      <c r="C14633" s="10" t="s">
        <v>33</v>
      </c>
      <c r="D14633" s="10" t="s">
        <v>34</v>
      </c>
      <c r="E14633" s="14">
        <v>5.0</v>
      </c>
      <c r="F14633" s="15">
        <f>ROUND(35.04,3)</f>
        <v>35.04</v>
      </c>
      <c r="G14633" s="12">
        <f>ROUND((E14633*F14633)/100,2)</f>
        <v>1.75</v>
      </c>
    </row>
    <row r="14634" ht="15.0" customHeight="1">
      <c r="A14634" s="16"/>
      <c r="B14634" s="16"/>
      <c r="C14634" s="16"/>
      <c r="D14634" s="17" t="s">
        <v>5978</v>
      </c>
      <c r="E14634" s="16"/>
      <c r="F14634" s="18">
        <f>ROUND((G14621+G14622+G14623+G14624+G14625+G14626+G14627+G14628+G14633)*(1+G2/100),2)</f>
        <v>57.28</v>
      </c>
      <c r="G14634" s="16"/>
    </row>
    <row r="14635" ht="67.5" customHeight="1">
      <c r="A14635" s="19" t="s">
        <v>5981</v>
      </c>
      <c r="B14635" s="20" t="s">
        <v>18</v>
      </c>
      <c r="C14635" s="20" t="s">
        <v>19</v>
      </c>
      <c r="D14635" s="20" t="s">
        <v>5982</v>
      </c>
      <c r="E14635" s="21"/>
      <c r="F14635" s="22">
        <f>F14650</f>
        <v>46.77</v>
      </c>
      <c r="G14635" s="21"/>
    </row>
    <row r="14636" ht="30.0" customHeight="1">
      <c r="A14636" s="11"/>
      <c r="B14636" s="11"/>
      <c r="C14636" s="11"/>
      <c r="D14636" s="10" t="s">
        <v>5983</v>
      </c>
    </row>
    <row r="14637" ht="30.0" customHeight="1">
      <c r="A14637" s="10" t="s">
        <v>1938</v>
      </c>
      <c r="B14637" s="10" t="s">
        <v>42</v>
      </c>
      <c r="C14637" s="10" t="s">
        <v>1939</v>
      </c>
      <c r="D14637" s="10" t="s">
        <v>1940</v>
      </c>
      <c r="E14637" s="14">
        <v>0.06</v>
      </c>
      <c r="F14637" s="15">
        <f>ROUND(29.17,3)</f>
        <v>29.17</v>
      </c>
      <c r="G14637" s="12">
        <f t="shared" ref="G14637:G14648" si="2263">ROUND(E14637*F14637,2)</f>
        <v>1.75</v>
      </c>
    </row>
    <row r="14638" ht="30.0" customHeight="1">
      <c r="A14638" s="10" t="s">
        <v>5860</v>
      </c>
      <c r="B14638" s="10" t="s">
        <v>42</v>
      </c>
      <c r="C14638" s="10" t="s">
        <v>184</v>
      </c>
      <c r="D14638" s="10" t="s">
        <v>5861</v>
      </c>
      <c r="E14638" s="14">
        <v>1.0</v>
      </c>
      <c r="F14638" s="15">
        <f>ROUND(11.74,3)</f>
        <v>11.74</v>
      </c>
      <c r="G14638" s="12">
        <f t="shared" si="2263"/>
        <v>11.74</v>
      </c>
    </row>
    <row r="14639" ht="30.0" customHeight="1">
      <c r="A14639" s="10" t="s">
        <v>1929</v>
      </c>
      <c r="B14639" s="10" t="s">
        <v>42</v>
      </c>
      <c r="C14639" s="10" t="s">
        <v>184</v>
      </c>
      <c r="D14639" s="10" t="s">
        <v>1930</v>
      </c>
      <c r="E14639" s="14">
        <v>0.5</v>
      </c>
      <c r="F14639" s="15">
        <f>ROUND(10.18,3)</f>
        <v>10.18</v>
      </c>
      <c r="G14639" s="12">
        <f t="shared" si="2263"/>
        <v>5.09</v>
      </c>
    </row>
    <row r="14640" ht="30.0" customHeight="1">
      <c r="A14640" s="10" t="s">
        <v>1227</v>
      </c>
      <c r="B14640" s="10" t="s">
        <v>42</v>
      </c>
      <c r="C14640" s="10" t="s">
        <v>226</v>
      </c>
      <c r="D14640" s="10" t="s">
        <v>1228</v>
      </c>
      <c r="E14640" s="14">
        <v>0.021</v>
      </c>
      <c r="F14640" s="15">
        <f>ROUND(27.5,3)</f>
        <v>27.5</v>
      </c>
      <c r="G14640" s="12">
        <f t="shared" si="2263"/>
        <v>0.58</v>
      </c>
    </row>
    <row r="14641" ht="21.0" customHeight="1">
      <c r="A14641" s="10" t="s">
        <v>1857</v>
      </c>
      <c r="B14641" s="10" t="s">
        <v>42</v>
      </c>
      <c r="C14641" s="10" t="s">
        <v>231</v>
      </c>
      <c r="D14641" s="10" t="s">
        <v>1858</v>
      </c>
      <c r="E14641" s="14">
        <v>0.4</v>
      </c>
      <c r="F14641" s="15">
        <f>ROUND(1.05,3)</f>
        <v>1.05</v>
      </c>
      <c r="G14641" s="12">
        <f t="shared" si="2263"/>
        <v>0.42</v>
      </c>
    </row>
    <row r="14642" ht="30.0" customHeight="1">
      <c r="A14642" s="10" t="s">
        <v>5847</v>
      </c>
      <c r="B14642" s="10" t="s">
        <v>42</v>
      </c>
      <c r="C14642" s="10" t="s">
        <v>344</v>
      </c>
      <c r="D14642" s="10" t="s">
        <v>5848</v>
      </c>
      <c r="E14642" s="14">
        <v>0.5</v>
      </c>
      <c r="F14642" s="15">
        <f>ROUND(1.76,3)</f>
        <v>1.76</v>
      </c>
      <c r="G14642" s="12">
        <f t="shared" si="2263"/>
        <v>0.88</v>
      </c>
    </row>
    <row r="14643" ht="21.0" customHeight="1">
      <c r="A14643" s="10" t="s">
        <v>228</v>
      </c>
      <c r="B14643" s="10" t="s">
        <v>42</v>
      </c>
      <c r="C14643" s="10" t="s">
        <v>226</v>
      </c>
      <c r="D14643" s="10" t="s">
        <v>229</v>
      </c>
      <c r="E14643" s="14">
        <v>0.02444</v>
      </c>
      <c r="F14643" s="15">
        <f>ROUND(1.32,3)</f>
        <v>1.32</v>
      </c>
      <c r="G14643" s="12">
        <f t="shared" si="2263"/>
        <v>0.03</v>
      </c>
    </row>
    <row r="14644" ht="21.0" customHeight="1">
      <c r="A14644" s="10" t="s">
        <v>22</v>
      </c>
      <c r="B14644" s="10" t="s">
        <v>18</v>
      </c>
      <c r="C14644" s="10" t="s">
        <v>23</v>
      </c>
      <c r="D14644" s="10" t="s">
        <v>24</v>
      </c>
      <c r="E14644" s="14">
        <v>0.5714</v>
      </c>
      <c r="F14644" s="15">
        <f>F14648</f>
        <v>43.8</v>
      </c>
      <c r="G14644" s="12">
        <f t="shared" si="2263"/>
        <v>25.03</v>
      </c>
    </row>
    <row r="14645" ht="24.0" customHeight="1">
      <c r="A14645" s="10" t="s">
        <v>25</v>
      </c>
      <c r="B14645" s="10" t="s">
        <v>26</v>
      </c>
      <c r="C14645" s="10" t="s">
        <v>23</v>
      </c>
      <c r="D14645" s="10" t="s">
        <v>27</v>
      </c>
      <c r="E14645" s="14">
        <v>1.0</v>
      </c>
      <c r="F14645" s="15">
        <f>ROUND(21,3)</f>
        <v>21</v>
      </c>
      <c r="G14645" s="12">
        <f t="shared" si="2263"/>
        <v>21</v>
      </c>
    </row>
    <row r="14646" ht="24.0" customHeight="1">
      <c r="A14646" s="10" t="s">
        <v>28</v>
      </c>
      <c r="B14646" s="10" t="s">
        <v>26</v>
      </c>
      <c r="C14646" s="10" t="s">
        <v>23</v>
      </c>
      <c r="D14646" s="10" t="s">
        <v>29</v>
      </c>
      <c r="E14646" s="14">
        <v>1.0</v>
      </c>
      <c r="F14646" s="15">
        <f t="shared" ref="F14646:F14647" si="2264">ROUND(19,3)</f>
        <v>19</v>
      </c>
      <c r="G14646" s="12">
        <f t="shared" si="2263"/>
        <v>19</v>
      </c>
    </row>
    <row r="14647" ht="24.0" customHeight="1">
      <c r="A14647" s="10" t="s">
        <v>30</v>
      </c>
      <c r="B14647" s="10" t="s">
        <v>26</v>
      </c>
      <c r="C14647" s="10" t="s">
        <v>23</v>
      </c>
      <c r="D14647" s="10" t="s">
        <v>31</v>
      </c>
      <c r="E14647" s="14">
        <v>0.2</v>
      </c>
      <c r="F14647" s="15">
        <f t="shared" si="2264"/>
        <v>19</v>
      </c>
      <c r="G14647" s="12">
        <f t="shared" si="2263"/>
        <v>3.8</v>
      </c>
    </row>
    <row r="14648" ht="15.0" customHeight="1">
      <c r="A14648" s="11"/>
      <c r="B14648" s="11"/>
      <c r="C14648" s="11"/>
      <c r="D14648" s="10" t="s">
        <v>22</v>
      </c>
      <c r="E14648" s="14">
        <v>0.5714</v>
      </c>
      <c r="F14648" s="15">
        <f>ROUND((G14645+G14646+G14647),3)</f>
        <v>43.8</v>
      </c>
      <c r="G14648" s="12">
        <f t="shared" si="2263"/>
        <v>25.03</v>
      </c>
    </row>
    <row r="14649" ht="15.0" customHeight="1">
      <c r="A14649" s="10" t="s">
        <v>32</v>
      </c>
      <c r="B14649" s="10"/>
      <c r="C14649" s="10" t="s">
        <v>33</v>
      </c>
      <c r="D14649" s="10" t="s">
        <v>34</v>
      </c>
      <c r="E14649" s="14">
        <v>5.0</v>
      </c>
      <c r="F14649" s="15">
        <f>ROUND(25.03,3)</f>
        <v>25.03</v>
      </c>
      <c r="G14649" s="12">
        <f>ROUND((E14649*F14649)/100,2)</f>
        <v>1.25</v>
      </c>
    </row>
    <row r="14650" ht="15.0" customHeight="1">
      <c r="A14650" s="16"/>
      <c r="B14650" s="16"/>
      <c r="C14650" s="16"/>
      <c r="D14650" s="17" t="s">
        <v>5981</v>
      </c>
      <c r="E14650" s="16"/>
      <c r="F14650" s="18">
        <f>ROUND((G14637+G14638+G14639+G14640+G14641+G14642+G14643+G14644+G14649)*(1+G2/100),2)</f>
        <v>46.77</v>
      </c>
      <c r="G14650" s="16"/>
    </row>
    <row r="14651" ht="57.75" customHeight="1">
      <c r="A14651" s="19" t="s">
        <v>5984</v>
      </c>
      <c r="B14651" s="20" t="s">
        <v>18</v>
      </c>
      <c r="C14651" s="20" t="s">
        <v>19</v>
      </c>
      <c r="D14651" s="20" t="s">
        <v>5985</v>
      </c>
      <c r="E14651" s="21"/>
      <c r="F14651" s="22">
        <f>F14666</f>
        <v>53.43</v>
      </c>
      <c r="G14651" s="21"/>
    </row>
    <row r="14652" ht="30.0" customHeight="1">
      <c r="A14652" s="11"/>
      <c r="B14652" s="11"/>
      <c r="C14652" s="11"/>
      <c r="D14652" s="10" t="s">
        <v>5986</v>
      </c>
    </row>
    <row r="14653" ht="30.0" customHeight="1">
      <c r="A14653" s="10" t="s">
        <v>1938</v>
      </c>
      <c r="B14653" s="10" t="s">
        <v>42</v>
      </c>
      <c r="C14653" s="10" t="s">
        <v>1939</v>
      </c>
      <c r="D14653" s="10" t="s">
        <v>1940</v>
      </c>
      <c r="E14653" s="14">
        <v>0.06</v>
      </c>
      <c r="F14653" s="15">
        <f>ROUND(29.17,3)</f>
        <v>29.17</v>
      </c>
      <c r="G14653" s="12">
        <f t="shared" ref="G14653:G14664" si="2265">ROUND(E14653*F14653,2)</f>
        <v>1.75</v>
      </c>
    </row>
    <row r="14654" ht="30.0" customHeight="1">
      <c r="A14654" s="10" t="s">
        <v>5898</v>
      </c>
      <c r="B14654" s="10" t="s">
        <v>42</v>
      </c>
      <c r="C14654" s="10" t="s">
        <v>184</v>
      </c>
      <c r="D14654" s="10" t="s">
        <v>5899</v>
      </c>
      <c r="E14654" s="14">
        <v>1.0</v>
      </c>
      <c r="F14654" s="15">
        <f>ROUND(7.89,3)</f>
        <v>7.89</v>
      </c>
      <c r="G14654" s="12">
        <f t="shared" si="2265"/>
        <v>7.89</v>
      </c>
    </row>
    <row r="14655" ht="21.0" customHeight="1">
      <c r="A14655" s="10" t="s">
        <v>5924</v>
      </c>
      <c r="B14655" s="10" t="s">
        <v>42</v>
      </c>
      <c r="C14655" s="10" t="s">
        <v>184</v>
      </c>
      <c r="D14655" s="10" t="s">
        <v>5925</v>
      </c>
      <c r="E14655" s="14">
        <v>0.5</v>
      </c>
      <c r="F14655" s="15">
        <f>ROUND(10.18,3)</f>
        <v>10.18</v>
      </c>
      <c r="G14655" s="12">
        <f t="shared" si="2265"/>
        <v>5.09</v>
      </c>
    </row>
    <row r="14656" ht="30.0" customHeight="1">
      <c r="A14656" s="10" t="s">
        <v>1227</v>
      </c>
      <c r="B14656" s="10" t="s">
        <v>42</v>
      </c>
      <c r="C14656" s="10" t="s">
        <v>226</v>
      </c>
      <c r="D14656" s="10" t="s">
        <v>1228</v>
      </c>
      <c r="E14656" s="14">
        <v>0.021</v>
      </c>
      <c r="F14656" s="15">
        <f>ROUND(27.5,3)</f>
        <v>27.5</v>
      </c>
      <c r="G14656" s="12">
        <f t="shared" si="2265"/>
        <v>0.58</v>
      </c>
    </row>
    <row r="14657" ht="21.0" customHeight="1">
      <c r="A14657" s="10" t="s">
        <v>1857</v>
      </c>
      <c r="B14657" s="10" t="s">
        <v>42</v>
      </c>
      <c r="C14657" s="10" t="s">
        <v>231</v>
      </c>
      <c r="D14657" s="10" t="s">
        <v>1858</v>
      </c>
      <c r="E14657" s="14">
        <v>0.4</v>
      </c>
      <c r="F14657" s="15">
        <f>ROUND(1.05,3)</f>
        <v>1.05</v>
      </c>
      <c r="G14657" s="12">
        <f t="shared" si="2265"/>
        <v>0.42</v>
      </c>
    </row>
    <row r="14658" ht="30.0" customHeight="1">
      <c r="A14658" s="10" t="s">
        <v>5847</v>
      </c>
      <c r="B14658" s="10" t="s">
        <v>42</v>
      </c>
      <c r="C14658" s="10" t="s">
        <v>344</v>
      </c>
      <c r="D14658" s="10" t="s">
        <v>5848</v>
      </c>
      <c r="E14658" s="14">
        <v>0.5</v>
      </c>
      <c r="F14658" s="15">
        <f>ROUND(1.76,3)</f>
        <v>1.76</v>
      </c>
      <c r="G14658" s="12">
        <f t="shared" si="2265"/>
        <v>0.88</v>
      </c>
    </row>
    <row r="14659" ht="21.0" customHeight="1">
      <c r="A14659" s="10" t="s">
        <v>228</v>
      </c>
      <c r="B14659" s="10" t="s">
        <v>42</v>
      </c>
      <c r="C14659" s="10" t="s">
        <v>226</v>
      </c>
      <c r="D14659" s="10" t="s">
        <v>229</v>
      </c>
      <c r="E14659" s="14">
        <v>0.02444</v>
      </c>
      <c r="F14659" s="15">
        <f>ROUND(1.32,3)</f>
        <v>1.32</v>
      </c>
      <c r="G14659" s="12">
        <f t="shared" si="2265"/>
        <v>0.03</v>
      </c>
    </row>
    <row r="14660" ht="21.0" customHeight="1">
      <c r="A14660" s="10" t="s">
        <v>22</v>
      </c>
      <c r="B14660" s="10" t="s">
        <v>18</v>
      </c>
      <c r="C14660" s="10" t="s">
        <v>23</v>
      </c>
      <c r="D14660" s="10" t="s">
        <v>24</v>
      </c>
      <c r="E14660" s="14">
        <v>0.8</v>
      </c>
      <c r="F14660" s="15">
        <f>F14664</f>
        <v>43.8</v>
      </c>
      <c r="G14660" s="12">
        <f t="shared" si="2265"/>
        <v>35.04</v>
      </c>
    </row>
    <row r="14661" ht="24.0" customHeight="1">
      <c r="A14661" s="10" t="s">
        <v>25</v>
      </c>
      <c r="B14661" s="10" t="s">
        <v>26</v>
      </c>
      <c r="C14661" s="10" t="s">
        <v>23</v>
      </c>
      <c r="D14661" s="10" t="s">
        <v>27</v>
      </c>
      <c r="E14661" s="14">
        <v>1.0</v>
      </c>
      <c r="F14661" s="15">
        <f>ROUND(21,3)</f>
        <v>21</v>
      </c>
      <c r="G14661" s="12">
        <f t="shared" si="2265"/>
        <v>21</v>
      </c>
    </row>
    <row r="14662" ht="24.0" customHeight="1">
      <c r="A14662" s="10" t="s">
        <v>28</v>
      </c>
      <c r="B14662" s="10" t="s">
        <v>26</v>
      </c>
      <c r="C14662" s="10" t="s">
        <v>23</v>
      </c>
      <c r="D14662" s="10" t="s">
        <v>29</v>
      </c>
      <c r="E14662" s="14">
        <v>1.0</v>
      </c>
      <c r="F14662" s="15">
        <f t="shared" ref="F14662:F14663" si="2266">ROUND(19,3)</f>
        <v>19</v>
      </c>
      <c r="G14662" s="12">
        <f t="shared" si="2265"/>
        <v>19</v>
      </c>
    </row>
    <row r="14663" ht="24.0" customHeight="1">
      <c r="A14663" s="10" t="s">
        <v>30</v>
      </c>
      <c r="B14663" s="10" t="s">
        <v>26</v>
      </c>
      <c r="C14663" s="10" t="s">
        <v>23</v>
      </c>
      <c r="D14663" s="10" t="s">
        <v>31</v>
      </c>
      <c r="E14663" s="14">
        <v>0.2</v>
      </c>
      <c r="F14663" s="15">
        <f t="shared" si="2266"/>
        <v>19</v>
      </c>
      <c r="G14663" s="12">
        <f t="shared" si="2265"/>
        <v>3.8</v>
      </c>
    </row>
    <row r="14664" ht="15.0" customHeight="1">
      <c r="A14664" s="11"/>
      <c r="B14664" s="11"/>
      <c r="C14664" s="11"/>
      <c r="D14664" s="10" t="s">
        <v>22</v>
      </c>
      <c r="E14664" s="14">
        <v>0.8</v>
      </c>
      <c r="F14664" s="15">
        <f>ROUND((G14661+G14662+G14663),3)</f>
        <v>43.8</v>
      </c>
      <c r="G14664" s="12">
        <f t="shared" si="2265"/>
        <v>35.04</v>
      </c>
    </row>
    <row r="14665" ht="15.0" customHeight="1">
      <c r="A14665" s="10" t="s">
        <v>32</v>
      </c>
      <c r="B14665" s="10"/>
      <c r="C14665" s="10" t="s">
        <v>33</v>
      </c>
      <c r="D14665" s="10" t="s">
        <v>34</v>
      </c>
      <c r="E14665" s="14">
        <v>5.0</v>
      </c>
      <c r="F14665" s="15">
        <f>ROUND(35.04,3)</f>
        <v>35.04</v>
      </c>
      <c r="G14665" s="12">
        <f>ROUND((E14665*F14665)/100,2)</f>
        <v>1.75</v>
      </c>
    </row>
    <row r="14666" ht="15.0" customHeight="1">
      <c r="A14666" s="16"/>
      <c r="B14666" s="16"/>
      <c r="C14666" s="16"/>
      <c r="D14666" s="17" t="s">
        <v>5984</v>
      </c>
      <c r="E14666" s="16"/>
      <c r="F14666" s="18">
        <f>ROUND((G14653+G14654+G14655+G14656+G14657+G14658+G14659+G14660+G14665)*(1+G2/100),2)</f>
        <v>53.43</v>
      </c>
      <c r="G14666" s="16"/>
    </row>
    <row r="14667" ht="57.75" customHeight="1">
      <c r="A14667" s="19" t="s">
        <v>5987</v>
      </c>
      <c r="B14667" s="20" t="s">
        <v>18</v>
      </c>
      <c r="C14667" s="20" t="s">
        <v>19</v>
      </c>
      <c r="D14667" s="20" t="s">
        <v>5988</v>
      </c>
      <c r="E14667" s="21"/>
      <c r="F14667" s="22">
        <f>F14682</f>
        <v>42.92</v>
      </c>
      <c r="G14667" s="21"/>
    </row>
    <row r="14668" ht="30.0" customHeight="1">
      <c r="A14668" s="11"/>
      <c r="B14668" s="11"/>
      <c r="C14668" s="11"/>
      <c r="D14668" s="10" t="s">
        <v>5989</v>
      </c>
    </row>
    <row r="14669" ht="30.0" customHeight="1">
      <c r="A14669" s="10" t="s">
        <v>1938</v>
      </c>
      <c r="B14669" s="10" t="s">
        <v>42</v>
      </c>
      <c r="C14669" s="10" t="s">
        <v>1939</v>
      </c>
      <c r="D14669" s="10" t="s">
        <v>1940</v>
      </c>
      <c r="E14669" s="14">
        <v>0.06</v>
      </c>
      <c r="F14669" s="15">
        <f>ROUND(29.17,3)</f>
        <v>29.17</v>
      </c>
      <c r="G14669" s="12">
        <f t="shared" ref="G14669:G14680" si="2267">ROUND(E14669*F14669,2)</f>
        <v>1.75</v>
      </c>
    </row>
    <row r="14670" ht="30.0" customHeight="1">
      <c r="A14670" s="10" t="s">
        <v>5898</v>
      </c>
      <c r="B14670" s="10" t="s">
        <v>42</v>
      </c>
      <c r="C14670" s="10" t="s">
        <v>184</v>
      </c>
      <c r="D14670" s="10" t="s">
        <v>5899</v>
      </c>
      <c r="E14670" s="14">
        <v>1.0</v>
      </c>
      <c r="F14670" s="15">
        <f>ROUND(7.89,3)</f>
        <v>7.89</v>
      </c>
      <c r="G14670" s="12">
        <f t="shared" si="2267"/>
        <v>7.89</v>
      </c>
    </row>
    <row r="14671" ht="21.0" customHeight="1">
      <c r="A14671" s="10" t="s">
        <v>5924</v>
      </c>
      <c r="B14671" s="10" t="s">
        <v>42</v>
      </c>
      <c r="C14671" s="10" t="s">
        <v>184</v>
      </c>
      <c r="D14671" s="10" t="s">
        <v>5925</v>
      </c>
      <c r="E14671" s="14">
        <v>0.5</v>
      </c>
      <c r="F14671" s="15">
        <f>ROUND(10.18,3)</f>
        <v>10.18</v>
      </c>
      <c r="G14671" s="12">
        <f t="shared" si="2267"/>
        <v>5.09</v>
      </c>
    </row>
    <row r="14672" ht="30.0" customHeight="1">
      <c r="A14672" s="10" t="s">
        <v>1227</v>
      </c>
      <c r="B14672" s="10" t="s">
        <v>42</v>
      </c>
      <c r="C14672" s="10" t="s">
        <v>226</v>
      </c>
      <c r="D14672" s="10" t="s">
        <v>1228</v>
      </c>
      <c r="E14672" s="14">
        <v>0.021</v>
      </c>
      <c r="F14672" s="15">
        <f>ROUND(27.5,3)</f>
        <v>27.5</v>
      </c>
      <c r="G14672" s="12">
        <f t="shared" si="2267"/>
        <v>0.58</v>
      </c>
    </row>
    <row r="14673" ht="21.0" customHeight="1">
      <c r="A14673" s="10" t="s">
        <v>1857</v>
      </c>
      <c r="B14673" s="10" t="s">
        <v>42</v>
      </c>
      <c r="C14673" s="10" t="s">
        <v>231</v>
      </c>
      <c r="D14673" s="10" t="s">
        <v>1858</v>
      </c>
      <c r="E14673" s="14">
        <v>0.4</v>
      </c>
      <c r="F14673" s="15">
        <f>ROUND(1.05,3)</f>
        <v>1.05</v>
      </c>
      <c r="G14673" s="12">
        <f t="shared" si="2267"/>
        <v>0.42</v>
      </c>
    </row>
    <row r="14674" ht="30.0" customHeight="1">
      <c r="A14674" s="10" t="s">
        <v>5847</v>
      </c>
      <c r="B14674" s="10" t="s">
        <v>42</v>
      </c>
      <c r="C14674" s="10" t="s">
        <v>344</v>
      </c>
      <c r="D14674" s="10" t="s">
        <v>5848</v>
      </c>
      <c r="E14674" s="14">
        <v>0.5</v>
      </c>
      <c r="F14674" s="15">
        <f>ROUND(1.76,3)</f>
        <v>1.76</v>
      </c>
      <c r="G14674" s="12">
        <f t="shared" si="2267"/>
        <v>0.88</v>
      </c>
    </row>
    <row r="14675" ht="21.0" customHeight="1">
      <c r="A14675" s="10" t="s">
        <v>228</v>
      </c>
      <c r="B14675" s="10" t="s">
        <v>42</v>
      </c>
      <c r="C14675" s="10" t="s">
        <v>226</v>
      </c>
      <c r="D14675" s="10" t="s">
        <v>229</v>
      </c>
      <c r="E14675" s="14">
        <v>0.02444</v>
      </c>
      <c r="F14675" s="15">
        <f>ROUND(1.32,3)</f>
        <v>1.32</v>
      </c>
      <c r="G14675" s="12">
        <f t="shared" si="2267"/>
        <v>0.03</v>
      </c>
    </row>
    <row r="14676" ht="21.0" customHeight="1">
      <c r="A14676" s="10" t="s">
        <v>22</v>
      </c>
      <c r="B14676" s="10" t="s">
        <v>18</v>
      </c>
      <c r="C14676" s="10" t="s">
        <v>23</v>
      </c>
      <c r="D14676" s="10" t="s">
        <v>24</v>
      </c>
      <c r="E14676" s="14">
        <v>0.5714</v>
      </c>
      <c r="F14676" s="15">
        <f>F14680</f>
        <v>43.8</v>
      </c>
      <c r="G14676" s="12">
        <f t="shared" si="2267"/>
        <v>25.03</v>
      </c>
    </row>
    <row r="14677" ht="24.0" customHeight="1">
      <c r="A14677" s="10" t="s">
        <v>25</v>
      </c>
      <c r="B14677" s="10" t="s">
        <v>26</v>
      </c>
      <c r="C14677" s="10" t="s">
        <v>23</v>
      </c>
      <c r="D14677" s="10" t="s">
        <v>27</v>
      </c>
      <c r="E14677" s="14">
        <v>1.0</v>
      </c>
      <c r="F14677" s="15">
        <f>ROUND(21,3)</f>
        <v>21</v>
      </c>
      <c r="G14677" s="12">
        <f t="shared" si="2267"/>
        <v>21</v>
      </c>
    </row>
    <row r="14678" ht="24.0" customHeight="1">
      <c r="A14678" s="10" t="s">
        <v>28</v>
      </c>
      <c r="B14678" s="10" t="s">
        <v>26</v>
      </c>
      <c r="C14678" s="10" t="s">
        <v>23</v>
      </c>
      <c r="D14678" s="10" t="s">
        <v>29</v>
      </c>
      <c r="E14678" s="14">
        <v>1.0</v>
      </c>
      <c r="F14678" s="15">
        <f t="shared" ref="F14678:F14679" si="2268">ROUND(19,3)</f>
        <v>19</v>
      </c>
      <c r="G14678" s="12">
        <f t="shared" si="2267"/>
        <v>19</v>
      </c>
    </row>
    <row r="14679" ht="24.0" customHeight="1">
      <c r="A14679" s="10" t="s">
        <v>30</v>
      </c>
      <c r="B14679" s="10" t="s">
        <v>26</v>
      </c>
      <c r="C14679" s="10" t="s">
        <v>23</v>
      </c>
      <c r="D14679" s="10" t="s">
        <v>31</v>
      </c>
      <c r="E14679" s="14">
        <v>0.2</v>
      </c>
      <c r="F14679" s="15">
        <f t="shared" si="2268"/>
        <v>19</v>
      </c>
      <c r="G14679" s="12">
        <f t="shared" si="2267"/>
        <v>3.8</v>
      </c>
    </row>
    <row r="14680" ht="15.0" customHeight="1">
      <c r="A14680" s="11"/>
      <c r="B14680" s="11"/>
      <c r="C14680" s="11"/>
      <c r="D14680" s="10" t="s">
        <v>22</v>
      </c>
      <c r="E14680" s="14">
        <v>0.5714</v>
      </c>
      <c r="F14680" s="15">
        <f>ROUND((G14677+G14678+G14679),3)</f>
        <v>43.8</v>
      </c>
      <c r="G14680" s="12">
        <f t="shared" si="2267"/>
        <v>25.03</v>
      </c>
    </row>
    <row r="14681" ht="15.0" customHeight="1">
      <c r="A14681" s="10" t="s">
        <v>32</v>
      </c>
      <c r="B14681" s="10"/>
      <c r="C14681" s="10" t="s">
        <v>33</v>
      </c>
      <c r="D14681" s="10" t="s">
        <v>34</v>
      </c>
      <c r="E14681" s="14">
        <v>5.0</v>
      </c>
      <c r="F14681" s="15">
        <f>ROUND(25.03,3)</f>
        <v>25.03</v>
      </c>
      <c r="G14681" s="12">
        <f>ROUND((E14681*F14681)/100,2)</f>
        <v>1.25</v>
      </c>
    </row>
    <row r="14682" ht="15.0" customHeight="1">
      <c r="A14682" s="16"/>
      <c r="B14682" s="16"/>
      <c r="C14682" s="16"/>
      <c r="D14682" s="17" t="s">
        <v>5987</v>
      </c>
      <c r="E14682" s="16"/>
      <c r="F14682" s="18">
        <f>ROUND((G14669+G14670+G14671+G14672+G14673+G14674+G14675+G14676+G14681)*(1+G2/100),2)</f>
        <v>42.92</v>
      </c>
      <c r="G14682" s="16"/>
    </row>
    <row r="14683" ht="57.75" customHeight="1">
      <c r="A14683" s="19" t="s">
        <v>5990</v>
      </c>
      <c r="B14683" s="20" t="s">
        <v>18</v>
      </c>
      <c r="C14683" s="20" t="s">
        <v>19</v>
      </c>
      <c r="D14683" s="20" t="s">
        <v>5991</v>
      </c>
      <c r="E14683" s="21"/>
      <c r="F14683" s="22">
        <f>F14697</f>
        <v>45.25</v>
      </c>
      <c r="G14683" s="21"/>
    </row>
    <row r="14684" ht="30.0" customHeight="1">
      <c r="A14684" s="11"/>
      <c r="B14684" s="11"/>
      <c r="C14684" s="11"/>
      <c r="D14684" s="10" t="s">
        <v>5992</v>
      </c>
    </row>
    <row r="14685" ht="30.0" customHeight="1">
      <c r="A14685" s="10" t="s">
        <v>1938</v>
      </c>
      <c r="B14685" s="10" t="s">
        <v>42</v>
      </c>
      <c r="C14685" s="10" t="s">
        <v>1939</v>
      </c>
      <c r="D14685" s="10" t="s">
        <v>1940</v>
      </c>
      <c r="E14685" s="14">
        <v>0.06</v>
      </c>
      <c r="F14685" s="15">
        <f>ROUND(29.17,3)</f>
        <v>29.17</v>
      </c>
      <c r="G14685" s="12">
        <f t="shared" ref="G14685:G14695" si="2269">ROUND(E14685*F14685,2)</f>
        <v>1.75</v>
      </c>
    </row>
    <row r="14686" ht="30.0" customHeight="1">
      <c r="A14686" s="10" t="s">
        <v>5931</v>
      </c>
      <c r="B14686" s="10" t="s">
        <v>42</v>
      </c>
      <c r="C14686" s="10" t="s">
        <v>184</v>
      </c>
      <c r="D14686" s="10" t="s">
        <v>5932</v>
      </c>
      <c r="E14686" s="14">
        <v>1.323</v>
      </c>
      <c r="F14686" s="15">
        <f>ROUND(6.15,3)</f>
        <v>6.15</v>
      </c>
      <c r="G14686" s="12">
        <f t="shared" si="2269"/>
        <v>8.14</v>
      </c>
    </row>
    <row r="14687" ht="30.0" customHeight="1">
      <c r="A14687" s="10" t="s">
        <v>1227</v>
      </c>
      <c r="B14687" s="10" t="s">
        <v>42</v>
      </c>
      <c r="C14687" s="10" t="s">
        <v>226</v>
      </c>
      <c r="D14687" s="10" t="s">
        <v>1228</v>
      </c>
      <c r="E14687" s="14">
        <v>0.021</v>
      </c>
      <c r="F14687" s="15">
        <f>ROUND(27.5,3)</f>
        <v>27.5</v>
      </c>
      <c r="G14687" s="12">
        <f t="shared" si="2269"/>
        <v>0.58</v>
      </c>
    </row>
    <row r="14688" ht="21.0" customHeight="1">
      <c r="A14688" s="10" t="s">
        <v>1857</v>
      </c>
      <c r="B14688" s="10" t="s">
        <v>42</v>
      </c>
      <c r="C14688" s="10" t="s">
        <v>231</v>
      </c>
      <c r="D14688" s="10" t="s">
        <v>1858</v>
      </c>
      <c r="E14688" s="14">
        <v>0.4</v>
      </c>
      <c r="F14688" s="15">
        <f>ROUND(1.05,3)</f>
        <v>1.05</v>
      </c>
      <c r="G14688" s="12">
        <f t="shared" si="2269"/>
        <v>0.42</v>
      </c>
    </row>
    <row r="14689" ht="30.0" customHeight="1">
      <c r="A14689" s="10" t="s">
        <v>5847</v>
      </c>
      <c r="B14689" s="10" t="s">
        <v>42</v>
      </c>
      <c r="C14689" s="10" t="s">
        <v>344</v>
      </c>
      <c r="D14689" s="10" t="s">
        <v>5848</v>
      </c>
      <c r="E14689" s="14">
        <v>0.5</v>
      </c>
      <c r="F14689" s="15">
        <f>ROUND(1.76,3)</f>
        <v>1.76</v>
      </c>
      <c r="G14689" s="12">
        <f t="shared" si="2269"/>
        <v>0.88</v>
      </c>
    </row>
    <row r="14690" ht="21.0" customHeight="1">
      <c r="A14690" s="10" t="s">
        <v>228</v>
      </c>
      <c r="B14690" s="10" t="s">
        <v>42</v>
      </c>
      <c r="C14690" s="10" t="s">
        <v>226</v>
      </c>
      <c r="D14690" s="10" t="s">
        <v>229</v>
      </c>
      <c r="E14690" s="14">
        <v>0.02444</v>
      </c>
      <c r="F14690" s="15">
        <f>ROUND(1.32,3)</f>
        <v>1.32</v>
      </c>
      <c r="G14690" s="12">
        <f t="shared" si="2269"/>
        <v>0.03</v>
      </c>
    </row>
    <row r="14691" ht="21.0" customHeight="1">
      <c r="A14691" s="10" t="s">
        <v>22</v>
      </c>
      <c r="B14691" s="10" t="s">
        <v>18</v>
      </c>
      <c r="C14691" s="10" t="s">
        <v>23</v>
      </c>
      <c r="D14691" s="10" t="s">
        <v>24</v>
      </c>
      <c r="E14691" s="14">
        <v>0.7273</v>
      </c>
      <c r="F14691" s="15">
        <f>F14695</f>
        <v>43.8</v>
      </c>
      <c r="G14691" s="12">
        <f t="shared" si="2269"/>
        <v>31.86</v>
      </c>
    </row>
    <row r="14692" ht="24.0" customHeight="1">
      <c r="A14692" s="10" t="s">
        <v>25</v>
      </c>
      <c r="B14692" s="10" t="s">
        <v>26</v>
      </c>
      <c r="C14692" s="10" t="s">
        <v>23</v>
      </c>
      <c r="D14692" s="10" t="s">
        <v>27</v>
      </c>
      <c r="E14692" s="14">
        <v>1.0</v>
      </c>
      <c r="F14692" s="15">
        <f>ROUND(21,3)</f>
        <v>21</v>
      </c>
      <c r="G14692" s="12">
        <f t="shared" si="2269"/>
        <v>21</v>
      </c>
    </row>
    <row r="14693" ht="24.0" customHeight="1">
      <c r="A14693" s="10" t="s">
        <v>28</v>
      </c>
      <c r="B14693" s="10" t="s">
        <v>26</v>
      </c>
      <c r="C14693" s="10" t="s">
        <v>23</v>
      </c>
      <c r="D14693" s="10" t="s">
        <v>29</v>
      </c>
      <c r="E14693" s="14">
        <v>1.0</v>
      </c>
      <c r="F14693" s="15">
        <f t="shared" ref="F14693:F14694" si="2270">ROUND(19,3)</f>
        <v>19</v>
      </c>
      <c r="G14693" s="12">
        <f t="shared" si="2269"/>
        <v>19</v>
      </c>
    </row>
    <row r="14694" ht="24.0" customHeight="1">
      <c r="A14694" s="10" t="s">
        <v>30</v>
      </c>
      <c r="B14694" s="10" t="s">
        <v>26</v>
      </c>
      <c r="C14694" s="10" t="s">
        <v>23</v>
      </c>
      <c r="D14694" s="10" t="s">
        <v>31</v>
      </c>
      <c r="E14694" s="14">
        <v>0.2</v>
      </c>
      <c r="F14694" s="15">
        <f t="shared" si="2270"/>
        <v>19</v>
      </c>
      <c r="G14694" s="12">
        <f t="shared" si="2269"/>
        <v>3.8</v>
      </c>
    </row>
    <row r="14695" ht="15.0" customHeight="1">
      <c r="A14695" s="11"/>
      <c r="B14695" s="11"/>
      <c r="C14695" s="11"/>
      <c r="D14695" s="10" t="s">
        <v>22</v>
      </c>
      <c r="E14695" s="14">
        <v>0.7273</v>
      </c>
      <c r="F14695" s="15">
        <f>ROUND((G14692+G14693+G14694),3)</f>
        <v>43.8</v>
      </c>
      <c r="G14695" s="12">
        <f t="shared" si="2269"/>
        <v>31.86</v>
      </c>
    </row>
    <row r="14696" ht="15.0" customHeight="1">
      <c r="A14696" s="10" t="s">
        <v>32</v>
      </c>
      <c r="B14696" s="10"/>
      <c r="C14696" s="10" t="s">
        <v>33</v>
      </c>
      <c r="D14696" s="10" t="s">
        <v>34</v>
      </c>
      <c r="E14696" s="14">
        <v>5.0</v>
      </c>
      <c r="F14696" s="15">
        <f>ROUND(31.86,3)</f>
        <v>31.86</v>
      </c>
      <c r="G14696" s="12">
        <f>ROUND((E14696*F14696)/100,2)</f>
        <v>1.59</v>
      </c>
    </row>
    <row r="14697" ht="15.0" customHeight="1">
      <c r="A14697" s="16"/>
      <c r="B14697" s="16"/>
      <c r="C14697" s="16"/>
      <c r="D14697" s="17" t="s">
        <v>5990</v>
      </c>
      <c r="E14697" s="16"/>
      <c r="F14697" s="18">
        <f>ROUND((G14685+G14686+G14687+G14688+G14689+G14690+G14691+G14696)*(1+G2/100),2)</f>
        <v>45.25</v>
      </c>
      <c r="G14697" s="16"/>
    </row>
    <row r="14698" ht="57.75" customHeight="1">
      <c r="A14698" s="19" t="s">
        <v>5993</v>
      </c>
      <c r="B14698" s="20" t="s">
        <v>18</v>
      </c>
      <c r="C14698" s="20" t="s">
        <v>19</v>
      </c>
      <c r="D14698" s="20" t="s">
        <v>5994</v>
      </c>
      <c r="E14698" s="21"/>
      <c r="F14698" s="22">
        <f>F14712</f>
        <v>36.33</v>
      </c>
      <c r="G14698" s="21"/>
    </row>
    <row r="14699" ht="30.0" customHeight="1">
      <c r="A14699" s="11"/>
      <c r="B14699" s="11"/>
      <c r="C14699" s="11"/>
      <c r="D14699" s="10" t="s">
        <v>5995</v>
      </c>
    </row>
    <row r="14700" ht="30.0" customHeight="1">
      <c r="A14700" s="10" t="s">
        <v>1938</v>
      </c>
      <c r="B14700" s="10" t="s">
        <v>42</v>
      </c>
      <c r="C14700" s="10" t="s">
        <v>1939</v>
      </c>
      <c r="D14700" s="10" t="s">
        <v>1940</v>
      </c>
      <c r="E14700" s="14">
        <v>0.06</v>
      </c>
      <c r="F14700" s="15">
        <f>ROUND(29.17,3)</f>
        <v>29.17</v>
      </c>
      <c r="G14700" s="12">
        <f t="shared" ref="G14700:G14710" si="2271">ROUND(E14700*F14700,2)</f>
        <v>1.75</v>
      </c>
    </row>
    <row r="14701" ht="30.0" customHeight="1">
      <c r="A14701" s="10" t="s">
        <v>5931</v>
      </c>
      <c r="B14701" s="10" t="s">
        <v>42</v>
      </c>
      <c r="C14701" s="10" t="s">
        <v>184</v>
      </c>
      <c r="D14701" s="10" t="s">
        <v>5932</v>
      </c>
      <c r="E14701" s="14">
        <v>1.323</v>
      </c>
      <c r="F14701" s="15">
        <f>ROUND(6.15,3)</f>
        <v>6.15</v>
      </c>
      <c r="G14701" s="12">
        <f t="shared" si="2271"/>
        <v>8.14</v>
      </c>
    </row>
    <row r="14702" ht="30.0" customHeight="1">
      <c r="A14702" s="10" t="s">
        <v>1227</v>
      </c>
      <c r="B14702" s="10" t="s">
        <v>42</v>
      </c>
      <c r="C14702" s="10" t="s">
        <v>226</v>
      </c>
      <c r="D14702" s="10" t="s">
        <v>1228</v>
      </c>
      <c r="E14702" s="14">
        <v>0.021</v>
      </c>
      <c r="F14702" s="15">
        <f>ROUND(27.5,3)</f>
        <v>27.5</v>
      </c>
      <c r="G14702" s="12">
        <f t="shared" si="2271"/>
        <v>0.58</v>
      </c>
    </row>
    <row r="14703" ht="21.0" customHeight="1">
      <c r="A14703" s="10" t="s">
        <v>1857</v>
      </c>
      <c r="B14703" s="10" t="s">
        <v>42</v>
      </c>
      <c r="C14703" s="10" t="s">
        <v>231</v>
      </c>
      <c r="D14703" s="10" t="s">
        <v>1858</v>
      </c>
      <c r="E14703" s="14">
        <v>0.4</v>
      </c>
      <c r="F14703" s="15">
        <f>ROUND(1.05,3)</f>
        <v>1.05</v>
      </c>
      <c r="G14703" s="12">
        <f t="shared" si="2271"/>
        <v>0.42</v>
      </c>
    </row>
    <row r="14704" ht="30.0" customHeight="1">
      <c r="A14704" s="10" t="s">
        <v>5847</v>
      </c>
      <c r="B14704" s="10" t="s">
        <v>42</v>
      </c>
      <c r="C14704" s="10" t="s">
        <v>344</v>
      </c>
      <c r="D14704" s="10" t="s">
        <v>5848</v>
      </c>
      <c r="E14704" s="14">
        <v>0.5</v>
      </c>
      <c r="F14704" s="15">
        <f>ROUND(1.76,3)</f>
        <v>1.76</v>
      </c>
      <c r="G14704" s="12">
        <f t="shared" si="2271"/>
        <v>0.88</v>
      </c>
    </row>
    <row r="14705" ht="21.0" customHeight="1">
      <c r="A14705" s="10" t="s">
        <v>228</v>
      </c>
      <c r="B14705" s="10" t="s">
        <v>42</v>
      </c>
      <c r="C14705" s="10" t="s">
        <v>226</v>
      </c>
      <c r="D14705" s="10" t="s">
        <v>229</v>
      </c>
      <c r="E14705" s="14">
        <v>0.02444</v>
      </c>
      <c r="F14705" s="15">
        <f>ROUND(1.32,3)</f>
        <v>1.32</v>
      </c>
      <c r="G14705" s="12">
        <f t="shared" si="2271"/>
        <v>0.03</v>
      </c>
    </row>
    <row r="14706" ht="21.0" customHeight="1">
      <c r="A14706" s="10" t="s">
        <v>22</v>
      </c>
      <c r="B14706" s="10" t="s">
        <v>18</v>
      </c>
      <c r="C14706" s="10" t="s">
        <v>23</v>
      </c>
      <c r="D14706" s="10" t="s">
        <v>24</v>
      </c>
      <c r="E14706" s="14">
        <v>0.53333</v>
      </c>
      <c r="F14706" s="15">
        <f>F14710</f>
        <v>43.8</v>
      </c>
      <c r="G14706" s="12">
        <f t="shared" si="2271"/>
        <v>23.36</v>
      </c>
    </row>
    <row r="14707" ht="24.0" customHeight="1">
      <c r="A14707" s="10" t="s">
        <v>25</v>
      </c>
      <c r="B14707" s="10" t="s">
        <v>26</v>
      </c>
      <c r="C14707" s="10" t="s">
        <v>23</v>
      </c>
      <c r="D14707" s="10" t="s">
        <v>27</v>
      </c>
      <c r="E14707" s="14">
        <v>1.0</v>
      </c>
      <c r="F14707" s="15">
        <f>ROUND(21,3)</f>
        <v>21</v>
      </c>
      <c r="G14707" s="12">
        <f t="shared" si="2271"/>
        <v>21</v>
      </c>
    </row>
    <row r="14708" ht="24.0" customHeight="1">
      <c r="A14708" s="10" t="s">
        <v>28</v>
      </c>
      <c r="B14708" s="10" t="s">
        <v>26</v>
      </c>
      <c r="C14708" s="10" t="s">
        <v>23</v>
      </c>
      <c r="D14708" s="10" t="s">
        <v>29</v>
      </c>
      <c r="E14708" s="14">
        <v>1.0</v>
      </c>
      <c r="F14708" s="15">
        <f t="shared" ref="F14708:F14709" si="2272">ROUND(19,3)</f>
        <v>19</v>
      </c>
      <c r="G14708" s="12">
        <f t="shared" si="2271"/>
        <v>19</v>
      </c>
    </row>
    <row r="14709" ht="24.0" customHeight="1">
      <c r="A14709" s="10" t="s">
        <v>30</v>
      </c>
      <c r="B14709" s="10" t="s">
        <v>26</v>
      </c>
      <c r="C14709" s="10" t="s">
        <v>23</v>
      </c>
      <c r="D14709" s="10" t="s">
        <v>31</v>
      </c>
      <c r="E14709" s="14">
        <v>0.2</v>
      </c>
      <c r="F14709" s="15">
        <f t="shared" si="2272"/>
        <v>19</v>
      </c>
      <c r="G14709" s="12">
        <f t="shared" si="2271"/>
        <v>3.8</v>
      </c>
    </row>
    <row r="14710" ht="15.0" customHeight="1">
      <c r="A14710" s="11"/>
      <c r="B14710" s="11"/>
      <c r="C14710" s="11"/>
      <c r="D14710" s="10" t="s">
        <v>22</v>
      </c>
      <c r="E14710" s="14">
        <v>0.53333</v>
      </c>
      <c r="F14710" s="15">
        <f>ROUND((G14707+G14708+G14709),3)</f>
        <v>43.8</v>
      </c>
      <c r="G14710" s="12">
        <f t="shared" si="2271"/>
        <v>23.36</v>
      </c>
    </row>
    <row r="14711" ht="15.0" customHeight="1">
      <c r="A14711" s="10" t="s">
        <v>32</v>
      </c>
      <c r="B14711" s="10"/>
      <c r="C14711" s="10" t="s">
        <v>33</v>
      </c>
      <c r="D14711" s="10" t="s">
        <v>34</v>
      </c>
      <c r="E14711" s="14">
        <v>5.0</v>
      </c>
      <c r="F14711" s="15">
        <f>ROUND(23.36,3)</f>
        <v>23.36</v>
      </c>
      <c r="G14711" s="12">
        <f>ROUND((E14711*F14711)/100,2)</f>
        <v>1.17</v>
      </c>
    </row>
    <row r="14712" ht="15.0" customHeight="1">
      <c r="A14712" s="16"/>
      <c r="B14712" s="16"/>
      <c r="C14712" s="16"/>
      <c r="D14712" s="17" t="s">
        <v>5993</v>
      </c>
      <c r="E14712" s="16"/>
      <c r="F14712" s="18">
        <f>ROUND((G14700+G14701+G14702+G14703+G14704+G14705+G14706+G14711)*(1+G2/100),2)</f>
        <v>36.33</v>
      </c>
      <c r="G14712" s="16"/>
    </row>
    <row r="14713" ht="67.5" customHeight="1">
      <c r="A14713" s="19" t="s">
        <v>5996</v>
      </c>
      <c r="B14713" s="20" t="s">
        <v>18</v>
      </c>
      <c r="C14713" s="20" t="s">
        <v>19</v>
      </c>
      <c r="D14713" s="20" t="s">
        <v>5997</v>
      </c>
      <c r="E14713" s="21"/>
      <c r="F14713" s="22">
        <f>F14729</f>
        <v>42.29</v>
      </c>
      <c r="G14713" s="21"/>
    </row>
    <row r="14714" ht="30.0" customHeight="1">
      <c r="A14714" s="11"/>
      <c r="B14714" s="11"/>
      <c r="C14714" s="11"/>
      <c r="D14714" s="10" t="s">
        <v>5998</v>
      </c>
    </row>
    <row r="14715" ht="30.0" customHeight="1">
      <c r="A14715" s="10" t="s">
        <v>1938</v>
      </c>
      <c r="B14715" s="10" t="s">
        <v>42</v>
      </c>
      <c r="C14715" s="10" t="s">
        <v>1939</v>
      </c>
      <c r="D14715" s="10" t="s">
        <v>1940</v>
      </c>
      <c r="E14715" s="14">
        <v>0.06</v>
      </c>
      <c r="F14715" s="15">
        <f>ROUND(29.17,3)</f>
        <v>29.17</v>
      </c>
      <c r="G14715" s="12">
        <f t="shared" ref="G14715:G14727" si="2273">ROUND(E14715*F14715,2)</f>
        <v>1.75</v>
      </c>
    </row>
    <row r="14716" ht="30.0" customHeight="1">
      <c r="A14716" s="10" t="s">
        <v>5860</v>
      </c>
      <c r="B14716" s="10" t="s">
        <v>42</v>
      </c>
      <c r="C14716" s="10" t="s">
        <v>184</v>
      </c>
      <c r="D14716" s="10" t="s">
        <v>5861</v>
      </c>
      <c r="E14716" s="14">
        <v>1.0</v>
      </c>
      <c r="F14716" s="15">
        <f>ROUND(11.74,3)</f>
        <v>11.74</v>
      </c>
      <c r="G14716" s="12">
        <f t="shared" si="2273"/>
        <v>11.74</v>
      </c>
    </row>
    <row r="14717" ht="30.0" customHeight="1">
      <c r="A14717" s="10" t="s">
        <v>5890</v>
      </c>
      <c r="B14717" s="10" t="s">
        <v>42</v>
      </c>
      <c r="C14717" s="10" t="s">
        <v>184</v>
      </c>
      <c r="D14717" s="10" t="s">
        <v>5891</v>
      </c>
      <c r="E14717" s="14">
        <v>0.5</v>
      </c>
      <c r="F14717" s="15">
        <f>ROUND(6.72,3)</f>
        <v>6.72</v>
      </c>
      <c r="G14717" s="12">
        <f t="shared" si="2273"/>
        <v>3.36</v>
      </c>
    </row>
    <row r="14718" ht="30.0" customHeight="1">
      <c r="A14718" s="10" t="s">
        <v>1227</v>
      </c>
      <c r="B14718" s="10" t="s">
        <v>42</v>
      </c>
      <c r="C14718" s="10" t="s">
        <v>226</v>
      </c>
      <c r="D14718" s="10" t="s">
        <v>1228</v>
      </c>
      <c r="E14718" s="14">
        <v>0.021</v>
      </c>
      <c r="F14718" s="15">
        <f>ROUND(27.5,3)</f>
        <v>27.5</v>
      </c>
      <c r="G14718" s="12">
        <f t="shared" si="2273"/>
        <v>0.58</v>
      </c>
    </row>
    <row r="14719" ht="21.0" customHeight="1">
      <c r="A14719" s="10" t="s">
        <v>1857</v>
      </c>
      <c r="B14719" s="10" t="s">
        <v>42</v>
      </c>
      <c r="C14719" s="10" t="s">
        <v>231</v>
      </c>
      <c r="D14719" s="10" t="s">
        <v>1858</v>
      </c>
      <c r="E14719" s="14">
        <v>0.4</v>
      </c>
      <c r="F14719" s="15">
        <f>ROUND(1.05,3)</f>
        <v>1.05</v>
      </c>
      <c r="G14719" s="12">
        <f t="shared" si="2273"/>
        <v>0.42</v>
      </c>
    </row>
    <row r="14720" ht="30.0" customHeight="1">
      <c r="A14720" s="10" t="s">
        <v>5847</v>
      </c>
      <c r="B14720" s="10" t="s">
        <v>42</v>
      </c>
      <c r="C14720" s="10" t="s">
        <v>344</v>
      </c>
      <c r="D14720" s="10" t="s">
        <v>5848</v>
      </c>
      <c r="E14720" s="14">
        <v>0.5</v>
      </c>
      <c r="F14720" s="15">
        <f>ROUND(1.76,3)</f>
        <v>1.76</v>
      </c>
      <c r="G14720" s="12">
        <f t="shared" si="2273"/>
        <v>0.88</v>
      </c>
    </row>
    <row r="14721" ht="21.0" customHeight="1">
      <c r="A14721" s="10" t="s">
        <v>228</v>
      </c>
      <c r="B14721" s="10" t="s">
        <v>42</v>
      </c>
      <c r="C14721" s="10" t="s">
        <v>226</v>
      </c>
      <c r="D14721" s="10" t="s">
        <v>229</v>
      </c>
      <c r="E14721" s="14">
        <v>0.02444</v>
      </c>
      <c r="F14721" s="15">
        <f>ROUND(1.32,3)</f>
        <v>1.32</v>
      </c>
      <c r="G14721" s="12">
        <f t="shared" si="2273"/>
        <v>0.03</v>
      </c>
    </row>
    <row r="14722" ht="21.0" customHeight="1">
      <c r="A14722" s="10" t="s">
        <v>1605</v>
      </c>
      <c r="B14722" s="10" t="s">
        <v>112</v>
      </c>
      <c r="C14722" s="10" t="s">
        <v>23</v>
      </c>
      <c r="D14722" s="10" t="s">
        <v>1606</v>
      </c>
      <c r="E14722" s="14">
        <v>0.2</v>
      </c>
      <c r="F14722" s="15">
        <f>ROUND(11.5,3)</f>
        <v>11.5</v>
      </c>
      <c r="G14722" s="12">
        <f t="shared" si="2273"/>
        <v>2.3</v>
      </c>
    </row>
    <row r="14723" ht="21.0" customHeight="1">
      <c r="A14723" s="10" t="s">
        <v>22</v>
      </c>
      <c r="B14723" s="10" t="s">
        <v>18</v>
      </c>
      <c r="C14723" s="10" t="s">
        <v>23</v>
      </c>
      <c r="D14723" s="10" t="s">
        <v>24</v>
      </c>
      <c r="E14723" s="14">
        <v>0.4706</v>
      </c>
      <c r="F14723" s="15">
        <f>F14727</f>
        <v>43.8</v>
      </c>
      <c r="G14723" s="12">
        <f t="shared" si="2273"/>
        <v>20.61</v>
      </c>
    </row>
    <row r="14724" ht="24.0" customHeight="1">
      <c r="A14724" s="10" t="s">
        <v>25</v>
      </c>
      <c r="B14724" s="10" t="s">
        <v>26</v>
      </c>
      <c r="C14724" s="10" t="s">
        <v>23</v>
      </c>
      <c r="D14724" s="10" t="s">
        <v>27</v>
      </c>
      <c r="E14724" s="14">
        <v>1.0</v>
      </c>
      <c r="F14724" s="15">
        <f>ROUND(21,3)</f>
        <v>21</v>
      </c>
      <c r="G14724" s="12">
        <f t="shared" si="2273"/>
        <v>21</v>
      </c>
    </row>
    <row r="14725" ht="24.0" customHeight="1">
      <c r="A14725" s="10" t="s">
        <v>28</v>
      </c>
      <c r="B14725" s="10" t="s">
        <v>26</v>
      </c>
      <c r="C14725" s="10" t="s">
        <v>23</v>
      </c>
      <c r="D14725" s="10" t="s">
        <v>29</v>
      </c>
      <c r="E14725" s="14">
        <v>1.0</v>
      </c>
      <c r="F14725" s="15">
        <f t="shared" ref="F14725:F14726" si="2274">ROUND(19,3)</f>
        <v>19</v>
      </c>
      <c r="G14725" s="12">
        <f t="shared" si="2273"/>
        <v>19</v>
      </c>
    </row>
    <row r="14726" ht="24.0" customHeight="1">
      <c r="A14726" s="10" t="s">
        <v>30</v>
      </c>
      <c r="B14726" s="10" t="s">
        <v>26</v>
      </c>
      <c r="C14726" s="10" t="s">
        <v>23</v>
      </c>
      <c r="D14726" s="10" t="s">
        <v>31</v>
      </c>
      <c r="E14726" s="14">
        <v>0.2</v>
      </c>
      <c r="F14726" s="15">
        <f t="shared" si="2274"/>
        <v>19</v>
      </c>
      <c r="G14726" s="12">
        <f t="shared" si="2273"/>
        <v>3.8</v>
      </c>
    </row>
    <row r="14727" ht="15.0" customHeight="1">
      <c r="A14727" s="11"/>
      <c r="B14727" s="11"/>
      <c r="C14727" s="11"/>
      <c r="D14727" s="10" t="s">
        <v>22</v>
      </c>
      <c r="E14727" s="14">
        <v>0.4706</v>
      </c>
      <c r="F14727" s="15">
        <f>ROUND((G14724+G14725+G14726),3)</f>
        <v>43.8</v>
      </c>
      <c r="G14727" s="12">
        <f t="shared" si="2273"/>
        <v>20.61</v>
      </c>
    </row>
    <row r="14728" ht="15.0" customHeight="1">
      <c r="A14728" s="10" t="s">
        <v>32</v>
      </c>
      <c r="B14728" s="10"/>
      <c r="C14728" s="10" t="s">
        <v>33</v>
      </c>
      <c r="D14728" s="10" t="s">
        <v>34</v>
      </c>
      <c r="E14728" s="14">
        <v>3.0</v>
      </c>
      <c r="F14728" s="15">
        <f>ROUND(20.61,3)</f>
        <v>20.61</v>
      </c>
      <c r="G14728" s="12">
        <f>ROUND((E14728*F14728)/100,2)</f>
        <v>0.62</v>
      </c>
    </row>
    <row r="14729" ht="15.0" customHeight="1">
      <c r="A14729" s="16"/>
      <c r="B14729" s="16"/>
      <c r="C14729" s="16"/>
      <c r="D14729" s="17" t="s">
        <v>5996</v>
      </c>
      <c r="E14729" s="16"/>
      <c r="F14729" s="18">
        <f>ROUND((G14715+G14716+G14717+G14718+G14719+G14720+G14721+G14722+G14723+G14728)*(1+G2/100),2)</f>
        <v>42.29</v>
      </c>
      <c r="G14729" s="16"/>
    </row>
    <row r="14730" ht="67.5" customHeight="1">
      <c r="A14730" s="19" t="s">
        <v>5999</v>
      </c>
      <c r="B14730" s="20" t="s">
        <v>18</v>
      </c>
      <c r="C14730" s="20" t="s">
        <v>19</v>
      </c>
      <c r="D14730" s="20" t="s">
        <v>6000</v>
      </c>
      <c r="E14730" s="21"/>
      <c r="F14730" s="22">
        <f>F14746</f>
        <v>37.47</v>
      </c>
      <c r="G14730" s="21"/>
    </row>
    <row r="14731" ht="30.0" customHeight="1">
      <c r="A14731" s="11"/>
      <c r="B14731" s="11"/>
      <c r="C14731" s="11"/>
      <c r="D14731" s="10" t="s">
        <v>6001</v>
      </c>
    </row>
    <row r="14732" ht="30.0" customHeight="1">
      <c r="A14732" s="10" t="s">
        <v>1938</v>
      </c>
      <c r="B14732" s="10" t="s">
        <v>42</v>
      </c>
      <c r="C14732" s="10" t="s">
        <v>1939</v>
      </c>
      <c r="D14732" s="10" t="s">
        <v>1940</v>
      </c>
      <c r="E14732" s="14">
        <v>0.06</v>
      </c>
      <c r="F14732" s="15">
        <f>ROUND(29.17,3)</f>
        <v>29.17</v>
      </c>
      <c r="G14732" s="12">
        <f t="shared" ref="G14732:G14744" si="2275">ROUND(E14732*F14732,2)</f>
        <v>1.75</v>
      </c>
    </row>
    <row r="14733" ht="30.0" customHeight="1">
      <c r="A14733" s="10" t="s">
        <v>5860</v>
      </c>
      <c r="B14733" s="10" t="s">
        <v>42</v>
      </c>
      <c r="C14733" s="10" t="s">
        <v>184</v>
      </c>
      <c r="D14733" s="10" t="s">
        <v>5861</v>
      </c>
      <c r="E14733" s="14">
        <v>1.0</v>
      </c>
      <c r="F14733" s="15">
        <f>ROUND(11.74,3)</f>
        <v>11.74</v>
      </c>
      <c r="G14733" s="12">
        <f t="shared" si="2275"/>
        <v>11.74</v>
      </c>
    </row>
    <row r="14734" ht="30.0" customHeight="1">
      <c r="A14734" s="10" t="s">
        <v>5890</v>
      </c>
      <c r="B14734" s="10" t="s">
        <v>42</v>
      </c>
      <c r="C14734" s="10" t="s">
        <v>184</v>
      </c>
      <c r="D14734" s="10" t="s">
        <v>5891</v>
      </c>
      <c r="E14734" s="14">
        <v>0.5</v>
      </c>
      <c r="F14734" s="15">
        <f>ROUND(6.72,3)</f>
        <v>6.72</v>
      </c>
      <c r="G14734" s="12">
        <f t="shared" si="2275"/>
        <v>3.36</v>
      </c>
    </row>
    <row r="14735" ht="30.0" customHeight="1">
      <c r="A14735" s="10" t="s">
        <v>1227</v>
      </c>
      <c r="B14735" s="10" t="s">
        <v>42</v>
      </c>
      <c r="C14735" s="10" t="s">
        <v>226</v>
      </c>
      <c r="D14735" s="10" t="s">
        <v>1228</v>
      </c>
      <c r="E14735" s="14">
        <v>0.021</v>
      </c>
      <c r="F14735" s="15">
        <f>ROUND(27.5,3)</f>
        <v>27.5</v>
      </c>
      <c r="G14735" s="12">
        <f t="shared" si="2275"/>
        <v>0.58</v>
      </c>
    </row>
    <row r="14736" ht="21.0" customHeight="1">
      <c r="A14736" s="10" t="s">
        <v>1857</v>
      </c>
      <c r="B14736" s="10" t="s">
        <v>42</v>
      </c>
      <c r="C14736" s="10" t="s">
        <v>231</v>
      </c>
      <c r="D14736" s="10" t="s">
        <v>1858</v>
      </c>
      <c r="E14736" s="14">
        <v>0.4</v>
      </c>
      <c r="F14736" s="15">
        <f>ROUND(1.05,3)</f>
        <v>1.05</v>
      </c>
      <c r="G14736" s="12">
        <f t="shared" si="2275"/>
        <v>0.42</v>
      </c>
    </row>
    <row r="14737" ht="30.0" customHeight="1">
      <c r="A14737" s="10" t="s">
        <v>5847</v>
      </c>
      <c r="B14737" s="10" t="s">
        <v>42</v>
      </c>
      <c r="C14737" s="10" t="s">
        <v>344</v>
      </c>
      <c r="D14737" s="10" t="s">
        <v>5848</v>
      </c>
      <c r="E14737" s="14">
        <v>0.5</v>
      </c>
      <c r="F14737" s="15">
        <f>ROUND(1.76,3)</f>
        <v>1.76</v>
      </c>
      <c r="G14737" s="12">
        <f t="shared" si="2275"/>
        <v>0.88</v>
      </c>
    </row>
    <row r="14738" ht="21.0" customHeight="1">
      <c r="A14738" s="10" t="s">
        <v>228</v>
      </c>
      <c r="B14738" s="10" t="s">
        <v>42</v>
      </c>
      <c r="C14738" s="10" t="s">
        <v>226</v>
      </c>
      <c r="D14738" s="10" t="s">
        <v>229</v>
      </c>
      <c r="E14738" s="14">
        <v>0.02444</v>
      </c>
      <c r="F14738" s="15">
        <f>ROUND(1.32,3)</f>
        <v>1.32</v>
      </c>
      <c r="G14738" s="12">
        <f t="shared" si="2275"/>
        <v>0.03</v>
      </c>
    </row>
    <row r="14739" ht="21.0" customHeight="1">
      <c r="A14739" s="10" t="s">
        <v>1605</v>
      </c>
      <c r="B14739" s="10" t="s">
        <v>112</v>
      </c>
      <c r="C14739" s="10" t="s">
        <v>23</v>
      </c>
      <c r="D14739" s="10" t="s">
        <v>1606</v>
      </c>
      <c r="E14739" s="14">
        <v>0.2</v>
      </c>
      <c r="F14739" s="15">
        <f>ROUND(11.5,3)</f>
        <v>11.5</v>
      </c>
      <c r="G14739" s="12">
        <f t="shared" si="2275"/>
        <v>2.3</v>
      </c>
    </row>
    <row r="14740" ht="21.0" customHeight="1">
      <c r="A14740" s="10" t="s">
        <v>22</v>
      </c>
      <c r="B14740" s="10" t="s">
        <v>18</v>
      </c>
      <c r="C14740" s="10" t="s">
        <v>23</v>
      </c>
      <c r="D14740" s="10" t="s">
        <v>24</v>
      </c>
      <c r="E14740" s="14">
        <v>0.3636</v>
      </c>
      <c r="F14740" s="15">
        <f>F14744</f>
        <v>43.8</v>
      </c>
      <c r="G14740" s="12">
        <f t="shared" si="2275"/>
        <v>15.93</v>
      </c>
    </row>
    <row r="14741" ht="24.0" customHeight="1">
      <c r="A14741" s="10" t="s">
        <v>25</v>
      </c>
      <c r="B14741" s="10" t="s">
        <v>26</v>
      </c>
      <c r="C14741" s="10" t="s">
        <v>23</v>
      </c>
      <c r="D14741" s="10" t="s">
        <v>27</v>
      </c>
      <c r="E14741" s="14">
        <v>1.0</v>
      </c>
      <c r="F14741" s="15">
        <f>ROUND(21,3)</f>
        <v>21</v>
      </c>
      <c r="G14741" s="12">
        <f t="shared" si="2275"/>
        <v>21</v>
      </c>
    </row>
    <row r="14742" ht="24.0" customHeight="1">
      <c r="A14742" s="10" t="s">
        <v>28</v>
      </c>
      <c r="B14742" s="10" t="s">
        <v>26</v>
      </c>
      <c r="C14742" s="10" t="s">
        <v>23</v>
      </c>
      <c r="D14742" s="10" t="s">
        <v>29</v>
      </c>
      <c r="E14742" s="14">
        <v>1.0</v>
      </c>
      <c r="F14742" s="15">
        <f t="shared" ref="F14742:F14743" si="2276">ROUND(19,3)</f>
        <v>19</v>
      </c>
      <c r="G14742" s="12">
        <f t="shared" si="2275"/>
        <v>19</v>
      </c>
    </row>
    <row r="14743" ht="24.0" customHeight="1">
      <c r="A14743" s="10" t="s">
        <v>30</v>
      </c>
      <c r="B14743" s="10" t="s">
        <v>26</v>
      </c>
      <c r="C14743" s="10" t="s">
        <v>23</v>
      </c>
      <c r="D14743" s="10" t="s">
        <v>31</v>
      </c>
      <c r="E14743" s="14">
        <v>0.2</v>
      </c>
      <c r="F14743" s="15">
        <f t="shared" si="2276"/>
        <v>19</v>
      </c>
      <c r="G14743" s="12">
        <f t="shared" si="2275"/>
        <v>3.8</v>
      </c>
    </row>
    <row r="14744" ht="15.0" customHeight="1">
      <c r="A14744" s="11"/>
      <c r="B14744" s="11"/>
      <c r="C14744" s="11"/>
      <c r="D14744" s="10" t="s">
        <v>22</v>
      </c>
      <c r="E14744" s="14">
        <v>0.3636</v>
      </c>
      <c r="F14744" s="15">
        <f>ROUND((G14741+G14742+G14743),3)</f>
        <v>43.8</v>
      </c>
      <c r="G14744" s="12">
        <f t="shared" si="2275"/>
        <v>15.93</v>
      </c>
    </row>
    <row r="14745" ht="15.0" customHeight="1">
      <c r="A14745" s="10" t="s">
        <v>32</v>
      </c>
      <c r="B14745" s="10"/>
      <c r="C14745" s="10" t="s">
        <v>33</v>
      </c>
      <c r="D14745" s="10" t="s">
        <v>34</v>
      </c>
      <c r="E14745" s="14">
        <v>3.0</v>
      </c>
      <c r="F14745" s="15">
        <f>ROUND(15.93,3)</f>
        <v>15.93</v>
      </c>
      <c r="G14745" s="12">
        <f>ROUND((E14745*F14745)/100,2)</f>
        <v>0.48</v>
      </c>
    </row>
    <row r="14746" ht="15.0" customHeight="1">
      <c r="A14746" s="16"/>
      <c r="B14746" s="16"/>
      <c r="C14746" s="16"/>
      <c r="D14746" s="17" t="s">
        <v>5999</v>
      </c>
      <c r="E14746" s="16"/>
      <c r="F14746" s="18">
        <f>ROUND((G14732+G14733+G14734+G14735+G14736+G14737+G14738+G14739+G14740+G14745)*(1+G2/100),2)</f>
        <v>37.47</v>
      </c>
      <c r="G14746" s="16"/>
    </row>
    <row r="14747" ht="67.5" customHeight="1">
      <c r="A14747" s="19" t="s">
        <v>6002</v>
      </c>
      <c r="B14747" s="20" t="s">
        <v>18</v>
      </c>
      <c r="C14747" s="20" t="s">
        <v>19</v>
      </c>
      <c r="D14747" s="20" t="s">
        <v>6003</v>
      </c>
      <c r="E14747" s="21"/>
      <c r="F14747" s="22">
        <f>F14763</f>
        <v>38.53</v>
      </c>
      <c r="G14747" s="21"/>
    </row>
    <row r="14748" ht="30.0" customHeight="1">
      <c r="A14748" s="11"/>
      <c r="B14748" s="11"/>
      <c r="C14748" s="11"/>
      <c r="D14748" s="10" t="s">
        <v>6004</v>
      </c>
    </row>
    <row r="14749" ht="30.0" customHeight="1">
      <c r="A14749" s="10" t="s">
        <v>1938</v>
      </c>
      <c r="B14749" s="10" t="s">
        <v>42</v>
      </c>
      <c r="C14749" s="10" t="s">
        <v>1939</v>
      </c>
      <c r="D14749" s="10" t="s">
        <v>1940</v>
      </c>
      <c r="E14749" s="14">
        <v>0.06</v>
      </c>
      <c r="F14749" s="15">
        <f>ROUND(29.17,3)</f>
        <v>29.17</v>
      </c>
      <c r="G14749" s="12">
        <f t="shared" ref="G14749:G14761" si="2277">ROUND(E14749*F14749,2)</f>
        <v>1.75</v>
      </c>
    </row>
    <row r="14750" ht="30.0" customHeight="1">
      <c r="A14750" s="10" t="s">
        <v>5898</v>
      </c>
      <c r="B14750" s="10" t="s">
        <v>42</v>
      </c>
      <c r="C14750" s="10" t="s">
        <v>184</v>
      </c>
      <c r="D14750" s="10" t="s">
        <v>5899</v>
      </c>
      <c r="E14750" s="14">
        <v>1.0</v>
      </c>
      <c r="F14750" s="15">
        <f>ROUND(7.89,3)</f>
        <v>7.89</v>
      </c>
      <c r="G14750" s="12">
        <f t="shared" si="2277"/>
        <v>7.89</v>
      </c>
    </row>
    <row r="14751" ht="21.0" customHeight="1">
      <c r="A14751" s="10" t="s">
        <v>1943</v>
      </c>
      <c r="B14751" s="10" t="s">
        <v>42</v>
      </c>
      <c r="C14751" s="10" t="s">
        <v>184</v>
      </c>
      <c r="D14751" s="10" t="s">
        <v>1944</v>
      </c>
      <c r="E14751" s="14">
        <v>0.5</v>
      </c>
      <c r="F14751" s="15">
        <f>ROUND(6.9,3)</f>
        <v>6.9</v>
      </c>
      <c r="G14751" s="12">
        <f t="shared" si="2277"/>
        <v>3.45</v>
      </c>
    </row>
    <row r="14752" ht="30.0" customHeight="1">
      <c r="A14752" s="10" t="s">
        <v>1227</v>
      </c>
      <c r="B14752" s="10" t="s">
        <v>42</v>
      </c>
      <c r="C14752" s="10" t="s">
        <v>226</v>
      </c>
      <c r="D14752" s="10" t="s">
        <v>1228</v>
      </c>
      <c r="E14752" s="14">
        <v>0.021</v>
      </c>
      <c r="F14752" s="15">
        <f>ROUND(27.5,3)</f>
        <v>27.5</v>
      </c>
      <c r="G14752" s="12">
        <f t="shared" si="2277"/>
        <v>0.58</v>
      </c>
    </row>
    <row r="14753" ht="21.0" customHeight="1">
      <c r="A14753" s="10" t="s">
        <v>1857</v>
      </c>
      <c r="B14753" s="10" t="s">
        <v>42</v>
      </c>
      <c r="C14753" s="10" t="s">
        <v>231</v>
      </c>
      <c r="D14753" s="10" t="s">
        <v>1858</v>
      </c>
      <c r="E14753" s="14">
        <v>0.4</v>
      </c>
      <c r="F14753" s="15">
        <f>ROUND(1.05,3)</f>
        <v>1.05</v>
      </c>
      <c r="G14753" s="12">
        <f t="shared" si="2277"/>
        <v>0.42</v>
      </c>
    </row>
    <row r="14754" ht="30.0" customHeight="1">
      <c r="A14754" s="10" t="s">
        <v>5847</v>
      </c>
      <c r="B14754" s="10" t="s">
        <v>42</v>
      </c>
      <c r="C14754" s="10" t="s">
        <v>344</v>
      </c>
      <c r="D14754" s="10" t="s">
        <v>5848</v>
      </c>
      <c r="E14754" s="14">
        <v>0.5</v>
      </c>
      <c r="F14754" s="15">
        <f>ROUND(1.76,3)</f>
        <v>1.76</v>
      </c>
      <c r="G14754" s="12">
        <f t="shared" si="2277"/>
        <v>0.88</v>
      </c>
    </row>
    <row r="14755" ht="21.0" customHeight="1">
      <c r="A14755" s="10" t="s">
        <v>228</v>
      </c>
      <c r="B14755" s="10" t="s">
        <v>42</v>
      </c>
      <c r="C14755" s="10" t="s">
        <v>226</v>
      </c>
      <c r="D14755" s="10" t="s">
        <v>229</v>
      </c>
      <c r="E14755" s="14">
        <v>0.02444</v>
      </c>
      <c r="F14755" s="15">
        <f>ROUND(1.32,3)</f>
        <v>1.32</v>
      </c>
      <c r="G14755" s="12">
        <f t="shared" si="2277"/>
        <v>0.03</v>
      </c>
    </row>
    <row r="14756" ht="21.0" customHeight="1">
      <c r="A14756" s="10" t="s">
        <v>1605</v>
      </c>
      <c r="B14756" s="10" t="s">
        <v>112</v>
      </c>
      <c r="C14756" s="10" t="s">
        <v>23</v>
      </c>
      <c r="D14756" s="10" t="s">
        <v>1606</v>
      </c>
      <c r="E14756" s="14">
        <v>0.2</v>
      </c>
      <c r="F14756" s="15">
        <f>ROUND(11.5,3)</f>
        <v>11.5</v>
      </c>
      <c r="G14756" s="12">
        <f t="shared" si="2277"/>
        <v>2.3</v>
      </c>
    </row>
    <row r="14757" ht="21.0" customHeight="1">
      <c r="A14757" s="10" t="s">
        <v>22</v>
      </c>
      <c r="B14757" s="10" t="s">
        <v>18</v>
      </c>
      <c r="C14757" s="10" t="s">
        <v>23</v>
      </c>
      <c r="D14757" s="10" t="s">
        <v>24</v>
      </c>
      <c r="E14757" s="14">
        <v>0.4706</v>
      </c>
      <c r="F14757" s="15">
        <f>F14761</f>
        <v>43.8</v>
      </c>
      <c r="G14757" s="12">
        <f t="shared" si="2277"/>
        <v>20.61</v>
      </c>
    </row>
    <row r="14758" ht="24.0" customHeight="1">
      <c r="A14758" s="10" t="s">
        <v>25</v>
      </c>
      <c r="B14758" s="10" t="s">
        <v>26</v>
      </c>
      <c r="C14758" s="10" t="s">
        <v>23</v>
      </c>
      <c r="D14758" s="10" t="s">
        <v>27</v>
      </c>
      <c r="E14758" s="14">
        <v>1.0</v>
      </c>
      <c r="F14758" s="15">
        <f>ROUND(21,3)</f>
        <v>21</v>
      </c>
      <c r="G14758" s="12">
        <f t="shared" si="2277"/>
        <v>21</v>
      </c>
    </row>
    <row r="14759" ht="24.0" customHeight="1">
      <c r="A14759" s="10" t="s">
        <v>28</v>
      </c>
      <c r="B14759" s="10" t="s">
        <v>26</v>
      </c>
      <c r="C14759" s="10" t="s">
        <v>23</v>
      </c>
      <c r="D14759" s="10" t="s">
        <v>29</v>
      </c>
      <c r="E14759" s="14">
        <v>1.0</v>
      </c>
      <c r="F14759" s="15">
        <f t="shared" ref="F14759:F14760" si="2278">ROUND(19,3)</f>
        <v>19</v>
      </c>
      <c r="G14759" s="12">
        <f t="shared" si="2277"/>
        <v>19</v>
      </c>
    </row>
    <row r="14760" ht="24.0" customHeight="1">
      <c r="A14760" s="10" t="s">
        <v>30</v>
      </c>
      <c r="B14760" s="10" t="s">
        <v>26</v>
      </c>
      <c r="C14760" s="10" t="s">
        <v>23</v>
      </c>
      <c r="D14760" s="10" t="s">
        <v>31</v>
      </c>
      <c r="E14760" s="14">
        <v>0.2</v>
      </c>
      <c r="F14760" s="15">
        <f t="shared" si="2278"/>
        <v>19</v>
      </c>
      <c r="G14760" s="12">
        <f t="shared" si="2277"/>
        <v>3.8</v>
      </c>
    </row>
    <row r="14761" ht="15.0" customHeight="1">
      <c r="A14761" s="11"/>
      <c r="B14761" s="11"/>
      <c r="C14761" s="11"/>
      <c r="D14761" s="10" t="s">
        <v>22</v>
      </c>
      <c r="E14761" s="14">
        <v>0.4706</v>
      </c>
      <c r="F14761" s="15">
        <f>ROUND((G14758+G14759+G14760),3)</f>
        <v>43.8</v>
      </c>
      <c r="G14761" s="12">
        <f t="shared" si="2277"/>
        <v>20.61</v>
      </c>
    </row>
    <row r="14762" ht="15.0" customHeight="1">
      <c r="A14762" s="10" t="s">
        <v>32</v>
      </c>
      <c r="B14762" s="10"/>
      <c r="C14762" s="10" t="s">
        <v>33</v>
      </c>
      <c r="D14762" s="10" t="s">
        <v>34</v>
      </c>
      <c r="E14762" s="14">
        <v>3.0</v>
      </c>
      <c r="F14762" s="15">
        <f>ROUND(20.61,3)</f>
        <v>20.61</v>
      </c>
      <c r="G14762" s="12">
        <f>ROUND((E14762*F14762)/100,2)</f>
        <v>0.62</v>
      </c>
    </row>
    <row r="14763" ht="15.0" customHeight="1">
      <c r="A14763" s="16"/>
      <c r="B14763" s="16"/>
      <c r="C14763" s="16"/>
      <c r="D14763" s="17" t="s">
        <v>6002</v>
      </c>
      <c r="E14763" s="16"/>
      <c r="F14763" s="18">
        <f>ROUND((G14749+G14750+G14751+G14752+G14753+G14754+G14755+G14756+G14757+G14762)*(1+G2/100),2)</f>
        <v>38.53</v>
      </c>
      <c r="G14763" s="16"/>
    </row>
    <row r="14764" ht="67.5" customHeight="1">
      <c r="A14764" s="19" t="s">
        <v>6005</v>
      </c>
      <c r="B14764" s="20" t="s">
        <v>18</v>
      </c>
      <c r="C14764" s="20" t="s">
        <v>19</v>
      </c>
      <c r="D14764" s="20" t="s">
        <v>6006</v>
      </c>
      <c r="E14764" s="21"/>
      <c r="F14764" s="22">
        <f>F14780</f>
        <v>33.71</v>
      </c>
      <c r="G14764" s="21"/>
    </row>
    <row r="14765" ht="30.0" customHeight="1">
      <c r="A14765" s="11"/>
      <c r="B14765" s="11"/>
      <c r="C14765" s="11"/>
      <c r="D14765" s="10" t="s">
        <v>6007</v>
      </c>
    </row>
    <row r="14766" ht="30.0" customHeight="1">
      <c r="A14766" s="10" t="s">
        <v>1938</v>
      </c>
      <c r="B14766" s="10" t="s">
        <v>42</v>
      </c>
      <c r="C14766" s="10" t="s">
        <v>1939</v>
      </c>
      <c r="D14766" s="10" t="s">
        <v>1940</v>
      </c>
      <c r="E14766" s="14">
        <v>0.06</v>
      </c>
      <c r="F14766" s="15">
        <f>ROUND(29.17,3)</f>
        <v>29.17</v>
      </c>
      <c r="G14766" s="12">
        <f t="shared" ref="G14766:G14778" si="2279">ROUND(E14766*F14766,2)</f>
        <v>1.75</v>
      </c>
    </row>
    <row r="14767" ht="30.0" customHeight="1">
      <c r="A14767" s="10" t="s">
        <v>5898</v>
      </c>
      <c r="B14767" s="10" t="s">
        <v>42</v>
      </c>
      <c r="C14767" s="10" t="s">
        <v>184</v>
      </c>
      <c r="D14767" s="10" t="s">
        <v>5899</v>
      </c>
      <c r="E14767" s="14">
        <v>1.0</v>
      </c>
      <c r="F14767" s="15">
        <f>ROUND(7.89,3)</f>
        <v>7.89</v>
      </c>
      <c r="G14767" s="12">
        <f t="shared" si="2279"/>
        <v>7.89</v>
      </c>
    </row>
    <row r="14768" ht="21.0" customHeight="1">
      <c r="A14768" s="10" t="s">
        <v>1943</v>
      </c>
      <c r="B14768" s="10" t="s">
        <v>42</v>
      </c>
      <c r="C14768" s="10" t="s">
        <v>184</v>
      </c>
      <c r="D14768" s="10" t="s">
        <v>1944</v>
      </c>
      <c r="E14768" s="14">
        <v>0.5</v>
      </c>
      <c r="F14768" s="15">
        <f>ROUND(6.9,3)</f>
        <v>6.9</v>
      </c>
      <c r="G14768" s="12">
        <f t="shared" si="2279"/>
        <v>3.45</v>
      </c>
    </row>
    <row r="14769" ht="30.0" customHeight="1">
      <c r="A14769" s="10" t="s">
        <v>1227</v>
      </c>
      <c r="B14769" s="10" t="s">
        <v>42</v>
      </c>
      <c r="C14769" s="10" t="s">
        <v>226</v>
      </c>
      <c r="D14769" s="10" t="s">
        <v>1228</v>
      </c>
      <c r="E14769" s="14">
        <v>0.021</v>
      </c>
      <c r="F14769" s="15">
        <f>ROUND(27.5,3)</f>
        <v>27.5</v>
      </c>
      <c r="G14769" s="12">
        <f t="shared" si="2279"/>
        <v>0.58</v>
      </c>
    </row>
    <row r="14770" ht="21.0" customHeight="1">
      <c r="A14770" s="10" t="s">
        <v>1857</v>
      </c>
      <c r="B14770" s="10" t="s">
        <v>42</v>
      </c>
      <c r="C14770" s="10" t="s">
        <v>231</v>
      </c>
      <c r="D14770" s="10" t="s">
        <v>1858</v>
      </c>
      <c r="E14770" s="14">
        <v>0.4</v>
      </c>
      <c r="F14770" s="15">
        <f>ROUND(1.05,3)</f>
        <v>1.05</v>
      </c>
      <c r="G14770" s="12">
        <f t="shared" si="2279"/>
        <v>0.42</v>
      </c>
    </row>
    <row r="14771" ht="30.0" customHeight="1">
      <c r="A14771" s="10" t="s">
        <v>5847</v>
      </c>
      <c r="B14771" s="10" t="s">
        <v>42</v>
      </c>
      <c r="C14771" s="10" t="s">
        <v>344</v>
      </c>
      <c r="D14771" s="10" t="s">
        <v>5848</v>
      </c>
      <c r="E14771" s="14">
        <v>0.5</v>
      </c>
      <c r="F14771" s="15">
        <f>ROUND(1.76,3)</f>
        <v>1.76</v>
      </c>
      <c r="G14771" s="12">
        <f t="shared" si="2279"/>
        <v>0.88</v>
      </c>
    </row>
    <row r="14772" ht="21.0" customHeight="1">
      <c r="A14772" s="10" t="s">
        <v>228</v>
      </c>
      <c r="B14772" s="10" t="s">
        <v>42</v>
      </c>
      <c r="C14772" s="10" t="s">
        <v>226</v>
      </c>
      <c r="D14772" s="10" t="s">
        <v>229</v>
      </c>
      <c r="E14772" s="14">
        <v>0.02444</v>
      </c>
      <c r="F14772" s="15">
        <f>ROUND(1.32,3)</f>
        <v>1.32</v>
      </c>
      <c r="G14772" s="12">
        <f t="shared" si="2279"/>
        <v>0.03</v>
      </c>
    </row>
    <row r="14773" ht="21.0" customHeight="1">
      <c r="A14773" s="10" t="s">
        <v>1605</v>
      </c>
      <c r="B14773" s="10" t="s">
        <v>112</v>
      </c>
      <c r="C14773" s="10" t="s">
        <v>23</v>
      </c>
      <c r="D14773" s="10" t="s">
        <v>1606</v>
      </c>
      <c r="E14773" s="14">
        <v>0.2</v>
      </c>
      <c r="F14773" s="15">
        <f>ROUND(11.5,3)</f>
        <v>11.5</v>
      </c>
      <c r="G14773" s="12">
        <f t="shared" si="2279"/>
        <v>2.3</v>
      </c>
    </row>
    <row r="14774" ht="21.0" customHeight="1">
      <c r="A14774" s="10" t="s">
        <v>22</v>
      </c>
      <c r="B14774" s="10" t="s">
        <v>18</v>
      </c>
      <c r="C14774" s="10" t="s">
        <v>23</v>
      </c>
      <c r="D14774" s="10" t="s">
        <v>24</v>
      </c>
      <c r="E14774" s="14">
        <v>0.3636</v>
      </c>
      <c r="F14774" s="15">
        <f>F14778</f>
        <v>43.8</v>
      </c>
      <c r="G14774" s="12">
        <f t="shared" si="2279"/>
        <v>15.93</v>
      </c>
    </row>
    <row r="14775" ht="24.0" customHeight="1">
      <c r="A14775" s="10" t="s">
        <v>25</v>
      </c>
      <c r="B14775" s="10" t="s">
        <v>26</v>
      </c>
      <c r="C14775" s="10" t="s">
        <v>23</v>
      </c>
      <c r="D14775" s="10" t="s">
        <v>27</v>
      </c>
      <c r="E14775" s="14">
        <v>1.0</v>
      </c>
      <c r="F14775" s="15">
        <f>ROUND(21,3)</f>
        <v>21</v>
      </c>
      <c r="G14775" s="12">
        <f t="shared" si="2279"/>
        <v>21</v>
      </c>
    </row>
    <row r="14776" ht="24.0" customHeight="1">
      <c r="A14776" s="10" t="s">
        <v>28</v>
      </c>
      <c r="B14776" s="10" t="s">
        <v>26</v>
      </c>
      <c r="C14776" s="10" t="s">
        <v>23</v>
      </c>
      <c r="D14776" s="10" t="s">
        <v>29</v>
      </c>
      <c r="E14776" s="14">
        <v>1.0</v>
      </c>
      <c r="F14776" s="15">
        <f t="shared" ref="F14776:F14777" si="2280">ROUND(19,3)</f>
        <v>19</v>
      </c>
      <c r="G14776" s="12">
        <f t="shared" si="2279"/>
        <v>19</v>
      </c>
    </row>
    <row r="14777" ht="24.0" customHeight="1">
      <c r="A14777" s="10" t="s">
        <v>30</v>
      </c>
      <c r="B14777" s="10" t="s">
        <v>26</v>
      </c>
      <c r="C14777" s="10" t="s">
        <v>23</v>
      </c>
      <c r="D14777" s="10" t="s">
        <v>31</v>
      </c>
      <c r="E14777" s="14">
        <v>0.2</v>
      </c>
      <c r="F14777" s="15">
        <f t="shared" si="2280"/>
        <v>19</v>
      </c>
      <c r="G14777" s="12">
        <f t="shared" si="2279"/>
        <v>3.8</v>
      </c>
    </row>
    <row r="14778" ht="15.0" customHeight="1">
      <c r="A14778" s="11"/>
      <c r="B14778" s="11"/>
      <c r="C14778" s="11"/>
      <c r="D14778" s="10" t="s">
        <v>22</v>
      </c>
      <c r="E14778" s="14">
        <v>0.3636</v>
      </c>
      <c r="F14778" s="15">
        <f>ROUND((G14775+G14776+G14777),3)</f>
        <v>43.8</v>
      </c>
      <c r="G14778" s="12">
        <f t="shared" si="2279"/>
        <v>15.93</v>
      </c>
    </row>
    <row r="14779" ht="15.0" customHeight="1">
      <c r="A14779" s="10" t="s">
        <v>32</v>
      </c>
      <c r="B14779" s="10"/>
      <c r="C14779" s="10" t="s">
        <v>33</v>
      </c>
      <c r="D14779" s="10" t="s">
        <v>34</v>
      </c>
      <c r="E14779" s="14">
        <v>3.0</v>
      </c>
      <c r="F14779" s="15">
        <f>ROUND(15.93,3)</f>
        <v>15.93</v>
      </c>
      <c r="G14779" s="12">
        <f>ROUND((E14779*F14779)/100,2)</f>
        <v>0.48</v>
      </c>
    </row>
    <row r="14780" ht="15.0" customHeight="1">
      <c r="A14780" s="16"/>
      <c r="B14780" s="16"/>
      <c r="C14780" s="16"/>
      <c r="D14780" s="17" t="s">
        <v>6005</v>
      </c>
      <c r="E14780" s="16"/>
      <c r="F14780" s="18">
        <f>ROUND((G14766+G14767+G14768+G14769+G14770+G14771+G14772+G14773+G14774+G14779)*(1+G2/100),2)</f>
        <v>33.71</v>
      </c>
      <c r="G14780" s="16"/>
    </row>
    <row r="14781" ht="67.5" customHeight="1">
      <c r="A14781" s="19" t="s">
        <v>6008</v>
      </c>
      <c r="B14781" s="20" t="s">
        <v>18</v>
      </c>
      <c r="C14781" s="20" t="s">
        <v>19</v>
      </c>
      <c r="D14781" s="20" t="s">
        <v>6009</v>
      </c>
      <c r="E14781" s="21"/>
      <c r="F14781" s="22">
        <f>F14797</f>
        <v>44.02</v>
      </c>
      <c r="G14781" s="21"/>
    </row>
    <row r="14782" ht="30.0" customHeight="1">
      <c r="A14782" s="11"/>
      <c r="B14782" s="11"/>
      <c r="C14782" s="11"/>
      <c r="D14782" s="10" t="s">
        <v>6010</v>
      </c>
    </row>
    <row r="14783" ht="30.0" customHeight="1">
      <c r="A14783" s="10" t="s">
        <v>1938</v>
      </c>
      <c r="B14783" s="10" t="s">
        <v>42</v>
      </c>
      <c r="C14783" s="10" t="s">
        <v>1939</v>
      </c>
      <c r="D14783" s="10" t="s">
        <v>1940</v>
      </c>
      <c r="E14783" s="14">
        <v>0.06</v>
      </c>
      <c r="F14783" s="15">
        <f>ROUND(29.17,3)</f>
        <v>29.17</v>
      </c>
      <c r="G14783" s="12">
        <f t="shared" ref="G14783:G14795" si="2281">ROUND(E14783*F14783,2)</f>
        <v>1.75</v>
      </c>
    </row>
    <row r="14784" ht="30.0" customHeight="1">
      <c r="A14784" s="10" t="s">
        <v>5860</v>
      </c>
      <c r="B14784" s="10" t="s">
        <v>42</v>
      </c>
      <c r="C14784" s="10" t="s">
        <v>184</v>
      </c>
      <c r="D14784" s="10" t="s">
        <v>5861</v>
      </c>
      <c r="E14784" s="14">
        <v>1.0</v>
      </c>
      <c r="F14784" s="15">
        <f>ROUND(11.74,3)</f>
        <v>11.74</v>
      </c>
      <c r="G14784" s="12">
        <f t="shared" si="2281"/>
        <v>11.74</v>
      </c>
    </row>
    <row r="14785" ht="30.0" customHeight="1">
      <c r="A14785" s="10" t="s">
        <v>1929</v>
      </c>
      <c r="B14785" s="10" t="s">
        <v>42</v>
      </c>
      <c r="C14785" s="10" t="s">
        <v>184</v>
      </c>
      <c r="D14785" s="10" t="s">
        <v>1930</v>
      </c>
      <c r="E14785" s="14">
        <v>0.5</v>
      </c>
      <c r="F14785" s="15">
        <f>ROUND(10.18,3)</f>
        <v>10.18</v>
      </c>
      <c r="G14785" s="12">
        <f t="shared" si="2281"/>
        <v>5.09</v>
      </c>
    </row>
    <row r="14786" ht="30.0" customHeight="1">
      <c r="A14786" s="10" t="s">
        <v>1227</v>
      </c>
      <c r="B14786" s="10" t="s">
        <v>42</v>
      </c>
      <c r="C14786" s="10" t="s">
        <v>226</v>
      </c>
      <c r="D14786" s="10" t="s">
        <v>1228</v>
      </c>
      <c r="E14786" s="14">
        <v>0.021</v>
      </c>
      <c r="F14786" s="15">
        <f>ROUND(27.5,3)</f>
        <v>27.5</v>
      </c>
      <c r="G14786" s="12">
        <f t="shared" si="2281"/>
        <v>0.58</v>
      </c>
    </row>
    <row r="14787" ht="21.0" customHeight="1">
      <c r="A14787" s="10" t="s">
        <v>1857</v>
      </c>
      <c r="B14787" s="10" t="s">
        <v>42</v>
      </c>
      <c r="C14787" s="10" t="s">
        <v>231</v>
      </c>
      <c r="D14787" s="10" t="s">
        <v>1858</v>
      </c>
      <c r="E14787" s="14">
        <v>0.4</v>
      </c>
      <c r="F14787" s="15">
        <f>ROUND(1.05,3)</f>
        <v>1.05</v>
      </c>
      <c r="G14787" s="12">
        <f t="shared" si="2281"/>
        <v>0.42</v>
      </c>
    </row>
    <row r="14788" ht="30.0" customHeight="1">
      <c r="A14788" s="10" t="s">
        <v>5847</v>
      </c>
      <c r="B14788" s="10" t="s">
        <v>42</v>
      </c>
      <c r="C14788" s="10" t="s">
        <v>344</v>
      </c>
      <c r="D14788" s="10" t="s">
        <v>5848</v>
      </c>
      <c r="E14788" s="14">
        <v>0.5</v>
      </c>
      <c r="F14788" s="15">
        <f>ROUND(1.76,3)</f>
        <v>1.76</v>
      </c>
      <c r="G14788" s="12">
        <f t="shared" si="2281"/>
        <v>0.88</v>
      </c>
    </row>
    <row r="14789" ht="21.0" customHeight="1">
      <c r="A14789" s="10" t="s">
        <v>228</v>
      </c>
      <c r="B14789" s="10" t="s">
        <v>42</v>
      </c>
      <c r="C14789" s="10" t="s">
        <v>226</v>
      </c>
      <c r="D14789" s="10" t="s">
        <v>229</v>
      </c>
      <c r="E14789" s="14">
        <v>0.02444</v>
      </c>
      <c r="F14789" s="15">
        <f>ROUND(1.32,3)</f>
        <v>1.32</v>
      </c>
      <c r="G14789" s="12">
        <f t="shared" si="2281"/>
        <v>0.03</v>
      </c>
    </row>
    <row r="14790" ht="21.0" customHeight="1">
      <c r="A14790" s="10" t="s">
        <v>1605</v>
      </c>
      <c r="B14790" s="10" t="s">
        <v>112</v>
      </c>
      <c r="C14790" s="10" t="s">
        <v>23</v>
      </c>
      <c r="D14790" s="10" t="s">
        <v>1606</v>
      </c>
      <c r="E14790" s="14">
        <v>0.2</v>
      </c>
      <c r="F14790" s="15">
        <f>ROUND(11.5,3)</f>
        <v>11.5</v>
      </c>
      <c r="G14790" s="12">
        <f t="shared" si="2281"/>
        <v>2.3</v>
      </c>
    </row>
    <row r="14791" ht="21.0" customHeight="1">
      <c r="A14791" s="10" t="s">
        <v>22</v>
      </c>
      <c r="B14791" s="10" t="s">
        <v>18</v>
      </c>
      <c r="C14791" s="10" t="s">
        <v>23</v>
      </c>
      <c r="D14791" s="10" t="s">
        <v>24</v>
      </c>
      <c r="E14791" s="14">
        <v>0.4706</v>
      </c>
      <c r="F14791" s="15">
        <f>F14795</f>
        <v>43.8</v>
      </c>
      <c r="G14791" s="12">
        <f t="shared" si="2281"/>
        <v>20.61</v>
      </c>
    </row>
    <row r="14792" ht="24.0" customHeight="1">
      <c r="A14792" s="10" t="s">
        <v>25</v>
      </c>
      <c r="B14792" s="10" t="s">
        <v>26</v>
      </c>
      <c r="C14792" s="10" t="s">
        <v>23</v>
      </c>
      <c r="D14792" s="10" t="s">
        <v>27</v>
      </c>
      <c r="E14792" s="14">
        <v>1.0</v>
      </c>
      <c r="F14792" s="15">
        <f>ROUND(21,3)</f>
        <v>21</v>
      </c>
      <c r="G14792" s="12">
        <f t="shared" si="2281"/>
        <v>21</v>
      </c>
    </row>
    <row r="14793" ht="24.0" customHeight="1">
      <c r="A14793" s="10" t="s">
        <v>28</v>
      </c>
      <c r="B14793" s="10" t="s">
        <v>26</v>
      </c>
      <c r="C14793" s="10" t="s">
        <v>23</v>
      </c>
      <c r="D14793" s="10" t="s">
        <v>29</v>
      </c>
      <c r="E14793" s="14">
        <v>1.0</v>
      </c>
      <c r="F14793" s="15">
        <f t="shared" ref="F14793:F14794" si="2282">ROUND(19,3)</f>
        <v>19</v>
      </c>
      <c r="G14793" s="12">
        <f t="shared" si="2281"/>
        <v>19</v>
      </c>
    </row>
    <row r="14794" ht="24.0" customHeight="1">
      <c r="A14794" s="10" t="s">
        <v>30</v>
      </c>
      <c r="B14794" s="10" t="s">
        <v>26</v>
      </c>
      <c r="C14794" s="10" t="s">
        <v>23</v>
      </c>
      <c r="D14794" s="10" t="s">
        <v>31</v>
      </c>
      <c r="E14794" s="14">
        <v>0.2</v>
      </c>
      <c r="F14794" s="15">
        <f t="shared" si="2282"/>
        <v>19</v>
      </c>
      <c r="G14794" s="12">
        <f t="shared" si="2281"/>
        <v>3.8</v>
      </c>
    </row>
    <row r="14795" ht="15.0" customHeight="1">
      <c r="A14795" s="11"/>
      <c r="B14795" s="11"/>
      <c r="C14795" s="11"/>
      <c r="D14795" s="10" t="s">
        <v>22</v>
      </c>
      <c r="E14795" s="14">
        <v>0.4706</v>
      </c>
      <c r="F14795" s="15">
        <f>ROUND((G14792+G14793+G14794),3)</f>
        <v>43.8</v>
      </c>
      <c r="G14795" s="12">
        <f t="shared" si="2281"/>
        <v>20.61</v>
      </c>
    </row>
    <row r="14796" ht="15.0" customHeight="1">
      <c r="A14796" s="10" t="s">
        <v>32</v>
      </c>
      <c r="B14796" s="10"/>
      <c r="C14796" s="10" t="s">
        <v>33</v>
      </c>
      <c r="D14796" s="10" t="s">
        <v>34</v>
      </c>
      <c r="E14796" s="14">
        <v>3.0</v>
      </c>
      <c r="F14796" s="15">
        <f>ROUND(20.61,3)</f>
        <v>20.61</v>
      </c>
      <c r="G14796" s="12">
        <f>ROUND((E14796*F14796)/100,2)</f>
        <v>0.62</v>
      </c>
    </row>
    <row r="14797" ht="15.0" customHeight="1">
      <c r="A14797" s="16"/>
      <c r="B14797" s="16"/>
      <c r="C14797" s="16"/>
      <c r="D14797" s="17" t="s">
        <v>6008</v>
      </c>
      <c r="E14797" s="16"/>
      <c r="F14797" s="18">
        <f>ROUND((G14783+G14784+G14785+G14786+G14787+G14788+G14789+G14790+G14791+G14796)*(1+G2/100),2)</f>
        <v>44.02</v>
      </c>
      <c r="G14797" s="16"/>
    </row>
    <row r="14798" ht="67.5" customHeight="1">
      <c r="A14798" s="19" t="s">
        <v>6011</v>
      </c>
      <c r="B14798" s="20" t="s">
        <v>18</v>
      </c>
      <c r="C14798" s="20" t="s">
        <v>19</v>
      </c>
      <c r="D14798" s="20" t="s">
        <v>6012</v>
      </c>
      <c r="E14798" s="21"/>
      <c r="F14798" s="22">
        <f>F14814</f>
        <v>39.2</v>
      </c>
      <c r="G14798" s="21"/>
    </row>
    <row r="14799" ht="30.0" customHeight="1">
      <c r="A14799" s="11"/>
      <c r="B14799" s="11"/>
      <c r="C14799" s="11"/>
      <c r="D14799" s="10" t="s">
        <v>6013</v>
      </c>
    </row>
    <row r="14800" ht="30.0" customHeight="1">
      <c r="A14800" s="10" t="s">
        <v>1938</v>
      </c>
      <c r="B14800" s="10" t="s">
        <v>42</v>
      </c>
      <c r="C14800" s="10" t="s">
        <v>1939</v>
      </c>
      <c r="D14800" s="10" t="s">
        <v>1940</v>
      </c>
      <c r="E14800" s="14">
        <v>0.06</v>
      </c>
      <c r="F14800" s="15">
        <f>ROUND(29.17,3)</f>
        <v>29.17</v>
      </c>
      <c r="G14800" s="12">
        <f t="shared" ref="G14800:G14812" si="2283">ROUND(E14800*F14800,2)</f>
        <v>1.75</v>
      </c>
    </row>
    <row r="14801" ht="30.0" customHeight="1">
      <c r="A14801" s="10" t="s">
        <v>5860</v>
      </c>
      <c r="B14801" s="10" t="s">
        <v>42</v>
      </c>
      <c r="C14801" s="10" t="s">
        <v>184</v>
      </c>
      <c r="D14801" s="10" t="s">
        <v>5861</v>
      </c>
      <c r="E14801" s="14">
        <v>1.0</v>
      </c>
      <c r="F14801" s="15">
        <f>ROUND(11.74,3)</f>
        <v>11.74</v>
      </c>
      <c r="G14801" s="12">
        <f t="shared" si="2283"/>
        <v>11.74</v>
      </c>
    </row>
    <row r="14802" ht="30.0" customHeight="1">
      <c r="A14802" s="10" t="s">
        <v>1929</v>
      </c>
      <c r="B14802" s="10" t="s">
        <v>42</v>
      </c>
      <c r="C14802" s="10" t="s">
        <v>184</v>
      </c>
      <c r="D14802" s="10" t="s">
        <v>1930</v>
      </c>
      <c r="E14802" s="14">
        <v>0.5</v>
      </c>
      <c r="F14802" s="15">
        <f>ROUND(10.18,3)</f>
        <v>10.18</v>
      </c>
      <c r="G14802" s="12">
        <f t="shared" si="2283"/>
        <v>5.09</v>
      </c>
    </row>
    <row r="14803" ht="30.0" customHeight="1">
      <c r="A14803" s="10" t="s">
        <v>1227</v>
      </c>
      <c r="B14803" s="10" t="s">
        <v>42</v>
      </c>
      <c r="C14803" s="10" t="s">
        <v>226</v>
      </c>
      <c r="D14803" s="10" t="s">
        <v>1228</v>
      </c>
      <c r="E14803" s="14">
        <v>0.021</v>
      </c>
      <c r="F14803" s="15">
        <f>ROUND(27.5,3)</f>
        <v>27.5</v>
      </c>
      <c r="G14803" s="12">
        <f t="shared" si="2283"/>
        <v>0.58</v>
      </c>
    </row>
    <row r="14804" ht="21.0" customHeight="1">
      <c r="A14804" s="10" t="s">
        <v>1857</v>
      </c>
      <c r="B14804" s="10" t="s">
        <v>42</v>
      </c>
      <c r="C14804" s="10" t="s">
        <v>231</v>
      </c>
      <c r="D14804" s="10" t="s">
        <v>1858</v>
      </c>
      <c r="E14804" s="14">
        <v>0.4</v>
      </c>
      <c r="F14804" s="15">
        <f>ROUND(1.05,3)</f>
        <v>1.05</v>
      </c>
      <c r="G14804" s="12">
        <f t="shared" si="2283"/>
        <v>0.42</v>
      </c>
    </row>
    <row r="14805" ht="30.0" customHeight="1">
      <c r="A14805" s="10" t="s">
        <v>5847</v>
      </c>
      <c r="B14805" s="10" t="s">
        <v>42</v>
      </c>
      <c r="C14805" s="10" t="s">
        <v>344</v>
      </c>
      <c r="D14805" s="10" t="s">
        <v>5848</v>
      </c>
      <c r="E14805" s="14">
        <v>0.5</v>
      </c>
      <c r="F14805" s="15">
        <f>ROUND(1.76,3)</f>
        <v>1.76</v>
      </c>
      <c r="G14805" s="12">
        <f t="shared" si="2283"/>
        <v>0.88</v>
      </c>
    </row>
    <row r="14806" ht="21.0" customHeight="1">
      <c r="A14806" s="10" t="s">
        <v>228</v>
      </c>
      <c r="B14806" s="10" t="s">
        <v>42</v>
      </c>
      <c r="C14806" s="10" t="s">
        <v>226</v>
      </c>
      <c r="D14806" s="10" t="s">
        <v>229</v>
      </c>
      <c r="E14806" s="14">
        <v>0.02444</v>
      </c>
      <c r="F14806" s="15">
        <f>ROUND(1.32,3)</f>
        <v>1.32</v>
      </c>
      <c r="G14806" s="12">
        <f t="shared" si="2283"/>
        <v>0.03</v>
      </c>
    </row>
    <row r="14807" ht="21.0" customHeight="1">
      <c r="A14807" s="10" t="s">
        <v>1605</v>
      </c>
      <c r="B14807" s="10" t="s">
        <v>112</v>
      </c>
      <c r="C14807" s="10" t="s">
        <v>23</v>
      </c>
      <c r="D14807" s="10" t="s">
        <v>1606</v>
      </c>
      <c r="E14807" s="14">
        <v>0.2</v>
      </c>
      <c r="F14807" s="15">
        <f>ROUND(11.5,3)</f>
        <v>11.5</v>
      </c>
      <c r="G14807" s="12">
        <f t="shared" si="2283"/>
        <v>2.3</v>
      </c>
    </row>
    <row r="14808" ht="21.0" customHeight="1">
      <c r="A14808" s="10" t="s">
        <v>22</v>
      </c>
      <c r="B14808" s="10" t="s">
        <v>18</v>
      </c>
      <c r="C14808" s="10" t="s">
        <v>23</v>
      </c>
      <c r="D14808" s="10" t="s">
        <v>24</v>
      </c>
      <c r="E14808" s="14">
        <v>0.3636</v>
      </c>
      <c r="F14808" s="15">
        <f>F14812</f>
        <v>43.8</v>
      </c>
      <c r="G14808" s="12">
        <f t="shared" si="2283"/>
        <v>15.93</v>
      </c>
    </row>
    <row r="14809" ht="24.0" customHeight="1">
      <c r="A14809" s="10" t="s">
        <v>25</v>
      </c>
      <c r="B14809" s="10" t="s">
        <v>26</v>
      </c>
      <c r="C14809" s="10" t="s">
        <v>23</v>
      </c>
      <c r="D14809" s="10" t="s">
        <v>27</v>
      </c>
      <c r="E14809" s="14">
        <v>1.0</v>
      </c>
      <c r="F14809" s="15">
        <f>ROUND(21,3)</f>
        <v>21</v>
      </c>
      <c r="G14809" s="12">
        <f t="shared" si="2283"/>
        <v>21</v>
      </c>
    </row>
    <row r="14810" ht="24.0" customHeight="1">
      <c r="A14810" s="10" t="s">
        <v>28</v>
      </c>
      <c r="B14810" s="10" t="s">
        <v>26</v>
      </c>
      <c r="C14810" s="10" t="s">
        <v>23</v>
      </c>
      <c r="D14810" s="10" t="s">
        <v>29</v>
      </c>
      <c r="E14810" s="14">
        <v>1.0</v>
      </c>
      <c r="F14810" s="15">
        <f t="shared" ref="F14810:F14811" si="2284">ROUND(19,3)</f>
        <v>19</v>
      </c>
      <c r="G14810" s="12">
        <f t="shared" si="2283"/>
        <v>19</v>
      </c>
    </row>
    <row r="14811" ht="24.0" customHeight="1">
      <c r="A14811" s="10" t="s">
        <v>30</v>
      </c>
      <c r="B14811" s="10" t="s">
        <v>26</v>
      </c>
      <c r="C14811" s="10" t="s">
        <v>23</v>
      </c>
      <c r="D14811" s="10" t="s">
        <v>31</v>
      </c>
      <c r="E14811" s="14">
        <v>0.2</v>
      </c>
      <c r="F14811" s="15">
        <f t="shared" si="2284"/>
        <v>19</v>
      </c>
      <c r="G14811" s="12">
        <f t="shared" si="2283"/>
        <v>3.8</v>
      </c>
    </row>
    <row r="14812" ht="15.0" customHeight="1">
      <c r="A14812" s="11"/>
      <c r="B14812" s="11"/>
      <c r="C14812" s="11"/>
      <c r="D14812" s="10" t="s">
        <v>22</v>
      </c>
      <c r="E14812" s="14">
        <v>0.3636</v>
      </c>
      <c r="F14812" s="15">
        <f>ROUND((G14809+G14810+G14811),3)</f>
        <v>43.8</v>
      </c>
      <c r="G14812" s="12">
        <f t="shared" si="2283"/>
        <v>15.93</v>
      </c>
    </row>
    <row r="14813" ht="15.0" customHeight="1">
      <c r="A14813" s="10" t="s">
        <v>32</v>
      </c>
      <c r="B14813" s="10"/>
      <c r="C14813" s="10" t="s">
        <v>33</v>
      </c>
      <c r="D14813" s="10" t="s">
        <v>34</v>
      </c>
      <c r="E14813" s="14">
        <v>3.0</v>
      </c>
      <c r="F14813" s="15">
        <f>ROUND(15.93,3)</f>
        <v>15.93</v>
      </c>
      <c r="G14813" s="12">
        <f>ROUND((E14813*F14813)/100,2)</f>
        <v>0.48</v>
      </c>
    </row>
    <row r="14814" ht="15.0" customHeight="1">
      <c r="A14814" s="16"/>
      <c r="B14814" s="16"/>
      <c r="C14814" s="16"/>
      <c r="D14814" s="17" t="s">
        <v>6011</v>
      </c>
      <c r="E14814" s="16"/>
      <c r="F14814" s="18">
        <f>ROUND((G14800+G14801+G14802+G14803+G14804+G14805+G14806+G14807+G14808+G14813)*(1+G2/100),2)</f>
        <v>39.2</v>
      </c>
      <c r="G14814" s="16"/>
    </row>
    <row r="14815" ht="67.5" customHeight="1">
      <c r="A14815" s="19" t="s">
        <v>6014</v>
      </c>
      <c r="B14815" s="20" t="s">
        <v>18</v>
      </c>
      <c r="C14815" s="20" t="s">
        <v>19</v>
      </c>
      <c r="D14815" s="20" t="s">
        <v>6015</v>
      </c>
      <c r="E14815" s="21"/>
      <c r="F14815" s="22">
        <f>F14831</f>
        <v>35.35</v>
      </c>
      <c r="G14815" s="21"/>
    </row>
    <row r="14816" ht="30.0" customHeight="1">
      <c r="A14816" s="11"/>
      <c r="B14816" s="11"/>
      <c r="C14816" s="11"/>
      <c r="D14816" s="10" t="s">
        <v>6016</v>
      </c>
    </row>
    <row r="14817" ht="30.0" customHeight="1">
      <c r="A14817" s="10" t="s">
        <v>1938</v>
      </c>
      <c r="B14817" s="10" t="s">
        <v>42</v>
      </c>
      <c r="C14817" s="10" t="s">
        <v>1939</v>
      </c>
      <c r="D14817" s="10" t="s">
        <v>1940</v>
      </c>
      <c r="E14817" s="14">
        <v>0.06</v>
      </c>
      <c r="F14817" s="15">
        <f>ROUND(29.17,3)</f>
        <v>29.17</v>
      </c>
      <c r="G14817" s="12">
        <f t="shared" ref="G14817:G14829" si="2285">ROUND(E14817*F14817,2)</f>
        <v>1.75</v>
      </c>
    </row>
    <row r="14818" ht="30.0" customHeight="1">
      <c r="A14818" s="10" t="s">
        <v>5898</v>
      </c>
      <c r="B14818" s="10" t="s">
        <v>42</v>
      </c>
      <c r="C14818" s="10" t="s">
        <v>184</v>
      </c>
      <c r="D14818" s="10" t="s">
        <v>5899</v>
      </c>
      <c r="E14818" s="14">
        <v>1.0</v>
      </c>
      <c r="F14818" s="15">
        <f>ROUND(7.89,3)</f>
        <v>7.89</v>
      </c>
      <c r="G14818" s="12">
        <f t="shared" si="2285"/>
        <v>7.89</v>
      </c>
    </row>
    <row r="14819" ht="21.0" customHeight="1">
      <c r="A14819" s="10" t="s">
        <v>5924</v>
      </c>
      <c r="B14819" s="10" t="s">
        <v>42</v>
      </c>
      <c r="C14819" s="10" t="s">
        <v>184</v>
      </c>
      <c r="D14819" s="10" t="s">
        <v>5925</v>
      </c>
      <c r="E14819" s="14">
        <v>0.5</v>
      </c>
      <c r="F14819" s="15">
        <f>ROUND(10.18,3)</f>
        <v>10.18</v>
      </c>
      <c r="G14819" s="12">
        <f t="shared" si="2285"/>
        <v>5.09</v>
      </c>
    </row>
    <row r="14820" ht="30.0" customHeight="1">
      <c r="A14820" s="10" t="s">
        <v>1227</v>
      </c>
      <c r="B14820" s="10" t="s">
        <v>42</v>
      </c>
      <c r="C14820" s="10" t="s">
        <v>226</v>
      </c>
      <c r="D14820" s="10" t="s">
        <v>1228</v>
      </c>
      <c r="E14820" s="14">
        <v>0.021</v>
      </c>
      <c r="F14820" s="15">
        <f>ROUND(27.5,3)</f>
        <v>27.5</v>
      </c>
      <c r="G14820" s="12">
        <f t="shared" si="2285"/>
        <v>0.58</v>
      </c>
    </row>
    <row r="14821" ht="21.0" customHeight="1">
      <c r="A14821" s="10" t="s">
        <v>1857</v>
      </c>
      <c r="B14821" s="10" t="s">
        <v>42</v>
      </c>
      <c r="C14821" s="10" t="s">
        <v>231</v>
      </c>
      <c r="D14821" s="10" t="s">
        <v>1858</v>
      </c>
      <c r="E14821" s="14">
        <v>0.4</v>
      </c>
      <c r="F14821" s="15">
        <f>ROUND(1.05,3)</f>
        <v>1.05</v>
      </c>
      <c r="G14821" s="12">
        <f t="shared" si="2285"/>
        <v>0.42</v>
      </c>
    </row>
    <row r="14822" ht="30.0" customHeight="1">
      <c r="A14822" s="10" t="s">
        <v>5847</v>
      </c>
      <c r="B14822" s="10" t="s">
        <v>42</v>
      </c>
      <c r="C14822" s="10" t="s">
        <v>344</v>
      </c>
      <c r="D14822" s="10" t="s">
        <v>5848</v>
      </c>
      <c r="E14822" s="14">
        <v>0.5</v>
      </c>
      <c r="F14822" s="15">
        <f>ROUND(1.76,3)</f>
        <v>1.76</v>
      </c>
      <c r="G14822" s="12">
        <f t="shared" si="2285"/>
        <v>0.88</v>
      </c>
    </row>
    <row r="14823" ht="21.0" customHeight="1">
      <c r="A14823" s="10" t="s">
        <v>228</v>
      </c>
      <c r="B14823" s="10" t="s">
        <v>42</v>
      </c>
      <c r="C14823" s="10" t="s">
        <v>226</v>
      </c>
      <c r="D14823" s="10" t="s">
        <v>229</v>
      </c>
      <c r="E14823" s="14">
        <v>0.02444</v>
      </c>
      <c r="F14823" s="15">
        <f>ROUND(1.32,3)</f>
        <v>1.32</v>
      </c>
      <c r="G14823" s="12">
        <f t="shared" si="2285"/>
        <v>0.03</v>
      </c>
    </row>
    <row r="14824" ht="21.0" customHeight="1">
      <c r="A14824" s="10" t="s">
        <v>1605</v>
      </c>
      <c r="B14824" s="10" t="s">
        <v>112</v>
      </c>
      <c r="C14824" s="10" t="s">
        <v>23</v>
      </c>
      <c r="D14824" s="10" t="s">
        <v>1606</v>
      </c>
      <c r="E14824" s="14">
        <v>0.2</v>
      </c>
      <c r="F14824" s="15">
        <f>ROUND(11.5,3)</f>
        <v>11.5</v>
      </c>
      <c r="G14824" s="12">
        <f t="shared" si="2285"/>
        <v>2.3</v>
      </c>
    </row>
    <row r="14825" ht="21.0" customHeight="1">
      <c r="A14825" s="10" t="s">
        <v>22</v>
      </c>
      <c r="B14825" s="10" t="s">
        <v>18</v>
      </c>
      <c r="C14825" s="10" t="s">
        <v>23</v>
      </c>
      <c r="D14825" s="10" t="s">
        <v>24</v>
      </c>
      <c r="E14825" s="14">
        <v>0.3636</v>
      </c>
      <c r="F14825" s="15">
        <f>F14829</f>
        <v>43.8</v>
      </c>
      <c r="G14825" s="12">
        <f t="shared" si="2285"/>
        <v>15.93</v>
      </c>
    </row>
    <row r="14826" ht="24.0" customHeight="1">
      <c r="A14826" s="10" t="s">
        <v>25</v>
      </c>
      <c r="B14826" s="10" t="s">
        <v>26</v>
      </c>
      <c r="C14826" s="10" t="s">
        <v>23</v>
      </c>
      <c r="D14826" s="10" t="s">
        <v>27</v>
      </c>
      <c r="E14826" s="14">
        <v>1.0</v>
      </c>
      <c r="F14826" s="15">
        <f>ROUND(21,3)</f>
        <v>21</v>
      </c>
      <c r="G14826" s="12">
        <f t="shared" si="2285"/>
        <v>21</v>
      </c>
    </row>
    <row r="14827" ht="24.0" customHeight="1">
      <c r="A14827" s="10" t="s">
        <v>28</v>
      </c>
      <c r="B14827" s="10" t="s">
        <v>26</v>
      </c>
      <c r="C14827" s="10" t="s">
        <v>23</v>
      </c>
      <c r="D14827" s="10" t="s">
        <v>29</v>
      </c>
      <c r="E14827" s="14">
        <v>1.0</v>
      </c>
      <c r="F14827" s="15">
        <f t="shared" ref="F14827:F14828" si="2286">ROUND(19,3)</f>
        <v>19</v>
      </c>
      <c r="G14827" s="12">
        <f t="shared" si="2285"/>
        <v>19</v>
      </c>
    </row>
    <row r="14828" ht="24.0" customHeight="1">
      <c r="A14828" s="10" t="s">
        <v>30</v>
      </c>
      <c r="B14828" s="10" t="s">
        <v>26</v>
      </c>
      <c r="C14828" s="10" t="s">
        <v>23</v>
      </c>
      <c r="D14828" s="10" t="s">
        <v>31</v>
      </c>
      <c r="E14828" s="14">
        <v>0.2</v>
      </c>
      <c r="F14828" s="15">
        <f t="shared" si="2286"/>
        <v>19</v>
      </c>
      <c r="G14828" s="12">
        <f t="shared" si="2285"/>
        <v>3.8</v>
      </c>
    </row>
    <row r="14829" ht="15.0" customHeight="1">
      <c r="A14829" s="11"/>
      <c r="B14829" s="11"/>
      <c r="C14829" s="11"/>
      <c r="D14829" s="10" t="s">
        <v>22</v>
      </c>
      <c r="E14829" s="14">
        <v>0.3636</v>
      </c>
      <c r="F14829" s="15">
        <f>ROUND((G14826+G14827+G14828),3)</f>
        <v>43.8</v>
      </c>
      <c r="G14829" s="12">
        <f t="shared" si="2285"/>
        <v>15.93</v>
      </c>
    </row>
    <row r="14830" ht="15.0" customHeight="1">
      <c r="A14830" s="10" t="s">
        <v>32</v>
      </c>
      <c r="B14830" s="10"/>
      <c r="C14830" s="10" t="s">
        <v>33</v>
      </c>
      <c r="D14830" s="10" t="s">
        <v>34</v>
      </c>
      <c r="E14830" s="14">
        <v>3.0</v>
      </c>
      <c r="F14830" s="15">
        <f>ROUND(15.93,3)</f>
        <v>15.93</v>
      </c>
      <c r="G14830" s="12">
        <f>ROUND((E14830*F14830)/100,2)</f>
        <v>0.48</v>
      </c>
    </row>
    <row r="14831" ht="15.0" customHeight="1">
      <c r="A14831" s="16"/>
      <c r="B14831" s="16"/>
      <c r="C14831" s="16"/>
      <c r="D14831" s="17" t="s">
        <v>6014</v>
      </c>
      <c r="E14831" s="16"/>
      <c r="F14831" s="18">
        <f>ROUND((G14817+G14818+G14819+G14820+G14821+G14822+G14823+G14824+G14825+G14830)*(1+G2/100),2)</f>
        <v>35.35</v>
      </c>
      <c r="G14831" s="16"/>
    </row>
    <row r="14832" ht="67.5" customHeight="1">
      <c r="A14832" s="19" t="s">
        <v>6017</v>
      </c>
      <c r="B14832" s="20" t="s">
        <v>18</v>
      </c>
      <c r="C14832" s="20" t="s">
        <v>19</v>
      </c>
      <c r="D14832" s="20" t="s">
        <v>6018</v>
      </c>
      <c r="E14832" s="21"/>
      <c r="F14832" s="22">
        <f>F14848</f>
        <v>35.35</v>
      </c>
      <c r="G14832" s="21"/>
    </row>
    <row r="14833" ht="30.0" customHeight="1">
      <c r="A14833" s="11"/>
      <c r="B14833" s="11"/>
      <c r="C14833" s="11"/>
      <c r="D14833" s="10" t="s">
        <v>6019</v>
      </c>
    </row>
    <row r="14834" ht="30.0" customHeight="1">
      <c r="A14834" s="10" t="s">
        <v>1938</v>
      </c>
      <c r="B14834" s="10" t="s">
        <v>42</v>
      </c>
      <c r="C14834" s="10" t="s">
        <v>1939</v>
      </c>
      <c r="D14834" s="10" t="s">
        <v>1940</v>
      </c>
      <c r="E14834" s="14">
        <v>0.06</v>
      </c>
      <c r="F14834" s="15">
        <f>ROUND(29.17,3)</f>
        <v>29.17</v>
      </c>
      <c r="G14834" s="12">
        <f t="shared" ref="G14834:G14846" si="2287">ROUND(E14834*F14834,2)</f>
        <v>1.75</v>
      </c>
    </row>
    <row r="14835" ht="30.0" customHeight="1">
      <c r="A14835" s="10" t="s">
        <v>5898</v>
      </c>
      <c r="B14835" s="10" t="s">
        <v>42</v>
      </c>
      <c r="C14835" s="10" t="s">
        <v>184</v>
      </c>
      <c r="D14835" s="10" t="s">
        <v>5899</v>
      </c>
      <c r="E14835" s="14">
        <v>1.0</v>
      </c>
      <c r="F14835" s="15">
        <f>ROUND(7.89,3)</f>
        <v>7.89</v>
      </c>
      <c r="G14835" s="12">
        <f t="shared" si="2287"/>
        <v>7.89</v>
      </c>
    </row>
    <row r="14836" ht="21.0" customHeight="1">
      <c r="A14836" s="10" t="s">
        <v>5924</v>
      </c>
      <c r="B14836" s="10" t="s">
        <v>42</v>
      </c>
      <c r="C14836" s="10" t="s">
        <v>184</v>
      </c>
      <c r="D14836" s="10" t="s">
        <v>5925</v>
      </c>
      <c r="E14836" s="14">
        <v>0.5</v>
      </c>
      <c r="F14836" s="15">
        <f>ROUND(10.18,3)</f>
        <v>10.18</v>
      </c>
      <c r="G14836" s="12">
        <f t="shared" si="2287"/>
        <v>5.09</v>
      </c>
    </row>
    <row r="14837" ht="30.0" customHeight="1">
      <c r="A14837" s="10" t="s">
        <v>1227</v>
      </c>
      <c r="B14837" s="10" t="s">
        <v>42</v>
      </c>
      <c r="C14837" s="10" t="s">
        <v>226</v>
      </c>
      <c r="D14837" s="10" t="s">
        <v>1228</v>
      </c>
      <c r="E14837" s="14">
        <v>0.021</v>
      </c>
      <c r="F14837" s="15">
        <f>ROUND(27.5,3)</f>
        <v>27.5</v>
      </c>
      <c r="G14837" s="12">
        <f t="shared" si="2287"/>
        <v>0.58</v>
      </c>
    </row>
    <row r="14838" ht="21.0" customHeight="1">
      <c r="A14838" s="10" t="s">
        <v>1857</v>
      </c>
      <c r="B14838" s="10" t="s">
        <v>42</v>
      </c>
      <c r="C14838" s="10" t="s">
        <v>231</v>
      </c>
      <c r="D14838" s="10" t="s">
        <v>1858</v>
      </c>
      <c r="E14838" s="14">
        <v>0.4</v>
      </c>
      <c r="F14838" s="15">
        <f>ROUND(1.05,3)</f>
        <v>1.05</v>
      </c>
      <c r="G14838" s="12">
        <f t="shared" si="2287"/>
        <v>0.42</v>
      </c>
    </row>
    <row r="14839" ht="30.0" customHeight="1">
      <c r="A14839" s="10" t="s">
        <v>5847</v>
      </c>
      <c r="B14839" s="10" t="s">
        <v>42</v>
      </c>
      <c r="C14839" s="10" t="s">
        <v>344</v>
      </c>
      <c r="D14839" s="10" t="s">
        <v>5848</v>
      </c>
      <c r="E14839" s="14">
        <v>0.5</v>
      </c>
      <c r="F14839" s="15">
        <f>ROUND(1.76,3)</f>
        <v>1.76</v>
      </c>
      <c r="G14839" s="12">
        <f t="shared" si="2287"/>
        <v>0.88</v>
      </c>
    </row>
    <row r="14840" ht="21.0" customHeight="1">
      <c r="A14840" s="10" t="s">
        <v>228</v>
      </c>
      <c r="B14840" s="10" t="s">
        <v>42</v>
      </c>
      <c r="C14840" s="10" t="s">
        <v>226</v>
      </c>
      <c r="D14840" s="10" t="s">
        <v>229</v>
      </c>
      <c r="E14840" s="14">
        <v>0.02444</v>
      </c>
      <c r="F14840" s="15">
        <f>ROUND(1.32,3)</f>
        <v>1.32</v>
      </c>
      <c r="G14840" s="12">
        <f t="shared" si="2287"/>
        <v>0.03</v>
      </c>
    </row>
    <row r="14841" ht="21.0" customHeight="1">
      <c r="A14841" s="10" t="s">
        <v>1605</v>
      </c>
      <c r="B14841" s="10" t="s">
        <v>112</v>
      </c>
      <c r="C14841" s="10" t="s">
        <v>23</v>
      </c>
      <c r="D14841" s="10" t="s">
        <v>1606</v>
      </c>
      <c r="E14841" s="14">
        <v>0.2</v>
      </c>
      <c r="F14841" s="15">
        <f>ROUND(11.5,3)</f>
        <v>11.5</v>
      </c>
      <c r="G14841" s="12">
        <f t="shared" si="2287"/>
        <v>2.3</v>
      </c>
    </row>
    <row r="14842" ht="21.0" customHeight="1">
      <c r="A14842" s="10" t="s">
        <v>22</v>
      </c>
      <c r="B14842" s="10" t="s">
        <v>18</v>
      </c>
      <c r="C14842" s="10" t="s">
        <v>23</v>
      </c>
      <c r="D14842" s="10" t="s">
        <v>24</v>
      </c>
      <c r="E14842" s="14">
        <v>0.3636</v>
      </c>
      <c r="F14842" s="15">
        <f>F14846</f>
        <v>43.8</v>
      </c>
      <c r="G14842" s="12">
        <f t="shared" si="2287"/>
        <v>15.93</v>
      </c>
    </row>
    <row r="14843" ht="24.0" customHeight="1">
      <c r="A14843" s="10" t="s">
        <v>25</v>
      </c>
      <c r="B14843" s="10" t="s">
        <v>26</v>
      </c>
      <c r="C14843" s="10" t="s">
        <v>23</v>
      </c>
      <c r="D14843" s="10" t="s">
        <v>27</v>
      </c>
      <c r="E14843" s="14">
        <v>1.0</v>
      </c>
      <c r="F14843" s="15">
        <f>ROUND(21,3)</f>
        <v>21</v>
      </c>
      <c r="G14843" s="12">
        <f t="shared" si="2287"/>
        <v>21</v>
      </c>
    </row>
    <row r="14844" ht="24.0" customHeight="1">
      <c r="A14844" s="10" t="s">
        <v>28</v>
      </c>
      <c r="B14844" s="10" t="s">
        <v>26</v>
      </c>
      <c r="C14844" s="10" t="s">
        <v>23</v>
      </c>
      <c r="D14844" s="10" t="s">
        <v>29</v>
      </c>
      <c r="E14844" s="14">
        <v>1.0</v>
      </c>
      <c r="F14844" s="15">
        <f t="shared" ref="F14844:F14845" si="2288">ROUND(19,3)</f>
        <v>19</v>
      </c>
      <c r="G14844" s="12">
        <f t="shared" si="2287"/>
        <v>19</v>
      </c>
    </row>
    <row r="14845" ht="24.0" customHeight="1">
      <c r="A14845" s="10" t="s">
        <v>30</v>
      </c>
      <c r="B14845" s="10" t="s">
        <v>26</v>
      </c>
      <c r="C14845" s="10" t="s">
        <v>23</v>
      </c>
      <c r="D14845" s="10" t="s">
        <v>31</v>
      </c>
      <c r="E14845" s="14">
        <v>0.2</v>
      </c>
      <c r="F14845" s="15">
        <f t="shared" si="2288"/>
        <v>19</v>
      </c>
      <c r="G14845" s="12">
        <f t="shared" si="2287"/>
        <v>3.8</v>
      </c>
    </row>
    <row r="14846" ht="15.0" customHeight="1">
      <c r="A14846" s="11"/>
      <c r="B14846" s="11"/>
      <c r="C14846" s="11"/>
      <c r="D14846" s="10" t="s">
        <v>22</v>
      </c>
      <c r="E14846" s="14">
        <v>0.3636</v>
      </c>
      <c r="F14846" s="15">
        <f>ROUND((G14843+G14844+G14845),3)</f>
        <v>43.8</v>
      </c>
      <c r="G14846" s="12">
        <f t="shared" si="2287"/>
        <v>15.93</v>
      </c>
    </row>
    <row r="14847" ht="15.0" customHeight="1">
      <c r="A14847" s="10" t="s">
        <v>32</v>
      </c>
      <c r="B14847" s="10"/>
      <c r="C14847" s="10" t="s">
        <v>33</v>
      </c>
      <c r="D14847" s="10" t="s">
        <v>34</v>
      </c>
      <c r="E14847" s="14">
        <v>3.0</v>
      </c>
      <c r="F14847" s="15">
        <f>ROUND(15.93,3)</f>
        <v>15.93</v>
      </c>
      <c r="G14847" s="12">
        <f>ROUND((E14847*F14847)/100,2)</f>
        <v>0.48</v>
      </c>
    </row>
    <row r="14848" ht="15.0" customHeight="1">
      <c r="A14848" s="16"/>
      <c r="B14848" s="16"/>
      <c r="C14848" s="16"/>
      <c r="D14848" s="17" t="s">
        <v>6017</v>
      </c>
      <c r="E14848" s="16"/>
      <c r="F14848" s="18">
        <f>ROUND((G14834+G14835+G14836+G14837+G14838+G14839+G14840+G14841+G14842+G14847)*(1+G2/100),2)</f>
        <v>35.35</v>
      </c>
      <c r="G14848" s="16"/>
    </row>
    <row r="14849" ht="67.5" customHeight="1">
      <c r="A14849" s="19" t="s">
        <v>6020</v>
      </c>
      <c r="B14849" s="20" t="s">
        <v>18</v>
      </c>
      <c r="C14849" s="20" t="s">
        <v>19</v>
      </c>
      <c r="D14849" s="20" t="s">
        <v>6021</v>
      </c>
      <c r="E14849" s="21"/>
      <c r="F14849" s="22">
        <f>F14864</f>
        <v>36.66</v>
      </c>
      <c r="G14849" s="21"/>
    </row>
    <row r="14850" ht="30.0" customHeight="1">
      <c r="A14850" s="11"/>
      <c r="B14850" s="11"/>
      <c r="C14850" s="11"/>
      <c r="D14850" s="10" t="s">
        <v>6022</v>
      </c>
    </row>
    <row r="14851" ht="30.0" customHeight="1">
      <c r="A14851" s="10" t="s">
        <v>1938</v>
      </c>
      <c r="B14851" s="10" t="s">
        <v>42</v>
      </c>
      <c r="C14851" s="10" t="s">
        <v>1939</v>
      </c>
      <c r="D14851" s="10" t="s">
        <v>1940</v>
      </c>
      <c r="E14851" s="14">
        <v>0.06</v>
      </c>
      <c r="F14851" s="15">
        <f>ROUND(29.17,3)</f>
        <v>29.17</v>
      </c>
      <c r="G14851" s="12">
        <f t="shared" ref="G14851:G14862" si="2289">ROUND(E14851*F14851,2)</f>
        <v>1.75</v>
      </c>
    </row>
    <row r="14852" ht="30.0" customHeight="1">
      <c r="A14852" s="10" t="s">
        <v>5931</v>
      </c>
      <c r="B14852" s="10" t="s">
        <v>42</v>
      </c>
      <c r="C14852" s="10" t="s">
        <v>184</v>
      </c>
      <c r="D14852" s="10" t="s">
        <v>5932</v>
      </c>
      <c r="E14852" s="14">
        <v>1.323</v>
      </c>
      <c r="F14852" s="15">
        <f>ROUND(6.15,3)</f>
        <v>6.15</v>
      </c>
      <c r="G14852" s="12">
        <f t="shared" si="2289"/>
        <v>8.14</v>
      </c>
    </row>
    <row r="14853" ht="30.0" customHeight="1">
      <c r="A14853" s="10" t="s">
        <v>1227</v>
      </c>
      <c r="B14853" s="10" t="s">
        <v>42</v>
      </c>
      <c r="C14853" s="10" t="s">
        <v>226</v>
      </c>
      <c r="D14853" s="10" t="s">
        <v>1228</v>
      </c>
      <c r="E14853" s="14">
        <v>0.021</v>
      </c>
      <c r="F14853" s="15">
        <f>ROUND(27.5,3)</f>
        <v>27.5</v>
      </c>
      <c r="G14853" s="12">
        <f t="shared" si="2289"/>
        <v>0.58</v>
      </c>
    </row>
    <row r="14854" ht="21.0" customHeight="1">
      <c r="A14854" s="10" t="s">
        <v>1857</v>
      </c>
      <c r="B14854" s="10" t="s">
        <v>42</v>
      </c>
      <c r="C14854" s="10" t="s">
        <v>231</v>
      </c>
      <c r="D14854" s="10" t="s">
        <v>1858</v>
      </c>
      <c r="E14854" s="14">
        <v>0.4</v>
      </c>
      <c r="F14854" s="15">
        <f>ROUND(1.05,3)</f>
        <v>1.05</v>
      </c>
      <c r="G14854" s="12">
        <f t="shared" si="2289"/>
        <v>0.42</v>
      </c>
    </row>
    <row r="14855" ht="30.0" customHeight="1">
      <c r="A14855" s="10" t="s">
        <v>5847</v>
      </c>
      <c r="B14855" s="10" t="s">
        <v>42</v>
      </c>
      <c r="C14855" s="10" t="s">
        <v>344</v>
      </c>
      <c r="D14855" s="10" t="s">
        <v>5848</v>
      </c>
      <c r="E14855" s="14">
        <v>0.5</v>
      </c>
      <c r="F14855" s="15">
        <f>ROUND(1.76,3)</f>
        <v>1.76</v>
      </c>
      <c r="G14855" s="12">
        <f t="shared" si="2289"/>
        <v>0.88</v>
      </c>
    </row>
    <row r="14856" ht="21.0" customHeight="1">
      <c r="A14856" s="10" t="s">
        <v>228</v>
      </c>
      <c r="B14856" s="10" t="s">
        <v>42</v>
      </c>
      <c r="C14856" s="10" t="s">
        <v>226</v>
      </c>
      <c r="D14856" s="10" t="s">
        <v>229</v>
      </c>
      <c r="E14856" s="14">
        <v>0.02444</v>
      </c>
      <c r="F14856" s="15">
        <f>ROUND(1.32,3)</f>
        <v>1.32</v>
      </c>
      <c r="G14856" s="12">
        <f t="shared" si="2289"/>
        <v>0.03</v>
      </c>
    </row>
    <row r="14857" ht="21.0" customHeight="1">
      <c r="A14857" s="10" t="s">
        <v>1605</v>
      </c>
      <c r="B14857" s="10" t="s">
        <v>112</v>
      </c>
      <c r="C14857" s="10" t="s">
        <v>23</v>
      </c>
      <c r="D14857" s="10" t="s">
        <v>1606</v>
      </c>
      <c r="E14857" s="14">
        <v>0.2</v>
      </c>
      <c r="F14857" s="15">
        <f>ROUND(11.5,3)</f>
        <v>11.5</v>
      </c>
      <c r="G14857" s="12">
        <f t="shared" si="2289"/>
        <v>2.3</v>
      </c>
    </row>
    <row r="14858" ht="21.0" customHeight="1">
      <c r="A14858" s="10" t="s">
        <v>22</v>
      </c>
      <c r="B14858" s="10" t="s">
        <v>18</v>
      </c>
      <c r="C14858" s="10" t="s">
        <v>23</v>
      </c>
      <c r="D14858" s="10" t="s">
        <v>24</v>
      </c>
      <c r="E14858" s="14">
        <v>0.5</v>
      </c>
      <c r="F14858" s="15">
        <f>F14862</f>
        <v>43.8</v>
      </c>
      <c r="G14858" s="12">
        <f t="shared" si="2289"/>
        <v>21.9</v>
      </c>
    </row>
    <row r="14859" ht="24.0" customHeight="1">
      <c r="A14859" s="10" t="s">
        <v>25</v>
      </c>
      <c r="B14859" s="10" t="s">
        <v>26</v>
      </c>
      <c r="C14859" s="10" t="s">
        <v>23</v>
      </c>
      <c r="D14859" s="10" t="s">
        <v>27</v>
      </c>
      <c r="E14859" s="14">
        <v>1.0</v>
      </c>
      <c r="F14859" s="15">
        <f>ROUND(21,3)</f>
        <v>21</v>
      </c>
      <c r="G14859" s="12">
        <f t="shared" si="2289"/>
        <v>21</v>
      </c>
    </row>
    <row r="14860" ht="24.0" customHeight="1">
      <c r="A14860" s="10" t="s">
        <v>28</v>
      </c>
      <c r="B14860" s="10" t="s">
        <v>26</v>
      </c>
      <c r="C14860" s="10" t="s">
        <v>23</v>
      </c>
      <c r="D14860" s="10" t="s">
        <v>29</v>
      </c>
      <c r="E14860" s="14">
        <v>1.0</v>
      </c>
      <c r="F14860" s="15">
        <f t="shared" ref="F14860:F14861" si="2290">ROUND(19,3)</f>
        <v>19</v>
      </c>
      <c r="G14860" s="12">
        <f t="shared" si="2289"/>
        <v>19</v>
      </c>
    </row>
    <row r="14861" ht="24.0" customHeight="1">
      <c r="A14861" s="10" t="s">
        <v>30</v>
      </c>
      <c r="B14861" s="10" t="s">
        <v>26</v>
      </c>
      <c r="C14861" s="10" t="s">
        <v>23</v>
      </c>
      <c r="D14861" s="10" t="s">
        <v>31</v>
      </c>
      <c r="E14861" s="14">
        <v>0.2</v>
      </c>
      <c r="F14861" s="15">
        <f t="shared" si="2290"/>
        <v>19</v>
      </c>
      <c r="G14861" s="12">
        <f t="shared" si="2289"/>
        <v>3.8</v>
      </c>
    </row>
    <row r="14862" ht="15.0" customHeight="1">
      <c r="A14862" s="11"/>
      <c r="B14862" s="11"/>
      <c r="C14862" s="11"/>
      <c r="D14862" s="10" t="s">
        <v>22</v>
      </c>
      <c r="E14862" s="14">
        <v>0.5</v>
      </c>
      <c r="F14862" s="15">
        <f>ROUND((G14859+G14860+G14861),3)</f>
        <v>43.8</v>
      </c>
      <c r="G14862" s="12">
        <f t="shared" si="2289"/>
        <v>21.9</v>
      </c>
    </row>
    <row r="14863" ht="15.0" customHeight="1">
      <c r="A14863" s="10" t="s">
        <v>32</v>
      </c>
      <c r="B14863" s="10"/>
      <c r="C14863" s="10" t="s">
        <v>33</v>
      </c>
      <c r="D14863" s="10" t="s">
        <v>34</v>
      </c>
      <c r="E14863" s="14">
        <v>3.0</v>
      </c>
      <c r="F14863" s="15">
        <f>ROUND(21.9,3)</f>
        <v>21.9</v>
      </c>
      <c r="G14863" s="12">
        <f>ROUND((E14863*F14863)/100,2)</f>
        <v>0.66</v>
      </c>
    </row>
    <row r="14864" ht="15.0" customHeight="1">
      <c r="A14864" s="16"/>
      <c r="B14864" s="16"/>
      <c r="C14864" s="16"/>
      <c r="D14864" s="17" t="s">
        <v>6020</v>
      </c>
      <c r="E14864" s="16"/>
      <c r="F14864" s="18">
        <f>ROUND((G14851+G14852+G14853+G14854+G14855+G14856+G14857+G14858+G14863)*(1+G2/100),2)</f>
        <v>36.66</v>
      </c>
      <c r="G14864" s="16"/>
    </row>
    <row r="14865" ht="67.5" customHeight="1">
      <c r="A14865" s="19" t="s">
        <v>6023</v>
      </c>
      <c r="B14865" s="20" t="s">
        <v>18</v>
      </c>
      <c r="C14865" s="20" t="s">
        <v>19</v>
      </c>
      <c r="D14865" s="20" t="s">
        <v>6024</v>
      </c>
      <c r="E14865" s="21"/>
      <c r="F14865" s="22">
        <f>F14880</f>
        <v>32.15</v>
      </c>
      <c r="G14865" s="21"/>
    </row>
    <row r="14866" ht="30.0" customHeight="1">
      <c r="A14866" s="11"/>
      <c r="B14866" s="11"/>
      <c r="C14866" s="11"/>
      <c r="D14866" s="10" t="s">
        <v>6025</v>
      </c>
    </row>
    <row r="14867" ht="30.0" customHeight="1">
      <c r="A14867" s="10" t="s">
        <v>1938</v>
      </c>
      <c r="B14867" s="10" t="s">
        <v>42</v>
      </c>
      <c r="C14867" s="10" t="s">
        <v>1939</v>
      </c>
      <c r="D14867" s="10" t="s">
        <v>1940</v>
      </c>
      <c r="E14867" s="14">
        <v>0.06</v>
      </c>
      <c r="F14867" s="15">
        <f>ROUND(29.17,3)</f>
        <v>29.17</v>
      </c>
      <c r="G14867" s="12">
        <f t="shared" ref="G14867:G14878" si="2291">ROUND(E14867*F14867,2)</f>
        <v>1.75</v>
      </c>
    </row>
    <row r="14868" ht="30.0" customHeight="1">
      <c r="A14868" s="10" t="s">
        <v>5931</v>
      </c>
      <c r="B14868" s="10" t="s">
        <v>42</v>
      </c>
      <c r="C14868" s="10" t="s">
        <v>184</v>
      </c>
      <c r="D14868" s="10" t="s">
        <v>5932</v>
      </c>
      <c r="E14868" s="14">
        <v>1.323</v>
      </c>
      <c r="F14868" s="15">
        <f>ROUND(6.15,3)</f>
        <v>6.15</v>
      </c>
      <c r="G14868" s="12">
        <f t="shared" si="2291"/>
        <v>8.14</v>
      </c>
    </row>
    <row r="14869" ht="30.0" customHeight="1">
      <c r="A14869" s="10" t="s">
        <v>1227</v>
      </c>
      <c r="B14869" s="10" t="s">
        <v>42</v>
      </c>
      <c r="C14869" s="10" t="s">
        <v>226</v>
      </c>
      <c r="D14869" s="10" t="s">
        <v>1228</v>
      </c>
      <c r="E14869" s="14">
        <v>0.021</v>
      </c>
      <c r="F14869" s="15">
        <f>ROUND(27.5,3)</f>
        <v>27.5</v>
      </c>
      <c r="G14869" s="12">
        <f t="shared" si="2291"/>
        <v>0.58</v>
      </c>
    </row>
    <row r="14870" ht="21.0" customHeight="1">
      <c r="A14870" s="10" t="s">
        <v>1857</v>
      </c>
      <c r="B14870" s="10" t="s">
        <v>42</v>
      </c>
      <c r="C14870" s="10" t="s">
        <v>231</v>
      </c>
      <c r="D14870" s="10" t="s">
        <v>1858</v>
      </c>
      <c r="E14870" s="14">
        <v>0.4</v>
      </c>
      <c r="F14870" s="15">
        <f>ROUND(1.05,3)</f>
        <v>1.05</v>
      </c>
      <c r="G14870" s="12">
        <f t="shared" si="2291"/>
        <v>0.42</v>
      </c>
    </row>
    <row r="14871" ht="30.0" customHeight="1">
      <c r="A14871" s="10" t="s">
        <v>5847</v>
      </c>
      <c r="B14871" s="10" t="s">
        <v>42</v>
      </c>
      <c r="C14871" s="10" t="s">
        <v>344</v>
      </c>
      <c r="D14871" s="10" t="s">
        <v>5848</v>
      </c>
      <c r="E14871" s="14">
        <v>0.5</v>
      </c>
      <c r="F14871" s="15">
        <f>ROUND(1.76,3)</f>
        <v>1.76</v>
      </c>
      <c r="G14871" s="12">
        <f t="shared" si="2291"/>
        <v>0.88</v>
      </c>
    </row>
    <row r="14872" ht="21.0" customHeight="1">
      <c r="A14872" s="10" t="s">
        <v>228</v>
      </c>
      <c r="B14872" s="10" t="s">
        <v>42</v>
      </c>
      <c r="C14872" s="10" t="s">
        <v>226</v>
      </c>
      <c r="D14872" s="10" t="s">
        <v>229</v>
      </c>
      <c r="E14872" s="14">
        <v>0.02444</v>
      </c>
      <c r="F14872" s="15">
        <f>ROUND(1.32,3)</f>
        <v>1.32</v>
      </c>
      <c r="G14872" s="12">
        <f t="shared" si="2291"/>
        <v>0.03</v>
      </c>
    </row>
    <row r="14873" ht="21.0" customHeight="1">
      <c r="A14873" s="10" t="s">
        <v>1605</v>
      </c>
      <c r="B14873" s="10" t="s">
        <v>112</v>
      </c>
      <c r="C14873" s="10" t="s">
        <v>23</v>
      </c>
      <c r="D14873" s="10" t="s">
        <v>1606</v>
      </c>
      <c r="E14873" s="14">
        <v>0.2</v>
      </c>
      <c r="F14873" s="15">
        <f>ROUND(11.5,3)</f>
        <v>11.5</v>
      </c>
      <c r="G14873" s="12">
        <f t="shared" si="2291"/>
        <v>2.3</v>
      </c>
    </row>
    <row r="14874" ht="21.0" customHeight="1">
      <c r="A14874" s="10" t="s">
        <v>22</v>
      </c>
      <c r="B14874" s="10" t="s">
        <v>18</v>
      </c>
      <c r="C14874" s="10" t="s">
        <v>23</v>
      </c>
      <c r="D14874" s="10" t="s">
        <v>24</v>
      </c>
      <c r="E14874" s="14">
        <v>0.4</v>
      </c>
      <c r="F14874" s="15">
        <f>F14878</f>
        <v>43.8</v>
      </c>
      <c r="G14874" s="12">
        <f t="shared" si="2291"/>
        <v>17.52</v>
      </c>
    </row>
    <row r="14875" ht="24.0" customHeight="1">
      <c r="A14875" s="10" t="s">
        <v>25</v>
      </c>
      <c r="B14875" s="10" t="s">
        <v>26</v>
      </c>
      <c r="C14875" s="10" t="s">
        <v>23</v>
      </c>
      <c r="D14875" s="10" t="s">
        <v>27</v>
      </c>
      <c r="E14875" s="14">
        <v>1.0</v>
      </c>
      <c r="F14875" s="15">
        <f>ROUND(21,3)</f>
        <v>21</v>
      </c>
      <c r="G14875" s="12">
        <f t="shared" si="2291"/>
        <v>21</v>
      </c>
    </row>
    <row r="14876" ht="24.0" customHeight="1">
      <c r="A14876" s="10" t="s">
        <v>28</v>
      </c>
      <c r="B14876" s="10" t="s">
        <v>26</v>
      </c>
      <c r="C14876" s="10" t="s">
        <v>23</v>
      </c>
      <c r="D14876" s="10" t="s">
        <v>29</v>
      </c>
      <c r="E14876" s="14">
        <v>1.0</v>
      </c>
      <c r="F14876" s="15">
        <f t="shared" ref="F14876:F14877" si="2292">ROUND(19,3)</f>
        <v>19</v>
      </c>
      <c r="G14876" s="12">
        <f t="shared" si="2291"/>
        <v>19</v>
      </c>
    </row>
    <row r="14877" ht="24.0" customHeight="1">
      <c r="A14877" s="10" t="s">
        <v>30</v>
      </c>
      <c r="B14877" s="10" t="s">
        <v>26</v>
      </c>
      <c r="C14877" s="10" t="s">
        <v>23</v>
      </c>
      <c r="D14877" s="10" t="s">
        <v>31</v>
      </c>
      <c r="E14877" s="14">
        <v>0.2</v>
      </c>
      <c r="F14877" s="15">
        <f t="shared" si="2292"/>
        <v>19</v>
      </c>
      <c r="G14877" s="12">
        <f t="shared" si="2291"/>
        <v>3.8</v>
      </c>
    </row>
    <row r="14878" ht="15.0" customHeight="1">
      <c r="A14878" s="11"/>
      <c r="B14878" s="11"/>
      <c r="C14878" s="11"/>
      <c r="D14878" s="10" t="s">
        <v>22</v>
      </c>
      <c r="E14878" s="14">
        <v>0.4</v>
      </c>
      <c r="F14878" s="15">
        <f>ROUND((G14875+G14876+G14877),3)</f>
        <v>43.8</v>
      </c>
      <c r="G14878" s="12">
        <f t="shared" si="2291"/>
        <v>17.52</v>
      </c>
    </row>
    <row r="14879" ht="15.0" customHeight="1">
      <c r="A14879" s="10" t="s">
        <v>32</v>
      </c>
      <c r="B14879" s="10"/>
      <c r="C14879" s="10" t="s">
        <v>33</v>
      </c>
      <c r="D14879" s="10" t="s">
        <v>34</v>
      </c>
      <c r="E14879" s="14">
        <v>3.0</v>
      </c>
      <c r="F14879" s="15">
        <f>ROUND(17.52,3)</f>
        <v>17.52</v>
      </c>
      <c r="G14879" s="12">
        <f>ROUND((E14879*F14879)/100,2)</f>
        <v>0.53</v>
      </c>
    </row>
    <row r="14880" ht="15.0" customHeight="1">
      <c r="A14880" s="16"/>
      <c r="B14880" s="16"/>
      <c r="C14880" s="16"/>
      <c r="D14880" s="17" t="s">
        <v>6023</v>
      </c>
      <c r="E14880" s="16"/>
      <c r="F14880" s="18">
        <f>ROUND((G14867+G14868+G14869+G14870+G14871+G14872+G14873+G14874+G14879)*(1+G2/100),2)</f>
        <v>32.15</v>
      </c>
      <c r="G14880" s="16"/>
    </row>
    <row r="14881" ht="15.0" customHeight="1">
      <c r="A14881" s="23"/>
      <c r="B14881" s="23"/>
      <c r="C14881" s="23"/>
      <c r="D14881" s="32" t="s">
        <v>5829</v>
      </c>
      <c r="E14881" s="33"/>
      <c r="F14881" s="33"/>
      <c r="G14881" s="33"/>
    </row>
    <row r="14882" ht="15.0" customHeight="1">
      <c r="A14882" s="23"/>
      <c r="B14882" s="23"/>
      <c r="C14882" s="23"/>
      <c r="D14882" s="36" t="s">
        <v>4702</v>
      </c>
      <c r="E14882" s="37"/>
      <c r="F14882" s="37"/>
      <c r="G14882" s="37"/>
    </row>
    <row r="14883" ht="15.0" customHeight="1">
      <c r="A14883" s="38" t="s">
        <v>6026</v>
      </c>
      <c r="B14883" s="38" t="s">
        <v>10</v>
      </c>
      <c r="C14883" s="39"/>
      <c r="D14883" s="38" t="s">
        <v>6027</v>
      </c>
      <c r="E14883" s="39"/>
      <c r="F14883" s="39"/>
      <c r="G14883" s="39"/>
    </row>
    <row r="14884" ht="31.5" customHeight="1">
      <c r="A14884" s="40" t="s">
        <v>6028</v>
      </c>
      <c r="B14884" s="40" t="s">
        <v>10</v>
      </c>
      <c r="C14884" s="41"/>
      <c r="D14884" s="40" t="s">
        <v>6029</v>
      </c>
      <c r="E14884" s="41"/>
      <c r="F14884" s="41"/>
      <c r="G14884" s="41"/>
    </row>
    <row r="14885" ht="24.75" customHeight="1">
      <c r="A14885" s="42" t="s">
        <v>6030</v>
      </c>
      <c r="B14885" s="42" t="s">
        <v>10</v>
      </c>
      <c r="C14885" s="43"/>
      <c r="D14885" s="42" t="s">
        <v>6031</v>
      </c>
      <c r="E14885" s="43"/>
      <c r="F14885" s="43"/>
      <c r="G14885" s="43"/>
    </row>
    <row r="14886" ht="24.75" customHeight="1">
      <c r="A14886" s="13" t="s">
        <v>6032</v>
      </c>
      <c r="B14886" s="10" t="s">
        <v>18</v>
      </c>
      <c r="C14886" s="10" t="s">
        <v>231</v>
      </c>
      <c r="D14886" s="10" t="s">
        <v>6033</v>
      </c>
      <c r="E14886" s="11"/>
      <c r="F14886" s="12">
        <f>F14899</f>
        <v>79.36</v>
      </c>
      <c r="G14886" s="11"/>
    </row>
    <row r="14887" ht="12.0" customHeight="1">
      <c r="A14887" s="11"/>
      <c r="B14887" s="11"/>
      <c r="C14887" s="11"/>
      <c r="D14887" s="10" t="s">
        <v>6034</v>
      </c>
    </row>
    <row r="14888" ht="30.0" customHeight="1">
      <c r="A14888" s="10" t="s">
        <v>6035</v>
      </c>
      <c r="B14888" s="10" t="s">
        <v>42</v>
      </c>
      <c r="C14888" s="10" t="s">
        <v>231</v>
      </c>
      <c r="D14888" s="10" t="s">
        <v>6036</v>
      </c>
      <c r="E14888" s="14">
        <v>1.0</v>
      </c>
      <c r="F14888" s="15">
        <f>ROUND(39.5,3)</f>
        <v>39.5</v>
      </c>
      <c r="G14888" s="12">
        <f t="shared" ref="G14888:G14897" si="2293">ROUND(E14888*F14888,2)</f>
        <v>39.5</v>
      </c>
    </row>
    <row r="14889" ht="30.0" customHeight="1">
      <c r="A14889" s="10" t="s">
        <v>6037</v>
      </c>
      <c r="B14889" s="10" t="s">
        <v>42</v>
      </c>
      <c r="C14889" s="10" t="s">
        <v>344</v>
      </c>
      <c r="D14889" s="10" t="s">
        <v>6038</v>
      </c>
      <c r="E14889" s="14">
        <v>1.0</v>
      </c>
      <c r="F14889" s="15">
        <f>ROUND(1.57,3)</f>
        <v>1.57</v>
      </c>
      <c r="G14889" s="12">
        <f t="shared" si="2293"/>
        <v>1.57</v>
      </c>
    </row>
    <row r="14890" ht="21.0" customHeight="1">
      <c r="A14890" s="10" t="s">
        <v>967</v>
      </c>
      <c r="B14890" s="10" t="s">
        <v>42</v>
      </c>
      <c r="C14890" s="10" t="s">
        <v>325</v>
      </c>
      <c r="D14890" s="10" t="s">
        <v>968</v>
      </c>
      <c r="E14890" s="14">
        <v>3.0</v>
      </c>
      <c r="F14890" s="15">
        <f>ROUND(6.49,3)</f>
        <v>6.49</v>
      </c>
      <c r="G14890" s="12">
        <f t="shared" si="2293"/>
        <v>19.47</v>
      </c>
    </row>
    <row r="14891" ht="21.0" customHeight="1">
      <c r="A14891" s="10" t="s">
        <v>969</v>
      </c>
      <c r="B14891" s="10" t="s">
        <v>112</v>
      </c>
      <c r="C14891" s="10" t="s">
        <v>23</v>
      </c>
      <c r="D14891" s="10" t="s">
        <v>970</v>
      </c>
      <c r="E14891" s="14">
        <v>0.2</v>
      </c>
      <c r="F14891" s="15">
        <f>ROUND(2,3)</f>
        <v>2</v>
      </c>
      <c r="G14891" s="12">
        <f t="shared" si="2293"/>
        <v>0.4</v>
      </c>
    </row>
    <row r="14892" ht="30.0" customHeight="1">
      <c r="A14892" s="10" t="s">
        <v>971</v>
      </c>
      <c r="B14892" s="10" t="s">
        <v>42</v>
      </c>
      <c r="C14892" s="10" t="s">
        <v>231</v>
      </c>
      <c r="D14892" s="10" t="s">
        <v>972</v>
      </c>
      <c r="E14892" s="14">
        <v>0.075</v>
      </c>
      <c r="F14892" s="15">
        <f>ROUND(4.92,3)</f>
        <v>4.92</v>
      </c>
      <c r="G14892" s="12">
        <f t="shared" si="2293"/>
        <v>0.37</v>
      </c>
    </row>
    <row r="14893" ht="21.0" customHeight="1">
      <c r="A14893" s="10" t="s">
        <v>22</v>
      </c>
      <c r="B14893" s="10" t="s">
        <v>18</v>
      </c>
      <c r="C14893" s="10" t="s">
        <v>23</v>
      </c>
      <c r="D14893" s="10" t="s">
        <v>24</v>
      </c>
      <c r="E14893" s="14">
        <v>0.4</v>
      </c>
      <c r="F14893" s="15">
        <f>F14897</f>
        <v>43.8</v>
      </c>
      <c r="G14893" s="12">
        <f t="shared" si="2293"/>
        <v>17.52</v>
      </c>
    </row>
    <row r="14894" ht="24.0" customHeight="1">
      <c r="A14894" s="10" t="s">
        <v>25</v>
      </c>
      <c r="B14894" s="10" t="s">
        <v>26</v>
      </c>
      <c r="C14894" s="10" t="s">
        <v>23</v>
      </c>
      <c r="D14894" s="10" t="s">
        <v>27</v>
      </c>
      <c r="E14894" s="14">
        <v>1.0</v>
      </c>
      <c r="F14894" s="15">
        <f>ROUND(21,3)</f>
        <v>21</v>
      </c>
      <c r="G14894" s="12">
        <f t="shared" si="2293"/>
        <v>21</v>
      </c>
    </row>
    <row r="14895" ht="24.0" customHeight="1">
      <c r="A14895" s="10" t="s">
        <v>28</v>
      </c>
      <c r="B14895" s="10" t="s">
        <v>26</v>
      </c>
      <c r="C14895" s="10" t="s">
        <v>23</v>
      </c>
      <c r="D14895" s="10" t="s">
        <v>29</v>
      </c>
      <c r="E14895" s="14">
        <v>1.0</v>
      </c>
      <c r="F14895" s="15">
        <f t="shared" ref="F14895:F14896" si="2294">ROUND(19,3)</f>
        <v>19</v>
      </c>
      <c r="G14895" s="12">
        <f t="shared" si="2293"/>
        <v>19</v>
      </c>
    </row>
    <row r="14896" ht="24.0" customHeight="1">
      <c r="A14896" s="10" t="s">
        <v>30</v>
      </c>
      <c r="B14896" s="10" t="s">
        <v>26</v>
      </c>
      <c r="C14896" s="10" t="s">
        <v>23</v>
      </c>
      <c r="D14896" s="10" t="s">
        <v>31</v>
      </c>
      <c r="E14896" s="14">
        <v>0.2</v>
      </c>
      <c r="F14896" s="15">
        <f t="shared" si="2294"/>
        <v>19</v>
      </c>
      <c r="G14896" s="12">
        <f t="shared" si="2293"/>
        <v>3.8</v>
      </c>
    </row>
    <row r="14897" ht="15.0" customHeight="1">
      <c r="A14897" s="11"/>
      <c r="B14897" s="11"/>
      <c r="C14897" s="11"/>
      <c r="D14897" s="10" t="s">
        <v>22</v>
      </c>
      <c r="E14897" s="14">
        <v>0.4</v>
      </c>
      <c r="F14897" s="15">
        <f>ROUND((G14894+G14895+G14896),3)</f>
        <v>43.8</v>
      </c>
      <c r="G14897" s="12">
        <f t="shared" si="2293"/>
        <v>17.52</v>
      </c>
    </row>
    <row r="14898" ht="15.0" customHeight="1">
      <c r="A14898" s="10" t="s">
        <v>32</v>
      </c>
      <c r="B14898" s="10"/>
      <c r="C14898" s="10" t="s">
        <v>33</v>
      </c>
      <c r="D14898" s="10" t="s">
        <v>34</v>
      </c>
      <c r="E14898" s="14">
        <v>3.0</v>
      </c>
      <c r="F14898" s="15">
        <f>ROUND(17.52,3)</f>
        <v>17.52</v>
      </c>
      <c r="G14898" s="12">
        <f>ROUND((E14898*F14898)/100,2)</f>
        <v>0.53</v>
      </c>
    </row>
    <row r="14899" ht="15.0" customHeight="1">
      <c r="A14899" s="16"/>
      <c r="B14899" s="16"/>
      <c r="C14899" s="16"/>
      <c r="D14899" s="17" t="s">
        <v>6032</v>
      </c>
      <c r="E14899" s="16"/>
      <c r="F14899" s="18">
        <f>ROUND((G14888+G14889+G14890+G14891+G14892+G14893+G14898)*(1+G2/100),2)</f>
        <v>79.36</v>
      </c>
      <c r="G14899" s="16"/>
    </row>
    <row r="14900" ht="15.0" customHeight="1">
      <c r="A14900" s="23"/>
      <c r="B14900" s="23"/>
      <c r="C14900" s="23"/>
      <c r="D14900" s="24" t="s">
        <v>6030</v>
      </c>
      <c r="E14900" s="25"/>
      <c r="F14900" s="25"/>
      <c r="G14900" s="25"/>
    </row>
    <row r="14901" ht="15.0" customHeight="1">
      <c r="A14901" s="23"/>
      <c r="B14901" s="23"/>
      <c r="C14901" s="23"/>
      <c r="D14901" s="32" t="s">
        <v>6028</v>
      </c>
      <c r="E14901" s="33"/>
      <c r="F14901" s="33"/>
      <c r="G14901" s="33"/>
    </row>
    <row r="14902" ht="15.0" customHeight="1">
      <c r="A14902" s="19" t="s">
        <v>6039</v>
      </c>
      <c r="B14902" s="20" t="s">
        <v>18</v>
      </c>
      <c r="C14902" s="20" t="s">
        <v>222</v>
      </c>
      <c r="D14902" s="20" t="s">
        <v>6040</v>
      </c>
      <c r="E14902" s="21"/>
      <c r="F14902" s="22">
        <f>F14940</f>
        <v>0</v>
      </c>
      <c r="G14902" s="21"/>
    </row>
    <row r="14903" ht="12.0" customHeight="1">
      <c r="A14903" s="11"/>
      <c r="B14903" s="11"/>
      <c r="C14903" s="11"/>
      <c r="D14903" s="10" t="s">
        <v>6040</v>
      </c>
    </row>
    <row r="14904" ht="15.0" customHeight="1">
      <c r="A14904" s="10" t="s">
        <v>6041</v>
      </c>
      <c r="B14904" s="10" t="s">
        <v>18</v>
      </c>
      <c r="C14904" s="10" t="s">
        <v>295</v>
      </c>
      <c r="D14904" s="10" t="s">
        <v>6042</v>
      </c>
      <c r="E14904" s="14">
        <v>0.0</v>
      </c>
      <c r="F14904" s="15">
        <f>F14912</f>
        <v>453.58</v>
      </c>
      <c r="G14904" s="12">
        <f t="shared" ref="G14904:G14939" si="2295">ROUND(E14904*F14904,2)</f>
        <v>0</v>
      </c>
    </row>
    <row r="14905" ht="30.0" customHeight="1">
      <c r="A14905" s="10" t="s">
        <v>6043</v>
      </c>
      <c r="B14905" s="10" t="s">
        <v>42</v>
      </c>
      <c r="C14905" s="10" t="s">
        <v>304</v>
      </c>
      <c r="D14905" s="10" t="s">
        <v>6044</v>
      </c>
      <c r="E14905" s="14">
        <v>1.0</v>
      </c>
      <c r="F14905" s="15">
        <f>ROUND(146.9,3)</f>
        <v>146.9</v>
      </c>
      <c r="G14905" s="12">
        <f t="shared" si="2295"/>
        <v>146.9</v>
      </c>
    </row>
    <row r="14906" ht="39.75" customHeight="1">
      <c r="A14906" s="10" t="s">
        <v>6045</v>
      </c>
      <c r="B14906" s="10" t="s">
        <v>42</v>
      </c>
      <c r="C14906" s="10" t="s">
        <v>304</v>
      </c>
      <c r="D14906" s="10" t="s">
        <v>6046</v>
      </c>
      <c r="E14906" s="14">
        <v>1.0</v>
      </c>
      <c r="F14906" s="15">
        <f>ROUND(135.85,3)</f>
        <v>135.85</v>
      </c>
      <c r="G14906" s="12">
        <f t="shared" si="2295"/>
        <v>135.85</v>
      </c>
    </row>
    <row r="14907" ht="39.75" customHeight="1">
      <c r="A14907" s="10" t="s">
        <v>6047</v>
      </c>
      <c r="B14907" s="10" t="s">
        <v>42</v>
      </c>
      <c r="C14907" s="10" t="s">
        <v>304</v>
      </c>
      <c r="D14907" s="10" t="s">
        <v>6048</v>
      </c>
      <c r="E14907" s="14">
        <v>1.0</v>
      </c>
      <c r="F14907" s="15">
        <f>ROUND(82.6,3)</f>
        <v>82.6</v>
      </c>
      <c r="G14907" s="12">
        <f t="shared" si="2295"/>
        <v>82.6</v>
      </c>
    </row>
    <row r="14908" ht="15.0" customHeight="1">
      <c r="A14908" s="10" t="s">
        <v>3780</v>
      </c>
      <c r="B14908" s="10" t="s">
        <v>42</v>
      </c>
      <c r="C14908" s="10" t="s">
        <v>304</v>
      </c>
      <c r="D14908" s="10" t="s">
        <v>3781</v>
      </c>
      <c r="E14908" s="14">
        <v>1.0</v>
      </c>
      <c r="F14908" s="15">
        <f>ROUND(11.11,3)</f>
        <v>11.11</v>
      </c>
      <c r="G14908" s="12">
        <f t="shared" si="2295"/>
        <v>11.11</v>
      </c>
    </row>
    <row r="14909" ht="15.0" customHeight="1">
      <c r="A14909" s="10" t="s">
        <v>3778</v>
      </c>
      <c r="B14909" s="10" t="s">
        <v>42</v>
      </c>
      <c r="C14909" s="10" t="s">
        <v>304</v>
      </c>
      <c r="D14909" s="10" t="s">
        <v>3779</v>
      </c>
      <c r="E14909" s="14">
        <v>1.0</v>
      </c>
      <c r="F14909" s="15">
        <f>ROUND(15,3)</f>
        <v>15</v>
      </c>
      <c r="G14909" s="12">
        <f t="shared" si="2295"/>
        <v>15</v>
      </c>
    </row>
    <row r="14910" ht="30.0" customHeight="1">
      <c r="A14910" s="10" t="s">
        <v>3782</v>
      </c>
      <c r="B14910" s="10" t="s">
        <v>42</v>
      </c>
      <c r="C14910" s="10" t="s">
        <v>304</v>
      </c>
      <c r="D14910" s="10" t="s">
        <v>3783</v>
      </c>
      <c r="E14910" s="14">
        <v>1.0</v>
      </c>
      <c r="F14910" s="15">
        <f>ROUND(2.72,3)</f>
        <v>2.72</v>
      </c>
      <c r="G14910" s="12">
        <f t="shared" si="2295"/>
        <v>2.72</v>
      </c>
    </row>
    <row r="14911" ht="24.0" customHeight="1">
      <c r="A14911" s="10" t="s">
        <v>1186</v>
      </c>
      <c r="B14911" s="10" t="s">
        <v>26</v>
      </c>
      <c r="C14911" s="10" t="s">
        <v>23</v>
      </c>
      <c r="D14911" s="10" t="s">
        <v>1187</v>
      </c>
      <c r="E14911" s="14">
        <v>1.2</v>
      </c>
      <c r="F14911" s="15">
        <f>ROUND(49.5,3)</f>
        <v>49.5</v>
      </c>
      <c r="G14911" s="12">
        <f t="shared" si="2295"/>
        <v>59.4</v>
      </c>
    </row>
    <row r="14912" ht="15.0" customHeight="1">
      <c r="A14912" s="11"/>
      <c r="B14912" s="11"/>
      <c r="C14912" s="11"/>
      <c r="D14912" s="10" t="s">
        <v>6041</v>
      </c>
      <c r="E14912" s="14">
        <v>0.0</v>
      </c>
      <c r="F14912" s="15">
        <f>ROUND((G14905+G14906+G14907+G14908+G14909+G14910+G14911),3)</f>
        <v>453.58</v>
      </c>
      <c r="G14912" s="12">
        <f t="shared" si="2295"/>
        <v>0</v>
      </c>
    </row>
    <row r="14913" ht="21.0" customHeight="1">
      <c r="A14913" s="10" t="s">
        <v>6049</v>
      </c>
      <c r="B14913" s="10" t="s">
        <v>18</v>
      </c>
      <c r="C14913" s="10" t="s">
        <v>295</v>
      </c>
      <c r="D14913" s="10" t="s">
        <v>6050</v>
      </c>
      <c r="E14913" s="14">
        <v>0.0</v>
      </c>
      <c r="F14913" s="15">
        <f>F14916</f>
        <v>369</v>
      </c>
      <c r="G14913" s="12">
        <f t="shared" si="2295"/>
        <v>0</v>
      </c>
    </row>
    <row r="14914" ht="30.0" customHeight="1">
      <c r="A14914" s="10" t="s">
        <v>6051</v>
      </c>
      <c r="B14914" s="10" t="s">
        <v>42</v>
      </c>
      <c r="C14914" s="10" t="s">
        <v>304</v>
      </c>
      <c r="D14914" s="10" t="s">
        <v>6052</v>
      </c>
      <c r="E14914" s="14">
        <v>1.0</v>
      </c>
      <c r="F14914" s="15">
        <f>ROUND(270,3)</f>
        <v>270</v>
      </c>
      <c r="G14914" s="12">
        <f t="shared" si="2295"/>
        <v>270</v>
      </c>
    </row>
    <row r="14915" ht="24.0" customHeight="1">
      <c r="A14915" s="10" t="s">
        <v>1186</v>
      </c>
      <c r="B14915" s="10" t="s">
        <v>26</v>
      </c>
      <c r="C14915" s="10" t="s">
        <v>23</v>
      </c>
      <c r="D14915" s="10" t="s">
        <v>1187</v>
      </c>
      <c r="E14915" s="14">
        <v>2.0</v>
      </c>
      <c r="F14915" s="15">
        <f>ROUND(49.5,3)</f>
        <v>49.5</v>
      </c>
      <c r="G14915" s="12">
        <f t="shared" si="2295"/>
        <v>99</v>
      </c>
    </row>
    <row r="14916" ht="15.0" customHeight="1">
      <c r="A14916" s="11"/>
      <c r="B14916" s="11"/>
      <c r="C14916" s="11"/>
      <c r="D14916" s="10" t="s">
        <v>6049</v>
      </c>
      <c r="E14916" s="14">
        <v>0.0</v>
      </c>
      <c r="F14916" s="15">
        <f>ROUND((G14914+G14915),3)</f>
        <v>369</v>
      </c>
      <c r="G14916" s="12">
        <f t="shared" si="2295"/>
        <v>0</v>
      </c>
    </row>
    <row r="14917" ht="21.0" customHeight="1">
      <c r="A14917" s="10" t="s">
        <v>6053</v>
      </c>
      <c r="B14917" s="10" t="s">
        <v>18</v>
      </c>
      <c r="C14917" s="10" t="s">
        <v>222</v>
      </c>
      <c r="D14917" s="10" t="s">
        <v>6054</v>
      </c>
      <c r="E14917" s="14">
        <v>0.0</v>
      </c>
      <c r="F14917" s="15">
        <f>F14920</f>
        <v>614.9</v>
      </c>
      <c r="G14917" s="12">
        <f t="shared" si="2295"/>
        <v>0</v>
      </c>
    </row>
    <row r="14918" ht="30.0" customHeight="1">
      <c r="A14918" s="10" t="s">
        <v>6055</v>
      </c>
      <c r="B14918" s="10" t="s">
        <v>42</v>
      </c>
      <c r="C14918" s="10" t="s">
        <v>304</v>
      </c>
      <c r="D14918" s="10" t="s">
        <v>6056</v>
      </c>
      <c r="E14918" s="14">
        <v>1.0</v>
      </c>
      <c r="F14918" s="15">
        <f>ROUND(416.9,3)</f>
        <v>416.9</v>
      </c>
      <c r="G14918" s="12">
        <f t="shared" si="2295"/>
        <v>416.9</v>
      </c>
    </row>
    <row r="14919" ht="24.0" customHeight="1">
      <c r="A14919" s="10" t="s">
        <v>1186</v>
      </c>
      <c r="B14919" s="10" t="s">
        <v>26</v>
      </c>
      <c r="C14919" s="10" t="s">
        <v>23</v>
      </c>
      <c r="D14919" s="10" t="s">
        <v>1187</v>
      </c>
      <c r="E14919" s="14">
        <v>4.0</v>
      </c>
      <c r="F14919" s="15">
        <f>ROUND(49.5,3)</f>
        <v>49.5</v>
      </c>
      <c r="G14919" s="12">
        <f t="shared" si="2295"/>
        <v>198</v>
      </c>
    </row>
    <row r="14920" ht="15.0" customHeight="1">
      <c r="A14920" s="11"/>
      <c r="B14920" s="11"/>
      <c r="C14920" s="11"/>
      <c r="D14920" s="10" t="s">
        <v>6053</v>
      </c>
      <c r="E14920" s="14">
        <v>0.0</v>
      </c>
      <c r="F14920" s="15">
        <f>ROUND((G14918+G14919),3)</f>
        <v>614.9</v>
      </c>
      <c r="G14920" s="12">
        <f t="shared" si="2295"/>
        <v>0</v>
      </c>
    </row>
    <row r="14921" ht="15.0" customHeight="1">
      <c r="A14921" s="10" t="s">
        <v>6057</v>
      </c>
      <c r="B14921" s="10" t="s">
        <v>18</v>
      </c>
      <c r="C14921" s="10" t="s">
        <v>222</v>
      </c>
      <c r="D14921" s="10" t="s">
        <v>6058</v>
      </c>
      <c r="E14921" s="14">
        <v>0.0</v>
      </c>
      <c r="F14921" s="15">
        <f>F14924</f>
        <v>672</v>
      </c>
      <c r="G14921" s="12">
        <f t="shared" si="2295"/>
        <v>0</v>
      </c>
    </row>
    <row r="14922" ht="15.0" customHeight="1">
      <c r="A14922" s="10" t="s">
        <v>6059</v>
      </c>
      <c r="B14922" s="10" t="s">
        <v>42</v>
      </c>
      <c r="C14922" s="10" t="s">
        <v>304</v>
      </c>
      <c r="D14922" s="10" t="s">
        <v>6060</v>
      </c>
      <c r="E14922" s="14">
        <v>1.0</v>
      </c>
      <c r="F14922" s="15">
        <f>ROUND(375,3)</f>
        <v>375</v>
      </c>
      <c r="G14922" s="12">
        <f t="shared" si="2295"/>
        <v>375</v>
      </c>
    </row>
    <row r="14923" ht="24.0" customHeight="1">
      <c r="A14923" s="10" t="s">
        <v>1186</v>
      </c>
      <c r="B14923" s="10" t="s">
        <v>26</v>
      </c>
      <c r="C14923" s="10" t="s">
        <v>23</v>
      </c>
      <c r="D14923" s="10" t="s">
        <v>1187</v>
      </c>
      <c r="E14923" s="14">
        <v>6.0</v>
      </c>
      <c r="F14923" s="15">
        <f>ROUND(49.5,3)</f>
        <v>49.5</v>
      </c>
      <c r="G14923" s="12">
        <f t="shared" si="2295"/>
        <v>297</v>
      </c>
    </row>
    <row r="14924" ht="15.0" customHeight="1">
      <c r="A14924" s="11"/>
      <c r="B14924" s="11"/>
      <c r="C14924" s="11"/>
      <c r="D14924" s="10" t="s">
        <v>6057</v>
      </c>
      <c r="E14924" s="14">
        <v>0.0</v>
      </c>
      <c r="F14924" s="15">
        <f>ROUND((G14922+G14923),3)</f>
        <v>672</v>
      </c>
      <c r="G14924" s="12">
        <f t="shared" si="2295"/>
        <v>0</v>
      </c>
    </row>
    <row r="14925" ht="15.0" customHeight="1">
      <c r="A14925" s="10" t="s">
        <v>6061</v>
      </c>
      <c r="B14925" s="10" t="s">
        <v>18</v>
      </c>
      <c r="C14925" s="10" t="s">
        <v>222</v>
      </c>
      <c r="D14925" s="10" t="s">
        <v>6062</v>
      </c>
      <c r="E14925" s="14">
        <v>0.0</v>
      </c>
      <c r="F14925" s="15">
        <f>F14928</f>
        <v>83.73</v>
      </c>
      <c r="G14925" s="12">
        <f t="shared" si="2295"/>
        <v>0</v>
      </c>
    </row>
    <row r="14926" ht="21.0" customHeight="1">
      <c r="A14926" s="10" t="s">
        <v>6063</v>
      </c>
      <c r="B14926" s="10" t="s">
        <v>42</v>
      </c>
      <c r="C14926" s="10" t="s">
        <v>304</v>
      </c>
      <c r="D14926" s="10" t="s">
        <v>6064</v>
      </c>
      <c r="E14926" s="14">
        <v>1.0</v>
      </c>
      <c r="F14926" s="15">
        <f>ROUND(53.04,3)</f>
        <v>53.04</v>
      </c>
      <c r="G14926" s="12">
        <f t="shared" si="2295"/>
        <v>53.04</v>
      </c>
    </row>
    <row r="14927" ht="24.0" customHeight="1">
      <c r="A14927" s="10" t="s">
        <v>1186</v>
      </c>
      <c r="B14927" s="10" t="s">
        <v>26</v>
      </c>
      <c r="C14927" s="10" t="s">
        <v>23</v>
      </c>
      <c r="D14927" s="10" t="s">
        <v>1187</v>
      </c>
      <c r="E14927" s="14">
        <v>0.62</v>
      </c>
      <c r="F14927" s="15">
        <f>ROUND(49.5,3)</f>
        <v>49.5</v>
      </c>
      <c r="G14927" s="12">
        <f t="shared" si="2295"/>
        <v>30.69</v>
      </c>
    </row>
    <row r="14928" ht="15.0" customHeight="1">
      <c r="A14928" s="11"/>
      <c r="B14928" s="11"/>
      <c r="C14928" s="11"/>
      <c r="D14928" s="10" t="s">
        <v>6061</v>
      </c>
      <c r="E14928" s="14">
        <v>0.0</v>
      </c>
      <c r="F14928" s="15">
        <f>ROUND((G14926+G14927),3)</f>
        <v>83.73</v>
      </c>
      <c r="G14928" s="12">
        <f t="shared" si="2295"/>
        <v>0</v>
      </c>
    </row>
    <row r="14929" ht="15.0" customHeight="1">
      <c r="A14929" s="10" t="s">
        <v>6065</v>
      </c>
      <c r="B14929" s="10" t="s">
        <v>18</v>
      </c>
      <c r="C14929" s="10" t="s">
        <v>222</v>
      </c>
      <c r="D14929" s="10" t="s">
        <v>6066</v>
      </c>
      <c r="E14929" s="14">
        <v>0.0</v>
      </c>
      <c r="F14929" s="15">
        <f>F14932</f>
        <v>340.69</v>
      </c>
      <c r="G14929" s="12">
        <f t="shared" si="2295"/>
        <v>0</v>
      </c>
    </row>
    <row r="14930" ht="21.0" customHeight="1">
      <c r="A14930" s="10" t="s">
        <v>6067</v>
      </c>
      <c r="B14930" s="10" t="s">
        <v>42</v>
      </c>
      <c r="C14930" s="10" t="s">
        <v>304</v>
      </c>
      <c r="D14930" s="10" t="s">
        <v>6068</v>
      </c>
      <c r="E14930" s="14">
        <v>1.0</v>
      </c>
      <c r="F14930" s="15">
        <f>ROUND(310,3)</f>
        <v>310</v>
      </c>
      <c r="G14930" s="12">
        <f t="shared" si="2295"/>
        <v>310</v>
      </c>
    </row>
    <row r="14931" ht="24.0" customHeight="1">
      <c r="A14931" s="10" t="s">
        <v>1186</v>
      </c>
      <c r="B14931" s="10" t="s">
        <v>26</v>
      </c>
      <c r="C14931" s="10" t="s">
        <v>23</v>
      </c>
      <c r="D14931" s="10" t="s">
        <v>1187</v>
      </c>
      <c r="E14931" s="14">
        <v>0.62</v>
      </c>
      <c r="F14931" s="15">
        <f>ROUND(49.5,3)</f>
        <v>49.5</v>
      </c>
      <c r="G14931" s="12">
        <f t="shared" si="2295"/>
        <v>30.69</v>
      </c>
    </row>
    <row r="14932" ht="15.0" customHeight="1">
      <c r="A14932" s="11"/>
      <c r="B14932" s="11"/>
      <c r="C14932" s="11"/>
      <c r="D14932" s="10" t="s">
        <v>6065</v>
      </c>
      <c r="E14932" s="14">
        <v>0.0</v>
      </c>
      <c r="F14932" s="15">
        <f>ROUND((G14930+G14931),3)</f>
        <v>340.69</v>
      </c>
      <c r="G14932" s="12">
        <f t="shared" si="2295"/>
        <v>0</v>
      </c>
    </row>
    <row r="14933" ht="15.0" customHeight="1">
      <c r="A14933" s="10" t="s">
        <v>6069</v>
      </c>
      <c r="B14933" s="10" t="s">
        <v>18</v>
      </c>
      <c r="C14933" s="10" t="s">
        <v>222</v>
      </c>
      <c r="D14933" s="10" t="s">
        <v>6070</v>
      </c>
      <c r="E14933" s="14">
        <v>0.0</v>
      </c>
      <c r="F14933" s="15">
        <f>F14936</f>
        <v>510.5</v>
      </c>
      <c r="G14933" s="12">
        <f t="shared" si="2295"/>
        <v>0</v>
      </c>
    </row>
    <row r="14934" ht="15.0" customHeight="1">
      <c r="A14934" s="10" t="s">
        <v>6071</v>
      </c>
      <c r="B14934" s="10" t="s">
        <v>42</v>
      </c>
      <c r="C14934" s="10" t="s">
        <v>304</v>
      </c>
      <c r="D14934" s="10" t="s">
        <v>6072</v>
      </c>
      <c r="E14934" s="14">
        <v>1.0</v>
      </c>
      <c r="F14934" s="15">
        <f>ROUND(362,3)</f>
        <v>362</v>
      </c>
      <c r="G14934" s="12">
        <f t="shared" si="2295"/>
        <v>362</v>
      </c>
    </row>
    <row r="14935" ht="24.0" customHeight="1">
      <c r="A14935" s="10" t="s">
        <v>1186</v>
      </c>
      <c r="B14935" s="10" t="s">
        <v>26</v>
      </c>
      <c r="C14935" s="10" t="s">
        <v>23</v>
      </c>
      <c r="D14935" s="10" t="s">
        <v>1187</v>
      </c>
      <c r="E14935" s="14">
        <v>3.0</v>
      </c>
      <c r="F14935" s="15">
        <f>ROUND(49.5,3)</f>
        <v>49.5</v>
      </c>
      <c r="G14935" s="12">
        <f t="shared" si="2295"/>
        <v>148.5</v>
      </c>
    </row>
    <row r="14936" ht="15.0" customHeight="1">
      <c r="A14936" s="11"/>
      <c r="B14936" s="11"/>
      <c r="C14936" s="11"/>
      <c r="D14936" s="10" t="s">
        <v>6069</v>
      </c>
      <c r="E14936" s="14">
        <v>0.0</v>
      </c>
      <c r="F14936" s="15">
        <f>ROUND((G14934+G14935),3)</f>
        <v>510.5</v>
      </c>
      <c r="G14936" s="12">
        <f t="shared" si="2295"/>
        <v>0</v>
      </c>
    </row>
    <row r="14937" ht="15.0" customHeight="1">
      <c r="A14937" s="10" t="s">
        <v>6073</v>
      </c>
      <c r="B14937" s="10" t="s">
        <v>18</v>
      </c>
      <c r="C14937" s="10" t="s">
        <v>222</v>
      </c>
      <c r="D14937" s="10" t="s">
        <v>6074</v>
      </c>
      <c r="E14937" s="14">
        <v>0.0</v>
      </c>
      <c r="F14937" s="15">
        <f>F14939</f>
        <v>0</v>
      </c>
      <c r="G14937" s="12">
        <f t="shared" si="2295"/>
        <v>0</v>
      </c>
    </row>
    <row r="14938" ht="21.0" customHeight="1">
      <c r="A14938" s="10" t="s">
        <v>3619</v>
      </c>
      <c r="B14938" s="10" t="s">
        <v>42</v>
      </c>
      <c r="C14938" s="10" t="s">
        <v>304</v>
      </c>
      <c r="D14938" s="10" t="s">
        <v>3620</v>
      </c>
      <c r="E14938" s="14">
        <v>0.001</v>
      </c>
      <c r="F14938" s="15">
        <f>ROUND(2.4,3)</f>
        <v>2.4</v>
      </c>
      <c r="G14938" s="12">
        <f t="shared" si="2295"/>
        <v>0</v>
      </c>
    </row>
    <row r="14939" ht="15.0" customHeight="1">
      <c r="A14939" s="11"/>
      <c r="B14939" s="11"/>
      <c r="C14939" s="11"/>
      <c r="D14939" s="10" t="s">
        <v>6073</v>
      </c>
      <c r="E14939" s="14">
        <v>0.0</v>
      </c>
      <c r="F14939" s="15">
        <f>ROUND((G14938),3)</f>
        <v>0</v>
      </c>
      <c r="G14939" s="12">
        <f t="shared" si="2295"/>
        <v>0</v>
      </c>
    </row>
    <row r="14940" ht="15.0" customHeight="1">
      <c r="A14940" s="16"/>
      <c r="B14940" s="16"/>
      <c r="C14940" s="16"/>
      <c r="D14940" s="17" t="s">
        <v>6039</v>
      </c>
      <c r="E14940" s="16"/>
      <c r="F14940" s="18">
        <f>ROUND((G14904+G14913+G14917+G14921+G14925+G14929+G14933+G14937)*(1+G2/100),2)</f>
        <v>0</v>
      </c>
      <c r="G14940" s="16"/>
    </row>
    <row r="14941" ht="15.0" customHeight="1">
      <c r="A14941" s="19" t="s">
        <v>6075</v>
      </c>
      <c r="B14941" s="20" t="s">
        <v>18</v>
      </c>
      <c r="C14941" s="20" t="s">
        <v>222</v>
      </c>
      <c r="D14941" s="20" t="s">
        <v>6076</v>
      </c>
      <c r="E14941" s="21"/>
      <c r="F14941" s="22">
        <f>F14947</f>
        <v>0</v>
      </c>
      <c r="G14941" s="21"/>
    </row>
    <row r="14942" ht="12.0" customHeight="1">
      <c r="A14942" s="11"/>
      <c r="B14942" s="11"/>
      <c r="C14942" s="11"/>
      <c r="D14942" s="10" t="s">
        <v>6076</v>
      </c>
    </row>
    <row r="14943" ht="30.0" customHeight="1">
      <c r="A14943" s="10" t="s">
        <v>6077</v>
      </c>
      <c r="B14943" s="10" t="s">
        <v>18</v>
      </c>
      <c r="C14943" s="10" t="s">
        <v>295</v>
      </c>
      <c r="D14943" s="10" t="s">
        <v>6078</v>
      </c>
      <c r="E14943" s="14">
        <v>0.0</v>
      </c>
      <c r="F14943" s="15">
        <f>F14946</f>
        <v>152.45</v>
      </c>
      <c r="G14943" s="12">
        <f t="shared" ref="G14943:G14946" si="2296">ROUND(E14943*F14943,2)</f>
        <v>0</v>
      </c>
    </row>
    <row r="14944" ht="21.0" customHeight="1">
      <c r="A14944" s="10" t="s">
        <v>6079</v>
      </c>
      <c r="B14944" s="10" t="s">
        <v>42</v>
      </c>
      <c r="C14944" s="10" t="s">
        <v>304</v>
      </c>
      <c r="D14944" s="10" t="s">
        <v>6080</v>
      </c>
      <c r="E14944" s="14">
        <v>1.0</v>
      </c>
      <c r="F14944" s="15">
        <f>ROUND(98,3)</f>
        <v>98</v>
      </c>
      <c r="G14944" s="12">
        <f t="shared" si="2296"/>
        <v>98</v>
      </c>
    </row>
    <row r="14945" ht="24.0" customHeight="1">
      <c r="A14945" s="10" t="s">
        <v>1186</v>
      </c>
      <c r="B14945" s="10" t="s">
        <v>26</v>
      </c>
      <c r="C14945" s="10" t="s">
        <v>23</v>
      </c>
      <c r="D14945" s="10" t="s">
        <v>1187</v>
      </c>
      <c r="E14945" s="14">
        <v>1.1</v>
      </c>
      <c r="F14945" s="15">
        <f>ROUND(49.5,3)</f>
        <v>49.5</v>
      </c>
      <c r="G14945" s="12">
        <f t="shared" si="2296"/>
        <v>54.45</v>
      </c>
    </row>
    <row r="14946" ht="15.0" customHeight="1">
      <c r="A14946" s="11"/>
      <c r="B14946" s="11"/>
      <c r="C14946" s="11"/>
      <c r="D14946" s="10" t="s">
        <v>6077</v>
      </c>
      <c r="E14946" s="14">
        <v>0.0</v>
      </c>
      <c r="F14946" s="15">
        <f>ROUND((G14944+G14945),3)</f>
        <v>152.45</v>
      </c>
      <c r="G14946" s="12">
        <f t="shared" si="2296"/>
        <v>0</v>
      </c>
    </row>
    <row r="14947" ht="15.0" customHeight="1">
      <c r="A14947" s="16"/>
      <c r="B14947" s="16"/>
      <c r="C14947" s="16"/>
      <c r="D14947" s="17" t="s">
        <v>6075</v>
      </c>
      <c r="E14947" s="16"/>
      <c r="F14947" s="18">
        <f>ROUND((G14943)*(1+G2/100),2)</f>
        <v>0</v>
      </c>
      <c r="G14947" s="16"/>
    </row>
    <row r="14948" ht="15.0" customHeight="1">
      <c r="A14948" s="23"/>
      <c r="B14948" s="23"/>
      <c r="C14948" s="23"/>
      <c r="D14948" s="36" t="s">
        <v>6026</v>
      </c>
      <c r="E14948" s="37"/>
      <c r="F14948" s="37"/>
      <c r="G14948" s="37"/>
    </row>
    <row r="14949" ht="15.0" customHeight="1">
      <c r="A14949" s="38" t="s">
        <v>6081</v>
      </c>
      <c r="B14949" s="38" t="s">
        <v>10</v>
      </c>
      <c r="C14949" s="39"/>
      <c r="D14949" s="38" t="s">
        <v>6082</v>
      </c>
      <c r="E14949" s="39"/>
      <c r="F14949" s="39"/>
      <c r="G14949" s="39"/>
    </row>
    <row r="14950" ht="15.0" customHeight="1">
      <c r="A14950" s="13" t="s">
        <v>1565</v>
      </c>
      <c r="B14950" s="10" t="s">
        <v>18</v>
      </c>
      <c r="C14950" s="10" t="s">
        <v>858</v>
      </c>
      <c r="D14950" s="10" t="s">
        <v>1566</v>
      </c>
      <c r="E14950" s="11"/>
      <c r="F14950" s="12">
        <f>F14960</f>
        <v>52.65</v>
      </c>
      <c r="G14950" s="11"/>
    </row>
    <row r="14951" ht="39.75" customHeight="1">
      <c r="A14951" s="11"/>
      <c r="B14951" s="11"/>
      <c r="C14951" s="11"/>
      <c r="D14951" s="10" t="s">
        <v>3641</v>
      </c>
    </row>
    <row r="14952" ht="15.0" customHeight="1">
      <c r="A14952" s="10" t="s">
        <v>365</v>
      </c>
      <c r="B14952" s="10" t="s">
        <v>42</v>
      </c>
      <c r="C14952" s="10" t="s">
        <v>184</v>
      </c>
      <c r="D14952" s="10" t="s">
        <v>366</v>
      </c>
      <c r="E14952" s="14">
        <v>1.0</v>
      </c>
      <c r="F14952" s="15">
        <f>ROUND(32,3)</f>
        <v>32</v>
      </c>
      <c r="G14952" s="12">
        <f t="shared" ref="G14952:G14959" si="2297">ROUND(E14952*F14952,2)</f>
        <v>32</v>
      </c>
    </row>
    <row r="14953" ht="30.0" customHeight="1">
      <c r="A14953" s="10" t="s">
        <v>363</v>
      </c>
      <c r="B14953" s="10" t="s">
        <v>42</v>
      </c>
      <c r="C14953" s="10" t="s">
        <v>231</v>
      </c>
      <c r="D14953" s="10" t="s">
        <v>364</v>
      </c>
      <c r="E14953" s="14">
        <v>5.0</v>
      </c>
      <c r="F14953" s="15">
        <f>ROUND(0.17,3)</f>
        <v>0.17</v>
      </c>
      <c r="G14953" s="12">
        <f t="shared" si="2297"/>
        <v>0.85</v>
      </c>
    </row>
    <row r="14954" ht="15.0" customHeight="1">
      <c r="A14954" s="10" t="s">
        <v>1567</v>
      </c>
      <c r="B14954" s="10" t="s">
        <v>42</v>
      </c>
      <c r="C14954" s="10" t="s">
        <v>222</v>
      </c>
      <c r="D14954" s="10" t="s">
        <v>1568</v>
      </c>
      <c r="E14954" s="14">
        <v>0.001</v>
      </c>
      <c r="F14954" s="15">
        <f>ROUND(88,3)</f>
        <v>88</v>
      </c>
      <c r="G14954" s="12">
        <f t="shared" si="2297"/>
        <v>0.09</v>
      </c>
    </row>
    <row r="14955" ht="21.0" customHeight="1">
      <c r="A14955" s="10" t="s">
        <v>22</v>
      </c>
      <c r="B14955" s="10" t="s">
        <v>18</v>
      </c>
      <c r="C14955" s="10" t="s">
        <v>23</v>
      </c>
      <c r="D14955" s="10" t="s">
        <v>24</v>
      </c>
      <c r="E14955" s="14">
        <v>0.45</v>
      </c>
      <c r="F14955" s="15">
        <f>F14959</f>
        <v>43.8</v>
      </c>
      <c r="G14955" s="12">
        <f t="shared" si="2297"/>
        <v>19.71</v>
      </c>
    </row>
    <row r="14956" ht="24.0" customHeight="1">
      <c r="A14956" s="10" t="s">
        <v>25</v>
      </c>
      <c r="B14956" s="10" t="s">
        <v>26</v>
      </c>
      <c r="C14956" s="10" t="s">
        <v>23</v>
      </c>
      <c r="D14956" s="10" t="s">
        <v>27</v>
      </c>
      <c r="E14956" s="14">
        <v>1.0</v>
      </c>
      <c r="F14956" s="15">
        <f>ROUND(21,3)</f>
        <v>21</v>
      </c>
      <c r="G14956" s="12">
        <f t="shared" si="2297"/>
        <v>21</v>
      </c>
    </row>
    <row r="14957" ht="24.0" customHeight="1">
      <c r="A14957" s="10" t="s">
        <v>28</v>
      </c>
      <c r="B14957" s="10" t="s">
        <v>26</v>
      </c>
      <c r="C14957" s="10" t="s">
        <v>23</v>
      </c>
      <c r="D14957" s="10" t="s">
        <v>29</v>
      </c>
      <c r="E14957" s="14">
        <v>1.0</v>
      </c>
      <c r="F14957" s="15">
        <f t="shared" ref="F14957:F14958" si="2298">ROUND(19,3)</f>
        <v>19</v>
      </c>
      <c r="G14957" s="12">
        <f t="shared" si="2297"/>
        <v>19</v>
      </c>
    </row>
    <row r="14958" ht="24.0" customHeight="1">
      <c r="A14958" s="10" t="s">
        <v>30</v>
      </c>
      <c r="B14958" s="10" t="s">
        <v>26</v>
      </c>
      <c r="C14958" s="10" t="s">
        <v>23</v>
      </c>
      <c r="D14958" s="10" t="s">
        <v>31</v>
      </c>
      <c r="E14958" s="14">
        <v>0.2</v>
      </c>
      <c r="F14958" s="15">
        <f t="shared" si="2298"/>
        <v>19</v>
      </c>
      <c r="G14958" s="12">
        <f t="shared" si="2297"/>
        <v>3.8</v>
      </c>
    </row>
    <row r="14959" ht="15.0" customHeight="1">
      <c r="A14959" s="11"/>
      <c r="B14959" s="11"/>
      <c r="C14959" s="11"/>
      <c r="D14959" s="10" t="s">
        <v>22</v>
      </c>
      <c r="E14959" s="14">
        <v>0.45</v>
      </c>
      <c r="F14959" s="15">
        <f>ROUND((G14956+G14957+G14958),3)</f>
        <v>43.8</v>
      </c>
      <c r="G14959" s="12">
        <f t="shared" si="2297"/>
        <v>19.71</v>
      </c>
    </row>
    <row r="14960" ht="15.0" customHeight="1">
      <c r="A14960" s="16"/>
      <c r="B14960" s="16"/>
      <c r="C14960" s="16"/>
      <c r="D14960" s="17" t="s">
        <v>1565</v>
      </c>
      <c r="E14960" s="16"/>
      <c r="F14960" s="18">
        <f>ROUND((G14952+G14953+G14954+G14955)*(1+G2/100),2)</f>
        <v>52.65</v>
      </c>
      <c r="G14960" s="16"/>
    </row>
    <row r="14961" ht="21.0" customHeight="1">
      <c r="A14961" s="19" t="s">
        <v>6083</v>
      </c>
      <c r="B14961" s="20" t="s">
        <v>18</v>
      </c>
      <c r="C14961" s="20" t="s">
        <v>295</v>
      </c>
      <c r="D14961" s="20" t="s">
        <v>6084</v>
      </c>
      <c r="E14961" s="21"/>
      <c r="F14961" s="22">
        <f>F14966</f>
        <v>285.5</v>
      </c>
      <c r="G14961" s="21"/>
    </row>
    <row r="14962" ht="12.0" customHeight="1">
      <c r="A14962" s="11"/>
      <c r="B14962" s="11"/>
      <c r="C14962" s="11"/>
      <c r="D14962" s="10" t="s">
        <v>6084</v>
      </c>
    </row>
    <row r="14963" ht="15.0" customHeight="1">
      <c r="A14963" s="10" t="s">
        <v>6085</v>
      </c>
      <c r="B14963" s="10" t="s">
        <v>42</v>
      </c>
      <c r="C14963" s="10" t="s">
        <v>304</v>
      </c>
      <c r="D14963" s="10" t="s">
        <v>6086</v>
      </c>
      <c r="E14963" s="14">
        <v>1.0</v>
      </c>
      <c r="F14963" s="15">
        <f>ROUND(275,3)</f>
        <v>275</v>
      </c>
      <c r="G14963" s="12">
        <f t="shared" ref="G14963:G14965" si="2299">ROUND(E14963*F14963,2)</f>
        <v>275</v>
      </c>
    </row>
    <row r="14964" ht="21.0" customHeight="1">
      <c r="A14964" s="10" t="s">
        <v>6087</v>
      </c>
      <c r="B14964" s="10" t="s">
        <v>42</v>
      </c>
      <c r="C14964" s="10" t="s">
        <v>295</v>
      </c>
      <c r="D14964" s="10" t="s">
        <v>6088</v>
      </c>
      <c r="E14964" s="14">
        <v>1.0</v>
      </c>
      <c r="F14964" s="15">
        <f>ROUND(10.5,3)</f>
        <v>10.5</v>
      </c>
      <c r="G14964" s="12">
        <f t="shared" si="2299"/>
        <v>10.5</v>
      </c>
    </row>
    <row r="14965" ht="15.0" customHeight="1">
      <c r="A14965" s="10" t="s">
        <v>6089</v>
      </c>
      <c r="B14965" s="10" t="s">
        <v>42</v>
      </c>
      <c r="C14965" s="10" t="s">
        <v>485</v>
      </c>
      <c r="D14965" s="10" t="s">
        <v>1370</v>
      </c>
      <c r="E14965" s="14">
        <v>0.0</v>
      </c>
      <c r="F14965" s="15">
        <f>ROUND(165.5,3)</f>
        <v>165.5</v>
      </c>
      <c r="G14965" s="12">
        <f t="shared" si="2299"/>
        <v>0</v>
      </c>
    </row>
    <row r="14966" ht="15.0" customHeight="1">
      <c r="A14966" s="16"/>
      <c r="B14966" s="16"/>
      <c r="C14966" s="16"/>
      <c r="D14966" s="17" t="s">
        <v>6083</v>
      </c>
      <c r="E14966" s="16"/>
      <c r="F14966" s="18">
        <f>ROUND((G14963+G14964+G14965)*(1+G2/100),2)</f>
        <v>285.5</v>
      </c>
      <c r="G14966" s="16"/>
    </row>
    <row r="14967" ht="21.0" customHeight="1">
      <c r="A14967" s="19" t="s">
        <v>3395</v>
      </c>
      <c r="B14967" s="20" t="s">
        <v>18</v>
      </c>
      <c r="C14967" s="20" t="s">
        <v>222</v>
      </c>
      <c r="D14967" s="20" t="s">
        <v>3396</v>
      </c>
      <c r="E14967" s="21"/>
      <c r="F14967" s="22">
        <f>F14978</f>
        <v>577.76</v>
      </c>
      <c r="G14967" s="21"/>
    </row>
    <row r="14968" ht="67.5" customHeight="1">
      <c r="A14968" s="11"/>
      <c r="B14968" s="11"/>
      <c r="C14968" s="11"/>
      <c r="D14968" s="10" t="s">
        <v>3397</v>
      </c>
    </row>
    <row r="14969" ht="21.0" customHeight="1">
      <c r="A14969" s="10" t="s">
        <v>3398</v>
      </c>
      <c r="B14969" s="10" t="s">
        <v>42</v>
      </c>
      <c r="C14969" s="10" t="s">
        <v>304</v>
      </c>
      <c r="D14969" s="10" t="s">
        <v>3399</v>
      </c>
      <c r="E14969" s="14">
        <v>0.0</v>
      </c>
      <c r="F14969" s="15">
        <f>ROUND(12,3)</f>
        <v>12</v>
      </c>
      <c r="G14969" s="12">
        <f t="shared" ref="G14969:G14977" si="2300">ROUND(E14969*F14969,2)</f>
        <v>0</v>
      </c>
    </row>
    <row r="14970" ht="21.0" customHeight="1">
      <c r="A14970" s="10" t="s">
        <v>3400</v>
      </c>
      <c r="B14970" s="10" t="s">
        <v>42</v>
      </c>
      <c r="C14970" s="10" t="s">
        <v>304</v>
      </c>
      <c r="D14970" s="10" t="s">
        <v>3401</v>
      </c>
      <c r="E14970" s="14">
        <v>0.0</v>
      </c>
      <c r="F14970" s="15">
        <f>ROUND(19.9,3)</f>
        <v>19.9</v>
      </c>
      <c r="G14970" s="12">
        <f t="shared" si="2300"/>
        <v>0</v>
      </c>
    </row>
    <row r="14971" ht="21.0" customHeight="1">
      <c r="A14971" s="10" t="s">
        <v>3402</v>
      </c>
      <c r="B14971" s="10" t="s">
        <v>42</v>
      </c>
      <c r="C14971" s="10" t="s">
        <v>304</v>
      </c>
      <c r="D14971" s="10" t="s">
        <v>3403</v>
      </c>
      <c r="E14971" s="14">
        <v>1.0</v>
      </c>
      <c r="F14971" s="15">
        <f>ROUND(20,3)</f>
        <v>20</v>
      </c>
      <c r="G14971" s="12">
        <f t="shared" si="2300"/>
        <v>20</v>
      </c>
    </row>
    <row r="14972" ht="21.0" customHeight="1">
      <c r="A14972" s="10" t="s">
        <v>3404</v>
      </c>
      <c r="B14972" s="10" t="s">
        <v>42</v>
      </c>
      <c r="C14972" s="10" t="s">
        <v>304</v>
      </c>
      <c r="D14972" s="10" t="s">
        <v>3405</v>
      </c>
      <c r="E14972" s="14">
        <v>0.0</v>
      </c>
      <c r="F14972" s="15">
        <f>ROUND(22.5,3)</f>
        <v>22.5</v>
      </c>
      <c r="G14972" s="12">
        <f t="shared" si="2300"/>
        <v>0</v>
      </c>
    </row>
    <row r="14973" ht="15.0" customHeight="1">
      <c r="A14973" s="10" t="s">
        <v>3406</v>
      </c>
      <c r="B14973" s="10" t="s">
        <v>42</v>
      </c>
      <c r="C14973" s="10" t="s">
        <v>304</v>
      </c>
      <c r="D14973" s="10" t="s">
        <v>3407</v>
      </c>
      <c r="E14973" s="14">
        <v>1.0</v>
      </c>
      <c r="F14973" s="15">
        <f>ROUND(20,3)</f>
        <v>20</v>
      </c>
      <c r="G14973" s="12">
        <f t="shared" si="2300"/>
        <v>20</v>
      </c>
    </row>
    <row r="14974" ht="30.0" customHeight="1">
      <c r="A14974" s="10" t="s">
        <v>3408</v>
      </c>
      <c r="B14974" s="10" t="s">
        <v>112</v>
      </c>
      <c r="C14974" s="10" t="s">
        <v>304</v>
      </c>
      <c r="D14974" s="10" t="s">
        <v>3409</v>
      </c>
      <c r="E14974" s="14">
        <v>1.0</v>
      </c>
      <c r="F14974" s="15">
        <f>ROUND(260,3)</f>
        <v>260</v>
      </c>
      <c r="G14974" s="12">
        <f t="shared" si="2300"/>
        <v>260</v>
      </c>
    </row>
    <row r="14975" ht="21.0" customHeight="1">
      <c r="A14975" s="10" t="s">
        <v>3410</v>
      </c>
      <c r="B14975" s="10" t="s">
        <v>42</v>
      </c>
      <c r="C14975" s="10" t="s">
        <v>295</v>
      </c>
      <c r="D14975" s="10" t="s">
        <v>3411</v>
      </c>
      <c r="E14975" s="14">
        <v>1.0</v>
      </c>
      <c r="F14975" s="15">
        <f>ROUND(11.52,3)</f>
        <v>11.52</v>
      </c>
      <c r="G14975" s="12">
        <f t="shared" si="2300"/>
        <v>11.52</v>
      </c>
    </row>
    <row r="14976" ht="15.0" customHeight="1">
      <c r="A14976" s="10" t="s">
        <v>3412</v>
      </c>
      <c r="B14976" s="10" t="s">
        <v>42</v>
      </c>
      <c r="C14976" s="10" t="s">
        <v>295</v>
      </c>
      <c r="D14976" s="10" t="s">
        <v>3413</v>
      </c>
      <c r="E14976" s="14">
        <v>1.0</v>
      </c>
      <c r="F14976" s="15">
        <f>ROUND(6.24,3)</f>
        <v>6.24</v>
      </c>
      <c r="G14976" s="12">
        <f t="shared" si="2300"/>
        <v>6.24</v>
      </c>
    </row>
    <row r="14977" ht="21.0" customHeight="1">
      <c r="A14977" s="10" t="s">
        <v>3414</v>
      </c>
      <c r="B14977" s="10" t="s">
        <v>112</v>
      </c>
      <c r="C14977" s="10" t="s">
        <v>304</v>
      </c>
      <c r="D14977" s="10" t="s">
        <v>3415</v>
      </c>
      <c r="E14977" s="14">
        <v>1.0</v>
      </c>
      <c r="F14977" s="15">
        <f>ROUND(260,3)</f>
        <v>260</v>
      </c>
      <c r="G14977" s="12">
        <f t="shared" si="2300"/>
        <v>260</v>
      </c>
    </row>
    <row r="14978" ht="15.0" customHeight="1">
      <c r="A14978" s="16"/>
      <c r="B14978" s="16"/>
      <c r="C14978" s="16"/>
      <c r="D14978" s="17" t="s">
        <v>3395</v>
      </c>
      <c r="E14978" s="16"/>
      <c r="F14978" s="18">
        <f>ROUND((G14969+G14970+G14971+G14972+G14973+G14974+G14975+G14976+G14977)*(1+G2/100),2)</f>
        <v>577.76</v>
      </c>
      <c r="G14978" s="16"/>
    </row>
    <row r="14979" ht="15.0" customHeight="1">
      <c r="A14979" s="23"/>
      <c r="B14979" s="23"/>
      <c r="C14979" s="23"/>
      <c r="D14979" s="36" t="s">
        <v>6081</v>
      </c>
      <c r="E14979" s="37"/>
      <c r="F14979" s="37"/>
      <c r="G14979" s="37"/>
    </row>
    <row r="14980" ht="15.0" customHeight="1">
      <c r="A14980" s="38" t="s">
        <v>6090</v>
      </c>
      <c r="B14980" s="38" t="s">
        <v>10</v>
      </c>
      <c r="C14980" s="39"/>
      <c r="D14980" s="38" t="s">
        <v>6091</v>
      </c>
      <c r="E14980" s="39"/>
      <c r="F14980" s="39"/>
      <c r="G14980" s="39"/>
    </row>
    <row r="14981" ht="15.0" customHeight="1">
      <c r="A14981" s="13" t="s">
        <v>3708</v>
      </c>
      <c r="B14981" s="10" t="s">
        <v>18</v>
      </c>
      <c r="C14981" s="10" t="s">
        <v>251</v>
      </c>
      <c r="D14981" s="10" t="s">
        <v>3709</v>
      </c>
      <c r="E14981" s="11"/>
      <c r="F14981" s="12">
        <f>F14992</f>
        <v>22.73</v>
      </c>
      <c r="G14981" s="11"/>
    </row>
    <row r="14982" ht="30.0" customHeight="1">
      <c r="A14982" s="11"/>
      <c r="B14982" s="11"/>
      <c r="C14982" s="11"/>
      <c r="D14982" s="10" t="s">
        <v>6092</v>
      </c>
    </row>
    <row r="14983" ht="30.0" customHeight="1">
      <c r="A14983" s="10" t="s">
        <v>3710</v>
      </c>
      <c r="B14983" s="10" t="s">
        <v>42</v>
      </c>
      <c r="C14983" s="10" t="s">
        <v>351</v>
      </c>
      <c r="D14983" s="10" t="s">
        <v>3711</v>
      </c>
      <c r="E14983" s="14">
        <v>1.0</v>
      </c>
      <c r="F14983" s="15">
        <f>ROUND(0.3,3)</f>
        <v>0.3</v>
      </c>
      <c r="G14983" s="12">
        <f t="shared" ref="G14983:G14990" si="2301">ROUND(E14983*F14983,2)</f>
        <v>0.3</v>
      </c>
    </row>
    <row r="14984" ht="30.0" customHeight="1">
      <c r="A14984" s="10" t="s">
        <v>1382</v>
      </c>
      <c r="B14984" s="10" t="s">
        <v>42</v>
      </c>
      <c r="C14984" s="10" t="s">
        <v>184</v>
      </c>
      <c r="D14984" s="10" t="s">
        <v>1383</v>
      </c>
      <c r="E14984" s="14">
        <v>4.0</v>
      </c>
      <c r="F14984" s="15">
        <f>ROUND(1.47,3)</f>
        <v>1.47</v>
      </c>
      <c r="G14984" s="12">
        <f t="shared" si="2301"/>
        <v>5.88</v>
      </c>
    </row>
    <row r="14985" ht="39.75" customHeight="1">
      <c r="A14985" s="10" t="s">
        <v>1380</v>
      </c>
      <c r="B14985" s="10" t="s">
        <v>42</v>
      </c>
      <c r="C14985" s="10" t="s">
        <v>344</v>
      </c>
      <c r="D14985" s="10" t="s">
        <v>1381</v>
      </c>
      <c r="E14985" s="14">
        <v>0.15</v>
      </c>
      <c r="F14985" s="15">
        <f>ROUND(20.13,3)</f>
        <v>20.13</v>
      </c>
      <c r="G14985" s="12">
        <f t="shared" si="2301"/>
        <v>3.02</v>
      </c>
    </row>
    <row r="14986" ht="21.0" customHeight="1">
      <c r="A14986" s="10" t="s">
        <v>22</v>
      </c>
      <c r="B14986" s="10" t="s">
        <v>18</v>
      </c>
      <c r="C14986" s="10" t="s">
        <v>23</v>
      </c>
      <c r="D14986" s="10" t="s">
        <v>24</v>
      </c>
      <c r="E14986" s="14">
        <v>0.3</v>
      </c>
      <c r="F14986" s="15">
        <f>F14990</f>
        <v>43.8</v>
      </c>
      <c r="G14986" s="12">
        <f t="shared" si="2301"/>
        <v>13.14</v>
      </c>
    </row>
    <row r="14987" ht="24.0" customHeight="1">
      <c r="A14987" s="10" t="s">
        <v>25</v>
      </c>
      <c r="B14987" s="10" t="s">
        <v>26</v>
      </c>
      <c r="C14987" s="10" t="s">
        <v>23</v>
      </c>
      <c r="D14987" s="10" t="s">
        <v>27</v>
      </c>
      <c r="E14987" s="14">
        <v>1.0</v>
      </c>
      <c r="F14987" s="15">
        <f>ROUND(21,3)</f>
        <v>21</v>
      </c>
      <c r="G14987" s="12">
        <f t="shared" si="2301"/>
        <v>21</v>
      </c>
    </row>
    <row r="14988" ht="24.0" customHeight="1">
      <c r="A14988" s="10" t="s">
        <v>28</v>
      </c>
      <c r="B14988" s="10" t="s">
        <v>26</v>
      </c>
      <c r="C14988" s="10" t="s">
        <v>23</v>
      </c>
      <c r="D14988" s="10" t="s">
        <v>29</v>
      </c>
      <c r="E14988" s="14">
        <v>1.0</v>
      </c>
      <c r="F14988" s="15">
        <f t="shared" ref="F14988:F14989" si="2302">ROUND(19,3)</f>
        <v>19</v>
      </c>
      <c r="G14988" s="12">
        <f t="shared" si="2301"/>
        <v>19</v>
      </c>
    </row>
    <row r="14989" ht="24.0" customHeight="1">
      <c r="A14989" s="10" t="s">
        <v>30</v>
      </c>
      <c r="B14989" s="10" t="s">
        <v>26</v>
      </c>
      <c r="C14989" s="10" t="s">
        <v>23</v>
      </c>
      <c r="D14989" s="10" t="s">
        <v>31</v>
      </c>
      <c r="E14989" s="14">
        <v>0.2</v>
      </c>
      <c r="F14989" s="15">
        <f t="shared" si="2302"/>
        <v>19</v>
      </c>
      <c r="G14989" s="12">
        <f t="shared" si="2301"/>
        <v>3.8</v>
      </c>
    </row>
    <row r="14990" ht="15.0" customHeight="1">
      <c r="A14990" s="11"/>
      <c r="B14990" s="11"/>
      <c r="C14990" s="11"/>
      <c r="D14990" s="10" t="s">
        <v>22</v>
      </c>
      <c r="E14990" s="14">
        <v>0.3</v>
      </c>
      <c r="F14990" s="15">
        <f>ROUND((G14987+G14988+G14989),3)</f>
        <v>43.8</v>
      </c>
      <c r="G14990" s="12">
        <f t="shared" si="2301"/>
        <v>13.14</v>
      </c>
    </row>
    <row r="14991" ht="15.0" customHeight="1">
      <c r="A14991" s="10" t="s">
        <v>32</v>
      </c>
      <c r="B14991" s="10"/>
      <c r="C14991" s="10" t="s">
        <v>33</v>
      </c>
      <c r="D14991" s="10" t="s">
        <v>34</v>
      </c>
      <c r="E14991" s="14">
        <v>3.0</v>
      </c>
      <c r="F14991" s="15">
        <f>ROUND(13.14,3)</f>
        <v>13.14</v>
      </c>
      <c r="G14991" s="12">
        <f>ROUND((E14991*F14991)/100,2)</f>
        <v>0.39</v>
      </c>
    </row>
    <row r="14992" ht="15.0" customHeight="1">
      <c r="A14992" s="16"/>
      <c r="B14992" s="16"/>
      <c r="C14992" s="16"/>
      <c r="D14992" s="17" t="s">
        <v>3708</v>
      </c>
      <c r="E14992" s="16"/>
      <c r="F14992" s="18">
        <f>ROUND((G14983+G14984+G14985+G14986+G14991)*(1+G2/100),2)</f>
        <v>22.73</v>
      </c>
      <c r="G14992" s="16"/>
    </row>
    <row r="14993" ht="21.0" customHeight="1">
      <c r="A14993" s="19" t="s">
        <v>3281</v>
      </c>
      <c r="B14993" s="20" t="s">
        <v>18</v>
      </c>
      <c r="C14993" s="20" t="s">
        <v>222</v>
      </c>
      <c r="D14993" s="20" t="s">
        <v>3282</v>
      </c>
      <c r="E14993" s="21"/>
      <c r="F14993" s="22">
        <f>F14996</f>
        <v>792</v>
      </c>
      <c r="G14993" s="21"/>
    </row>
    <row r="14994" ht="48.75" customHeight="1">
      <c r="A14994" s="11"/>
      <c r="B14994" s="11"/>
      <c r="C14994" s="11"/>
      <c r="D14994" s="10" t="s">
        <v>3283</v>
      </c>
    </row>
    <row r="14995" ht="24.0" customHeight="1">
      <c r="A14995" s="10" t="s">
        <v>1186</v>
      </c>
      <c r="B14995" s="10" t="s">
        <v>26</v>
      </c>
      <c r="C14995" s="10" t="s">
        <v>23</v>
      </c>
      <c r="D14995" s="10" t="s">
        <v>1187</v>
      </c>
      <c r="E14995" s="14">
        <v>16.0</v>
      </c>
      <c r="F14995" s="15">
        <f>ROUND(49.5,3)</f>
        <v>49.5</v>
      </c>
      <c r="G14995" s="12">
        <f>ROUND(E14995*F14995,2)</f>
        <v>792</v>
      </c>
    </row>
    <row r="14996" ht="15.0" customHeight="1">
      <c r="A14996" s="16"/>
      <c r="B14996" s="16"/>
      <c r="C14996" s="16"/>
      <c r="D14996" s="17" t="s">
        <v>3281</v>
      </c>
      <c r="E14996" s="16"/>
      <c r="F14996" s="18">
        <f>ROUND((G14995)*(1+G2/100),2)</f>
        <v>792</v>
      </c>
      <c r="G14996" s="16"/>
    </row>
    <row r="14997" ht="39.75" customHeight="1">
      <c r="A14997" s="19" t="s">
        <v>6093</v>
      </c>
      <c r="B14997" s="20" t="s">
        <v>18</v>
      </c>
      <c r="C14997" s="20" t="s">
        <v>231</v>
      </c>
      <c r="D14997" s="20" t="s">
        <v>6094</v>
      </c>
      <c r="E14997" s="21"/>
      <c r="F14997" s="22">
        <f>F15023</f>
        <v>467.6</v>
      </c>
      <c r="G14997" s="21"/>
    </row>
    <row r="14998" ht="30.0" customHeight="1">
      <c r="A14998" s="11"/>
      <c r="B14998" s="11"/>
      <c r="C14998" s="11"/>
      <c r="D14998" s="10" t="s">
        <v>6095</v>
      </c>
    </row>
    <row r="14999" ht="30.0" customHeight="1">
      <c r="A14999" s="10" t="s">
        <v>1382</v>
      </c>
      <c r="B14999" s="10" t="s">
        <v>42</v>
      </c>
      <c r="C14999" s="10" t="s">
        <v>184</v>
      </c>
      <c r="D14999" s="10" t="s">
        <v>1383</v>
      </c>
      <c r="E14999" s="14">
        <v>10.0</v>
      </c>
      <c r="F14999" s="15">
        <f>ROUND(1.47,3)</f>
        <v>1.47</v>
      </c>
      <c r="G14999" s="12">
        <f t="shared" ref="G14999:G15015" si="2303">ROUND(E14999*F14999,2)</f>
        <v>14.7</v>
      </c>
    </row>
    <row r="15000" ht="30.0" customHeight="1">
      <c r="A15000" s="10" t="s">
        <v>233</v>
      </c>
      <c r="B15000" s="10" t="s">
        <v>42</v>
      </c>
      <c r="C15000" s="10" t="s">
        <v>231</v>
      </c>
      <c r="D15000" s="10" t="s">
        <v>234</v>
      </c>
      <c r="E15000" s="14">
        <v>1.5</v>
      </c>
      <c r="F15000" s="15">
        <f>ROUND(23.46,3)</f>
        <v>23.46</v>
      </c>
      <c r="G15000" s="12">
        <f t="shared" si="2303"/>
        <v>35.19</v>
      </c>
    </row>
    <row r="15001" ht="39.75" customHeight="1">
      <c r="A15001" s="10" t="s">
        <v>5352</v>
      </c>
      <c r="B15001" s="10" t="s">
        <v>42</v>
      </c>
      <c r="C15001" s="10" t="s">
        <v>43</v>
      </c>
      <c r="D15001" s="10" t="s">
        <v>5353</v>
      </c>
      <c r="E15001" s="14">
        <v>0.23</v>
      </c>
      <c r="F15001" s="15">
        <f>ROUND(27.05,3)</f>
        <v>27.05</v>
      </c>
      <c r="G15001" s="12">
        <f t="shared" si="2303"/>
        <v>6.22</v>
      </c>
    </row>
    <row r="15002" ht="39.75" customHeight="1">
      <c r="A15002" s="10" t="s">
        <v>6096</v>
      </c>
      <c r="B15002" s="10" t="s">
        <v>42</v>
      </c>
      <c r="C15002" s="10" t="s">
        <v>43</v>
      </c>
      <c r="D15002" s="10" t="s">
        <v>6097</v>
      </c>
      <c r="E15002" s="14">
        <v>0.5</v>
      </c>
      <c r="F15002" s="15">
        <f>ROUND(8.53,3)</f>
        <v>8.53</v>
      </c>
      <c r="G15002" s="12">
        <f t="shared" si="2303"/>
        <v>4.27</v>
      </c>
    </row>
    <row r="15003" ht="30.0" customHeight="1">
      <c r="A15003" s="10" t="s">
        <v>769</v>
      </c>
      <c r="B15003" s="10" t="s">
        <v>18</v>
      </c>
      <c r="C15003" s="10" t="s">
        <v>23</v>
      </c>
      <c r="D15003" s="10" t="s">
        <v>770</v>
      </c>
      <c r="E15003" s="14">
        <v>4.0</v>
      </c>
      <c r="F15003" s="15">
        <f>F15005</f>
        <v>5.7</v>
      </c>
      <c r="G15003" s="12">
        <f t="shared" si="2303"/>
        <v>22.8</v>
      </c>
    </row>
    <row r="15004" ht="30.0" customHeight="1">
      <c r="A15004" s="10" t="s">
        <v>771</v>
      </c>
      <c r="B15004" s="10" t="s">
        <v>112</v>
      </c>
      <c r="C15004" s="10" t="s">
        <v>231</v>
      </c>
      <c r="D15004" s="10" t="s">
        <v>772</v>
      </c>
      <c r="E15004" s="14">
        <v>0.00417</v>
      </c>
      <c r="F15004" s="15">
        <f>ROUND(1366.23,3)</f>
        <v>1366.23</v>
      </c>
      <c r="G15004" s="12">
        <f t="shared" si="2303"/>
        <v>5.7</v>
      </c>
    </row>
    <row r="15005" ht="15.0" customHeight="1">
      <c r="A15005" s="11"/>
      <c r="B15005" s="11"/>
      <c r="C15005" s="11"/>
      <c r="D15005" s="10" t="s">
        <v>769</v>
      </c>
      <c r="E15005" s="14">
        <v>4.0</v>
      </c>
      <c r="F15005" s="15">
        <f>ROUND((G15004),3)</f>
        <v>5.7</v>
      </c>
      <c r="G15005" s="12">
        <f t="shared" si="2303"/>
        <v>22.8</v>
      </c>
    </row>
    <row r="15006" ht="21.0" customHeight="1">
      <c r="A15006" s="10" t="s">
        <v>22</v>
      </c>
      <c r="B15006" s="10" t="s">
        <v>18</v>
      </c>
      <c r="C15006" s="10" t="s">
        <v>23</v>
      </c>
      <c r="D15006" s="10" t="s">
        <v>24</v>
      </c>
      <c r="E15006" s="14">
        <v>8.0</v>
      </c>
      <c r="F15006" s="15">
        <f>F15010</f>
        <v>43.8</v>
      </c>
      <c r="G15006" s="12">
        <f t="shared" si="2303"/>
        <v>350.4</v>
      </c>
    </row>
    <row r="15007" ht="24.0" customHeight="1">
      <c r="A15007" s="10" t="s">
        <v>25</v>
      </c>
      <c r="B15007" s="10" t="s">
        <v>26</v>
      </c>
      <c r="C15007" s="10" t="s">
        <v>23</v>
      </c>
      <c r="D15007" s="10" t="s">
        <v>27</v>
      </c>
      <c r="E15007" s="14">
        <v>1.0</v>
      </c>
      <c r="F15007" s="15">
        <f>ROUND(21,3)</f>
        <v>21</v>
      </c>
      <c r="G15007" s="12">
        <f t="shared" si="2303"/>
        <v>21</v>
      </c>
    </row>
    <row r="15008" ht="24.0" customHeight="1">
      <c r="A15008" s="10" t="s">
        <v>28</v>
      </c>
      <c r="B15008" s="10" t="s">
        <v>26</v>
      </c>
      <c r="C15008" s="10" t="s">
        <v>23</v>
      </c>
      <c r="D15008" s="10" t="s">
        <v>29</v>
      </c>
      <c r="E15008" s="14">
        <v>1.0</v>
      </c>
      <c r="F15008" s="15">
        <f t="shared" ref="F15008:F15009" si="2304">ROUND(19,3)</f>
        <v>19</v>
      </c>
      <c r="G15008" s="12">
        <f t="shared" si="2303"/>
        <v>19</v>
      </c>
    </row>
    <row r="15009" ht="24.0" customHeight="1">
      <c r="A15009" s="10" t="s">
        <v>30</v>
      </c>
      <c r="B15009" s="10" t="s">
        <v>26</v>
      </c>
      <c r="C15009" s="10" t="s">
        <v>23</v>
      </c>
      <c r="D15009" s="10" t="s">
        <v>31</v>
      </c>
      <c r="E15009" s="14">
        <v>0.2</v>
      </c>
      <c r="F15009" s="15">
        <f t="shared" si="2304"/>
        <v>19</v>
      </c>
      <c r="G15009" s="12">
        <f t="shared" si="2303"/>
        <v>3.8</v>
      </c>
    </row>
    <row r="15010" ht="15.0" customHeight="1">
      <c r="A15010" s="11"/>
      <c r="B15010" s="11"/>
      <c r="C15010" s="11"/>
      <c r="D15010" s="10" t="s">
        <v>22</v>
      </c>
      <c r="E15010" s="14">
        <v>8.0</v>
      </c>
      <c r="F15010" s="15">
        <f>ROUND((G15007+G15008+G15009),3)</f>
        <v>43.8</v>
      </c>
      <c r="G15010" s="12">
        <f t="shared" si="2303"/>
        <v>350.4</v>
      </c>
    </row>
    <row r="15011" ht="21.0" customHeight="1">
      <c r="A15011" s="10" t="s">
        <v>1416</v>
      </c>
      <c r="B15011" s="10" t="s">
        <v>18</v>
      </c>
      <c r="C15011" s="10" t="s">
        <v>23</v>
      </c>
      <c r="D15011" s="10" t="s">
        <v>1417</v>
      </c>
      <c r="E15011" s="14">
        <v>0.25</v>
      </c>
      <c r="F15011" s="15">
        <f>F15015</f>
        <v>43.8</v>
      </c>
      <c r="G15011" s="12">
        <f t="shared" si="2303"/>
        <v>10.95</v>
      </c>
    </row>
    <row r="15012" ht="24.0" customHeight="1">
      <c r="A15012" s="10" t="s">
        <v>1418</v>
      </c>
      <c r="B15012" s="10" t="s">
        <v>26</v>
      </c>
      <c r="C15012" s="10" t="s">
        <v>23</v>
      </c>
      <c r="D15012" s="10" t="s">
        <v>1419</v>
      </c>
      <c r="E15012" s="14">
        <v>1.0</v>
      </c>
      <c r="F15012" s="15">
        <f>ROUND(21,3)</f>
        <v>21</v>
      </c>
      <c r="G15012" s="12">
        <f t="shared" si="2303"/>
        <v>21</v>
      </c>
    </row>
    <row r="15013" ht="24.0" customHeight="1">
      <c r="A15013" s="10" t="s">
        <v>1420</v>
      </c>
      <c r="B15013" s="10" t="s">
        <v>26</v>
      </c>
      <c r="C15013" s="10" t="s">
        <v>23</v>
      </c>
      <c r="D15013" s="10" t="s">
        <v>1421</v>
      </c>
      <c r="E15013" s="14">
        <v>1.0</v>
      </c>
      <c r="F15013" s="15">
        <f t="shared" ref="F15013:F15014" si="2305">ROUND(19,3)</f>
        <v>19</v>
      </c>
      <c r="G15013" s="12">
        <f t="shared" si="2303"/>
        <v>19</v>
      </c>
    </row>
    <row r="15014" ht="24.0" customHeight="1">
      <c r="A15014" s="10" t="s">
        <v>30</v>
      </c>
      <c r="B15014" s="10" t="s">
        <v>26</v>
      </c>
      <c r="C15014" s="10" t="s">
        <v>23</v>
      </c>
      <c r="D15014" s="10" t="s">
        <v>31</v>
      </c>
      <c r="E15014" s="14">
        <v>0.2</v>
      </c>
      <c r="F15014" s="15">
        <f t="shared" si="2305"/>
        <v>19</v>
      </c>
      <c r="G15014" s="12">
        <f t="shared" si="2303"/>
        <v>3.8</v>
      </c>
    </row>
    <row r="15015" ht="15.0" customHeight="1">
      <c r="A15015" s="11"/>
      <c r="B15015" s="11"/>
      <c r="C15015" s="11"/>
      <c r="D15015" s="10" t="s">
        <v>1416</v>
      </c>
      <c r="E15015" s="14">
        <v>0.25</v>
      </c>
      <c r="F15015" s="15">
        <f>ROUND((G15012+G15013+G15014),3)</f>
        <v>43.8</v>
      </c>
      <c r="G15015" s="12">
        <f t="shared" si="2303"/>
        <v>10.95</v>
      </c>
    </row>
    <row r="15016" ht="15.0" customHeight="1">
      <c r="A15016" s="10" t="s">
        <v>32</v>
      </c>
      <c r="B15016" s="10"/>
      <c r="C15016" s="10" t="s">
        <v>33</v>
      </c>
      <c r="D15016" s="10" t="s">
        <v>34</v>
      </c>
      <c r="E15016" s="14">
        <v>3.0</v>
      </c>
      <c r="F15016" s="15">
        <f>ROUND(361.35,3)</f>
        <v>361.35</v>
      </c>
      <c r="G15016" s="12">
        <f>ROUND((E15016*F15016)/100,2)</f>
        <v>10.84</v>
      </c>
    </row>
    <row r="15017" ht="24.0" customHeight="1">
      <c r="A15017" s="10" t="s">
        <v>1367</v>
      </c>
      <c r="B15017" s="10" t="s">
        <v>18</v>
      </c>
      <c r="C15017" s="10" t="s">
        <v>1181</v>
      </c>
      <c r="D15017" s="10" t="s">
        <v>1368</v>
      </c>
      <c r="E15017" s="14">
        <v>0.21825</v>
      </c>
      <c r="F15017" s="15">
        <f>F15022</f>
        <v>56.03</v>
      </c>
      <c r="G15017" s="12">
        <f t="shared" ref="G15017:G15020" si="2306">ROUND(E15017*F15017,2)</f>
        <v>12.23</v>
      </c>
    </row>
    <row r="15018" ht="15.0" customHeight="1">
      <c r="A15018" s="10" t="s">
        <v>365</v>
      </c>
      <c r="B15018" s="10" t="s">
        <v>42</v>
      </c>
      <c r="C15018" s="10" t="s">
        <v>184</v>
      </c>
      <c r="D15018" s="10" t="s">
        <v>366</v>
      </c>
      <c r="E15018" s="14">
        <v>1.0</v>
      </c>
      <c r="F15018" s="15">
        <f>ROUND(32,3)</f>
        <v>32</v>
      </c>
      <c r="G15018" s="12">
        <f t="shared" si="2306"/>
        <v>32</v>
      </c>
    </row>
    <row r="15019" ht="30.0" customHeight="1">
      <c r="A15019" s="10" t="s">
        <v>363</v>
      </c>
      <c r="B15019" s="10" t="s">
        <v>42</v>
      </c>
      <c r="C15019" s="10" t="s">
        <v>231</v>
      </c>
      <c r="D15019" s="10" t="s">
        <v>364</v>
      </c>
      <c r="E15019" s="14">
        <v>10.66667</v>
      </c>
      <c r="F15019" s="15">
        <f>ROUND(0.17,3)</f>
        <v>0.17</v>
      </c>
      <c r="G15019" s="12">
        <f t="shared" si="2306"/>
        <v>1.81</v>
      </c>
    </row>
    <row r="15020" ht="21.0" customHeight="1">
      <c r="A15020" s="10" t="s">
        <v>22</v>
      </c>
      <c r="B15020" s="10" t="s">
        <v>18</v>
      </c>
      <c r="C15020" s="10" t="s">
        <v>23</v>
      </c>
      <c r="D15020" s="10" t="s">
        <v>24</v>
      </c>
      <c r="E15020" s="14">
        <v>0.5</v>
      </c>
      <c r="F15020" s="15">
        <f>ROUND(43.8,3)</f>
        <v>43.8</v>
      </c>
      <c r="G15020" s="12">
        <f t="shared" si="2306"/>
        <v>21.9</v>
      </c>
    </row>
    <row r="15021" ht="15.0" customHeight="1">
      <c r="A15021" s="10" t="s">
        <v>1369</v>
      </c>
      <c r="B15021" s="10"/>
      <c r="C15021" s="10" t="s">
        <v>33</v>
      </c>
      <c r="D15021" s="10" t="s">
        <v>1370</v>
      </c>
      <c r="E15021" s="14">
        <v>1.0</v>
      </c>
      <c r="F15021" s="15">
        <f>ROUND(32,3)</f>
        <v>32</v>
      </c>
      <c r="G15021" s="12">
        <f>ROUND((E15021*F15021)/100,2)</f>
        <v>0.32</v>
      </c>
    </row>
    <row r="15022" ht="15.0" customHeight="1">
      <c r="A15022" s="11"/>
      <c r="B15022" s="11"/>
      <c r="C15022" s="11"/>
      <c r="D15022" s="10" t="s">
        <v>1367</v>
      </c>
      <c r="E15022" s="14">
        <v>0.21825</v>
      </c>
      <c r="F15022" s="15">
        <f>ROUND((G15018+G15019+G15020+G15021),3)</f>
        <v>56.03</v>
      </c>
      <c r="G15022" s="12">
        <f>ROUND(E15022*F15022,2)</f>
        <v>12.23</v>
      </c>
    </row>
    <row r="15023" ht="15.0" customHeight="1">
      <c r="A15023" s="16"/>
      <c r="B15023" s="16"/>
      <c r="C15023" s="16"/>
      <c r="D15023" s="17" t="s">
        <v>6093</v>
      </c>
      <c r="E15023" s="16"/>
      <c r="F15023" s="18">
        <f>ROUND((G14999+G15000+G15001+G15002+G15003+G15006+G15011+G15016+G15017)*(1+G2/100),2)</f>
        <v>467.6</v>
      </c>
      <c r="G15023" s="16"/>
    </row>
    <row r="15024" ht="21.0" customHeight="1">
      <c r="A15024" s="19" t="s">
        <v>6098</v>
      </c>
      <c r="B15024" s="20" t="s">
        <v>18</v>
      </c>
      <c r="C15024" s="20" t="s">
        <v>222</v>
      </c>
      <c r="D15024" s="20" t="s">
        <v>6099</v>
      </c>
      <c r="E15024" s="21"/>
      <c r="F15024" s="22">
        <f>F15027</f>
        <v>148.5</v>
      </c>
      <c r="G15024" s="21"/>
    </row>
    <row r="15025" ht="30.0" customHeight="1">
      <c r="A15025" s="11"/>
      <c r="B15025" s="11"/>
      <c r="C15025" s="11"/>
      <c r="D15025" s="10" t="s">
        <v>6100</v>
      </c>
    </row>
    <row r="15026" ht="24.0" customHeight="1">
      <c r="A15026" s="10" t="s">
        <v>1186</v>
      </c>
      <c r="B15026" s="10" t="s">
        <v>26</v>
      </c>
      <c r="C15026" s="10" t="s">
        <v>23</v>
      </c>
      <c r="D15026" s="10" t="s">
        <v>1187</v>
      </c>
      <c r="E15026" s="14">
        <v>3.0</v>
      </c>
      <c r="F15026" s="15">
        <f>ROUND(49.5,3)</f>
        <v>49.5</v>
      </c>
      <c r="G15026" s="12">
        <f>ROUND(E15026*F15026,2)</f>
        <v>148.5</v>
      </c>
    </row>
    <row r="15027" ht="15.0" customHeight="1">
      <c r="A15027" s="16"/>
      <c r="B15027" s="16"/>
      <c r="C15027" s="16"/>
      <c r="D15027" s="17" t="s">
        <v>6098</v>
      </c>
      <c r="E15027" s="16"/>
      <c r="F15027" s="18">
        <f>ROUND((G15026)*(1+G2/100),2)</f>
        <v>148.5</v>
      </c>
      <c r="G15027" s="16"/>
    </row>
    <row r="15028" ht="21.0" customHeight="1">
      <c r="A15028" s="19" t="s">
        <v>6101</v>
      </c>
      <c r="B15028" s="20" t="s">
        <v>18</v>
      </c>
      <c r="C15028" s="20" t="s">
        <v>222</v>
      </c>
      <c r="D15028" s="20" t="s">
        <v>6102</v>
      </c>
      <c r="E15028" s="21"/>
      <c r="F15028" s="22">
        <f>F15033</f>
        <v>117.22</v>
      </c>
      <c r="G15028" s="21"/>
    </row>
    <row r="15029" ht="30.0" customHeight="1">
      <c r="A15029" s="11"/>
      <c r="B15029" s="11"/>
      <c r="C15029" s="11"/>
      <c r="D15029" s="10" t="s">
        <v>6103</v>
      </c>
    </row>
    <row r="15030" ht="21.0" customHeight="1">
      <c r="A15030" s="10" t="s">
        <v>6104</v>
      </c>
      <c r="B15030" s="10" t="s">
        <v>42</v>
      </c>
      <c r="C15030" s="10" t="s">
        <v>304</v>
      </c>
      <c r="D15030" s="10" t="s">
        <v>6105</v>
      </c>
      <c r="E15030" s="14">
        <v>1.0</v>
      </c>
      <c r="F15030" s="15">
        <f>ROUND(11.72,3)</f>
        <v>11.72</v>
      </c>
      <c r="G15030" s="12">
        <f t="shared" ref="G15030:G15032" si="2307">ROUND(E15030*F15030,2)</f>
        <v>11.72</v>
      </c>
    </row>
    <row r="15031" ht="21.0" customHeight="1">
      <c r="A15031" s="10" t="s">
        <v>6106</v>
      </c>
      <c r="B15031" s="10" t="s">
        <v>42</v>
      </c>
      <c r="C15031" s="10" t="s">
        <v>1207</v>
      </c>
      <c r="D15031" s="10" t="s">
        <v>6107</v>
      </c>
      <c r="E15031" s="14">
        <v>50.0</v>
      </c>
      <c r="F15031" s="15">
        <f>ROUND(0.13,3)</f>
        <v>0.13</v>
      </c>
      <c r="G15031" s="12">
        <f t="shared" si="2307"/>
        <v>6.5</v>
      </c>
    </row>
    <row r="15032" ht="24.0" customHeight="1">
      <c r="A15032" s="10" t="s">
        <v>1186</v>
      </c>
      <c r="B15032" s="10" t="s">
        <v>26</v>
      </c>
      <c r="C15032" s="10" t="s">
        <v>23</v>
      </c>
      <c r="D15032" s="10" t="s">
        <v>1187</v>
      </c>
      <c r="E15032" s="14">
        <v>2.0</v>
      </c>
      <c r="F15032" s="15">
        <f>ROUND(49.5,3)</f>
        <v>49.5</v>
      </c>
      <c r="G15032" s="12">
        <f t="shared" si="2307"/>
        <v>99</v>
      </c>
    </row>
    <row r="15033" ht="15.0" customHeight="1">
      <c r="A15033" s="16"/>
      <c r="B15033" s="16"/>
      <c r="C15033" s="16"/>
      <c r="D15033" s="17" t="s">
        <v>6101</v>
      </c>
      <c r="E15033" s="16"/>
      <c r="F15033" s="18">
        <f>ROUND((G15030+G15031+G15032)*(1+G2/100),2)</f>
        <v>117.22</v>
      </c>
      <c r="G15033" s="16"/>
    </row>
    <row r="15034" ht="39.75" customHeight="1">
      <c r="A15034" s="19" t="s">
        <v>6108</v>
      </c>
      <c r="B15034" s="20" t="s">
        <v>18</v>
      </c>
      <c r="C15034" s="20" t="s">
        <v>19</v>
      </c>
      <c r="D15034" s="20" t="s">
        <v>6109</v>
      </c>
      <c r="E15034" s="21"/>
      <c r="F15034" s="22">
        <f>F15045</f>
        <v>33.32</v>
      </c>
      <c r="G15034" s="21"/>
    </row>
    <row r="15035" ht="21.0" customHeight="1">
      <c r="A15035" s="11"/>
      <c r="B15035" s="11"/>
      <c r="C15035" s="11"/>
      <c r="D15035" s="10" t="s">
        <v>6109</v>
      </c>
    </row>
    <row r="15036" ht="39.75" customHeight="1">
      <c r="A15036" s="10" t="s">
        <v>2640</v>
      </c>
      <c r="B15036" s="10" t="s">
        <v>42</v>
      </c>
      <c r="C15036" s="10" t="s">
        <v>184</v>
      </c>
      <c r="D15036" s="10" t="s">
        <v>2641</v>
      </c>
      <c r="E15036" s="14">
        <v>1.44</v>
      </c>
      <c r="F15036" s="15">
        <f>ROUND(2.6,3)</f>
        <v>2.6</v>
      </c>
      <c r="G15036" s="12">
        <f t="shared" ref="G15036:G15043" si="2308">ROUND(E15036*F15036,2)</f>
        <v>3.74</v>
      </c>
    </row>
    <row r="15037" ht="30.0" customHeight="1">
      <c r="A15037" s="10" t="s">
        <v>3988</v>
      </c>
      <c r="B15037" s="10" t="s">
        <v>42</v>
      </c>
      <c r="C15037" s="10" t="s">
        <v>184</v>
      </c>
      <c r="D15037" s="10" t="s">
        <v>3989</v>
      </c>
      <c r="E15037" s="14">
        <v>0.42</v>
      </c>
      <c r="F15037" s="15">
        <f>ROUND(41.6,3)</f>
        <v>41.6</v>
      </c>
      <c r="G15037" s="12">
        <f t="shared" si="2308"/>
        <v>17.47</v>
      </c>
    </row>
    <row r="15038" ht="30.0" customHeight="1">
      <c r="A15038" s="10" t="s">
        <v>1227</v>
      </c>
      <c r="B15038" s="10" t="s">
        <v>42</v>
      </c>
      <c r="C15038" s="10" t="s">
        <v>226</v>
      </c>
      <c r="D15038" s="10" t="s">
        <v>1228</v>
      </c>
      <c r="E15038" s="14">
        <v>0.022</v>
      </c>
      <c r="F15038" s="15">
        <f>ROUND(27.5,3)</f>
        <v>27.5</v>
      </c>
      <c r="G15038" s="12">
        <f t="shared" si="2308"/>
        <v>0.61</v>
      </c>
    </row>
    <row r="15039" ht="21.0" customHeight="1">
      <c r="A15039" s="10" t="s">
        <v>22</v>
      </c>
      <c r="B15039" s="10" t="s">
        <v>18</v>
      </c>
      <c r="C15039" s="10" t="s">
        <v>23</v>
      </c>
      <c r="D15039" s="10" t="s">
        <v>24</v>
      </c>
      <c r="E15039" s="14">
        <v>0.25</v>
      </c>
      <c r="F15039" s="15">
        <f>F15043</f>
        <v>43.8</v>
      </c>
      <c r="G15039" s="12">
        <f t="shared" si="2308"/>
        <v>10.95</v>
      </c>
    </row>
    <row r="15040" ht="24.0" customHeight="1">
      <c r="A15040" s="10" t="s">
        <v>25</v>
      </c>
      <c r="B15040" s="10" t="s">
        <v>26</v>
      </c>
      <c r="C15040" s="10" t="s">
        <v>23</v>
      </c>
      <c r="D15040" s="10" t="s">
        <v>27</v>
      </c>
      <c r="E15040" s="14">
        <v>1.0</v>
      </c>
      <c r="F15040" s="15">
        <f>ROUND(21,3)</f>
        <v>21</v>
      </c>
      <c r="G15040" s="12">
        <f t="shared" si="2308"/>
        <v>21</v>
      </c>
    </row>
    <row r="15041" ht="24.0" customHeight="1">
      <c r="A15041" s="10" t="s">
        <v>28</v>
      </c>
      <c r="B15041" s="10" t="s">
        <v>26</v>
      </c>
      <c r="C15041" s="10" t="s">
        <v>23</v>
      </c>
      <c r="D15041" s="10" t="s">
        <v>29</v>
      </c>
      <c r="E15041" s="14">
        <v>1.0</v>
      </c>
      <c r="F15041" s="15">
        <f t="shared" ref="F15041:F15042" si="2309">ROUND(19,3)</f>
        <v>19</v>
      </c>
      <c r="G15041" s="12">
        <f t="shared" si="2308"/>
        <v>19</v>
      </c>
    </row>
    <row r="15042" ht="24.0" customHeight="1">
      <c r="A15042" s="10" t="s">
        <v>30</v>
      </c>
      <c r="B15042" s="10" t="s">
        <v>26</v>
      </c>
      <c r="C15042" s="10" t="s">
        <v>23</v>
      </c>
      <c r="D15042" s="10" t="s">
        <v>31</v>
      </c>
      <c r="E15042" s="14">
        <v>0.2</v>
      </c>
      <c r="F15042" s="15">
        <f t="shared" si="2309"/>
        <v>19</v>
      </c>
      <c r="G15042" s="12">
        <f t="shared" si="2308"/>
        <v>3.8</v>
      </c>
    </row>
    <row r="15043" ht="15.0" customHeight="1">
      <c r="A15043" s="11"/>
      <c r="B15043" s="11"/>
      <c r="C15043" s="11"/>
      <c r="D15043" s="10" t="s">
        <v>22</v>
      </c>
      <c r="E15043" s="14">
        <v>0.25</v>
      </c>
      <c r="F15043" s="15">
        <f>ROUND((G15040+G15041+G15042),3)</f>
        <v>43.8</v>
      </c>
      <c r="G15043" s="12">
        <f t="shared" si="2308"/>
        <v>10.95</v>
      </c>
    </row>
    <row r="15044" ht="15.0" customHeight="1">
      <c r="A15044" s="10" t="s">
        <v>32</v>
      </c>
      <c r="B15044" s="10"/>
      <c r="C15044" s="10" t="s">
        <v>33</v>
      </c>
      <c r="D15044" s="10" t="s">
        <v>34</v>
      </c>
      <c r="E15044" s="14">
        <v>5.0</v>
      </c>
      <c r="F15044" s="15">
        <f>ROUND(10.95,3)</f>
        <v>10.95</v>
      </c>
      <c r="G15044" s="12">
        <f>ROUND((E15044*F15044)/100,2)</f>
        <v>0.55</v>
      </c>
    </row>
    <row r="15045" ht="15.0" customHeight="1">
      <c r="A15045" s="16"/>
      <c r="B15045" s="16"/>
      <c r="C15045" s="16"/>
      <c r="D15045" s="17" t="s">
        <v>6108</v>
      </c>
      <c r="E15045" s="16"/>
      <c r="F15045" s="18">
        <f>ROUND((G15036+G15037+G15038+G15039+G15044)*(1+G2/100),2)</f>
        <v>33.32</v>
      </c>
      <c r="G15045" s="16"/>
    </row>
    <row r="15046" ht="30.0" customHeight="1">
      <c r="A15046" s="19" t="s">
        <v>6110</v>
      </c>
      <c r="B15046" s="20" t="s">
        <v>18</v>
      </c>
      <c r="C15046" s="20" t="s">
        <v>19</v>
      </c>
      <c r="D15046" s="20" t="s">
        <v>6111</v>
      </c>
      <c r="E15046" s="21"/>
      <c r="F15046" s="22">
        <f>F15056</f>
        <v>28.36</v>
      </c>
      <c r="G15046" s="21"/>
    </row>
    <row r="15047" ht="21.0" customHeight="1">
      <c r="A15047" s="11"/>
      <c r="B15047" s="11"/>
      <c r="C15047" s="11"/>
      <c r="D15047" s="10" t="s">
        <v>6111</v>
      </c>
    </row>
    <row r="15048" ht="21.0" customHeight="1">
      <c r="A15048" s="10" t="s">
        <v>2261</v>
      </c>
      <c r="B15048" s="10" t="s">
        <v>42</v>
      </c>
      <c r="C15048" s="10" t="s">
        <v>344</v>
      </c>
      <c r="D15048" s="10" t="s">
        <v>2262</v>
      </c>
      <c r="E15048" s="14">
        <v>7.5</v>
      </c>
      <c r="F15048" s="15">
        <f>ROUND(0.59,3)</f>
        <v>0.59</v>
      </c>
      <c r="G15048" s="12">
        <f t="shared" ref="G15048:G15054" si="2310">ROUND(E15048*F15048,2)</f>
        <v>4.43</v>
      </c>
    </row>
    <row r="15049" ht="39.75" customHeight="1">
      <c r="A15049" s="10" t="s">
        <v>2640</v>
      </c>
      <c r="B15049" s="10" t="s">
        <v>42</v>
      </c>
      <c r="C15049" s="10" t="s">
        <v>184</v>
      </c>
      <c r="D15049" s="10" t="s">
        <v>2641</v>
      </c>
      <c r="E15049" s="14">
        <v>0.35784</v>
      </c>
      <c r="F15049" s="15">
        <f>ROUND(2.6,3)</f>
        <v>2.6</v>
      </c>
      <c r="G15049" s="12">
        <f t="shared" si="2310"/>
        <v>0.93</v>
      </c>
    </row>
    <row r="15050" ht="21.0" customHeight="1">
      <c r="A15050" s="10" t="s">
        <v>22</v>
      </c>
      <c r="B15050" s="10" t="s">
        <v>18</v>
      </c>
      <c r="C15050" s="10" t="s">
        <v>23</v>
      </c>
      <c r="D15050" s="10" t="s">
        <v>24</v>
      </c>
      <c r="E15050" s="14">
        <v>0.5</v>
      </c>
      <c r="F15050" s="15">
        <f>F15054</f>
        <v>43.8</v>
      </c>
      <c r="G15050" s="12">
        <f t="shared" si="2310"/>
        <v>21.9</v>
      </c>
    </row>
    <row r="15051" ht="24.0" customHeight="1">
      <c r="A15051" s="10" t="s">
        <v>25</v>
      </c>
      <c r="B15051" s="10" t="s">
        <v>26</v>
      </c>
      <c r="C15051" s="10" t="s">
        <v>23</v>
      </c>
      <c r="D15051" s="10" t="s">
        <v>27</v>
      </c>
      <c r="E15051" s="14">
        <v>1.0</v>
      </c>
      <c r="F15051" s="15">
        <f>ROUND(21,3)</f>
        <v>21</v>
      </c>
      <c r="G15051" s="12">
        <f t="shared" si="2310"/>
        <v>21</v>
      </c>
    </row>
    <row r="15052" ht="24.0" customHeight="1">
      <c r="A15052" s="10" t="s">
        <v>28</v>
      </c>
      <c r="B15052" s="10" t="s">
        <v>26</v>
      </c>
      <c r="C15052" s="10" t="s">
        <v>23</v>
      </c>
      <c r="D15052" s="10" t="s">
        <v>29</v>
      </c>
      <c r="E15052" s="14">
        <v>1.0</v>
      </c>
      <c r="F15052" s="15">
        <f t="shared" ref="F15052:F15053" si="2311">ROUND(19,3)</f>
        <v>19</v>
      </c>
      <c r="G15052" s="12">
        <f t="shared" si="2310"/>
        <v>19</v>
      </c>
    </row>
    <row r="15053" ht="24.0" customHeight="1">
      <c r="A15053" s="10" t="s">
        <v>30</v>
      </c>
      <c r="B15053" s="10" t="s">
        <v>26</v>
      </c>
      <c r="C15053" s="10" t="s">
        <v>23</v>
      </c>
      <c r="D15053" s="10" t="s">
        <v>31</v>
      </c>
      <c r="E15053" s="14">
        <v>0.2</v>
      </c>
      <c r="F15053" s="15">
        <f t="shared" si="2311"/>
        <v>19</v>
      </c>
      <c r="G15053" s="12">
        <f t="shared" si="2310"/>
        <v>3.8</v>
      </c>
    </row>
    <row r="15054" ht="15.0" customHeight="1">
      <c r="A15054" s="11"/>
      <c r="B15054" s="11"/>
      <c r="C15054" s="11"/>
      <c r="D15054" s="10" t="s">
        <v>22</v>
      </c>
      <c r="E15054" s="14">
        <v>0.5</v>
      </c>
      <c r="F15054" s="15">
        <f>ROUND((G15051+G15052+G15053),3)</f>
        <v>43.8</v>
      </c>
      <c r="G15054" s="12">
        <f t="shared" si="2310"/>
        <v>21.9</v>
      </c>
    </row>
    <row r="15055" ht="15.0" customHeight="1">
      <c r="A15055" s="10" t="s">
        <v>32</v>
      </c>
      <c r="B15055" s="10"/>
      <c r="C15055" s="10" t="s">
        <v>33</v>
      </c>
      <c r="D15055" s="10" t="s">
        <v>34</v>
      </c>
      <c r="E15055" s="14">
        <v>5.0</v>
      </c>
      <c r="F15055" s="15">
        <f>ROUND(21.9,3)</f>
        <v>21.9</v>
      </c>
      <c r="G15055" s="12">
        <f>ROUND((E15055*F15055)/100,2)</f>
        <v>1.1</v>
      </c>
    </row>
    <row r="15056" ht="15.0" customHeight="1">
      <c r="A15056" s="16"/>
      <c r="B15056" s="16"/>
      <c r="C15056" s="16"/>
      <c r="D15056" s="17" t="s">
        <v>6110</v>
      </c>
      <c r="E15056" s="16"/>
      <c r="F15056" s="18">
        <f>ROUND((G15048+G15049+G15050+G15055)*(1+G2/100),2)</f>
        <v>28.36</v>
      </c>
      <c r="G15056" s="16"/>
    </row>
    <row r="15057" ht="30.0" customHeight="1">
      <c r="A15057" s="19" t="s">
        <v>6112</v>
      </c>
      <c r="B15057" s="20" t="s">
        <v>18</v>
      </c>
      <c r="C15057" s="20" t="s">
        <v>19</v>
      </c>
      <c r="D15057" s="20" t="s">
        <v>6113</v>
      </c>
      <c r="E15057" s="21"/>
      <c r="F15057" s="22">
        <f>ROUND(0*(1+G2/100),2)</f>
        <v>0</v>
      </c>
      <c r="G15057" s="21"/>
    </row>
    <row r="15058" ht="21.0" customHeight="1">
      <c r="A15058" s="11"/>
      <c r="B15058" s="11"/>
      <c r="C15058" s="11"/>
      <c r="D15058" s="10" t="s">
        <v>6113</v>
      </c>
    </row>
    <row r="15059" ht="24.75" customHeight="1">
      <c r="A15059" s="13" t="s">
        <v>6114</v>
      </c>
      <c r="B15059" s="10" t="s">
        <v>18</v>
      </c>
      <c r="C15059" s="10" t="s">
        <v>485</v>
      </c>
      <c r="D15059" s="10" t="s">
        <v>6115</v>
      </c>
      <c r="E15059" s="11"/>
      <c r="F15059" s="12">
        <f>F15073</f>
        <v>284.57</v>
      </c>
      <c r="G15059" s="11"/>
    </row>
    <row r="15060" ht="12.0" customHeight="1">
      <c r="A15060" s="11"/>
      <c r="B15060" s="11"/>
      <c r="C15060" s="11"/>
      <c r="D15060" s="10" t="s">
        <v>6115</v>
      </c>
    </row>
    <row r="15061" ht="30.0" customHeight="1">
      <c r="A15061" s="10" t="s">
        <v>748</v>
      </c>
      <c r="B15061" s="10" t="s">
        <v>112</v>
      </c>
      <c r="C15061" s="10" t="s">
        <v>23</v>
      </c>
      <c r="D15061" s="10" t="s">
        <v>749</v>
      </c>
      <c r="E15061" s="14">
        <v>2.0</v>
      </c>
      <c r="F15061" s="15">
        <f>ROUND(3.74,3)</f>
        <v>3.74</v>
      </c>
      <c r="G15061" s="12">
        <f t="shared" ref="G15061:G15071" si="2312">ROUND(E15061*F15061,2)</f>
        <v>7.48</v>
      </c>
    </row>
    <row r="15062" ht="39.75" customHeight="1">
      <c r="A15062" s="10" t="s">
        <v>953</v>
      </c>
      <c r="B15062" s="10" t="s">
        <v>112</v>
      </c>
      <c r="C15062" s="10" t="s">
        <v>23</v>
      </c>
      <c r="D15062" s="10" t="s">
        <v>954</v>
      </c>
      <c r="E15062" s="14">
        <v>2.0</v>
      </c>
      <c r="F15062" s="15">
        <f>ROUND(1.75,3)</f>
        <v>1.75</v>
      </c>
      <c r="G15062" s="12">
        <f t="shared" si="2312"/>
        <v>3.5</v>
      </c>
    </row>
    <row r="15063" ht="30.0" customHeight="1">
      <c r="A15063" s="10" t="s">
        <v>1793</v>
      </c>
      <c r="B15063" s="10" t="s">
        <v>42</v>
      </c>
      <c r="C15063" s="10" t="s">
        <v>956</v>
      </c>
      <c r="D15063" s="10" t="s">
        <v>1794</v>
      </c>
      <c r="E15063" s="14">
        <v>1.0</v>
      </c>
      <c r="F15063" s="15">
        <f>ROUND(8.81,3)</f>
        <v>8.81</v>
      </c>
      <c r="G15063" s="12">
        <f t="shared" si="2312"/>
        <v>8.81</v>
      </c>
    </row>
    <row r="15064" ht="39.75" customHeight="1">
      <c r="A15064" s="10" t="s">
        <v>2818</v>
      </c>
      <c r="B15064" s="10" t="s">
        <v>42</v>
      </c>
      <c r="C15064" s="10" t="s">
        <v>344</v>
      </c>
      <c r="D15064" s="10" t="s">
        <v>2819</v>
      </c>
      <c r="E15064" s="14">
        <v>7.0</v>
      </c>
      <c r="F15064" s="15">
        <f>ROUND(10.7,3)</f>
        <v>10.7</v>
      </c>
      <c r="G15064" s="12">
        <f t="shared" si="2312"/>
        <v>74.9</v>
      </c>
    </row>
    <row r="15065" ht="30.0" customHeight="1">
      <c r="A15065" s="10" t="s">
        <v>3804</v>
      </c>
      <c r="B15065" s="10" t="s">
        <v>42</v>
      </c>
      <c r="C15065" s="10" t="s">
        <v>184</v>
      </c>
      <c r="D15065" s="10" t="s">
        <v>3805</v>
      </c>
      <c r="E15065" s="14">
        <v>0.4</v>
      </c>
      <c r="F15065" s="15">
        <f>ROUND(8.35,3)</f>
        <v>8.35</v>
      </c>
      <c r="G15065" s="12">
        <f t="shared" si="2312"/>
        <v>3.34</v>
      </c>
    </row>
    <row r="15066" ht="30.0" customHeight="1">
      <c r="A15066" s="10" t="s">
        <v>2053</v>
      </c>
      <c r="B15066" s="10" t="s">
        <v>42</v>
      </c>
      <c r="C15066" s="10" t="s">
        <v>184</v>
      </c>
      <c r="D15066" s="10" t="s">
        <v>2054</v>
      </c>
      <c r="E15066" s="14">
        <v>0.22</v>
      </c>
      <c r="F15066" s="15">
        <f>ROUND(11.74,3)</f>
        <v>11.74</v>
      </c>
      <c r="G15066" s="12">
        <f t="shared" si="2312"/>
        <v>2.58</v>
      </c>
    </row>
    <row r="15067" ht="21.0" customHeight="1">
      <c r="A15067" s="10" t="s">
        <v>22</v>
      </c>
      <c r="B15067" s="10" t="s">
        <v>18</v>
      </c>
      <c r="C15067" s="10" t="s">
        <v>23</v>
      </c>
      <c r="D15067" s="10" t="s">
        <v>24</v>
      </c>
      <c r="E15067" s="14">
        <v>4.0</v>
      </c>
      <c r="F15067" s="15">
        <f>F15071</f>
        <v>43.8</v>
      </c>
      <c r="G15067" s="12">
        <f t="shared" si="2312"/>
        <v>175.2</v>
      </c>
    </row>
    <row r="15068" ht="24.0" customHeight="1">
      <c r="A15068" s="10" t="s">
        <v>25</v>
      </c>
      <c r="B15068" s="10" t="s">
        <v>26</v>
      </c>
      <c r="C15068" s="10" t="s">
        <v>23</v>
      </c>
      <c r="D15068" s="10" t="s">
        <v>27</v>
      </c>
      <c r="E15068" s="14">
        <v>1.0</v>
      </c>
      <c r="F15068" s="15">
        <f>ROUND(21,3)</f>
        <v>21</v>
      </c>
      <c r="G15068" s="12">
        <f t="shared" si="2312"/>
        <v>21</v>
      </c>
    </row>
    <row r="15069" ht="24.0" customHeight="1">
      <c r="A15069" s="10" t="s">
        <v>28</v>
      </c>
      <c r="B15069" s="10" t="s">
        <v>26</v>
      </c>
      <c r="C15069" s="10" t="s">
        <v>23</v>
      </c>
      <c r="D15069" s="10" t="s">
        <v>29</v>
      </c>
      <c r="E15069" s="14">
        <v>1.0</v>
      </c>
      <c r="F15069" s="15">
        <f t="shared" ref="F15069:F15070" si="2313">ROUND(19,3)</f>
        <v>19</v>
      </c>
      <c r="G15069" s="12">
        <f t="shared" si="2312"/>
        <v>19</v>
      </c>
    </row>
    <row r="15070" ht="24.0" customHeight="1">
      <c r="A15070" s="10" t="s">
        <v>30</v>
      </c>
      <c r="B15070" s="10" t="s">
        <v>26</v>
      </c>
      <c r="C15070" s="10" t="s">
        <v>23</v>
      </c>
      <c r="D15070" s="10" t="s">
        <v>31</v>
      </c>
      <c r="E15070" s="14">
        <v>0.2</v>
      </c>
      <c r="F15070" s="15">
        <f t="shared" si="2313"/>
        <v>19</v>
      </c>
      <c r="G15070" s="12">
        <f t="shared" si="2312"/>
        <v>3.8</v>
      </c>
    </row>
    <row r="15071" ht="15.0" customHeight="1">
      <c r="A15071" s="11"/>
      <c r="B15071" s="11"/>
      <c r="C15071" s="11"/>
      <c r="D15071" s="10" t="s">
        <v>22</v>
      </c>
      <c r="E15071" s="14">
        <v>4.0</v>
      </c>
      <c r="F15071" s="15">
        <f>ROUND((G15068+G15069+G15070),3)</f>
        <v>43.8</v>
      </c>
      <c r="G15071" s="12">
        <f t="shared" si="2312"/>
        <v>175.2</v>
      </c>
    </row>
    <row r="15072" ht="15.0" customHeight="1">
      <c r="A15072" s="10" t="s">
        <v>32</v>
      </c>
      <c r="B15072" s="10"/>
      <c r="C15072" s="10" t="s">
        <v>33</v>
      </c>
      <c r="D15072" s="10" t="s">
        <v>34</v>
      </c>
      <c r="E15072" s="14">
        <v>5.0</v>
      </c>
      <c r="F15072" s="15">
        <f>ROUND(175.2,3)</f>
        <v>175.2</v>
      </c>
      <c r="G15072" s="12">
        <f>ROUND((E15072*F15072)/100,2)</f>
        <v>8.76</v>
      </c>
    </row>
    <row r="15073" ht="15.0" customHeight="1">
      <c r="A15073" s="16"/>
      <c r="B15073" s="16"/>
      <c r="C15073" s="16"/>
      <c r="D15073" s="17" t="s">
        <v>6114</v>
      </c>
      <c r="E15073" s="16"/>
      <c r="F15073" s="18">
        <f>ROUND((G15061+G15062+G15063+G15064+G15065+G15066+G15067+G15072)*(1+G2/100),2)</f>
        <v>284.57</v>
      </c>
      <c r="G15073" s="16"/>
    </row>
    <row r="15074" ht="21.0" customHeight="1">
      <c r="A15074" s="19" t="s">
        <v>4881</v>
      </c>
      <c r="B15074" s="20" t="s">
        <v>18</v>
      </c>
      <c r="C15074" s="20" t="s">
        <v>251</v>
      </c>
      <c r="D15074" s="20" t="s">
        <v>4882</v>
      </c>
      <c r="E15074" s="21"/>
      <c r="F15074" s="22">
        <f>F15080</f>
        <v>41.8</v>
      </c>
      <c r="G15074" s="21"/>
    </row>
    <row r="15075" ht="39.75" customHeight="1">
      <c r="A15075" s="11"/>
      <c r="B15075" s="11"/>
      <c r="C15075" s="11"/>
      <c r="D15075" s="10" t="s">
        <v>4883</v>
      </c>
    </row>
    <row r="15076" ht="21.0" customHeight="1">
      <c r="A15076" s="10" t="s">
        <v>3626</v>
      </c>
      <c r="B15076" s="10" t="s">
        <v>42</v>
      </c>
      <c r="C15076" s="10" t="s">
        <v>304</v>
      </c>
      <c r="D15076" s="10" t="s">
        <v>3627</v>
      </c>
      <c r="E15076" s="14">
        <v>0.05</v>
      </c>
      <c r="F15076" s="15">
        <f>ROUND(5.16,3)</f>
        <v>5.16</v>
      </c>
      <c r="G15076" s="12">
        <f t="shared" ref="G15076:G15079" si="2314">ROUND(E15076*F15076,2)</f>
        <v>0.26</v>
      </c>
    </row>
    <row r="15077" ht="21.0" customHeight="1">
      <c r="A15077" s="10" t="s">
        <v>3789</v>
      </c>
      <c r="B15077" s="10" t="s">
        <v>42</v>
      </c>
      <c r="C15077" s="10" t="s">
        <v>304</v>
      </c>
      <c r="D15077" s="10" t="s">
        <v>3790</v>
      </c>
      <c r="E15077" s="14">
        <v>0.0222</v>
      </c>
      <c r="F15077" s="15">
        <f>ROUND(6.27,3)</f>
        <v>6.27</v>
      </c>
      <c r="G15077" s="12">
        <f t="shared" si="2314"/>
        <v>0.14</v>
      </c>
    </row>
    <row r="15078" ht="21.0" customHeight="1">
      <c r="A15078" s="10" t="s">
        <v>4884</v>
      </c>
      <c r="B15078" s="10" t="s">
        <v>42</v>
      </c>
      <c r="C15078" s="10" t="s">
        <v>1207</v>
      </c>
      <c r="D15078" s="10" t="s">
        <v>4885</v>
      </c>
      <c r="E15078" s="14">
        <v>126.0</v>
      </c>
      <c r="F15078" s="15">
        <f>ROUND(0.25,3)</f>
        <v>0.25</v>
      </c>
      <c r="G15078" s="12">
        <f t="shared" si="2314"/>
        <v>31.5</v>
      </c>
    </row>
    <row r="15079" ht="24.0" customHeight="1">
      <c r="A15079" s="10" t="s">
        <v>1186</v>
      </c>
      <c r="B15079" s="10" t="s">
        <v>26</v>
      </c>
      <c r="C15079" s="10" t="s">
        <v>23</v>
      </c>
      <c r="D15079" s="10" t="s">
        <v>1187</v>
      </c>
      <c r="E15079" s="14">
        <v>0.2</v>
      </c>
      <c r="F15079" s="15">
        <f>ROUND(49.5,3)</f>
        <v>49.5</v>
      </c>
      <c r="G15079" s="12">
        <f t="shared" si="2314"/>
        <v>9.9</v>
      </c>
    </row>
    <row r="15080" ht="15.0" customHeight="1">
      <c r="A15080" s="16"/>
      <c r="B15080" s="16"/>
      <c r="C15080" s="16"/>
      <c r="D15080" s="17" t="s">
        <v>4881</v>
      </c>
      <c r="E15080" s="16"/>
      <c r="F15080" s="18">
        <f>ROUND((G15076+G15077+G15078+G15079)*(1+G2/100),2)</f>
        <v>41.8</v>
      </c>
      <c r="G15080" s="16"/>
    </row>
    <row r="15081" ht="21.0" customHeight="1">
      <c r="A15081" s="19" t="s">
        <v>3079</v>
      </c>
      <c r="B15081" s="20" t="s">
        <v>18</v>
      </c>
      <c r="C15081" s="20" t="s">
        <v>251</v>
      </c>
      <c r="D15081" s="20" t="s">
        <v>3080</v>
      </c>
      <c r="E15081" s="21"/>
      <c r="F15081" s="22">
        <f>F15090</f>
        <v>23.21</v>
      </c>
      <c r="G15081" s="21"/>
    </row>
    <row r="15082" ht="39.75" customHeight="1">
      <c r="A15082" s="11"/>
      <c r="B15082" s="11"/>
      <c r="C15082" s="11"/>
      <c r="D15082" s="10" t="s">
        <v>1113</v>
      </c>
    </row>
    <row r="15083" ht="30.0" customHeight="1">
      <c r="A15083" s="10" t="s">
        <v>1051</v>
      </c>
      <c r="B15083" s="10" t="s">
        <v>42</v>
      </c>
      <c r="C15083" s="10" t="s">
        <v>43</v>
      </c>
      <c r="D15083" s="10" t="s">
        <v>1052</v>
      </c>
      <c r="E15083" s="14">
        <v>0.0666</v>
      </c>
      <c r="F15083" s="15">
        <f>ROUND(110.66,3)</f>
        <v>110.66</v>
      </c>
      <c r="G15083" s="12">
        <f t="shared" ref="G15083:G15089" si="2315">ROUND(E15083*F15083,2)</f>
        <v>7.37</v>
      </c>
    </row>
    <row r="15084" ht="24.0" customHeight="1">
      <c r="A15084" s="10" t="s">
        <v>1053</v>
      </c>
      <c r="B15084" s="10" t="s">
        <v>42</v>
      </c>
      <c r="C15084" s="10" t="s">
        <v>43</v>
      </c>
      <c r="D15084" s="10" t="s">
        <v>1054</v>
      </c>
      <c r="E15084" s="14">
        <v>0.11</v>
      </c>
      <c r="F15084" s="15">
        <f>ROUND(4.63,3)</f>
        <v>4.63</v>
      </c>
      <c r="G15084" s="12">
        <f t="shared" si="2315"/>
        <v>0.51</v>
      </c>
    </row>
    <row r="15085" ht="21.0" customHeight="1">
      <c r="A15085" s="10" t="s">
        <v>22</v>
      </c>
      <c r="B15085" s="10" t="s">
        <v>18</v>
      </c>
      <c r="C15085" s="10" t="s">
        <v>23</v>
      </c>
      <c r="D15085" s="10" t="s">
        <v>24</v>
      </c>
      <c r="E15085" s="14">
        <v>0.35</v>
      </c>
      <c r="F15085" s="15">
        <f>F15089</f>
        <v>43.8</v>
      </c>
      <c r="G15085" s="12">
        <f t="shared" si="2315"/>
        <v>15.33</v>
      </c>
    </row>
    <row r="15086" ht="24.0" customHeight="1">
      <c r="A15086" s="10" t="s">
        <v>25</v>
      </c>
      <c r="B15086" s="10" t="s">
        <v>26</v>
      </c>
      <c r="C15086" s="10" t="s">
        <v>23</v>
      </c>
      <c r="D15086" s="10" t="s">
        <v>27</v>
      </c>
      <c r="E15086" s="14">
        <v>1.0</v>
      </c>
      <c r="F15086" s="15">
        <f>ROUND(21,3)</f>
        <v>21</v>
      </c>
      <c r="G15086" s="12">
        <f t="shared" si="2315"/>
        <v>21</v>
      </c>
    </row>
    <row r="15087" ht="24.0" customHeight="1">
      <c r="A15087" s="10" t="s">
        <v>28</v>
      </c>
      <c r="B15087" s="10" t="s">
        <v>26</v>
      </c>
      <c r="C15087" s="10" t="s">
        <v>23</v>
      </c>
      <c r="D15087" s="10" t="s">
        <v>29</v>
      </c>
      <c r="E15087" s="14">
        <v>1.0</v>
      </c>
      <c r="F15087" s="15">
        <f t="shared" ref="F15087:F15088" si="2316">ROUND(19,3)</f>
        <v>19</v>
      </c>
      <c r="G15087" s="12">
        <f t="shared" si="2315"/>
        <v>19</v>
      </c>
    </row>
    <row r="15088" ht="24.0" customHeight="1">
      <c r="A15088" s="10" t="s">
        <v>30</v>
      </c>
      <c r="B15088" s="10" t="s">
        <v>26</v>
      </c>
      <c r="C15088" s="10" t="s">
        <v>23</v>
      </c>
      <c r="D15088" s="10" t="s">
        <v>31</v>
      </c>
      <c r="E15088" s="14">
        <v>0.2</v>
      </c>
      <c r="F15088" s="15">
        <f t="shared" si="2316"/>
        <v>19</v>
      </c>
      <c r="G15088" s="12">
        <f t="shared" si="2315"/>
        <v>3.8</v>
      </c>
    </row>
    <row r="15089" ht="15.0" customHeight="1">
      <c r="A15089" s="11"/>
      <c r="B15089" s="11"/>
      <c r="C15089" s="11"/>
      <c r="D15089" s="10" t="s">
        <v>22</v>
      </c>
      <c r="E15089" s="14">
        <v>0.35</v>
      </c>
      <c r="F15089" s="15">
        <f>ROUND((G15086+G15087+G15088),3)</f>
        <v>43.8</v>
      </c>
      <c r="G15089" s="12">
        <f t="shared" si="2315"/>
        <v>15.33</v>
      </c>
    </row>
    <row r="15090" ht="15.0" customHeight="1">
      <c r="A15090" s="16"/>
      <c r="B15090" s="16"/>
      <c r="C15090" s="16"/>
      <c r="D15090" s="17" t="s">
        <v>3079</v>
      </c>
      <c r="E15090" s="16"/>
      <c r="F15090" s="18">
        <f>ROUND((G15083+G15084+G15085)*(1+G2/100),2)</f>
        <v>23.21</v>
      </c>
      <c r="G15090" s="16"/>
    </row>
    <row r="15091" ht="15.0" customHeight="1">
      <c r="A15091" s="23"/>
      <c r="B15091" s="23"/>
      <c r="C15091" s="23"/>
      <c r="D15091" s="36" t="s">
        <v>6090</v>
      </c>
      <c r="E15091" s="37"/>
      <c r="F15091" s="37"/>
      <c r="G15091" s="37"/>
    </row>
    <row r="15092" ht="21.75" customHeight="1">
      <c r="A15092" s="38" t="s">
        <v>6116</v>
      </c>
      <c r="B15092" s="38" t="s">
        <v>10</v>
      </c>
      <c r="C15092" s="39"/>
      <c r="D15092" s="38" t="s">
        <v>6117</v>
      </c>
      <c r="E15092" s="39"/>
      <c r="F15092" s="39"/>
      <c r="G15092" s="39"/>
    </row>
    <row r="15093" ht="24.75" customHeight="1">
      <c r="A15093" s="13" t="s">
        <v>5214</v>
      </c>
      <c r="B15093" s="10" t="s">
        <v>112</v>
      </c>
      <c r="C15093" s="10" t="s">
        <v>23</v>
      </c>
      <c r="D15093" s="10" t="s">
        <v>5215</v>
      </c>
      <c r="E15093" s="11"/>
      <c r="F15093" s="12">
        <f>ROUND(11.02*(1+G2/100),2)</f>
        <v>11.02</v>
      </c>
      <c r="G15093" s="11"/>
    </row>
    <row r="15094" ht="12.0" customHeight="1">
      <c r="A15094" s="11"/>
      <c r="B15094" s="11"/>
      <c r="C15094" s="11"/>
      <c r="D15094" s="10" t="s">
        <v>6118</v>
      </c>
    </row>
    <row r="15095" ht="24.75" customHeight="1">
      <c r="A15095" s="13" t="s">
        <v>6119</v>
      </c>
      <c r="B15095" s="10" t="s">
        <v>112</v>
      </c>
      <c r="C15095" s="10" t="s">
        <v>485</v>
      </c>
      <c r="D15095" s="10" t="s">
        <v>6120</v>
      </c>
      <c r="E15095" s="11"/>
      <c r="F15095" s="12">
        <f>ROUND(200*(1+G2/100),2)</f>
        <v>200</v>
      </c>
      <c r="G15095" s="11"/>
    </row>
    <row r="15096" ht="12.0" customHeight="1">
      <c r="A15096" s="11"/>
      <c r="B15096" s="11"/>
      <c r="C15096" s="11"/>
      <c r="D15096" s="10" t="s">
        <v>6121</v>
      </c>
    </row>
    <row r="15097" ht="39.75" customHeight="1">
      <c r="A15097" s="13" t="s">
        <v>953</v>
      </c>
      <c r="B15097" s="10" t="s">
        <v>112</v>
      </c>
      <c r="C15097" s="10" t="s">
        <v>23</v>
      </c>
      <c r="D15097" s="10" t="s">
        <v>954</v>
      </c>
      <c r="E15097" s="11"/>
      <c r="F15097" s="12">
        <f>ROUND(1.75*(1+G2/100),2)</f>
        <v>1.75</v>
      </c>
      <c r="G15097" s="11"/>
    </row>
    <row r="15098" ht="141.0" customHeight="1">
      <c r="A15098" s="11"/>
      <c r="B15098" s="11"/>
      <c r="C15098" s="11"/>
      <c r="D15098" s="10" t="s">
        <v>6122</v>
      </c>
    </row>
    <row r="15099" ht="39.75" customHeight="1">
      <c r="A15099" s="13" t="s">
        <v>440</v>
      </c>
      <c r="B15099" s="10" t="s">
        <v>112</v>
      </c>
      <c r="C15099" s="10" t="s">
        <v>441</v>
      </c>
      <c r="D15099" s="10" t="s">
        <v>442</v>
      </c>
      <c r="E15099" s="11"/>
      <c r="F15099" s="12">
        <f>ROUND(22*(1+G2/100),2)</f>
        <v>22</v>
      </c>
      <c r="G15099" s="11"/>
    </row>
    <row r="15100" ht="21.0" customHeight="1">
      <c r="A15100" s="11"/>
      <c r="B15100" s="11"/>
      <c r="C15100" s="11"/>
      <c r="D15100" s="10" t="s">
        <v>442</v>
      </c>
    </row>
    <row r="15101" ht="39.75" customHeight="1">
      <c r="A15101" s="13" t="s">
        <v>6123</v>
      </c>
      <c r="B15101" s="10" t="s">
        <v>112</v>
      </c>
      <c r="C15101" s="10" t="s">
        <v>23</v>
      </c>
      <c r="D15101" s="10" t="s">
        <v>6124</v>
      </c>
      <c r="E15101" s="11"/>
      <c r="F15101" s="12">
        <f>ROUND(3.55*(1+G2/100),2)</f>
        <v>3.55</v>
      </c>
      <c r="G15101" s="11"/>
    </row>
    <row r="15102" ht="21.0" customHeight="1">
      <c r="A15102" s="11"/>
      <c r="B15102" s="11"/>
      <c r="C15102" s="11"/>
      <c r="D15102" s="10" t="s">
        <v>6124</v>
      </c>
    </row>
    <row r="15103" ht="39.75" customHeight="1">
      <c r="A15103" s="13" t="s">
        <v>6125</v>
      </c>
      <c r="B15103" s="10" t="s">
        <v>112</v>
      </c>
      <c r="C15103" s="10" t="s">
        <v>3005</v>
      </c>
      <c r="D15103" s="10" t="s">
        <v>6126</v>
      </c>
      <c r="E15103" s="11"/>
      <c r="F15103" s="12">
        <f>ROUND(42*(1+G2/100),2)</f>
        <v>42</v>
      </c>
      <c r="G15103" s="11"/>
    </row>
    <row r="15104" ht="21.0" customHeight="1">
      <c r="A15104" s="11"/>
      <c r="B15104" s="11"/>
      <c r="C15104" s="11"/>
      <c r="D15104" s="10" t="s">
        <v>6126</v>
      </c>
    </row>
    <row r="15105" ht="39.75" customHeight="1">
      <c r="A15105" s="13" t="s">
        <v>6127</v>
      </c>
      <c r="B15105" s="10" t="s">
        <v>112</v>
      </c>
      <c r="C15105" s="10" t="s">
        <v>23</v>
      </c>
      <c r="D15105" s="10" t="s">
        <v>6128</v>
      </c>
      <c r="E15105" s="11"/>
      <c r="F15105" s="12">
        <f>ROUND(4.17*(1+G2/100),2)</f>
        <v>4.17</v>
      </c>
      <c r="G15105" s="11"/>
    </row>
    <row r="15106" ht="21.0" customHeight="1">
      <c r="A15106" s="11"/>
      <c r="B15106" s="11"/>
      <c r="C15106" s="11"/>
      <c r="D15106" s="10" t="s">
        <v>6128</v>
      </c>
    </row>
    <row r="15107" ht="24.75" customHeight="1">
      <c r="A15107" s="13" t="s">
        <v>1605</v>
      </c>
      <c r="B15107" s="10" t="s">
        <v>112</v>
      </c>
      <c r="C15107" s="10" t="s">
        <v>23</v>
      </c>
      <c r="D15107" s="10" t="s">
        <v>1606</v>
      </c>
      <c r="E15107" s="11"/>
      <c r="F15107" s="12">
        <f>ROUND(11.5*(1+G2/100),2)</f>
        <v>11.5</v>
      </c>
      <c r="G15107" s="11"/>
    </row>
    <row r="15108" ht="187.5" customHeight="1">
      <c r="A15108" s="11"/>
      <c r="B15108" s="11"/>
      <c r="C15108" s="11"/>
      <c r="D15108" s="10" t="s">
        <v>6129</v>
      </c>
    </row>
    <row r="15109" ht="39.75" customHeight="1">
      <c r="A15109" s="13" t="s">
        <v>405</v>
      </c>
      <c r="B15109" s="10" t="s">
        <v>112</v>
      </c>
      <c r="C15109" s="10" t="s">
        <v>19</v>
      </c>
      <c r="D15109" s="10" t="s">
        <v>406</v>
      </c>
      <c r="E15109" s="11"/>
      <c r="F15109" s="12">
        <f>ROUND(10.5*(1+G2/100),2)</f>
        <v>10.5</v>
      </c>
      <c r="G15109" s="11"/>
    </row>
    <row r="15110" ht="39.75" customHeight="1">
      <c r="A15110" s="11"/>
      <c r="B15110" s="11"/>
      <c r="C15110" s="11"/>
      <c r="D15110" s="10" t="s">
        <v>6130</v>
      </c>
    </row>
    <row r="15111" ht="30.0" customHeight="1">
      <c r="A15111" s="13" t="s">
        <v>6131</v>
      </c>
      <c r="B15111" s="10" t="s">
        <v>112</v>
      </c>
      <c r="C15111" s="10" t="s">
        <v>23</v>
      </c>
      <c r="D15111" s="10" t="s">
        <v>6132</v>
      </c>
      <c r="E15111" s="11"/>
      <c r="F15111" s="12">
        <f>ROUND(2*(1+G2/100),2)</f>
        <v>2</v>
      </c>
      <c r="G15111" s="11"/>
    </row>
    <row r="15112" ht="12.0" customHeight="1">
      <c r="A15112" s="11"/>
      <c r="B15112" s="11"/>
      <c r="C15112" s="11"/>
      <c r="D15112" s="10" t="s">
        <v>6133</v>
      </c>
    </row>
    <row r="15113" ht="30.0" customHeight="1">
      <c r="A15113" s="13" t="s">
        <v>186</v>
      </c>
      <c r="B15113" s="10" t="s">
        <v>112</v>
      </c>
      <c r="C15113" s="10" t="s">
        <v>23</v>
      </c>
      <c r="D15113" s="10" t="s">
        <v>187</v>
      </c>
      <c r="E15113" s="11"/>
      <c r="F15113" s="12">
        <f>ROUND(5.28*(1+G2/100),2)</f>
        <v>5.28</v>
      </c>
      <c r="G15113" s="11"/>
    </row>
    <row r="15114" ht="123.0" customHeight="1">
      <c r="A15114" s="11"/>
      <c r="B15114" s="11"/>
      <c r="C15114" s="11"/>
      <c r="D15114" s="10" t="s">
        <v>6134</v>
      </c>
    </row>
    <row r="15115" ht="39.75" customHeight="1">
      <c r="A15115" s="13" t="s">
        <v>188</v>
      </c>
      <c r="B15115" s="10" t="s">
        <v>112</v>
      </c>
      <c r="C15115" s="10" t="s">
        <v>23</v>
      </c>
      <c r="D15115" s="10" t="s">
        <v>189</v>
      </c>
      <c r="E15115" s="11"/>
      <c r="F15115" s="12">
        <f>ROUND(7.565*(1+G2/100),2)</f>
        <v>7.57</v>
      </c>
      <c r="G15115" s="11"/>
    </row>
    <row r="15116" ht="12.0" customHeight="1">
      <c r="A15116" s="11"/>
      <c r="B15116" s="11"/>
      <c r="C15116" s="11"/>
      <c r="D15116" s="10" t="s">
        <v>6135</v>
      </c>
    </row>
    <row r="15117" ht="30.0" customHeight="1">
      <c r="A15117" s="13" t="s">
        <v>6136</v>
      </c>
      <c r="B15117" s="10" t="s">
        <v>112</v>
      </c>
      <c r="C15117" s="10" t="s">
        <v>23</v>
      </c>
      <c r="D15117" s="10" t="s">
        <v>6137</v>
      </c>
      <c r="E15117" s="11"/>
      <c r="F15117" s="12">
        <f>ROUND(2.57*(1+G2/100),2)</f>
        <v>2.57</v>
      </c>
      <c r="G15117" s="11"/>
    </row>
    <row r="15118" ht="12.0" customHeight="1">
      <c r="A15118" s="11"/>
      <c r="B15118" s="11"/>
      <c r="C15118" s="11"/>
      <c r="D15118" s="10" t="s">
        <v>6137</v>
      </c>
    </row>
    <row r="15119" ht="30.0" customHeight="1">
      <c r="A15119" s="13" t="s">
        <v>6138</v>
      </c>
      <c r="B15119" s="10" t="s">
        <v>112</v>
      </c>
      <c r="C15119" s="10" t="s">
        <v>23</v>
      </c>
      <c r="D15119" s="10" t="s">
        <v>6139</v>
      </c>
      <c r="E15119" s="11"/>
      <c r="F15119" s="12">
        <f>ROUND(1.28*(1+G2/100),2)</f>
        <v>1.28</v>
      </c>
      <c r="G15119" s="11"/>
    </row>
    <row r="15120" ht="12.0" customHeight="1">
      <c r="A15120" s="11"/>
      <c r="B15120" s="11"/>
      <c r="C15120" s="11"/>
      <c r="D15120" s="10" t="s">
        <v>6139</v>
      </c>
    </row>
    <row r="15121" ht="24.75" customHeight="1">
      <c r="A15121" s="13" t="s">
        <v>1044</v>
      </c>
      <c r="B15121" s="10" t="s">
        <v>112</v>
      </c>
      <c r="C15121" s="10" t="s">
        <v>23</v>
      </c>
      <c r="D15121" s="10" t="s">
        <v>1045</v>
      </c>
      <c r="E15121" s="11"/>
      <c r="F15121" s="12">
        <f>ROUND(1.1*(1+G2/100),2)</f>
        <v>1.1</v>
      </c>
      <c r="G15121" s="11"/>
    </row>
    <row r="15122" ht="21.0" customHeight="1">
      <c r="A15122" s="11"/>
      <c r="B15122" s="11"/>
      <c r="C15122" s="11"/>
      <c r="D15122" s="10" t="s">
        <v>6140</v>
      </c>
    </row>
    <row r="15123" ht="30.0" customHeight="1">
      <c r="A15123" s="13" t="s">
        <v>684</v>
      </c>
      <c r="B15123" s="10" t="s">
        <v>18</v>
      </c>
      <c r="C15123" s="10" t="s">
        <v>23</v>
      </c>
      <c r="D15123" s="10" t="s">
        <v>685</v>
      </c>
      <c r="E15123" s="11"/>
      <c r="F15123" s="12">
        <f>F15126</f>
        <v>4.17</v>
      </c>
      <c r="G15123" s="11"/>
    </row>
    <row r="15124" ht="12.0" customHeight="1">
      <c r="A15124" s="11"/>
      <c r="B15124" s="11"/>
      <c r="C15124" s="11"/>
      <c r="D15124" s="10" t="s">
        <v>685</v>
      </c>
    </row>
    <row r="15125" ht="30.0" customHeight="1">
      <c r="A15125" s="10" t="s">
        <v>686</v>
      </c>
      <c r="B15125" s="10" t="s">
        <v>112</v>
      </c>
      <c r="C15125" s="10" t="s">
        <v>231</v>
      </c>
      <c r="D15125" s="10" t="s">
        <v>687</v>
      </c>
      <c r="E15125" s="14">
        <v>0.00417</v>
      </c>
      <c r="F15125" s="15">
        <f>ROUND(999,3)</f>
        <v>999</v>
      </c>
      <c r="G15125" s="12">
        <f>ROUND(E15125*F15125,2)</f>
        <v>4.17</v>
      </c>
    </row>
    <row r="15126" ht="15.0" customHeight="1">
      <c r="A15126" s="16"/>
      <c r="B15126" s="16"/>
      <c r="C15126" s="16"/>
      <c r="D15126" s="17" t="s">
        <v>684</v>
      </c>
      <c r="E15126" s="16"/>
      <c r="F15126" s="18">
        <f>ROUND((G15125)*(1+G2/100),2)</f>
        <v>4.17</v>
      </c>
      <c r="G15126" s="16"/>
    </row>
    <row r="15127" ht="30.0" customHeight="1">
      <c r="A15127" s="19" t="s">
        <v>769</v>
      </c>
      <c r="B15127" s="20" t="s">
        <v>18</v>
      </c>
      <c r="C15127" s="20" t="s">
        <v>23</v>
      </c>
      <c r="D15127" s="20" t="s">
        <v>770</v>
      </c>
      <c r="E15127" s="21"/>
      <c r="F15127" s="22">
        <f>F15130</f>
        <v>5.7</v>
      </c>
      <c r="G15127" s="21"/>
    </row>
    <row r="15128" ht="48.75" customHeight="1">
      <c r="A15128" s="11"/>
      <c r="B15128" s="11"/>
      <c r="C15128" s="11"/>
      <c r="D15128" s="10" t="s">
        <v>6141</v>
      </c>
    </row>
    <row r="15129" ht="30.0" customHeight="1">
      <c r="A15129" s="10" t="s">
        <v>771</v>
      </c>
      <c r="B15129" s="10" t="s">
        <v>112</v>
      </c>
      <c r="C15129" s="10" t="s">
        <v>231</v>
      </c>
      <c r="D15129" s="10" t="s">
        <v>772</v>
      </c>
      <c r="E15129" s="14">
        <v>0.00417</v>
      </c>
      <c r="F15129" s="15">
        <f>ROUND(1366.23,3)</f>
        <v>1366.23</v>
      </c>
      <c r="G15129" s="12">
        <f>ROUND(E15129*F15129,2)</f>
        <v>5.7</v>
      </c>
    </row>
    <row r="15130" ht="15.0" customHeight="1">
      <c r="A15130" s="16"/>
      <c r="B15130" s="16"/>
      <c r="C15130" s="16"/>
      <c r="D15130" s="17" t="s">
        <v>769</v>
      </c>
      <c r="E15130" s="16"/>
      <c r="F15130" s="18">
        <f>ROUND((G15129)*(1+G2/100),2)</f>
        <v>5.7</v>
      </c>
      <c r="G15130" s="16"/>
    </row>
    <row r="15131" ht="24.75" customHeight="1">
      <c r="A15131" s="19" t="s">
        <v>1832</v>
      </c>
      <c r="B15131" s="20" t="s">
        <v>112</v>
      </c>
      <c r="C15131" s="20" t="s">
        <v>23</v>
      </c>
      <c r="D15131" s="20" t="s">
        <v>1833</v>
      </c>
      <c r="E15131" s="21"/>
      <c r="F15131" s="22">
        <f>ROUND(4.88*(1+G2/100),2)</f>
        <v>4.88</v>
      </c>
      <c r="G15131" s="21"/>
    </row>
    <row r="15132" ht="30.0" customHeight="1">
      <c r="A15132" s="11"/>
      <c r="B15132" s="11"/>
      <c r="C15132" s="11"/>
      <c r="D15132" s="10" t="s">
        <v>6142</v>
      </c>
    </row>
    <row r="15133" ht="48.75" customHeight="1">
      <c r="A15133" s="13" t="s">
        <v>864</v>
      </c>
      <c r="B15133" s="10" t="s">
        <v>112</v>
      </c>
      <c r="C15133" s="10" t="s">
        <v>23</v>
      </c>
      <c r="D15133" s="10" t="s">
        <v>865</v>
      </c>
      <c r="E15133" s="11"/>
      <c r="F15133" s="12">
        <f>ROUND(127*(1+G2/100),2)</f>
        <v>127</v>
      </c>
      <c r="G15133" s="11"/>
    </row>
    <row r="15134" ht="21.0" customHeight="1">
      <c r="A15134" s="11"/>
      <c r="B15134" s="11"/>
      <c r="C15134" s="11"/>
      <c r="D15134" s="10" t="s">
        <v>865</v>
      </c>
    </row>
    <row r="15135" ht="24.75" customHeight="1">
      <c r="A15135" s="13" t="s">
        <v>111</v>
      </c>
      <c r="B15135" s="10" t="s">
        <v>112</v>
      </c>
      <c r="C15135" s="10" t="s">
        <v>23</v>
      </c>
      <c r="D15135" s="10" t="s">
        <v>113</v>
      </c>
      <c r="E15135" s="11"/>
      <c r="F15135" s="12">
        <f>ROUND(7.526*(1+G2/100),2)</f>
        <v>7.53</v>
      </c>
      <c r="G15135" s="11"/>
    </row>
    <row r="15136" ht="21.0" customHeight="1">
      <c r="A15136" s="11"/>
      <c r="B15136" s="11"/>
      <c r="C15136" s="11"/>
      <c r="D15136" s="10" t="s">
        <v>6143</v>
      </c>
    </row>
    <row r="15137" ht="30.0" customHeight="1">
      <c r="A15137" s="13" t="s">
        <v>6144</v>
      </c>
      <c r="B15137" s="10" t="s">
        <v>112</v>
      </c>
      <c r="C15137" s="10" t="s">
        <v>1181</v>
      </c>
      <c r="D15137" s="10" t="s">
        <v>6145</v>
      </c>
      <c r="E15137" s="11"/>
      <c r="F15137" s="12">
        <f>ROUND(20*(1+G2/100),2)</f>
        <v>20</v>
      </c>
      <c r="G15137" s="11"/>
    </row>
    <row r="15138" ht="30.0" customHeight="1">
      <c r="A15138" s="11"/>
      <c r="B15138" s="11"/>
      <c r="C15138" s="11"/>
      <c r="D15138" s="10" t="s">
        <v>6146</v>
      </c>
    </row>
    <row r="15139" ht="30.0" customHeight="1">
      <c r="A15139" s="13" t="s">
        <v>6147</v>
      </c>
      <c r="B15139" s="10" t="s">
        <v>112</v>
      </c>
      <c r="C15139" s="10" t="s">
        <v>23</v>
      </c>
      <c r="D15139" s="10" t="s">
        <v>6148</v>
      </c>
      <c r="E15139" s="11"/>
      <c r="F15139" s="12">
        <f>ROUND(2.08*(1+G2/100),2)</f>
        <v>2.08</v>
      </c>
      <c r="G15139" s="11"/>
    </row>
    <row r="15140" ht="21.0" customHeight="1">
      <c r="A15140" s="11"/>
      <c r="B15140" s="11"/>
      <c r="C15140" s="11"/>
      <c r="D15140" s="10" t="s">
        <v>6149</v>
      </c>
    </row>
    <row r="15141" ht="24.75" customHeight="1">
      <c r="A15141" s="13" t="s">
        <v>6150</v>
      </c>
      <c r="B15141" s="10" t="s">
        <v>112</v>
      </c>
      <c r="C15141" s="10" t="s">
        <v>23</v>
      </c>
      <c r="D15141" s="10" t="s">
        <v>6151</v>
      </c>
      <c r="E15141" s="11"/>
      <c r="F15141" s="12">
        <f>ROUND(3.5*(1+G2/100),2)</f>
        <v>3.5</v>
      </c>
      <c r="G15141" s="11"/>
    </row>
    <row r="15142" ht="21.0" customHeight="1">
      <c r="A15142" s="11"/>
      <c r="B15142" s="11"/>
      <c r="C15142" s="11"/>
      <c r="D15142" s="10" t="s">
        <v>6152</v>
      </c>
    </row>
    <row r="15143" ht="30.0" customHeight="1">
      <c r="A15143" s="13" t="s">
        <v>748</v>
      </c>
      <c r="B15143" s="10" t="s">
        <v>112</v>
      </c>
      <c r="C15143" s="10" t="s">
        <v>23</v>
      </c>
      <c r="D15143" s="10" t="s">
        <v>749</v>
      </c>
      <c r="E15143" s="11"/>
      <c r="F15143" s="12">
        <f>ROUND(3.74*(1+G2/100),2)</f>
        <v>3.74</v>
      </c>
      <c r="G15143" s="11"/>
    </row>
    <row r="15144" ht="21.0" customHeight="1">
      <c r="A15144" s="11"/>
      <c r="B15144" s="11"/>
      <c r="C15144" s="11"/>
      <c r="D15144" s="10" t="s">
        <v>6153</v>
      </c>
    </row>
    <row r="15145" ht="30.0" customHeight="1">
      <c r="A15145" s="13" t="s">
        <v>822</v>
      </c>
      <c r="B15145" s="10" t="s">
        <v>112</v>
      </c>
      <c r="C15145" s="10" t="s">
        <v>23</v>
      </c>
      <c r="D15145" s="10" t="s">
        <v>823</v>
      </c>
      <c r="E15145" s="11"/>
      <c r="F15145" s="12">
        <f>ROUND(4.62*(1+G2/100),2)</f>
        <v>4.62</v>
      </c>
      <c r="G15145" s="11"/>
    </row>
    <row r="15146" ht="21.0" customHeight="1">
      <c r="A15146" s="11"/>
      <c r="B15146" s="11"/>
      <c r="C15146" s="11"/>
      <c r="D15146" s="10" t="s">
        <v>6154</v>
      </c>
    </row>
    <row r="15147" ht="30.0" customHeight="1">
      <c r="A15147" s="13" t="s">
        <v>780</v>
      </c>
      <c r="B15147" s="10" t="s">
        <v>112</v>
      </c>
      <c r="C15147" s="10" t="s">
        <v>23</v>
      </c>
      <c r="D15147" s="10" t="s">
        <v>781</v>
      </c>
      <c r="E15147" s="11"/>
      <c r="F15147" s="12">
        <f>ROUND(1.875*(1+G2/100),2)</f>
        <v>1.88</v>
      </c>
      <c r="G15147" s="11"/>
    </row>
    <row r="15148" ht="12.0" customHeight="1">
      <c r="A15148" s="11"/>
      <c r="B15148" s="11"/>
      <c r="C15148" s="11"/>
      <c r="D15148" s="10" t="s">
        <v>6155</v>
      </c>
    </row>
    <row r="15149" ht="39.75" customHeight="1">
      <c r="A15149" s="13" t="s">
        <v>778</v>
      </c>
      <c r="B15149" s="10" t="s">
        <v>112</v>
      </c>
      <c r="C15149" s="10" t="s">
        <v>23</v>
      </c>
      <c r="D15149" s="10" t="s">
        <v>779</v>
      </c>
      <c r="E15149" s="11"/>
      <c r="F15149" s="12">
        <f>ROUND(2*(1+G2/100),2)</f>
        <v>2</v>
      </c>
      <c r="G15149" s="11"/>
    </row>
    <row r="15150" ht="21.0" customHeight="1">
      <c r="A15150" s="11"/>
      <c r="B15150" s="11"/>
      <c r="C15150" s="11"/>
      <c r="D15150" s="10" t="s">
        <v>6156</v>
      </c>
    </row>
    <row r="15151" ht="24.75" customHeight="1">
      <c r="A15151" s="13" t="s">
        <v>3058</v>
      </c>
      <c r="B15151" s="10" t="s">
        <v>112</v>
      </c>
      <c r="C15151" s="10" t="s">
        <v>23</v>
      </c>
      <c r="D15151" s="10" t="s">
        <v>3059</v>
      </c>
      <c r="E15151" s="11"/>
      <c r="F15151" s="12">
        <f>ROUND(4.5*(1+G2/100),2)</f>
        <v>4.5</v>
      </c>
      <c r="G15151" s="11"/>
    </row>
    <row r="15152" ht="30.0" customHeight="1">
      <c r="A15152" s="11"/>
      <c r="B15152" s="11"/>
      <c r="C15152" s="11"/>
      <c r="D15152" s="10" t="s">
        <v>6157</v>
      </c>
    </row>
    <row r="15153" ht="30.0" customHeight="1">
      <c r="A15153" s="13" t="s">
        <v>1406</v>
      </c>
      <c r="B15153" s="10" t="s">
        <v>112</v>
      </c>
      <c r="C15153" s="10" t="s">
        <v>23</v>
      </c>
      <c r="D15153" s="10" t="s">
        <v>1407</v>
      </c>
      <c r="E15153" s="11"/>
      <c r="F15153" s="12">
        <f>ROUND(4*(1+G2/100),2)</f>
        <v>4</v>
      </c>
      <c r="G15153" s="11"/>
    </row>
    <row r="15154" ht="12.0" customHeight="1">
      <c r="A15154" s="11"/>
      <c r="B15154" s="11"/>
      <c r="C15154" s="11"/>
      <c r="D15154" s="10" t="s">
        <v>1407</v>
      </c>
    </row>
    <row r="15155" ht="30.0" customHeight="1">
      <c r="A15155" s="13" t="s">
        <v>6158</v>
      </c>
      <c r="B15155" s="10" t="s">
        <v>112</v>
      </c>
      <c r="C15155" s="10" t="s">
        <v>23</v>
      </c>
      <c r="D15155" s="10" t="s">
        <v>6159</v>
      </c>
      <c r="E15155" s="11"/>
      <c r="F15155" s="12">
        <f>ROUND(4.4*(1+G2/100),2)</f>
        <v>4.4</v>
      </c>
      <c r="G15155" s="11"/>
    </row>
    <row r="15156" ht="21.0" customHeight="1">
      <c r="A15156" s="11"/>
      <c r="B15156" s="11"/>
      <c r="C15156" s="11"/>
      <c r="D15156" s="10" t="s">
        <v>6159</v>
      </c>
    </row>
    <row r="15157" ht="21.0" customHeight="1">
      <c r="A15157" s="13" t="s">
        <v>2999</v>
      </c>
      <c r="B15157" s="10" t="s">
        <v>112</v>
      </c>
      <c r="C15157" s="10" t="s">
        <v>23</v>
      </c>
      <c r="D15157" s="10" t="s">
        <v>3000</v>
      </c>
      <c r="E15157" s="11"/>
      <c r="F15157" s="12">
        <f>ROUND(3.25*(1+G2/100),2)</f>
        <v>3.25</v>
      </c>
      <c r="G15157" s="11"/>
    </row>
    <row r="15158" ht="21.0" customHeight="1">
      <c r="A15158" s="11"/>
      <c r="B15158" s="11"/>
      <c r="C15158" s="11"/>
      <c r="D15158" s="10" t="s">
        <v>6160</v>
      </c>
    </row>
    <row r="15159" ht="24.75" customHeight="1">
      <c r="A15159" s="13" t="s">
        <v>4411</v>
      </c>
      <c r="B15159" s="10" t="s">
        <v>112</v>
      </c>
      <c r="C15159" s="10" t="s">
        <v>23</v>
      </c>
      <c r="D15159" s="10" t="s">
        <v>4412</v>
      </c>
      <c r="E15159" s="11"/>
      <c r="F15159" s="12">
        <f>ROUND(2*(1+G2/100),2)</f>
        <v>2</v>
      </c>
      <c r="G15159" s="11"/>
    </row>
    <row r="15160" ht="12.0" customHeight="1">
      <c r="A15160" s="11"/>
      <c r="B15160" s="11"/>
      <c r="C15160" s="11"/>
      <c r="D15160" s="10" t="s">
        <v>4412</v>
      </c>
    </row>
    <row r="15161" ht="30.0" customHeight="1">
      <c r="A15161" s="13" t="s">
        <v>6161</v>
      </c>
      <c r="B15161" s="10" t="s">
        <v>18</v>
      </c>
      <c r="C15161" s="10" t="s">
        <v>23</v>
      </c>
      <c r="D15161" s="10" t="s">
        <v>6162</v>
      </c>
      <c r="E15161" s="11"/>
      <c r="F15161" s="12">
        <f>F15164</f>
        <v>0.89</v>
      </c>
      <c r="G15161" s="11"/>
    </row>
    <row r="15162" ht="12.0" customHeight="1">
      <c r="A15162" s="11"/>
      <c r="B15162" s="11"/>
      <c r="C15162" s="11"/>
      <c r="D15162" s="10" t="s">
        <v>6162</v>
      </c>
    </row>
    <row r="15163" ht="30.0" customHeight="1">
      <c r="A15163" s="10" t="s">
        <v>6163</v>
      </c>
      <c r="B15163" s="10" t="s">
        <v>112</v>
      </c>
      <c r="C15163" s="10" t="s">
        <v>231</v>
      </c>
      <c r="D15163" s="10" t="s">
        <v>6164</v>
      </c>
      <c r="E15163" s="14">
        <v>0.00347</v>
      </c>
      <c r="F15163" s="15">
        <f>ROUND(257,3)</f>
        <v>257</v>
      </c>
      <c r="G15163" s="12">
        <f>ROUND(E15163*F15163,2)</f>
        <v>0.89</v>
      </c>
    </row>
    <row r="15164" ht="15.0" customHeight="1">
      <c r="A15164" s="16"/>
      <c r="B15164" s="16"/>
      <c r="C15164" s="16"/>
      <c r="D15164" s="17" t="s">
        <v>6161</v>
      </c>
      <c r="E15164" s="16"/>
      <c r="F15164" s="18">
        <f>ROUND((G15163)*(1+G2/100),2)</f>
        <v>0.89</v>
      </c>
      <c r="G15164" s="16"/>
    </row>
    <row r="15165" ht="30.0" customHeight="1">
      <c r="A15165" s="19" t="s">
        <v>6165</v>
      </c>
      <c r="B15165" s="20" t="s">
        <v>112</v>
      </c>
      <c r="C15165" s="20" t="s">
        <v>23</v>
      </c>
      <c r="D15165" s="20" t="s">
        <v>6166</v>
      </c>
      <c r="E15165" s="21"/>
      <c r="F15165" s="22">
        <f>ROUND(2.42*(1+G2/100),2)</f>
        <v>2.42</v>
      </c>
      <c r="G15165" s="21"/>
    </row>
    <row r="15166" ht="12.0" customHeight="1">
      <c r="A15166" s="11"/>
      <c r="B15166" s="11"/>
      <c r="C15166" s="11"/>
      <c r="D15166" s="10" t="s">
        <v>6167</v>
      </c>
    </row>
    <row r="15167" ht="30.0" customHeight="1">
      <c r="A15167" s="13" t="s">
        <v>2490</v>
      </c>
      <c r="B15167" s="10" t="s">
        <v>112</v>
      </c>
      <c r="C15167" s="10" t="s">
        <v>23</v>
      </c>
      <c r="D15167" s="10" t="s">
        <v>2491</v>
      </c>
      <c r="E15167" s="11"/>
      <c r="F15167" s="12">
        <f>ROUND(4.18*(1+G2/100),2)</f>
        <v>4.18</v>
      </c>
      <c r="G15167" s="11"/>
    </row>
    <row r="15168" ht="12.0" customHeight="1">
      <c r="A15168" s="11"/>
      <c r="B15168" s="11"/>
      <c r="C15168" s="11"/>
      <c r="D15168" s="10" t="s">
        <v>6168</v>
      </c>
    </row>
    <row r="15169" ht="21.0" customHeight="1">
      <c r="A15169" s="13" t="s">
        <v>884</v>
      </c>
      <c r="B15169" s="10" t="s">
        <v>112</v>
      </c>
      <c r="C15169" s="10" t="s">
        <v>23</v>
      </c>
      <c r="D15169" s="10" t="s">
        <v>885</v>
      </c>
      <c r="E15169" s="11"/>
      <c r="F15169" s="12">
        <f>ROUND(3.3*(1+G2/100),2)</f>
        <v>3.3</v>
      </c>
      <c r="G15169" s="11"/>
    </row>
    <row r="15170" ht="21.0" customHeight="1">
      <c r="A15170" s="11"/>
      <c r="B15170" s="11"/>
      <c r="C15170" s="11"/>
      <c r="D15170" s="10" t="s">
        <v>6169</v>
      </c>
    </row>
    <row r="15171" ht="21.0" customHeight="1">
      <c r="A15171" s="13" t="s">
        <v>773</v>
      </c>
      <c r="B15171" s="10" t="s">
        <v>112</v>
      </c>
      <c r="C15171" s="10" t="s">
        <v>23</v>
      </c>
      <c r="D15171" s="10" t="s">
        <v>774</v>
      </c>
      <c r="E15171" s="11"/>
      <c r="F15171" s="12">
        <f>ROUND(3*(1+G2/100),2)</f>
        <v>3</v>
      </c>
      <c r="G15171" s="11"/>
    </row>
    <row r="15172" ht="12.0" customHeight="1">
      <c r="A15172" s="11"/>
      <c r="B15172" s="11"/>
      <c r="C15172" s="11"/>
      <c r="D15172" s="10" t="s">
        <v>6170</v>
      </c>
    </row>
    <row r="15173" ht="30.0" customHeight="1">
      <c r="A15173" s="13" t="s">
        <v>3225</v>
      </c>
      <c r="B15173" s="10" t="s">
        <v>18</v>
      </c>
      <c r="C15173" s="10" t="s">
        <v>23</v>
      </c>
      <c r="D15173" s="10" t="s">
        <v>3226</v>
      </c>
      <c r="E15173" s="11"/>
      <c r="F15173" s="12">
        <f>F15176</f>
        <v>0.79</v>
      </c>
      <c r="G15173" s="11"/>
    </row>
    <row r="15174" ht="12.0" customHeight="1">
      <c r="A15174" s="11"/>
      <c r="B15174" s="11"/>
      <c r="C15174" s="11"/>
      <c r="D15174" s="10" t="s">
        <v>6171</v>
      </c>
    </row>
    <row r="15175" ht="21.0" customHeight="1">
      <c r="A15175" s="10" t="s">
        <v>3227</v>
      </c>
      <c r="B15175" s="10" t="s">
        <v>112</v>
      </c>
      <c r="C15175" s="10" t="s">
        <v>231</v>
      </c>
      <c r="D15175" s="10" t="s">
        <v>3228</v>
      </c>
      <c r="E15175" s="14">
        <v>0.00417</v>
      </c>
      <c r="F15175" s="15">
        <f>ROUND(188.43,3)</f>
        <v>188.43</v>
      </c>
      <c r="G15175" s="12">
        <f>ROUND(E15175*F15175,2)</f>
        <v>0.79</v>
      </c>
    </row>
    <row r="15176" ht="15.0" customHeight="1">
      <c r="A15176" s="16"/>
      <c r="B15176" s="16"/>
      <c r="C15176" s="16"/>
      <c r="D15176" s="17" t="s">
        <v>3225</v>
      </c>
      <c r="E15176" s="16"/>
      <c r="F15176" s="18">
        <f>ROUND((G15175)*(1+G2/100),2)</f>
        <v>0.79</v>
      </c>
      <c r="G15176" s="16"/>
    </row>
    <row r="15177" ht="21.0" customHeight="1">
      <c r="A15177" s="19" t="s">
        <v>969</v>
      </c>
      <c r="B15177" s="20" t="s">
        <v>112</v>
      </c>
      <c r="C15177" s="20" t="s">
        <v>23</v>
      </c>
      <c r="D15177" s="20" t="s">
        <v>970</v>
      </c>
      <c r="E15177" s="21"/>
      <c r="F15177" s="22">
        <f>ROUND(2*(1+G2/100),2)</f>
        <v>2</v>
      </c>
      <c r="G15177" s="21"/>
    </row>
    <row r="15178" ht="12.0" customHeight="1">
      <c r="A15178" s="11"/>
      <c r="B15178" s="11"/>
      <c r="C15178" s="11"/>
      <c r="D15178" s="10" t="s">
        <v>6172</v>
      </c>
    </row>
    <row r="15179" ht="24.75" customHeight="1">
      <c r="A15179" s="13" t="s">
        <v>6173</v>
      </c>
      <c r="B15179" s="10" t="s">
        <v>112</v>
      </c>
      <c r="C15179" s="10" t="s">
        <v>3005</v>
      </c>
      <c r="D15179" s="10" t="s">
        <v>6174</v>
      </c>
      <c r="E15179" s="11"/>
      <c r="F15179" s="12">
        <f>ROUND(76.52*(1+G2/100),2)</f>
        <v>76.52</v>
      </c>
      <c r="G15179" s="11"/>
    </row>
    <row r="15180" ht="187.5" customHeight="1">
      <c r="A15180" s="11"/>
      <c r="B15180" s="11"/>
      <c r="C15180" s="11"/>
      <c r="D15180" s="10" t="s">
        <v>6175</v>
      </c>
    </row>
    <row r="15181" ht="30.0" customHeight="1">
      <c r="A15181" s="13" t="s">
        <v>278</v>
      </c>
      <c r="B15181" s="10" t="s">
        <v>112</v>
      </c>
      <c r="C15181" s="10" t="s">
        <v>23</v>
      </c>
      <c r="D15181" s="10" t="s">
        <v>279</v>
      </c>
      <c r="E15181" s="11"/>
      <c r="F15181" s="12">
        <f>ROUND(2.5*(1+G2/100),2)</f>
        <v>2.5</v>
      </c>
      <c r="G15181" s="11"/>
    </row>
    <row r="15182" ht="21.0" customHeight="1">
      <c r="A15182" s="11"/>
      <c r="B15182" s="11"/>
      <c r="C15182" s="11"/>
      <c r="D15182" s="10" t="s">
        <v>6176</v>
      </c>
    </row>
    <row r="15183" ht="39.75" customHeight="1">
      <c r="A15183" s="13" t="s">
        <v>1435</v>
      </c>
      <c r="B15183" s="10" t="s">
        <v>112</v>
      </c>
      <c r="C15183" s="10" t="s">
        <v>23</v>
      </c>
      <c r="D15183" s="10" t="s">
        <v>1436</v>
      </c>
      <c r="E15183" s="11"/>
      <c r="F15183" s="12">
        <f>ROUND(2.86*(1+G2/100),2)</f>
        <v>2.86</v>
      </c>
      <c r="G15183" s="11"/>
    </row>
    <row r="15184" ht="21.0" customHeight="1">
      <c r="A15184" s="11"/>
      <c r="B15184" s="11"/>
      <c r="C15184" s="11"/>
      <c r="D15184" s="10" t="s">
        <v>1436</v>
      </c>
    </row>
    <row r="15185" ht="15.0" customHeight="1">
      <c r="A15185" s="16"/>
      <c r="B15185" s="16"/>
      <c r="C15185" s="16"/>
      <c r="D15185" s="58" t="s">
        <v>6116</v>
      </c>
      <c r="E15185" s="59"/>
      <c r="F15185" s="59"/>
      <c r="G15185" s="59"/>
    </row>
    <row r="15186" ht="15.0" customHeight="1">
      <c r="A15186" s="38" t="s">
        <v>6177</v>
      </c>
      <c r="B15186" s="38" t="s">
        <v>10</v>
      </c>
      <c r="C15186" s="39"/>
      <c r="D15186" s="38" t="s">
        <v>6177</v>
      </c>
      <c r="E15186" s="39"/>
      <c r="F15186" s="39"/>
      <c r="G15186" s="39"/>
    </row>
    <row r="15187" ht="15.0" customHeight="1">
      <c r="A15187" s="40" t="s">
        <v>1517</v>
      </c>
      <c r="B15187" s="40" t="s">
        <v>10</v>
      </c>
      <c r="C15187" s="41"/>
      <c r="D15187" s="40" t="s">
        <v>6178</v>
      </c>
      <c r="E15187" s="41"/>
      <c r="F15187" s="41"/>
      <c r="G15187" s="41"/>
    </row>
    <row r="15188" ht="57.75" customHeight="1">
      <c r="A15188" s="13" t="s">
        <v>6179</v>
      </c>
      <c r="B15188" s="10" t="s">
        <v>18</v>
      </c>
      <c r="C15188" s="10" t="s">
        <v>351</v>
      </c>
      <c r="D15188" s="10" t="s">
        <v>6180</v>
      </c>
      <c r="E15188" s="11"/>
      <c r="F15188" s="12">
        <f>F15206</f>
        <v>87.99</v>
      </c>
      <c r="G15188" s="11"/>
    </row>
    <row r="15189" ht="48.75" customHeight="1">
      <c r="A15189" s="11"/>
      <c r="B15189" s="11"/>
      <c r="C15189" s="11"/>
      <c r="D15189" s="10" t="s">
        <v>6181</v>
      </c>
    </row>
    <row r="15190" ht="24.0" customHeight="1">
      <c r="A15190" s="10" t="s">
        <v>6182</v>
      </c>
      <c r="B15190" s="10" t="s">
        <v>18</v>
      </c>
      <c r="C15190" s="10" t="s">
        <v>351</v>
      </c>
      <c r="D15190" s="10" t="s">
        <v>6183</v>
      </c>
      <c r="E15190" s="14">
        <v>1.0</v>
      </c>
      <c r="F15190" s="15">
        <f>F15195</f>
        <v>22.78</v>
      </c>
      <c r="G15190" s="12">
        <f t="shared" ref="G15190:G15193" si="2317">ROUND(E15190*F15190,2)</f>
        <v>22.78</v>
      </c>
    </row>
    <row r="15191" ht="30.0" customHeight="1">
      <c r="A15191" s="10" t="s">
        <v>233</v>
      </c>
      <c r="B15191" s="10" t="s">
        <v>42</v>
      </c>
      <c r="C15191" s="10" t="s">
        <v>231</v>
      </c>
      <c r="D15191" s="10" t="s">
        <v>234</v>
      </c>
      <c r="E15191" s="14">
        <v>0.071</v>
      </c>
      <c r="F15191" s="15">
        <f>ROUND(23.46,3)</f>
        <v>23.46</v>
      </c>
      <c r="G15191" s="12">
        <f t="shared" si="2317"/>
        <v>1.67</v>
      </c>
    </row>
    <row r="15192" ht="30.0" customHeight="1">
      <c r="A15192" s="10" t="s">
        <v>1229</v>
      </c>
      <c r="B15192" s="10" t="s">
        <v>42</v>
      </c>
      <c r="C15192" s="10" t="s">
        <v>231</v>
      </c>
      <c r="D15192" s="10" t="s">
        <v>1230</v>
      </c>
      <c r="E15192" s="14">
        <v>0.005</v>
      </c>
      <c r="F15192" s="15">
        <f>ROUND(21.5,3)</f>
        <v>21.5</v>
      </c>
      <c r="G15192" s="12">
        <f t="shared" si="2317"/>
        <v>0.11</v>
      </c>
    </row>
    <row r="15193" ht="30.0" customHeight="1">
      <c r="A15193" s="10" t="s">
        <v>6184</v>
      </c>
      <c r="B15193" s="10" t="s">
        <v>18</v>
      </c>
      <c r="C15193" s="10" t="s">
        <v>23</v>
      </c>
      <c r="D15193" s="10" t="s">
        <v>6185</v>
      </c>
      <c r="E15193" s="14">
        <v>0.5</v>
      </c>
      <c r="F15193" s="15">
        <f>ROUND(40,3)</f>
        <v>40</v>
      </c>
      <c r="G15193" s="12">
        <f t="shared" si="2317"/>
        <v>20</v>
      </c>
    </row>
    <row r="15194" ht="15.0" customHeight="1">
      <c r="A15194" s="10" t="s">
        <v>32</v>
      </c>
      <c r="B15194" s="10"/>
      <c r="C15194" s="10" t="s">
        <v>33</v>
      </c>
      <c r="D15194" s="10" t="s">
        <v>34</v>
      </c>
      <c r="E15194" s="14">
        <v>5.0</v>
      </c>
      <c r="F15194" s="15">
        <f>ROUND(20,3)</f>
        <v>20</v>
      </c>
      <c r="G15194" s="12">
        <f>ROUND((E15194*F15194)/100,2)</f>
        <v>1</v>
      </c>
    </row>
    <row r="15195" ht="15.0" customHeight="1">
      <c r="A15195" s="11"/>
      <c r="B15195" s="11"/>
      <c r="C15195" s="11"/>
      <c r="D15195" s="10" t="s">
        <v>6182</v>
      </c>
      <c r="E15195" s="14">
        <v>1.0</v>
      </c>
      <c r="F15195" s="15">
        <f>ROUND((G15191+G15192+G15193+G15194),3)</f>
        <v>22.78</v>
      </c>
      <c r="G15195" s="12">
        <f t="shared" ref="G15195:G15204" si="2318">ROUND(E15195*F15195,2)</f>
        <v>22.78</v>
      </c>
    </row>
    <row r="15196" ht="21.0" customHeight="1">
      <c r="A15196" s="10" t="s">
        <v>6186</v>
      </c>
      <c r="B15196" s="10" t="s">
        <v>42</v>
      </c>
      <c r="C15196" s="10" t="s">
        <v>231</v>
      </c>
      <c r="D15196" s="10" t="s">
        <v>6187</v>
      </c>
      <c r="E15196" s="14">
        <v>0.33333</v>
      </c>
      <c r="F15196" s="15">
        <f>ROUND(49.8,3)</f>
        <v>49.8</v>
      </c>
      <c r="G15196" s="12">
        <f t="shared" si="2318"/>
        <v>16.6</v>
      </c>
    </row>
    <row r="15197" ht="24.0" customHeight="1">
      <c r="A15197" s="10" t="s">
        <v>2437</v>
      </c>
      <c r="B15197" s="10" t="s">
        <v>42</v>
      </c>
      <c r="C15197" s="10" t="s">
        <v>43</v>
      </c>
      <c r="D15197" s="10" t="s">
        <v>2438</v>
      </c>
      <c r="E15197" s="14">
        <v>0.0167</v>
      </c>
      <c r="F15197" s="15">
        <f>ROUND(35.3,3)</f>
        <v>35.3</v>
      </c>
      <c r="G15197" s="12">
        <f t="shared" si="2318"/>
        <v>0.59</v>
      </c>
    </row>
    <row r="15198" ht="24.0" customHeight="1">
      <c r="A15198" s="10" t="s">
        <v>28</v>
      </c>
      <c r="B15198" s="10" t="s">
        <v>26</v>
      </c>
      <c r="C15198" s="10" t="s">
        <v>23</v>
      </c>
      <c r="D15198" s="10" t="s">
        <v>29</v>
      </c>
      <c r="E15198" s="14">
        <v>0.5</v>
      </c>
      <c r="F15198" s="15">
        <f>ROUND(19,3)</f>
        <v>19</v>
      </c>
      <c r="G15198" s="12">
        <f t="shared" si="2318"/>
        <v>9.5</v>
      </c>
    </row>
    <row r="15199" ht="30.0" customHeight="1">
      <c r="A15199" s="10" t="s">
        <v>6188</v>
      </c>
      <c r="B15199" s="10" t="s">
        <v>42</v>
      </c>
      <c r="C15199" s="10" t="s">
        <v>184</v>
      </c>
      <c r="D15199" s="10" t="s">
        <v>6189</v>
      </c>
      <c r="E15199" s="14">
        <v>0.2679</v>
      </c>
      <c r="F15199" s="15">
        <f>ROUND(13.25,3)</f>
        <v>13.25</v>
      </c>
      <c r="G15199" s="12">
        <f t="shared" si="2318"/>
        <v>3.55</v>
      </c>
    </row>
    <row r="15200" ht="21.0" customHeight="1">
      <c r="A15200" s="10" t="s">
        <v>22</v>
      </c>
      <c r="B15200" s="10" t="s">
        <v>18</v>
      </c>
      <c r="C15200" s="10" t="s">
        <v>23</v>
      </c>
      <c r="D15200" s="10" t="s">
        <v>24</v>
      </c>
      <c r="E15200" s="14">
        <v>0.75</v>
      </c>
      <c r="F15200" s="15">
        <f>F15204</f>
        <v>43.8</v>
      </c>
      <c r="G15200" s="12">
        <f t="shared" si="2318"/>
        <v>32.85</v>
      </c>
    </row>
    <row r="15201" ht="24.0" customHeight="1">
      <c r="A15201" s="10" t="s">
        <v>25</v>
      </c>
      <c r="B15201" s="10" t="s">
        <v>26</v>
      </c>
      <c r="C15201" s="10" t="s">
        <v>23</v>
      </c>
      <c r="D15201" s="10" t="s">
        <v>27</v>
      </c>
      <c r="E15201" s="14">
        <v>1.0</v>
      </c>
      <c r="F15201" s="15">
        <f>ROUND(21,3)</f>
        <v>21</v>
      </c>
      <c r="G15201" s="12">
        <f t="shared" si="2318"/>
        <v>21</v>
      </c>
    </row>
    <row r="15202" ht="24.0" customHeight="1">
      <c r="A15202" s="10" t="s">
        <v>28</v>
      </c>
      <c r="B15202" s="10" t="s">
        <v>26</v>
      </c>
      <c r="C15202" s="10" t="s">
        <v>23</v>
      </c>
      <c r="D15202" s="10" t="s">
        <v>29</v>
      </c>
      <c r="E15202" s="14">
        <v>1.0</v>
      </c>
      <c r="F15202" s="15">
        <f t="shared" ref="F15202:F15203" si="2319">ROUND(19,3)</f>
        <v>19</v>
      </c>
      <c r="G15202" s="12">
        <f t="shared" si="2318"/>
        <v>19</v>
      </c>
    </row>
    <row r="15203" ht="24.0" customHeight="1">
      <c r="A15203" s="10" t="s">
        <v>30</v>
      </c>
      <c r="B15203" s="10" t="s">
        <v>26</v>
      </c>
      <c r="C15203" s="10" t="s">
        <v>23</v>
      </c>
      <c r="D15203" s="10" t="s">
        <v>31</v>
      </c>
      <c r="E15203" s="14">
        <v>0.2</v>
      </c>
      <c r="F15203" s="15">
        <f t="shared" si="2319"/>
        <v>19</v>
      </c>
      <c r="G15203" s="12">
        <f t="shared" si="2318"/>
        <v>3.8</v>
      </c>
    </row>
    <row r="15204" ht="15.0" customHeight="1">
      <c r="A15204" s="11"/>
      <c r="B15204" s="11"/>
      <c r="C15204" s="11"/>
      <c r="D15204" s="10" t="s">
        <v>22</v>
      </c>
      <c r="E15204" s="14">
        <v>0.75</v>
      </c>
      <c r="F15204" s="15">
        <f>ROUND((G15201+G15202+G15203),3)</f>
        <v>43.8</v>
      </c>
      <c r="G15204" s="12">
        <f t="shared" si="2318"/>
        <v>32.85</v>
      </c>
    </row>
    <row r="15205" ht="15.0" customHeight="1">
      <c r="A15205" s="10" t="s">
        <v>32</v>
      </c>
      <c r="B15205" s="10"/>
      <c r="C15205" s="10" t="s">
        <v>33</v>
      </c>
      <c r="D15205" s="10" t="s">
        <v>34</v>
      </c>
      <c r="E15205" s="14">
        <v>5.0</v>
      </c>
      <c r="F15205" s="15">
        <f>ROUND(42.35,3)</f>
        <v>42.35</v>
      </c>
      <c r="G15205" s="12">
        <f>ROUND((E15205*F15205)/100,2)</f>
        <v>2.12</v>
      </c>
    </row>
    <row r="15206" ht="15.0" customHeight="1">
      <c r="A15206" s="16"/>
      <c r="B15206" s="16"/>
      <c r="C15206" s="16"/>
      <c r="D15206" s="17" t="s">
        <v>6179</v>
      </c>
      <c r="E15206" s="16"/>
      <c r="F15206" s="18">
        <f>ROUND((G15190+G15196+G15197+G15198+G15199+G15200+G15205)*(1+G2/100),2)</f>
        <v>87.99</v>
      </c>
      <c r="G15206" s="16"/>
    </row>
    <row r="15207" ht="48.75" customHeight="1">
      <c r="A15207" s="19" t="s">
        <v>6190</v>
      </c>
      <c r="B15207" s="20" t="s">
        <v>18</v>
      </c>
      <c r="C15207" s="20" t="s">
        <v>351</v>
      </c>
      <c r="D15207" s="20" t="s">
        <v>6191</v>
      </c>
      <c r="E15207" s="21"/>
      <c r="F15207" s="22">
        <f>F15225</f>
        <v>109.71</v>
      </c>
      <c r="G15207" s="21"/>
    </row>
    <row r="15208" ht="48.75" customHeight="1">
      <c r="A15208" s="11"/>
      <c r="B15208" s="11"/>
      <c r="C15208" s="11"/>
      <c r="D15208" s="10" t="s">
        <v>6192</v>
      </c>
    </row>
    <row r="15209" ht="24.0" customHeight="1">
      <c r="A15209" s="10" t="s">
        <v>6182</v>
      </c>
      <c r="B15209" s="10" t="s">
        <v>18</v>
      </c>
      <c r="C15209" s="10" t="s">
        <v>351</v>
      </c>
      <c r="D15209" s="10" t="s">
        <v>6183</v>
      </c>
      <c r="E15209" s="14">
        <v>1.0</v>
      </c>
      <c r="F15209" s="15">
        <f>F15214</f>
        <v>22.78</v>
      </c>
      <c r="G15209" s="12">
        <f t="shared" ref="G15209:G15212" si="2320">ROUND(E15209*F15209,2)</f>
        <v>22.78</v>
      </c>
    </row>
    <row r="15210" ht="30.0" customHeight="1">
      <c r="A15210" s="10" t="s">
        <v>233</v>
      </c>
      <c r="B15210" s="10" t="s">
        <v>42</v>
      </c>
      <c r="C15210" s="10" t="s">
        <v>231</v>
      </c>
      <c r="D15210" s="10" t="s">
        <v>234</v>
      </c>
      <c r="E15210" s="14">
        <v>0.071</v>
      </c>
      <c r="F15210" s="15">
        <f>ROUND(23.46,3)</f>
        <v>23.46</v>
      </c>
      <c r="G15210" s="12">
        <f t="shared" si="2320"/>
        <v>1.67</v>
      </c>
    </row>
    <row r="15211" ht="30.0" customHeight="1">
      <c r="A15211" s="10" t="s">
        <v>1229</v>
      </c>
      <c r="B15211" s="10" t="s">
        <v>42</v>
      </c>
      <c r="C15211" s="10" t="s">
        <v>231</v>
      </c>
      <c r="D15211" s="10" t="s">
        <v>1230</v>
      </c>
      <c r="E15211" s="14">
        <v>0.005</v>
      </c>
      <c r="F15211" s="15">
        <f>ROUND(21.5,3)</f>
        <v>21.5</v>
      </c>
      <c r="G15211" s="12">
        <f t="shared" si="2320"/>
        <v>0.11</v>
      </c>
    </row>
    <row r="15212" ht="30.0" customHeight="1">
      <c r="A15212" s="10" t="s">
        <v>6184</v>
      </c>
      <c r="B15212" s="10" t="s">
        <v>18</v>
      </c>
      <c r="C15212" s="10" t="s">
        <v>23</v>
      </c>
      <c r="D15212" s="10" t="s">
        <v>6185</v>
      </c>
      <c r="E15212" s="14">
        <v>0.5</v>
      </c>
      <c r="F15212" s="15">
        <f>ROUND(40,3)</f>
        <v>40</v>
      </c>
      <c r="G15212" s="12">
        <f t="shared" si="2320"/>
        <v>20</v>
      </c>
    </row>
    <row r="15213" ht="15.0" customHeight="1">
      <c r="A15213" s="10" t="s">
        <v>32</v>
      </c>
      <c r="B15213" s="10"/>
      <c r="C15213" s="10" t="s">
        <v>33</v>
      </c>
      <c r="D15213" s="10" t="s">
        <v>34</v>
      </c>
      <c r="E15213" s="14">
        <v>5.0</v>
      </c>
      <c r="F15213" s="15">
        <f>ROUND(20,3)</f>
        <v>20</v>
      </c>
      <c r="G15213" s="12">
        <f>ROUND((E15213*F15213)/100,2)</f>
        <v>1</v>
      </c>
    </row>
    <row r="15214" ht="15.0" customHeight="1">
      <c r="A15214" s="11"/>
      <c r="B15214" s="11"/>
      <c r="C15214" s="11"/>
      <c r="D15214" s="10" t="s">
        <v>6182</v>
      </c>
      <c r="E15214" s="14">
        <v>1.0</v>
      </c>
      <c r="F15214" s="15">
        <f>ROUND((G15210+G15211+G15212+G15213),3)</f>
        <v>22.78</v>
      </c>
      <c r="G15214" s="12">
        <f t="shared" ref="G15214:G15223" si="2321">ROUND(E15214*F15214,2)</f>
        <v>22.78</v>
      </c>
    </row>
    <row r="15215" ht="21.0" customHeight="1">
      <c r="A15215" s="10" t="s">
        <v>6193</v>
      </c>
      <c r="B15215" s="10" t="s">
        <v>42</v>
      </c>
      <c r="C15215" s="10" t="s">
        <v>231</v>
      </c>
      <c r="D15215" s="10" t="s">
        <v>6194</v>
      </c>
      <c r="E15215" s="14">
        <v>0.33333</v>
      </c>
      <c r="F15215" s="15">
        <f>ROUND(76.03,3)</f>
        <v>76.03</v>
      </c>
      <c r="G15215" s="12">
        <f t="shared" si="2321"/>
        <v>25.34</v>
      </c>
    </row>
    <row r="15216" ht="24.0" customHeight="1">
      <c r="A15216" s="10" t="s">
        <v>2437</v>
      </c>
      <c r="B15216" s="10" t="s">
        <v>42</v>
      </c>
      <c r="C15216" s="10" t="s">
        <v>43</v>
      </c>
      <c r="D15216" s="10" t="s">
        <v>2438</v>
      </c>
      <c r="E15216" s="14">
        <v>0.02</v>
      </c>
      <c r="F15216" s="15">
        <f>ROUND(35.3,3)</f>
        <v>35.3</v>
      </c>
      <c r="G15216" s="12">
        <f t="shared" si="2321"/>
        <v>0.71</v>
      </c>
    </row>
    <row r="15217" ht="24.0" customHeight="1">
      <c r="A15217" s="10" t="s">
        <v>28</v>
      </c>
      <c r="B15217" s="10" t="s">
        <v>26</v>
      </c>
      <c r="C15217" s="10" t="s">
        <v>23</v>
      </c>
      <c r="D15217" s="10" t="s">
        <v>29</v>
      </c>
      <c r="E15217" s="14">
        <v>0.5</v>
      </c>
      <c r="F15217" s="15">
        <f>ROUND(19,3)</f>
        <v>19</v>
      </c>
      <c r="G15217" s="12">
        <f t="shared" si="2321"/>
        <v>9.5</v>
      </c>
    </row>
    <row r="15218" ht="30.0" customHeight="1">
      <c r="A15218" s="10" t="s">
        <v>6188</v>
      </c>
      <c r="B15218" s="10" t="s">
        <v>42</v>
      </c>
      <c r="C15218" s="10" t="s">
        <v>184</v>
      </c>
      <c r="D15218" s="10" t="s">
        <v>6189</v>
      </c>
      <c r="E15218" s="14">
        <v>0.37091</v>
      </c>
      <c r="F15218" s="15">
        <f>ROUND(13.25,3)</f>
        <v>13.25</v>
      </c>
      <c r="G15218" s="12">
        <f t="shared" si="2321"/>
        <v>4.91</v>
      </c>
    </row>
    <row r="15219" ht="21.0" customHeight="1">
      <c r="A15219" s="10" t="s">
        <v>22</v>
      </c>
      <c r="B15219" s="10" t="s">
        <v>18</v>
      </c>
      <c r="C15219" s="10" t="s">
        <v>23</v>
      </c>
      <c r="D15219" s="10" t="s">
        <v>24</v>
      </c>
      <c r="E15219" s="14">
        <v>1.0</v>
      </c>
      <c r="F15219" s="15">
        <f>F15223</f>
        <v>43.8</v>
      </c>
      <c r="G15219" s="12">
        <f t="shared" si="2321"/>
        <v>43.8</v>
      </c>
    </row>
    <row r="15220" ht="24.0" customHeight="1">
      <c r="A15220" s="10" t="s">
        <v>25</v>
      </c>
      <c r="B15220" s="10" t="s">
        <v>26</v>
      </c>
      <c r="C15220" s="10" t="s">
        <v>23</v>
      </c>
      <c r="D15220" s="10" t="s">
        <v>27</v>
      </c>
      <c r="E15220" s="14">
        <v>1.0</v>
      </c>
      <c r="F15220" s="15">
        <f>ROUND(21,3)</f>
        <v>21</v>
      </c>
      <c r="G15220" s="12">
        <f t="shared" si="2321"/>
        <v>21</v>
      </c>
    </row>
    <row r="15221" ht="24.0" customHeight="1">
      <c r="A15221" s="10" t="s">
        <v>28</v>
      </c>
      <c r="B15221" s="10" t="s">
        <v>26</v>
      </c>
      <c r="C15221" s="10" t="s">
        <v>23</v>
      </c>
      <c r="D15221" s="10" t="s">
        <v>29</v>
      </c>
      <c r="E15221" s="14">
        <v>1.0</v>
      </c>
      <c r="F15221" s="15">
        <f t="shared" ref="F15221:F15222" si="2322">ROUND(19,3)</f>
        <v>19</v>
      </c>
      <c r="G15221" s="12">
        <f t="shared" si="2321"/>
        <v>19</v>
      </c>
    </row>
    <row r="15222" ht="24.0" customHeight="1">
      <c r="A15222" s="10" t="s">
        <v>30</v>
      </c>
      <c r="B15222" s="10" t="s">
        <v>26</v>
      </c>
      <c r="C15222" s="10" t="s">
        <v>23</v>
      </c>
      <c r="D15222" s="10" t="s">
        <v>31</v>
      </c>
      <c r="E15222" s="14">
        <v>0.2</v>
      </c>
      <c r="F15222" s="15">
        <f t="shared" si="2322"/>
        <v>19</v>
      </c>
      <c r="G15222" s="12">
        <f t="shared" si="2321"/>
        <v>3.8</v>
      </c>
    </row>
    <row r="15223" ht="15.0" customHeight="1">
      <c r="A15223" s="11"/>
      <c r="B15223" s="11"/>
      <c r="C15223" s="11"/>
      <c r="D15223" s="10" t="s">
        <v>22</v>
      </c>
      <c r="E15223" s="14">
        <v>1.0</v>
      </c>
      <c r="F15223" s="15">
        <f>ROUND((G15220+G15221+G15222),3)</f>
        <v>43.8</v>
      </c>
      <c r="G15223" s="12">
        <f t="shared" si="2321"/>
        <v>43.8</v>
      </c>
    </row>
    <row r="15224" ht="15.0" customHeight="1">
      <c r="A15224" s="10" t="s">
        <v>32</v>
      </c>
      <c r="B15224" s="10"/>
      <c r="C15224" s="10" t="s">
        <v>33</v>
      </c>
      <c r="D15224" s="10" t="s">
        <v>34</v>
      </c>
      <c r="E15224" s="14">
        <v>5.0</v>
      </c>
      <c r="F15224" s="15">
        <f>ROUND(53.3,3)</f>
        <v>53.3</v>
      </c>
      <c r="G15224" s="12">
        <f>ROUND((E15224*F15224)/100,2)</f>
        <v>2.67</v>
      </c>
    </row>
    <row r="15225" ht="15.0" customHeight="1">
      <c r="A15225" s="16"/>
      <c r="B15225" s="16"/>
      <c r="C15225" s="16"/>
      <c r="D15225" s="17" t="s">
        <v>6190</v>
      </c>
      <c r="E15225" s="16"/>
      <c r="F15225" s="18">
        <f>ROUND((G15209+G15215+G15216+G15217+G15218+G15219+G15224)*(1+G2/100),2)</f>
        <v>109.71</v>
      </c>
      <c r="G15225" s="16"/>
    </row>
    <row r="15226" ht="141.0" customHeight="1">
      <c r="A15226" s="19" t="s">
        <v>6195</v>
      </c>
      <c r="B15226" s="20" t="s">
        <v>18</v>
      </c>
      <c r="C15226" s="20" t="s">
        <v>231</v>
      </c>
      <c r="D15226" s="20" t="s">
        <v>6196</v>
      </c>
      <c r="E15226" s="21"/>
      <c r="F15226" s="22">
        <f>F15244</f>
        <v>189.97</v>
      </c>
      <c r="G15226" s="21"/>
    </row>
    <row r="15227" ht="67.5" customHeight="1">
      <c r="A15227" s="11"/>
      <c r="B15227" s="11"/>
      <c r="C15227" s="11"/>
      <c r="D15227" s="10" t="s">
        <v>6197</v>
      </c>
    </row>
    <row r="15228" ht="24.0" customHeight="1">
      <c r="A15228" s="10" t="s">
        <v>6198</v>
      </c>
      <c r="B15228" s="10" t="s">
        <v>26</v>
      </c>
      <c r="C15228" s="10" t="s">
        <v>23</v>
      </c>
      <c r="D15228" s="10" t="s">
        <v>6199</v>
      </c>
      <c r="E15228" s="14">
        <v>0.5</v>
      </c>
      <c r="F15228" s="15">
        <f>ROUND(18,3)</f>
        <v>18</v>
      </c>
      <c r="G15228" s="12">
        <f t="shared" ref="G15228:G15242" si="2323">ROUND(E15228*F15228,2)</f>
        <v>9</v>
      </c>
    </row>
    <row r="15229" ht="30.0" customHeight="1">
      <c r="A15229" s="10" t="s">
        <v>6200</v>
      </c>
      <c r="B15229" s="10" t="s">
        <v>42</v>
      </c>
      <c r="C15229" s="10" t="s">
        <v>231</v>
      </c>
      <c r="D15229" s="10" t="s">
        <v>6201</v>
      </c>
      <c r="E15229" s="14">
        <v>1.0</v>
      </c>
      <c r="F15229" s="15">
        <f>ROUND(10.51,3)</f>
        <v>10.51</v>
      </c>
      <c r="G15229" s="12">
        <f t="shared" si="2323"/>
        <v>10.51</v>
      </c>
    </row>
    <row r="15230" ht="24.0" customHeight="1">
      <c r="A15230" s="10" t="s">
        <v>2437</v>
      </c>
      <c r="B15230" s="10" t="s">
        <v>42</v>
      </c>
      <c r="C15230" s="10" t="s">
        <v>43</v>
      </c>
      <c r="D15230" s="10" t="s">
        <v>2438</v>
      </c>
      <c r="E15230" s="14">
        <v>0.013</v>
      </c>
      <c r="F15230" s="15">
        <f>ROUND(35.3,3)</f>
        <v>35.3</v>
      </c>
      <c r="G15230" s="12">
        <f t="shared" si="2323"/>
        <v>0.46</v>
      </c>
    </row>
    <row r="15231" ht="30.0" customHeight="1">
      <c r="A15231" s="10" t="s">
        <v>1378</v>
      </c>
      <c r="B15231" s="10" t="s">
        <v>42</v>
      </c>
      <c r="C15231" s="10" t="s">
        <v>330</v>
      </c>
      <c r="D15231" s="10" t="s">
        <v>1379</v>
      </c>
      <c r="E15231" s="14">
        <v>0.206</v>
      </c>
      <c r="F15231" s="15">
        <f>ROUND(6.14,3)</f>
        <v>6.14</v>
      </c>
      <c r="G15231" s="12">
        <f t="shared" si="2323"/>
        <v>1.26</v>
      </c>
    </row>
    <row r="15232" ht="30.0" customHeight="1">
      <c r="A15232" s="10" t="s">
        <v>1745</v>
      </c>
      <c r="B15232" s="10" t="s">
        <v>42</v>
      </c>
      <c r="C15232" s="10" t="s">
        <v>330</v>
      </c>
      <c r="D15232" s="10" t="s">
        <v>1746</v>
      </c>
      <c r="E15232" s="14">
        <v>0.5</v>
      </c>
      <c r="F15232" s="15">
        <f>ROUND(7.93,3)</f>
        <v>7.93</v>
      </c>
      <c r="G15232" s="12">
        <f t="shared" si="2323"/>
        <v>3.97</v>
      </c>
    </row>
    <row r="15233" ht="39.75" customHeight="1">
      <c r="A15233" s="10" t="s">
        <v>1340</v>
      </c>
      <c r="B15233" s="10" t="s">
        <v>42</v>
      </c>
      <c r="C15233" s="10" t="s">
        <v>1245</v>
      </c>
      <c r="D15233" s="10" t="s">
        <v>1341</v>
      </c>
      <c r="E15233" s="14">
        <v>1.0</v>
      </c>
      <c r="F15233" s="15">
        <f>ROUND(7.37,3)</f>
        <v>7.37</v>
      </c>
      <c r="G15233" s="12">
        <f t="shared" si="2323"/>
        <v>7.37</v>
      </c>
    </row>
    <row r="15234" ht="30.0" customHeight="1">
      <c r="A15234" s="10" t="s">
        <v>1437</v>
      </c>
      <c r="B15234" s="10" t="s">
        <v>42</v>
      </c>
      <c r="C15234" s="10" t="s">
        <v>325</v>
      </c>
      <c r="D15234" s="10" t="s">
        <v>1438</v>
      </c>
      <c r="E15234" s="14">
        <v>0.05</v>
      </c>
      <c r="F15234" s="15">
        <f>ROUND(30.45,3)</f>
        <v>30.45</v>
      </c>
      <c r="G15234" s="12">
        <f t="shared" si="2323"/>
        <v>1.52</v>
      </c>
    </row>
    <row r="15235" ht="21.0" customHeight="1">
      <c r="A15235" s="10" t="s">
        <v>969</v>
      </c>
      <c r="B15235" s="10" t="s">
        <v>112</v>
      </c>
      <c r="C15235" s="10" t="s">
        <v>23</v>
      </c>
      <c r="D15235" s="10" t="s">
        <v>970</v>
      </c>
      <c r="E15235" s="14">
        <v>0.5</v>
      </c>
      <c r="F15235" s="15">
        <f>ROUND(2,3)</f>
        <v>2</v>
      </c>
      <c r="G15235" s="12">
        <f t="shared" si="2323"/>
        <v>1</v>
      </c>
    </row>
    <row r="15236" ht="21.0" customHeight="1">
      <c r="A15236" s="10" t="s">
        <v>1344</v>
      </c>
      <c r="B15236" s="10" t="s">
        <v>42</v>
      </c>
      <c r="C15236" s="10" t="s">
        <v>231</v>
      </c>
      <c r="D15236" s="10" t="s">
        <v>1345</v>
      </c>
      <c r="E15236" s="14">
        <v>0.2</v>
      </c>
      <c r="F15236" s="15">
        <f>ROUND(5.52,3)</f>
        <v>5.52</v>
      </c>
      <c r="G15236" s="12">
        <f t="shared" si="2323"/>
        <v>1.1</v>
      </c>
    </row>
    <row r="15237" ht="30.0" customHeight="1">
      <c r="A15237" s="10" t="s">
        <v>971</v>
      </c>
      <c r="B15237" s="10" t="s">
        <v>42</v>
      </c>
      <c r="C15237" s="10" t="s">
        <v>231</v>
      </c>
      <c r="D15237" s="10" t="s">
        <v>972</v>
      </c>
      <c r="E15237" s="14">
        <v>0.1</v>
      </c>
      <c r="F15237" s="15">
        <f>ROUND(4.92,3)</f>
        <v>4.92</v>
      </c>
      <c r="G15237" s="12">
        <f t="shared" si="2323"/>
        <v>0.49</v>
      </c>
    </row>
    <row r="15238" ht="39.75" customHeight="1">
      <c r="A15238" s="10" t="s">
        <v>1435</v>
      </c>
      <c r="B15238" s="10" t="s">
        <v>112</v>
      </c>
      <c r="C15238" s="10" t="s">
        <v>23</v>
      </c>
      <c r="D15238" s="10" t="s">
        <v>1436</v>
      </c>
      <c r="E15238" s="14">
        <v>1.0</v>
      </c>
      <c r="F15238" s="15">
        <f>ROUND(2.86,3)</f>
        <v>2.86</v>
      </c>
      <c r="G15238" s="12">
        <f t="shared" si="2323"/>
        <v>2.86</v>
      </c>
    </row>
    <row r="15239" ht="30.0" customHeight="1">
      <c r="A15239" s="10" t="s">
        <v>6202</v>
      </c>
      <c r="B15239" s="10" t="s">
        <v>18</v>
      </c>
      <c r="C15239" s="10" t="s">
        <v>23</v>
      </c>
      <c r="D15239" s="10" t="s">
        <v>6203</v>
      </c>
      <c r="E15239" s="14">
        <v>3.5</v>
      </c>
      <c r="F15239" s="15">
        <f>F15242</f>
        <v>40</v>
      </c>
      <c r="G15239" s="12">
        <f t="shared" si="2323"/>
        <v>140</v>
      </c>
    </row>
    <row r="15240" ht="24.0" customHeight="1">
      <c r="A15240" s="10" t="s">
        <v>6204</v>
      </c>
      <c r="B15240" s="10" t="s">
        <v>26</v>
      </c>
      <c r="C15240" s="10" t="s">
        <v>23</v>
      </c>
      <c r="D15240" s="10" t="s">
        <v>6205</v>
      </c>
      <c r="E15240" s="14">
        <v>1.0</v>
      </c>
      <c r="F15240" s="15">
        <f>ROUND(21,3)</f>
        <v>21</v>
      </c>
      <c r="G15240" s="12">
        <f t="shared" si="2323"/>
        <v>21</v>
      </c>
    </row>
    <row r="15241" ht="24.0" customHeight="1">
      <c r="A15241" s="10" t="s">
        <v>6206</v>
      </c>
      <c r="B15241" s="10" t="s">
        <v>26</v>
      </c>
      <c r="C15241" s="10" t="s">
        <v>23</v>
      </c>
      <c r="D15241" s="10" t="s">
        <v>6207</v>
      </c>
      <c r="E15241" s="14">
        <v>1.0</v>
      </c>
      <c r="F15241" s="15">
        <f>ROUND(19,3)</f>
        <v>19</v>
      </c>
      <c r="G15241" s="12">
        <f t="shared" si="2323"/>
        <v>19</v>
      </c>
    </row>
    <row r="15242" ht="15.0" customHeight="1">
      <c r="A15242" s="11"/>
      <c r="B15242" s="11"/>
      <c r="C15242" s="11"/>
      <c r="D15242" s="10" t="s">
        <v>6202</v>
      </c>
      <c r="E15242" s="14">
        <v>3.5</v>
      </c>
      <c r="F15242" s="15">
        <f>ROUND((G15240+G15241),3)</f>
        <v>40</v>
      </c>
      <c r="G15242" s="12">
        <f t="shared" si="2323"/>
        <v>140</v>
      </c>
    </row>
    <row r="15243" ht="15.0" customHeight="1">
      <c r="A15243" s="10" t="s">
        <v>32</v>
      </c>
      <c r="B15243" s="10"/>
      <c r="C15243" s="10" t="s">
        <v>33</v>
      </c>
      <c r="D15243" s="10" t="s">
        <v>34</v>
      </c>
      <c r="E15243" s="14">
        <v>7.0</v>
      </c>
      <c r="F15243" s="15">
        <f>ROUND(149,3)</f>
        <v>149</v>
      </c>
      <c r="G15243" s="12">
        <f>ROUND((E15243*F15243)/100,2)</f>
        <v>10.43</v>
      </c>
    </row>
    <row r="15244" ht="15.0" customHeight="1">
      <c r="A15244" s="16"/>
      <c r="B15244" s="16"/>
      <c r="C15244" s="16"/>
      <c r="D15244" s="17" t="s">
        <v>6195</v>
      </c>
      <c r="E15244" s="16"/>
      <c r="F15244" s="18">
        <f>ROUND((G15228+G15229+G15230+G15231+G15232+G15233+G15234+G15235+G15236+G15237+G15238+G15239+G15243)*(1+G2/100),2)</f>
        <v>189.97</v>
      </c>
      <c r="G15244" s="16"/>
    </row>
    <row r="15245" ht="141.0" customHeight="1">
      <c r="A15245" s="19" t="s">
        <v>6208</v>
      </c>
      <c r="B15245" s="20" t="s">
        <v>18</v>
      </c>
      <c r="C15245" s="20" t="s">
        <v>231</v>
      </c>
      <c r="D15245" s="20" t="s">
        <v>6209</v>
      </c>
      <c r="E15245" s="21"/>
      <c r="F15245" s="22">
        <f>F15262</f>
        <v>196.95</v>
      </c>
      <c r="G15245" s="21"/>
    </row>
    <row r="15246" ht="67.5" customHeight="1">
      <c r="A15246" s="11"/>
      <c r="B15246" s="11"/>
      <c r="C15246" s="11"/>
      <c r="D15246" s="10" t="s">
        <v>6210</v>
      </c>
    </row>
    <row r="15247" ht="24.0" customHeight="1">
      <c r="A15247" s="10" t="s">
        <v>6198</v>
      </c>
      <c r="B15247" s="10" t="s">
        <v>26</v>
      </c>
      <c r="C15247" s="10" t="s">
        <v>23</v>
      </c>
      <c r="D15247" s="10" t="s">
        <v>6199</v>
      </c>
      <c r="E15247" s="14">
        <v>0.5</v>
      </c>
      <c r="F15247" s="15">
        <f>ROUND(18,3)</f>
        <v>18</v>
      </c>
      <c r="G15247" s="12">
        <f t="shared" ref="G15247:G15260" si="2324">ROUND(E15247*F15247,2)</f>
        <v>9</v>
      </c>
    </row>
    <row r="15248" ht="30.0" customHeight="1">
      <c r="A15248" s="10" t="s">
        <v>6200</v>
      </c>
      <c r="B15248" s="10" t="s">
        <v>42</v>
      </c>
      <c r="C15248" s="10" t="s">
        <v>231</v>
      </c>
      <c r="D15248" s="10" t="s">
        <v>6201</v>
      </c>
      <c r="E15248" s="14">
        <v>1.0</v>
      </c>
      <c r="F15248" s="15">
        <f>ROUND(10.51,3)</f>
        <v>10.51</v>
      </c>
      <c r="G15248" s="12">
        <f t="shared" si="2324"/>
        <v>10.51</v>
      </c>
    </row>
    <row r="15249" ht="24.0" customHeight="1">
      <c r="A15249" s="10" t="s">
        <v>2437</v>
      </c>
      <c r="B15249" s="10" t="s">
        <v>42</v>
      </c>
      <c r="C15249" s="10" t="s">
        <v>43</v>
      </c>
      <c r="D15249" s="10" t="s">
        <v>2438</v>
      </c>
      <c r="E15249" s="14">
        <v>0.013</v>
      </c>
      <c r="F15249" s="15">
        <f>ROUND(35.3,3)</f>
        <v>35.3</v>
      </c>
      <c r="G15249" s="12">
        <f t="shared" si="2324"/>
        <v>0.46</v>
      </c>
    </row>
    <row r="15250" ht="30.0" customHeight="1">
      <c r="A15250" s="10" t="s">
        <v>1745</v>
      </c>
      <c r="B15250" s="10" t="s">
        <v>42</v>
      </c>
      <c r="C15250" s="10" t="s">
        <v>330</v>
      </c>
      <c r="D15250" s="10" t="s">
        <v>1746</v>
      </c>
      <c r="E15250" s="14">
        <v>0.5</v>
      </c>
      <c r="F15250" s="15">
        <f>ROUND(7.93,3)</f>
        <v>7.93</v>
      </c>
      <c r="G15250" s="12">
        <f t="shared" si="2324"/>
        <v>3.97</v>
      </c>
    </row>
    <row r="15251" ht="39.75" customHeight="1">
      <c r="A15251" s="10" t="s">
        <v>1340</v>
      </c>
      <c r="B15251" s="10" t="s">
        <v>42</v>
      </c>
      <c r="C15251" s="10" t="s">
        <v>1245</v>
      </c>
      <c r="D15251" s="10" t="s">
        <v>1341</v>
      </c>
      <c r="E15251" s="14">
        <v>0.6</v>
      </c>
      <c r="F15251" s="15">
        <f>ROUND(7.37,3)</f>
        <v>7.37</v>
      </c>
      <c r="G15251" s="12">
        <f t="shared" si="2324"/>
        <v>4.42</v>
      </c>
    </row>
    <row r="15252" ht="30.0" customHeight="1">
      <c r="A15252" s="10" t="s">
        <v>1437</v>
      </c>
      <c r="B15252" s="10" t="s">
        <v>42</v>
      </c>
      <c r="C15252" s="10" t="s">
        <v>325</v>
      </c>
      <c r="D15252" s="10" t="s">
        <v>1438</v>
      </c>
      <c r="E15252" s="14">
        <v>0.05</v>
      </c>
      <c r="F15252" s="15">
        <f>ROUND(30.45,3)</f>
        <v>30.45</v>
      </c>
      <c r="G15252" s="12">
        <f t="shared" si="2324"/>
        <v>1.52</v>
      </c>
    </row>
    <row r="15253" ht="21.0" customHeight="1">
      <c r="A15253" s="10" t="s">
        <v>969</v>
      </c>
      <c r="B15253" s="10" t="s">
        <v>112</v>
      </c>
      <c r="C15253" s="10" t="s">
        <v>23</v>
      </c>
      <c r="D15253" s="10" t="s">
        <v>970</v>
      </c>
      <c r="E15253" s="14">
        <v>0.5</v>
      </c>
      <c r="F15253" s="15">
        <f>ROUND(2,3)</f>
        <v>2</v>
      </c>
      <c r="G15253" s="12">
        <f t="shared" si="2324"/>
        <v>1</v>
      </c>
    </row>
    <row r="15254" ht="21.0" customHeight="1">
      <c r="A15254" s="10" t="s">
        <v>1344</v>
      </c>
      <c r="B15254" s="10" t="s">
        <v>42</v>
      </c>
      <c r="C15254" s="10" t="s">
        <v>231</v>
      </c>
      <c r="D15254" s="10" t="s">
        <v>1345</v>
      </c>
      <c r="E15254" s="14">
        <v>0.2</v>
      </c>
      <c r="F15254" s="15">
        <f>ROUND(5.52,3)</f>
        <v>5.52</v>
      </c>
      <c r="G15254" s="12">
        <f t="shared" si="2324"/>
        <v>1.1</v>
      </c>
    </row>
    <row r="15255" ht="30.0" customHeight="1">
      <c r="A15255" s="10" t="s">
        <v>971</v>
      </c>
      <c r="B15255" s="10" t="s">
        <v>42</v>
      </c>
      <c r="C15255" s="10" t="s">
        <v>231</v>
      </c>
      <c r="D15255" s="10" t="s">
        <v>972</v>
      </c>
      <c r="E15255" s="14">
        <v>0.2</v>
      </c>
      <c r="F15255" s="15">
        <f>ROUND(4.92,3)</f>
        <v>4.92</v>
      </c>
      <c r="G15255" s="12">
        <f t="shared" si="2324"/>
        <v>0.98</v>
      </c>
    </row>
    <row r="15256" ht="39.75" customHeight="1">
      <c r="A15256" s="10" t="s">
        <v>1435</v>
      </c>
      <c r="B15256" s="10" t="s">
        <v>112</v>
      </c>
      <c r="C15256" s="10" t="s">
        <v>23</v>
      </c>
      <c r="D15256" s="10" t="s">
        <v>1436</v>
      </c>
      <c r="E15256" s="14">
        <v>1.0</v>
      </c>
      <c r="F15256" s="15">
        <f>ROUND(2.86,3)</f>
        <v>2.86</v>
      </c>
      <c r="G15256" s="12">
        <f t="shared" si="2324"/>
        <v>2.86</v>
      </c>
    </row>
    <row r="15257" ht="30.0" customHeight="1">
      <c r="A15257" s="10" t="s">
        <v>6202</v>
      </c>
      <c r="B15257" s="10" t="s">
        <v>18</v>
      </c>
      <c r="C15257" s="10" t="s">
        <v>23</v>
      </c>
      <c r="D15257" s="10" t="s">
        <v>6203</v>
      </c>
      <c r="E15257" s="14">
        <v>3.75</v>
      </c>
      <c r="F15257" s="15">
        <f>F15260</f>
        <v>40</v>
      </c>
      <c r="G15257" s="12">
        <f t="shared" si="2324"/>
        <v>150</v>
      </c>
    </row>
    <row r="15258" ht="24.0" customHeight="1">
      <c r="A15258" s="10" t="s">
        <v>6204</v>
      </c>
      <c r="B15258" s="10" t="s">
        <v>26</v>
      </c>
      <c r="C15258" s="10" t="s">
        <v>23</v>
      </c>
      <c r="D15258" s="10" t="s">
        <v>6205</v>
      </c>
      <c r="E15258" s="14">
        <v>1.0</v>
      </c>
      <c r="F15258" s="15">
        <f>ROUND(21,3)</f>
        <v>21</v>
      </c>
      <c r="G15258" s="12">
        <f t="shared" si="2324"/>
        <v>21</v>
      </c>
    </row>
    <row r="15259" ht="24.0" customHeight="1">
      <c r="A15259" s="10" t="s">
        <v>6206</v>
      </c>
      <c r="B15259" s="10" t="s">
        <v>26</v>
      </c>
      <c r="C15259" s="10" t="s">
        <v>23</v>
      </c>
      <c r="D15259" s="10" t="s">
        <v>6207</v>
      </c>
      <c r="E15259" s="14">
        <v>1.0</v>
      </c>
      <c r="F15259" s="15">
        <f>ROUND(19,3)</f>
        <v>19</v>
      </c>
      <c r="G15259" s="12">
        <f t="shared" si="2324"/>
        <v>19</v>
      </c>
    </row>
    <row r="15260" ht="15.0" customHeight="1">
      <c r="A15260" s="11"/>
      <c r="B15260" s="11"/>
      <c r="C15260" s="11"/>
      <c r="D15260" s="10" t="s">
        <v>6202</v>
      </c>
      <c r="E15260" s="14">
        <v>3.75</v>
      </c>
      <c r="F15260" s="15">
        <f>ROUND((G15258+G15259),3)</f>
        <v>40</v>
      </c>
      <c r="G15260" s="12">
        <f t="shared" si="2324"/>
        <v>150</v>
      </c>
    </row>
    <row r="15261" ht="15.0" customHeight="1">
      <c r="A15261" s="10" t="s">
        <v>32</v>
      </c>
      <c r="B15261" s="10"/>
      <c r="C15261" s="10" t="s">
        <v>33</v>
      </c>
      <c r="D15261" s="10" t="s">
        <v>34</v>
      </c>
      <c r="E15261" s="14">
        <v>7.0</v>
      </c>
      <c r="F15261" s="15">
        <f>ROUND(159,3)</f>
        <v>159</v>
      </c>
      <c r="G15261" s="12">
        <f>ROUND((E15261*F15261)/100,2)</f>
        <v>11.13</v>
      </c>
    </row>
    <row r="15262" ht="15.0" customHeight="1">
      <c r="A15262" s="16"/>
      <c r="B15262" s="16"/>
      <c r="C15262" s="16"/>
      <c r="D15262" s="17" t="s">
        <v>6208</v>
      </c>
      <c r="E15262" s="16"/>
      <c r="F15262" s="18">
        <f>ROUND((G15247+G15248+G15249+G15250+G15251+G15252+G15253+G15254+G15255+G15256+G15257+G15261)*(1+G2/100),2)</f>
        <v>196.95</v>
      </c>
      <c r="G15262" s="16"/>
    </row>
    <row r="15263" ht="141.0" customHeight="1">
      <c r="A15263" s="19" t="s">
        <v>6211</v>
      </c>
      <c r="B15263" s="20" t="s">
        <v>18</v>
      </c>
      <c r="C15263" s="20" t="s">
        <v>231</v>
      </c>
      <c r="D15263" s="20" t="s">
        <v>6212</v>
      </c>
      <c r="E15263" s="21"/>
      <c r="F15263" s="22">
        <f>F15281</f>
        <v>217.97</v>
      </c>
      <c r="G15263" s="21"/>
    </row>
    <row r="15264" ht="67.5" customHeight="1">
      <c r="A15264" s="11"/>
      <c r="B15264" s="11"/>
      <c r="C15264" s="11"/>
      <c r="D15264" s="10" t="s">
        <v>6213</v>
      </c>
    </row>
    <row r="15265" ht="24.0" customHeight="1">
      <c r="A15265" s="10" t="s">
        <v>6198</v>
      </c>
      <c r="B15265" s="10" t="s">
        <v>26</v>
      </c>
      <c r="C15265" s="10" t="s">
        <v>23</v>
      </c>
      <c r="D15265" s="10" t="s">
        <v>6199</v>
      </c>
      <c r="E15265" s="14">
        <v>0.75</v>
      </c>
      <c r="F15265" s="15">
        <f>ROUND(18,3)</f>
        <v>18</v>
      </c>
      <c r="G15265" s="12">
        <f t="shared" ref="G15265:G15279" si="2325">ROUND(E15265*F15265,2)</f>
        <v>13.5</v>
      </c>
    </row>
    <row r="15266" ht="30.0" customHeight="1">
      <c r="A15266" s="10" t="s">
        <v>6214</v>
      </c>
      <c r="B15266" s="10" t="s">
        <v>42</v>
      </c>
      <c r="C15266" s="10" t="s">
        <v>231</v>
      </c>
      <c r="D15266" s="10" t="s">
        <v>6215</v>
      </c>
      <c r="E15266" s="14">
        <v>1.0</v>
      </c>
      <c r="F15266" s="15">
        <f>ROUND(14.4,3)</f>
        <v>14.4</v>
      </c>
      <c r="G15266" s="12">
        <f t="shared" si="2325"/>
        <v>14.4</v>
      </c>
    </row>
    <row r="15267" ht="24.0" customHeight="1">
      <c r="A15267" s="10" t="s">
        <v>2437</v>
      </c>
      <c r="B15267" s="10" t="s">
        <v>42</v>
      </c>
      <c r="C15267" s="10" t="s">
        <v>43</v>
      </c>
      <c r="D15267" s="10" t="s">
        <v>2438</v>
      </c>
      <c r="E15267" s="14">
        <v>0.013</v>
      </c>
      <c r="F15267" s="15">
        <f>ROUND(35.3,3)</f>
        <v>35.3</v>
      </c>
      <c r="G15267" s="12">
        <f t="shared" si="2325"/>
        <v>0.46</v>
      </c>
    </row>
    <row r="15268" ht="30.0" customHeight="1">
      <c r="A15268" s="10" t="s">
        <v>1378</v>
      </c>
      <c r="B15268" s="10" t="s">
        <v>42</v>
      </c>
      <c r="C15268" s="10" t="s">
        <v>330</v>
      </c>
      <c r="D15268" s="10" t="s">
        <v>1379</v>
      </c>
      <c r="E15268" s="14">
        <v>0.3</v>
      </c>
      <c r="F15268" s="15">
        <f>ROUND(6.14,3)</f>
        <v>6.14</v>
      </c>
      <c r="G15268" s="12">
        <f t="shared" si="2325"/>
        <v>1.84</v>
      </c>
    </row>
    <row r="15269" ht="30.0" customHeight="1">
      <c r="A15269" s="10" t="s">
        <v>1745</v>
      </c>
      <c r="B15269" s="10" t="s">
        <v>42</v>
      </c>
      <c r="C15269" s="10" t="s">
        <v>330</v>
      </c>
      <c r="D15269" s="10" t="s">
        <v>1746</v>
      </c>
      <c r="E15269" s="14">
        <v>0.75</v>
      </c>
      <c r="F15269" s="15">
        <f>ROUND(7.93,3)</f>
        <v>7.93</v>
      </c>
      <c r="G15269" s="12">
        <f t="shared" si="2325"/>
        <v>5.95</v>
      </c>
    </row>
    <row r="15270" ht="39.75" customHeight="1">
      <c r="A15270" s="10" t="s">
        <v>1340</v>
      </c>
      <c r="B15270" s="10" t="s">
        <v>42</v>
      </c>
      <c r="C15270" s="10" t="s">
        <v>1245</v>
      </c>
      <c r="D15270" s="10" t="s">
        <v>1341</v>
      </c>
      <c r="E15270" s="14">
        <v>1.5</v>
      </c>
      <c r="F15270" s="15">
        <f>ROUND(7.37,3)</f>
        <v>7.37</v>
      </c>
      <c r="G15270" s="12">
        <f t="shared" si="2325"/>
        <v>11.06</v>
      </c>
    </row>
    <row r="15271" ht="30.0" customHeight="1">
      <c r="A15271" s="10" t="s">
        <v>1437</v>
      </c>
      <c r="B15271" s="10" t="s">
        <v>42</v>
      </c>
      <c r="C15271" s="10" t="s">
        <v>325</v>
      </c>
      <c r="D15271" s="10" t="s">
        <v>1438</v>
      </c>
      <c r="E15271" s="14">
        <v>0.07</v>
      </c>
      <c r="F15271" s="15">
        <f>ROUND(30.45,3)</f>
        <v>30.45</v>
      </c>
      <c r="G15271" s="12">
        <f t="shared" si="2325"/>
        <v>2.13</v>
      </c>
    </row>
    <row r="15272" ht="21.0" customHeight="1">
      <c r="A15272" s="10" t="s">
        <v>969</v>
      </c>
      <c r="B15272" s="10" t="s">
        <v>112</v>
      </c>
      <c r="C15272" s="10" t="s">
        <v>23</v>
      </c>
      <c r="D15272" s="10" t="s">
        <v>970</v>
      </c>
      <c r="E15272" s="14">
        <v>0.6</v>
      </c>
      <c r="F15272" s="15">
        <f>ROUND(2,3)</f>
        <v>2</v>
      </c>
      <c r="G15272" s="12">
        <f t="shared" si="2325"/>
        <v>1.2</v>
      </c>
    </row>
    <row r="15273" ht="21.0" customHeight="1">
      <c r="A15273" s="10" t="s">
        <v>1344</v>
      </c>
      <c r="B15273" s="10" t="s">
        <v>42</v>
      </c>
      <c r="C15273" s="10" t="s">
        <v>231</v>
      </c>
      <c r="D15273" s="10" t="s">
        <v>1345</v>
      </c>
      <c r="E15273" s="14">
        <v>0.3</v>
      </c>
      <c r="F15273" s="15">
        <f>ROUND(5.52,3)</f>
        <v>5.52</v>
      </c>
      <c r="G15273" s="12">
        <f t="shared" si="2325"/>
        <v>1.66</v>
      </c>
    </row>
    <row r="15274" ht="30.0" customHeight="1">
      <c r="A15274" s="10" t="s">
        <v>971</v>
      </c>
      <c r="B15274" s="10" t="s">
        <v>42</v>
      </c>
      <c r="C15274" s="10" t="s">
        <v>231</v>
      </c>
      <c r="D15274" s="10" t="s">
        <v>972</v>
      </c>
      <c r="E15274" s="14">
        <v>0.15</v>
      </c>
      <c r="F15274" s="15">
        <f>ROUND(4.92,3)</f>
        <v>4.92</v>
      </c>
      <c r="G15274" s="12">
        <f t="shared" si="2325"/>
        <v>0.74</v>
      </c>
    </row>
    <row r="15275" ht="39.75" customHeight="1">
      <c r="A15275" s="10" t="s">
        <v>1435</v>
      </c>
      <c r="B15275" s="10" t="s">
        <v>112</v>
      </c>
      <c r="C15275" s="10" t="s">
        <v>23</v>
      </c>
      <c r="D15275" s="10" t="s">
        <v>1436</v>
      </c>
      <c r="E15275" s="14">
        <v>1.25</v>
      </c>
      <c r="F15275" s="15">
        <f>ROUND(2.86,3)</f>
        <v>2.86</v>
      </c>
      <c r="G15275" s="12">
        <f t="shared" si="2325"/>
        <v>3.58</v>
      </c>
    </row>
    <row r="15276" ht="30.0" customHeight="1">
      <c r="A15276" s="10" t="s">
        <v>6202</v>
      </c>
      <c r="B15276" s="10" t="s">
        <v>18</v>
      </c>
      <c r="C15276" s="10" t="s">
        <v>23</v>
      </c>
      <c r="D15276" s="10" t="s">
        <v>6203</v>
      </c>
      <c r="E15276" s="14">
        <v>3.75</v>
      </c>
      <c r="F15276" s="15">
        <f>F15279</f>
        <v>40</v>
      </c>
      <c r="G15276" s="12">
        <f t="shared" si="2325"/>
        <v>150</v>
      </c>
    </row>
    <row r="15277" ht="24.0" customHeight="1">
      <c r="A15277" s="10" t="s">
        <v>6204</v>
      </c>
      <c r="B15277" s="10" t="s">
        <v>26</v>
      </c>
      <c r="C15277" s="10" t="s">
        <v>23</v>
      </c>
      <c r="D15277" s="10" t="s">
        <v>6205</v>
      </c>
      <c r="E15277" s="14">
        <v>1.0</v>
      </c>
      <c r="F15277" s="15">
        <f>ROUND(21,3)</f>
        <v>21</v>
      </c>
      <c r="G15277" s="12">
        <f t="shared" si="2325"/>
        <v>21</v>
      </c>
    </row>
    <row r="15278" ht="24.0" customHeight="1">
      <c r="A15278" s="10" t="s">
        <v>6206</v>
      </c>
      <c r="B15278" s="10" t="s">
        <v>26</v>
      </c>
      <c r="C15278" s="10" t="s">
        <v>23</v>
      </c>
      <c r="D15278" s="10" t="s">
        <v>6207</v>
      </c>
      <c r="E15278" s="14">
        <v>1.0</v>
      </c>
      <c r="F15278" s="15">
        <f>ROUND(19,3)</f>
        <v>19</v>
      </c>
      <c r="G15278" s="12">
        <f t="shared" si="2325"/>
        <v>19</v>
      </c>
    </row>
    <row r="15279" ht="15.0" customHeight="1">
      <c r="A15279" s="11"/>
      <c r="B15279" s="11"/>
      <c r="C15279" s="11"/>
      <c r="D15279" s="10" t="s">
        <v>6202</v>
      </c>
      <c r="E15279" s="14">
        <v>3.75</v>
      </c>
      <c r="F15279" s="15">
        <f>ROUND((G15277+G15278),3)</f>
        <v>40</v>
      </c>
      <c r="G15279" s="12">
        <f t="shared" si="2325"/>
        <v>150</v>
      </c>
    </row>
    <row r="15280" ht="15.0" customHeight="1">
      <c r="A15280" s="10" t="s">
        <v>32</v>
      </c>
      <c r="B15280" s="10"/>
      <c r="C15280" s="10" t="s">
        <v>33</v>
      </c>
      <c r="D15280" s="10" t="s">
        <v>34</v>
      </c>
      <c r="E15280" s="14">
        <v>7.0</v>
      </c>
      <c r="F15280" s="15">
        <f>ROUND(163.5,3)</f>
        <v>163.5</v>
      </c>
      <c r="G15280" s="12">
        <f>ROUND((E15280*F15280)/100,2)</f>
        <v>11.45</v>
      </c>
    </row>
    <row r="15281" ht="15.0" customHeight="1">
      <c r="A15281" s="16"/>
      <c r="B15281" s="16"/>
      <c r="C15281" s="16"/>
      <c r="D15281" s="17" t="s">
        <v>6211</v>
      </c>
      <c r="E15281" s="16"/>
      <c r="F15281" s="18">
        <f>ROUND((G15265+G15266+G15267+G15268+G15269+G15270+G15271+G15272+G15273+G15274+G15275+G15276+G15280)*(1+G2/100),2)</f>
        <v>217.97</v>
      </c>
      <c r="G15281" s="16"/>
    </row>
    <row r="15282" ht="141.0" customHeight="1">
      <c r="A15282" s="19" t="s">
        <v>6216</v>
      </c>
      <c r="B15282" s="20" t="s">
        <v>18</v>
      </c>
      <c r="C15282" s="20" t="s">
        <v>231</v>
      </c>
      <c r="D15282" s="20" t="s">
        <v>6217</v>
      </c>
      <c r="E15282" s="21"/>
      <c r="F15282" s="22">
        <f>F15299</f>
        <v>222.4</v>
      </c>
      <c r="G15282" s="21"/>
    </row>
    <row r="15283" ht="67.5" customHeight="1">
      <c r="A15283" s="11"/>
      <c r="B15283" s="11"/>
      <c r="C15283" s="11"/>
      <c r="D15283" s="10" t="s">
        <v>6218</v>
      </c>
    </row>
    <row r="15284" ht="24.0" customHeight="1">
      <c r="A15284" s="10" t="s">
        <v>6198</v>
      </c>
      <c r="B15284" s="10" t="s">
        <v>26</v>
      </c>
      <c r="C15284" s="10" t="s">
        <v>23</v>
      </c>
      <c r="D15284" s="10" t="s">
        <v>6199</v>
      </c>
      <c r="E15284" s="14">
        <v>0.75</v>
      </c>
      <c r="F15284" s="15">
        <f>ROUND(18,3)</f>
        <v>18</v>
      </c>
      <c r="G15284" s="12">
        <f t="shared" ref="G15284:G15297" si="2326">ROUND(E15284*F15284,2)</f>
        <v>13.5</v>
      </c>
    </row>
    <row r="15285" ht="30.0" customHeight="1">
      <c r="A15285" s="10" t="s">
        <v>6214</v>
      </c>
      <c r="B15285" s="10" t="s">
        <v>42</v>
      </c>
      <c r="C15285" s="10" t="s">
        <v>231</v>
      </c>
      <c r="D15285" s="10" t="s">
        <v>6215</v>
      </c>
      <c r="E15285" s="14">
        <v>1.0</v>
      </c>
      <c r="F15285" s="15">
        <f>ROUND(14.4,3)</f>
        <v>14.4</v>
      </c>
      <c r="G15285" s="12">
        <f t="shared" si="2326"/>
        <v>14.4</v>
      </c>
    </row>
    <row r="15286" ht="24.0" customHeight="1">
      <c r="A15286" s="10" t="s">
        <v>2437</v>
      </c>
      <c r="B15286" s="10" t="s">
        <v>42</v>
      </c>
      <c r="C15286" s="10" t="s">
        <v>43</v>
      </c>
      <c r="D15286" s="10" t="s">
        <v>2438</v>
      </c>
      <c r="E15286" s="14">
        <v>0.013</v>
      </c>
      <c r="F15286" s="15">
        <f>ROUND(35.3,3)</f>
        <v>35.3</v>
      </c>
      <c r="G15286" s="12">
        <f t="shared" si="2326"/>
        <v>0.46</v>
      </c>
    </row>
    <row r="15287" ht="30.0" customHeight="1">
      <c r="A15287" s="10" t="s">
        <v>1745</v>
      </c>
      <c r="B15287" s="10" t="s">
        <v>42</v>
      </c>
      <c r="C15287" s="10" t="s">
        <v>330</v>
      </c>
      <c r="D15287" s="10" t="s">
        <v>1746</v>
      </c>
      <c r="E15287" s="14">
        <v>0.75</v>
      </c>
      <c r="F15287" s="15">
        <f>ROUND(7.93,3)</f>
        <v>7.93</v>
      </c>
      <c r="G15287" s="12">
        <f t="shared" si="2326"/>
        <v>5.95</v>
      </c>
    </row>
    <row r="15288" ht="39.75" customHeight="1">
      <c r="A15288" s="10" t="s">
        <v>1340</v>
      </c>
      <c r="B15288" s="10" t="s">
        <v>42</v>
      </c>
      <c r="C15288" s="10" t="s">
        <v>1245</v>
      </c>
      <c r="D15288" s="10" t="s">
        <v>1341</v>
      </c>
      <c r="E15288" s="14">
        <v>0.9</v>
      </c>
      <c r="F15288" s="15">
        <f>ROUND(7.37,3)</f>
        <v>7.37</v>
      </c>
      <c r="G15288" s="12">
        <f t="shared" si="2326"/>
        <v>6.63</v>
      </c>
    </row>
    <row r="15289" ht="30.0" customHeight="1">
      <c r="A15289" s="10" t="s">
        <v>1437</v>
      </c>
      <c r="B15289" s="10" t="s">
        <v>42</v>
      </c>
      <c r="C15289" s="10" t="s">
        <v>325</v>
      </c>
      <c r="D15289" s="10" t="s">
        <v>1438</v>
      </c>
      <c r="E15289" s="14">
        <v>0.07</v>
      </c>
      <c r="F15289" s="15">
        <f>ROUND(30.45,3)</f>
        <v>30.45</v>
      </c>
      <c r="G15289" s="12">
        <f t="shared" si="2326"/>
        <v>2.13</v>
      </c>
    </row>
    <row r="15290" ht="21.0" customHeight="1">
      <c r="A15290" s="10" t="s">
        <v>969</v>
      </c>
      <c r="B15290" s="10" t="s">
        <v>112</v>
      </c>
      <c r="C15290" s="10" t="s">
        <v>23</v>
      </c>
      <c r="D15290" s="10" t="s">
        <v>970</v>
      </c>
      <c r="E15290" s="14">
        <v>0.6</v>
      </c>
      <c r="F15290" s="15">
        <f>ROUND(2,3)</f>
        <v>2</v>
      </c>
      <c r="G15290" s="12">
        <f t="shared" si="2326"/>
        <v>1.2</v>
      </c>
    </row>
    <row r="15291" ht="21.0" customHeight="1">
      <c r="A15291" s="10" t="s">
        <v>1344</v>
      </c>
      <c r="B15291" s="10" t="s">
        <v>42</v>
      </c>
      <c r="C15291" s="10" t="s">
        <v>231</v>
      </c>
      <c r="D15291" s="10" t="s">
        <v>1345</v>
      </c>
      <c r="E15291" s="14">
        <v>0.3</v>
      </c>
      <c r="F15291" s="15">
        <f>ROUND(5.52,3)</f>
        <v>5.52</v>
      </c>
      <c r="G15291" s="12">
        <f t="shared" si="2326"/>
        <v>1.66</v>
      </c>
    </row>
    <row r="15292" ht="30.0" customHeight="1">
      <c r="A15292" s="10" t="s">
        <v>971</v>
      </c>
      <c r="B15292" s="10" t="s">
        <v>42</v>
      </c>
      <c r="C15292" s="10" t="s">
        <v>231</v>
      </c>
      <c r="D15292" s="10" t="s">
        <v>972</v>
      </c>
      <c r="E15292" s="14">
        <v>0.15</v>
      </c>
      <c r="F15292" s="15">
        <f>ROUND(4.92,3)</f>
        <v>4.92</v>
      </c>
      <c r="G15292" s="12">
        <f t="shared" si="2326"/>
        <v>0.74</v>
      </c>
    </row>
    <row r="15293" ht="39.75" customHeight="1">
      <c r="A15293" s="10" t="s">
        <v>1435</v>
      </c>
      <c r="B15293" s="10" t="s">
        <v>112</v>
      </c>
      <c r="C15293" s="10" t="s">
        <v>23</v>
      </c>
      <c r="D15293" s="10" t="s">
        <v>1436</v>
      </c>
      <c r="E15293" s="14">
        <v>1.25</v>
      </c>
      <c r="F15293" s="15">
        <f>ROUND(2.86,3)</f>
        <v>2.86</v>
      </c>
      <c r="G15293" s="12">
        <f t="shared" si="2326"/>
        <v>3.58</v>
      </c>
    </row>
    <row r="15294" ht="30.0" customHeight="1">
      <c r="A15294" s="10" t="s">
        <v>6202</v>
      </c>
      <c r="B15294" s="10" t="s">
        <v>18</v>
      </c>
      <c r="C15294" s="10" t="s">
        <v>23</v>
      </c>
      <c r="D15294" s="10" t="s">
        <v>6203</v>
      </c>
      <c r="E15294" s="14">
        <v>4.0</v>
      </c>
      <c r="F15294" s="15">
        <f>F15297</f>
        <v>40</v>
      </c>
      <c r="G15294" s="12">
        <f t="shared" si="2326"/>
        <v>160</v>
      </c>
    </row>
    <row r="15295" ht="24.0" customHeight="1">
      <c r="A15295" s="10" t="s">
        <v>6204</v>
      </c>
      <c r="B15295" s="10" t="s">
        <v>26</v>
      </c>
      <c r="C15295" s="10" t="s">
        <v>23</v>
      </c>
      <c r="D15295" s="10" t="s">
        <v>6205</v>
      </c>
      <c r="E15295" s="14">
        <v>1.0</v>
      </c>
      <c r="F15295" s="15">
        <f>ROUND(21,3)</f>
        <v>21</v>
      </c>
      <c r="G15295" s="12">
        <f t="shared" si="2326"/>
        <v>21</v>
      </c>
    </row>
    <row r="15296" ht="24.0" customHeight="1">
      <c r="A15296" s="10" t="s">
        <v>6206</v>
      </c>
      <c r="B15296" s="10" t="s">
        <v>26</v>
      </c>
      <c r="C15296" s="10" t="s">
        <v>23</v>
      </c>
      <c r="D15296" s="10" t="s">
        <v>6207</v>
      </c>
      <c r="E15296" s="14">
        <v>1.0</v>
      </c>
      <c r="F15296" s="15">
        <f>ROUND(19,3)</f>
        <v>19</v>
      </c>
      <c r="G15296" s="12">
        <f t="shared" si="2326"/>
        <v>19</v>
      </c>
    </row>
    <row r="15297" ht="15.0" customHeight="1">
      <c r="A15297" s="11"/>
      <c r="B15297" s="11"/>
      <c r="C15297" s="11"/>
      <c r="D15297" s="10" t="s">
        <v>6202</v>
      </c>
      <c r="E15297" s="14">
        <v>4.0</v>
      </c>
      <c r="F15297" s="15">
        <f>ROUND((G15295+G15296),3)</f>
        <v>40</v>
      </c>
      <c r="G15297" s="12">
        <f t="shared" si="2326"/>
        <v>160</v>
      </c>
    </row>
    <row r="15298" ht="15.0" customHeight="1">
      <c r="A15298" s="10" t="s">
        <v>32</v>
      </c>
      <c r="B15298" s="10"/>
      <c r="C15298" s="10" t="s">
        <v>33</v>
      </c>
      <c r="D15298" s="10" t="s">
        <v>34</v>
      </c>
      <c r="E15298" s="14">
        <v>7.0</v>
      </c>
      <c r="F15298" s="15">
        <f>ROUND(173.5,3)</f>
        <v>173.5</v>
      </c>
      <c r="G15298" s="12">
        <f>ROUND((E15298*F15298)/100,2)</f>
        <v>12.15</v>
      </c>
    </row>
    <row r="15299" ht="15.0" customHeight="1">
      <c r="A15299" s="16"/>
      <c r="B15299" s="16"/>
      <c r="C15299" s="16"/>
      <c r="D15299" s="17" t="s">
        <v>6216</v>
      </c>
      <c r="E15299" s="16"/>
      <c r="F15299" s="18">
        <f>ROUND((G15284+G15285+G15286+G15287+G15288+G15289+G15290+G15291+G15292+G15293+G15294+G15298)*(1+G2/100),2)</f>
        <v>222.4</v>
      </c>
      <c r="G15299" s="16"/>
    </row>
    <row r="15300" ht="57.75" customHeight="1">
      <c r="A15300" s="19" t="s">
        <v>6219</v>
      </c>
      <c r="B15300" s="20" t="s">
        <v>18</v>
      </c>
      <c r="C15300" s="20" t="s">
        <v>351</v>
      </c>
      <c r="D15300" s="20" t="s">
        <v>6220</v>
      </c>
      <c r="E15300" s="21"/>
      <c r="F15300" s="22" t="str">
        <f>F15311</f>
        <v>#ERROR!</v>
      </c>
      <c r="G15300" s="21"/>
    </row>
    <row r="15301" ht="30.0" customHeight="1">
      <c r="A15301" s="11"/>
      <c r="B15301" s="11"/>
      <c r="C15301" s="11"/>
      <c r="D15301" s="10" t="s">
        <v>6221</v>
      </c>
    </row>
    <row r="15302" ht="30.0" customHeight="1">
      <c r="A15302" s="10" t="s">
        <v>1259</v>
      </c>
      <c r="B15302" s="10" t="s">
        <v>42</v>
      </c>
      <c r="C15302" s="10" t="s">
        <v>43</v>
      </c>
      <c r="D15302" s="10" t="s">
        <v>1260</v>
      </c>
      <c r="E15302" s="14">
        <v>0.01833</v>
      </c>
      <c r="F15302" s="15">
        <f>ROUND(18.44,3)</f>
        <v>18.44</v>
      </c>
      <c r="G15302" s="12">
        <f t="shared" ref="G15302:G15309" si="2327">ROUND(E15302*F15302,2)</f>
        <v>0.34</v>
      </c>
    </row>
    <row r="15303" ht="30.0" customHeight="1">
      <c r="A15303" s="10" t="s">
        <v>2470</v>
      </c>
      <c r="B15303" s="10" t="s">
        <v>42</v>
      </c>
      <c r="C15303" s="10" t="s">
        <v>344</v>
      </c>
      <c r="D15303" s="10" t="s">
        <v>2471</v>
      </c>
      <c r="E15303" s="14">
        <v>0.07333</v>
      </c>
      <c r="F15303" s="15">
        <f>ROUND(11.04,3)</f>
        <v>11.04</v>
      </c>
      <c r="G15303" s="12">
        <f t="shared" si="2327"/>
        <v>0.81</v>
      </c>
    </row>
    <row r="15304" ht="39.75" customHeight="1">
      <c r="A15304" s="10" t="s">
        <v>4287</v>
      </c>
      <c r="B15304" s="10" t="s">
        <v>42</v>
      </c>
      <c r="C15304" s="10" t="s">
        <v>325</v>
      </c>
      <c r="D15304" s="10" t="s">
        <v>4288</v>
      </c>
      <c r="E15304" s="14">
        <v>0.03333</v>
      </c>
      <c r="F15304" s="15">
        <f>ROUND(23.83,3)</f>
        <v>23.83</v>
      </c>
      <c r="G15304" s="12">
        <f t="shared" si="2327"/>
        <v>0.79</v>
      </c>
    </row>
    <row r="15305" ht="30.0" customHeight="1">
      <c r="A15305" s="10" t="s">
        <v>6161</v>
      </c>
      <c r="B15305" s="10" t="s">
        <v>18</v>
      </c>
      <c r="C15305" s="10" t="s">
        <v>23</v>
      </c>
      <c r="D15305" s="10" t="s">
        <v>6162</v>
      </c>
      <c r="E15305" s="14">
        <v>0.25</v>
      </c>
      <c r="F15305" s="15">
        <f>F15307</f>
        <v>0.89</v>
      </c>
      <c r="G15305" s="12">
        <f t="shared" si="2327"/>
        <v>0.22</v>
      </c>
    </row>
    <row r="15306" ht="30.0" customHeight="1">
      <c r="A15306" s="10" t="s">
        <v>6163</v>
      </c>
      <c r="B15306" s="10" t="s">
        <v>112</v>
      </c>
      <c r="C15306" s="10" t="s">
        <v>231</v>
      </c>
      <c r="D15306" s="10" t="s">
        <v>6164</v>
      </c>
      <c r="E15306" s="14">
        <v>0.00347</v>
      </c>
      <c r="F15306" s="15">
        <f>ROUND(257,3)</f>
        <v>257</v>
      </c>
      <c r="G15306" s="12">
        <f t="shared" si="2327"/>
        <v>0.89</v>
      </c>
    </row>
    <row r="15307" ht="15.0" customHeight="1">
      <c r="A15307" s="11"/>
      <c r="B15307" s="11"/>
      <c r="C15307" s="11"/>
      <c r="D15307" s="10" t="s">
        <v>6161</v>
      </c>
      <c r="E15307" s="14">
        <v>0.25</v>
      </c>
      <c r="F15307" s="15">
        <f>ROUND((G15306),3)</f>
        <v>0.89</v>
      </c>
      <c r="G15307" s="12">
        <f t="shared" si="2327"/>
        <v>0.22</v>
      </c>
    </row>
    <row r="15308" ht="30.0" customHeight="1">
      <c r="A15308" s="10" t="s">
        <v>2458</v>
      </c>
      <c r="B15308" s="10" t="s">
        <v>18</v>
      </c>
      <c r="C15308" s="10" t="s">
        <v>23</v>
      </c>
      <c r="D15308" s="10" t="s">
        <v>2459</v>
      </c>
      <c r="E15308" s="14">
        <v>0.53333</v>
      </c>
      <c r="F15308" s="15" t="str">
        <f>F15309</f>
        <v>#ERROR!</v>
      </c>
      <c r="G15308" s="12" t="str">
        <f t="shared" si="2327"/>
        <v>#ERROR!</v>
      </c>
    </row>
    <row r="15309" ht="15.0" customHeight="1">
      <c r="A15309" s="11"/>
      <c r="B15309" s="11"/>
      <c r="C15309" s="11"/>
      <c r="D15309" s="10" t="s">
        <v>2458</v>
      </c>
      <c r="E15309" s="14">
        <v>0.53333</v>
      </c>
      <c r="F15309" s="15" t="str">
        <f>ROUND((),3)</f>
        <v>#ERROR!</v>
      </c>
      <c r="G15309" s="12" t="str">
        <f t="shared" si="2327"/>
        <v>#ERROR!</v>
      </c>
    </row>
    <row r="15310" ht="15.0" customHeight="1">
      <c r="A15310" s="10" t="s">
        <v>32</v>
      </c>
      <c r="B15310" s="10"/>
      <c r="C15310" s="10" t="s">
        <v>33</v>
      </c>
      <c r="D15310" s="10" t="s">
        <v>34</v>
      </c>
      <c r="E15310" s="14">
        <v>5.0</v>
      </c>
      <c r="F15310" s="15">
        <f>ROUND(26.4,3)</f>
        <v>26.4</v>
      </c>
      <c r="G15310" s="12">
        <f>ROUND((E15310*F15310)/100,2)</f>
        <v>1.32</v>
      </c>
    </row>
    <row r="15311" ht="15.0" customHeight="1">
      <c r="A15311" s="16"/>
      <c r="B15311" s="16"/>
      <c r="C15311" s="16"/>
      <c r="D15311" s="17" t="s">
        <v>6219</v>
      </c>
      <c r="E15311" s="16"/>
      <c r="F15311" s="18" t="str">
        <f>ROUND((G15302+G15303+G15304+G15305+G15308+G15310)*(1+G2/100),2)</f>
        <v>#ERROR!</v>
      </c>
      <c r="G15311" s="16"/>
    </row>
    <row r="15312" ht="57.75" customHeight="1">
      <c r="A15312" s="19" t="s">
        <v>6222</v>
      </c>
      <c r="B15312" s="20" t="s">
        <v>18</v>
      </c>
      <c r="C15312" s="20" t="s">
        <v>351</v>
      </c>
      <c r="D15312" s="20" t="s">
        <v>6223</v>
      </c>
      <c r="E15312" s="21"/>
      <c r="F15312" s="22" t="str">
        <f>F15323</f>
        <v>#ERROR!</v>
      </c>
      <c r="G15312" s="21"/>
    </row>
    <row r="15313" ht="30.0" customHeight="1">
      <c r="A15313" s="11"/>
      <c r="B15313" s="11"/>
      <c r="C15313" s="11"/>
      <c r="D15313" s="10" t="s">
        <v>6224</v>
      </c>
    </row>
    <row r="15314" ht="30.0" customHeight="1">
      <c r="A15314" s="10" t="s">
        <v>1259</v>
      </c>
      <c r="B15314" s="10" t="s">
        <v>42</v>
      </c>
      <c r="C15314" s="10" t="s">
        <v>43</v>
      </c>
      <c r="D15314" s="10" t="s">
        <v>1260</v>
      </c>
      <c r="E15314" s="14">
        <v>0.02777</v>
      </c>
      <c r="F15314" s="15">
        <f>ROUND(18.44,3)</f>
        <v>18.44</v>
      </c>
      <c r="G15314" s="12">
        <f t="shared" ref="G15314:G15321" si="2328">ROUND(E15314*F15314,2)</f>
        <v>0.51</v>
      </c>
    </row>
    <row r="15315" ht="30.0" customHeight="1">
      <c r="A15315" s="10" t="s">
        <v>2470</v>
      </c>
      <c r="B15315" s="10" t="s">
        <v>42</v>
      </c>
      <c r="C15315" s="10" t="s">
        <v>344</v>
      </c>
      <c r="D15315" s="10" t="s">
        <v>2471</v>
      </c>
      <c r="E15315" s="14">
        <v>0.07333</v>
      </c>
      <c r="F15315" s="15">
        <f>ROUND(11.04,3)</f>
        <v>11.04</v>
      </c>
      <c r="G15315" s="12">
        <f t="shared" si="2328"/>
        <v>0.81</v>
      </c>
    </row>
    <row r="15316" ht="39.75" customHeight="1">
      <c r="A15316" s="10" t="s">
        <v>4287</v>
      </c>
      <c r="B15316" s="10" t="s">
        <v>42</v>
      </c>
      <c r="C15316" s="10" t="s">
        <v>325</v>
      </c>
      <c r="D15316" s="10" t="s">
        <v>4288</v>
      </c>
      <c r="E15316" s="14">
        <v>0.03333</v>
      </c>
      <c r="F15316" s="15">
        <f>ROUND(23.83,3)</f>
        <v>23.83</v>
      </c>
      <c r="G15316" s="12">
        <f t="shared" si="2328"/>
        <v>0.79</v>
      </c>
    </row>
    <row r="15317" ht="30.0" customHeight="1">
      <c r="A15317" s="10" t="s">
        <v>6161</v>
      </c>
      <c r="B15317" s="10" t="s">
        <v>18</v>
      </c>
      <c r="C15317" s="10" t="s">
        <v>23</v>
      </c>
      <c r="D15317" s="10" t="s">
        <v>6162</v>
      </c>
      <c r="E15317" s="14">
        <v>0.3</v>
      </c>
      <c r="F15317" s="15">
        <f>F15319</f>
        <v>0.89</v>
      </c>
      <c r="G15317" s="12">
        <f t="shared" si="2328"/>
        <v>0.27</v>
      </c>
    </row>
    <row r="15318" ht="30.0" customHeight="1">
      <c r="A15318" s="10" t="s">
        <v>6163</v>
      </c>
      <c r="B15318" s="10" t="s">
        <v>112</v>
      </c>
      <c r="C15318" s="10" t="s">
        <v>231</v>
      </c>
      <c r="D15318" s="10" t="s">
        <v>6164</v>
      </c>
      <c r="E15318" s="14">
        <v>0.00347</v>
      </c>
      <c r="F15318" s="15">
        <f>ROUND(257,3)</f>
        <v>257</v>
      </c>
      <c r="G15318" s="12">
        <f t="shared" si="2328"/>
        <v>0.89</v>
      </c>
    </row>
    <row r="15319" ht="15.0" customHeight="1">
      <c r="A15319" s="11"/>
      <c r="B15319" s="11"/>
      <c r="C15319" s="11"/>
      <c r="D15319" s="10" t="s">
        <v>6161</v>
      </c>
      <c r="E15319" s="14">
        <v>0.3</v>
      </c>
      <c r="F15319" s="15">
        <f>ROUND((G15318),3)</f>
        <v>0.89</v>
      </c>
      <c r="G15319" s="12">
        <f t="shared" si="2328"/>
        <v>0.27</v>
      </c>
    </row>
    <row r="15320" ht="30.0" customHeight="1">
      <c r="A15320" s="10" t="s">
        <v>2458</v>
      </c>
      <c r="B15320" s="10" t="s">
        <v>18</v>
      </c>
      <c r="C15320" s="10" t="s">
        <v>23</v>
      </c>
      <c r="D15320" s="10" t="s">
        <v>2459</v>
      </c>
      <c r="E15320" s="14">
        <v>0.6</v>
      </c>
      <c r="F15320" s="15" t="str">
        <f>F15321</f>
        <v>#ERROR!</v>
      </c>
      <c r="G15320" s="12" t="str">
        <f t="shared" si="2328"/>
        <v>#ERROR!</v>
      </c>
    </row>
    <row r="15321" ht="15.0" customHeight="1">
      <c r="A15321" s="11"/>
      <c r="B15321" s="11"/>
      <c r="C15321" s="11"/>
      <c r="D15321" s="10" t="s">
        <v>2458</v>
      </c>
      <c r="E15321" s="14">
        <v>0.6</v>
      </c>
      <c r="F15321" s="15" t="str">
        <f>ROUND((),3)</f>
        <v>#ERROR!</v>
      </c>
      <c r="G15321" s="12" t="str">
        <f t="shared" si="2328"/>
        <v>#ERROR!</v>
      </c>
    </row>
    <row r="15322" ht="15.0" customHeight="1">
      <c r="A15322" s="10" t="s">
        <v>32</v>
      </c>
      <c r="B15322" s="10"/>
      <c r="C15322" s="10" t="s">
        <v>33</v>
      </c>
      <c r="D15322" s="10" t="s">
        <v>34</v>
      </c>
      <c r="E15322" s="14">
        <v>5.0</v>
      </c>
      <c r="F15322" s="15">
        <f>ROUND(29.7,3)</f>
        <v>29.7</v>
      </c>
      <c r="G15322" s="12">
        <f>ROUND((E15322*F15322)/100,2)</f>
        <v>1.49</v>
      </c>
    </row>
    <row r="15323" ht="15.0" customHeight="1">
      <c r="A15323" s="16"/>
      <c r="B15323" s="16"/>
      <c r="C15323" s="16"/>
      <c r="D15323" s="17" t="s">
        <v>6222</v>
      </c>
      <c r="E15323" s="16"/>
      <c r="F15323" s="18" t="str">
        <f>ROUND((G15314+G15315+G15316+G15317+G15320+G15322)*(1+G2/100),2)</f>
        <v>#ERROR!</v>
      </c>
      <c r="G15323" s="16"/>
    </row>
    <row r="15324" ht="39.75" customHeight="1">
      <c r="A15324" s="19" t="s">
        <v>1830</v>
      </c>
      <c r="B15324" s="20" t="s">
        <v>18</v>
      </c>
      <c r="C15324" s="20" t="s">
        <v>344</v>
      </c>
      <c r="D15324" s="20" t="s">
        <v>1831</v>
      </c>
      <c r="E15324" s="21"/>
      <c r="F15324" s="22">
        <f>F15330</f>
        <v>2.01</v>
      </c>
      <c r="G15324" s="21"/>
    </row>
    <row r="15325" ht="21.0" customHeight="1">
      <c r="A15325" s="11"/>
      <c r="B15325" s="11"/>
      <c r="C15325" s="11"/>
      <c r="D15325" s="10" t="s">
        <v>6225</v>
      </c>
    </row>
    <row r="15326" ht="21.0" customHeight="1">
      <c r="A15326" s="10" t="s">
        <v>1239</v>
      </c>
      <c r="B15326" s="10" t="s">
        <v>42</v>
      </c>
      <c r="C15326" s="10" t="s">
        <v>344</v>
      </c>
      <c r="D15326" s="10" t="s">
        <v>1240</v>
      </c>
      <c r="E15326" s="14">
        <v>0.2</v>
      </c>
      <c r="F15326" s="15">
        <f>ROUND(3.54,3)</f>
        <v>3.54</v>
      </c>
      <c r="G15326" s="12">
        <f t="shared" ref="G15326:G15328" si="2329">ROUND(E15326*F15326,2)</f>
        <v>0.71</v>
      </c>
    </row>
    <row r="15327" ht="24.0" customHeight="1">
      <c r="A15327" s="10" t="s">
        <v>1832</v>
      </c>
      <c r="B15327" s="10" t="s">
        <v>112</v>
      </c>
      <c r="C15327" s="10" t="s">
        <v>23</v>
      </c>
      <c r="D15327" s="10" t="s">
        <v>1833</v>
      </c>
      <c r="E15327" s="14">
        <v>0.05333</v>
      </c>
      <c r="F15327" s="15">
        <f>ROUND(4.88,3)</f>
        <v>4.88</v>
      </c>
      <c r="G15327" s="12">
        <f t="shared" si="2329"/>
        <v>0.26</v>
      </c>
    </row>
    <row r="15328" ht="24.0" customHeight="1">
      <c r="A15328" s="10" t="s">
        <v>28</v>
      </c>
      <c r="B15328" s="10" t="s">
        <v>26</v>
      </c>
      <c r="C15328" s="10" t="s">
        <v>23</v>
      </c>
      <c r="D15328" s="10" t="s">
        <v>29</v>
      </c>
      <c r="E15328" s="14">
        <v>0.05333</v>
      </c>
      <c r="F15328" s="15">
        <f>ROUND(19,3)</f>
        <v>19</v>
      </c>
      <c r="G15328" s="12">
        <f t="shared" si="2329"/>
        <v>1.01</v>
      </c>
    </row>
    <row r="15329" ht="15.0" customHeight="1">
      <c r="A15329" s="10" t="s">
        <v>32</v>
      </c>
      <c r="B15329" s="10"/>
      <c r="C15329" s="10" t="s">
        <v>33</v>
      </c>
      <c r="D15329" s="10" t="s">
        <v>34</v>
      </c>
      <c r="E15329" s="14">
        <v>3.0</v>
      </c>
      <c r="F15329" s="15">
        <f>ROUND(1.01,3)</f>
        <v>1.01</v>
      </c>
      <c r="G15329" s="12">
        <f>ROUND((E15329*F15329)/100,2)</f>
        <v>0.03</v>
      </c>
    </row>
    <row r="15330" ht="15.0" customHeight="1">
      <c r="A15330" s="16"/>
      <c r="B15330" s="16"/>
      <c r="C15330" s="16"/>
      <c r="D15330" s="17" t="s">
        <v>1830</v>
      </c>
      <c r="E15330" s="16"/>
      <c r="F15330" s="18">
        <f>ROUND((G15326+G15327+G15328+G15329)*(1+G2/100),2)</f>
        <v>2.01</v>
      </c>
      <c r="G15330" s="16"/>
    </row>
    <row r="15331" ht="39.75" customHeight="1">
      <c r="A15331" s="19" t="s">
        <v>3028</v>
      </c>
      <c r="B15331" s="20" t="s">
        <v>18</v>
      </c>
      <c r="C15331" s="20" t="s">
        <v>344</v>
      </c>
      <c r="D15331" s="20" t="s">
        <v>3029</v>
      </c>
      <c r="E15331" s="21"/>
      <c r="F15331" s="22">
        <f>F15337</f>
        <v>2.64</v>
      </c>
      <c r="G15331" s="21"/>
    </row>
    <row r="15332" ht="21.0" customHeight="1">
      <c r="A15332" s="11"/>
      <c r="B15332" s="11"/>
      <c r="C15332" s="11"/>
      <c r="D15332" s="10" t="s">
        <v>3029</v>
      </c>
    </row>
    <row r="15333" ht="21.0" customHeight="1">
      <c r="A15333" s="10" t="s">
        <v>1376</v>
      </c>
      <c r="B15333" s="10" t="s">
        <v>42</v>
      </c>
      <c r="C15333" s="10" t="s">
        <v>344</v>
      </c>
      <c r="D15333" s="10" t="s">
        <v>1377</v>
      </c>
      <c r="E15333" s="14">
        <v>0.2</v>
      </c>
      <c r="F15333" s="15">
        <f>ROUND(4.98,3)</f>
        <v>4.98</v>
      </c>
      <c r="G15333" s="12">
        <f t="shared" ref="G15333:G15335" si="2330">ROUND(E15333*F15333,2)</f>
        <v>1</v>
      </c>
    </row>
    <row r="15334" ht="24.0" customHeight="1">
      <c r="A15334" s="10" t="s">
        <v>1832</v>
      </c>
      <c r="B15334" s="10" t="s">
        <v>112</v>
      </c>
      <c r="C15334" s="10" t="s">
        <v>23</v>
      </c>
      <c r="D15334" s="10" t="s">
        <v>1833</v>
      </c>
      <c r="E15334" s="14">
        <v>0.06667</v>
      </c>
      <c r="F15334" s="15">
        <f>ROUND(4.88,3)</f>
        <v>4.88</v>
      </c>
      <c r="G15334" s="12">
        <f t="shared" si="2330"/>
        <v>0.33</v>
      </c>
    </row>
    <row r="15335" ht="24.0" customHeight="1">
      <c r="A15335" s="10" t="s">
        <v>28</v>
      </c>
      <c r="B15335" s="10" t="s">
        <v>26</v>
      </c>
      <c r="C15335" s="10" t="s">
        <v>23</v>
      </c>
      <c r="D15335" s="10" t="s">
        <v>29</v>
      </c>
      <c r="E15335" s="14">
        <v>0.06667</v>
      </c>
      <c r="F15335" s="15">
        <f>ROUND(19,3)</f>
        <v>19</v>
      </c>
      <c r="G15335" s="12">
        <f t="shared" si="2330"/>
        <v>1.27</v>
      </c>
    </row>
    <row r="15336" ht="15.0" customHeight="1">
      <c r="A15336" s="10" t="s">
        <v>32</v>
      </c>
      <c r="B15336" s="10"/>
      <c r="C15336" s="10" t="s">
        <v>33</v>
      </c>
      <c r="D15336" s="10" t="s">
        <v>34</v>
      </c>
      <c r="E15336" s="14">
        <v>3.0</v>
      </c>
      <c r="F15336" s="15">
        <f>ROUND(1.27,3)</f>
        <v>1.27</v>
      </c>
      <c r="G15336" s="12">
        <f>ROUND((E15336*F15336)/100,2)</f>
        <v>0.04</v>
      </c>
    </row>
    <row r="15337" ht="15.0" customHeight="1">
      <c r="A15337" s="16"/>
      <c r="B15337" s="16"/>
      <c r="C15337" s="16"/>
      <c r="D15337" s="17" t="s">
        <v>3028</v>
      </c>
      <c r="E15337" s="16"/>
      <c r="F15337" s="18">
        <f>ROUND((G15333+G15334+G15335+G15336)*(1+G2/100),2)</f>
        <v>2.64</v>
      </c>
      <c r="G15337" s="16"/>
    </row>
    <row r="15338" ht="57.75" customHeight="1">
      <c r="A15338" s="19" t="s">
        <v>6226</v>
      </c>
      <c r="B15338" s="20" t="s">
        <v>18</v>
      </c>
      <c r="C15338" s="20" t="s">
        <v>231</v>
      </c>
      <c r="D15338" s="20" t="s">
        <v>6227</v>
      </c>
      <c r="E15338" s="21"/>
      <c r="F15338" s="22" t="str">
        <f>F15346</f>
        <v>#ERROR!</v>
      </c>
      <c r="G15338" s="21"/>
    </row>
    <row r="15339" ht="21.0" customHeight="1">
      <c r="A15339" s="11"/>
      <c r="B15339" s="11"/>
      <c r="C15339" s="11"/>
      <c r="D15339" s="10" t="s">
        <v>6227</v>
      </c>
    </row>
    <row r="15340" ht="30.0" customHeight="1">
      <c r="A15340" s="10" t="s">
        <v>2488</v>
      </c>
      <c r="B15340" s="10" t="s">
        <v>42</v>
      </c>
      <c r="C15340" s="10" t="s">
        <v>351</v>
      </c>
      <c r="D15340" s="10" t="s">
        <v>2489</v>
      </c>
      <c r="E15340" s="14">
        <v>0.13</v>
      </c>
      <c r="F15340" s="15">
        <f>ROUND(6.92,3)</f>
        <v>6.92</v>
      </c>
      <c r="G15340" s="12">
        <f t="shared" ref="G15340:G15344" si="2331">ROUND(E15340*F15340,2)</f>
        <v>0.9</v>
      </c>
    </row>
    <row r="15341" ht="39.75" customHeight="1">
      <c r="A15341" s="10" t="s">
        <v>1435</v>
      </c>
      <c r="B15341" s="10" t="s">
        <v>112</v>
      </c>
      <c r="C15341" s="10" t="s">
        <v>23</v>
      </c>
      <c r="D15341" s="10" t="s">
        <v>1436</v>
      </c>
      <c r="E15341" s="14">
        <v>0.1</v>
      </c>
      <c r="F15341" s="15">
        <f>ROUND(2.86,3)</f>
        <v>2.86</v>
      </c>
      <c r="G15341" s="12">
        <f t="shared" si="2331"/>
        <v>0.29</v>
      </c>
    </row>
    <row r="15342" ht="30.0" customHeight="1">
      <c r="A15342" s="10" t="s">
        <v>1437</v>
      </c>
      <c r="B15342" s="10" t="s">
        <v>42</v>
      </c>
      <c r="C15342" s="10" t="s">
        <v>325</v>
      </c>
      <c r="D15342" s="10" t="s">
        <v>1438</v>
      </c>
      <c r="E15342" s="14">
        <v>0.017</v>
      </c>
      <c r="F15342" s="15">
        <f>ROUND(30.45,3)</f>
        <v>30.45</v>
      </c>
      <c r="G15342" s="12">
        <f t="shared" si="2331"/>
        <v>0.52</v>
      </c>
    </row>
    <row r="15343" ht="30.0" customHeight="1">
      <c r="A15343" s="10" t="s">
        <v>2458</v>
      </c>
      <c r="B15343" s="10" t="s">
        <v>18</v>
      </c>
      <c r="C15343" s="10" t="s">
        <v>23</v>
      </c>
      <c r="D15343" s="10" t="s">
        <v>2459</v>
      </c>
      <c r="E15343" s="14">
        <v>0.12</v>
      </c>
      <c r="F15343" s="15" t="str">
        <f>F15344</f>
        <v>#ERROR!</v>
      </c>
      <c r="G15343" s="12" t="str">
        <f t="shared" si="2331"/>
        <v>#ERROR!</v>
      </c>
    </row>
    <row r="15344" ht="15.0" customHeight="1">
      <c r="A15344" s="11"/>
      <c r="B15344" s="11"/>
      <c r="C15344" s="11"/>
      <c r="D15344" s="10" t="s">
        <v>2458</v>
      </c>
      <c r="E15344" s="14">
        <v>0.12</v>
      </c>
      <c r="F15344" s="15" t="str">
        <f>ROUND((),3)</f>
        <v>#ERROR!</v>
      </c>
      <c r="G15344" s="12" t="str">
        <f t="shared" si="2331"/>
        <v>#ERROR!</v>
      </c>
    </row>
    <row r="15345" ht="15.0" customHeight="1">
      <c r="A15345" s="10" t="s">
        <v>32</v>
      </c>
      <c r="B15345" s="10"/>
      <c r="C15345" s="10" t="s">
        <v>33</v>
      </c>
      <c r="D15345" s="10" t="s">
        <v>34</v>
      </c>
      <c r="E15345" s="14">
        <v>5.0</v>
      </c>
      <c r="F15345" s="15">
        <f>ROUND(5.94,3)</f>
        <v>5.94</v>
      </c>
      <c r="G15345" s="12">
        <f>ROUND((E15345*F15345)/100,2)</f>
        <v>0.3</v>
      </c>
    </row>
    <row r="15346" ht="15.0" customHeight="1">
      <c r="A15346" s="16"/>
      <c r="B15346" s="16"/>
      <c r="C15346" s="16"/>
      <c r="D15346" s="17" t="s">
        <v>6226</v>
      </c>
      <c r="E15346" s="16"/>
      <c r="F15346" s="18" t="str">
        <f>ROUND((G15340+G15341+G15342+G15343+G15345)*(1+G2/100),2)</f>
        <v>#ERROR!</v>
      </c>
      <c r="G15346" s="16"/>
    </row>
    <row r="15347" ht="15.0" customHeight="1">
      <c r="A15347" s="23"/>
      <c r="B15347" s="23"/>
      <c r="C15347" s="23"/>
      <c r="D15347" s="32" t="s">
        <v>1517</v>
      </c>
      <c r="E15347" s="33"/>
      <c r="F15347" s="33"/>
      <c r="G15347" s="33"/>
    </row>
    <row r="15348" ht="15.0" customHeight="1">
      <c r="A15348" s="34" t="s">
        <v>6228</v>
      </c>
      <c r="B15348" s="34" t="s">
        <v>10</v>
      </c>
      <c r="C15348" s="35"/>
      <c r="D15348" s="34" t="s">
        <v>6229</v>
      </c>
      <c r="E15348" s="35"/>
      <c r="F15348" s="35"/>
      <c r="G15348" s="35"/>
    </row>
    <row r="15349" ht="24.75" customHeight="1">
      <c r="A15349" s="13" t="s">
        <v>6182</v>
      </c>
      <c r="B15349" s="10" t="s">
        <v>18</v>
      </c>
      <c r="C15349" s="10" t="s">
        <v>351</v>
      </c>
      <c r="D15349" s="10" t="s">
        <v>6183</v>
      </c>
      <c r="E15349" s="11"/>
      <c r="F15349" s="12">
        <f>F15358</f>
        <v>22.78</v>
      </c>
      <c r="G15349" s="11"/>
    </row>
    <row r="15350" ht="21.0" customHeight="1">
      <c r="A15350" s="11"/>
      <c r="B15350" s="11"/>
      <c r="C15350" s="11"/>
      <c r="D15350" s="10" t="s">
        <v>6230</v>
      </c>
    </row>
    <row r="15351" ht="30.0" customHeight="1">
      <c r="A15351" s="10" t="s">
        <v>233</v>
      </c>
      <c r="B15351" s="10" t="s">
        <v>42</v>
      </c>
      <c r="C15351" s="10" t="s">
        <v>231</v>
      </c>
      <c r="D15351" s="10" t="s">
        <v>234</v>
      </c>
      <c r="E15351" s="14">
        <v>0.071</v>
      </c>
      <c r="F15351" s="15">
        <f>ROUND(23.46,3)</f>
        <v>23.46</v>
      </c>
      <c r="G15351" s="12">
        <f t="shared" ref="G15351:G15356" si="2332">ROUND(E15351*F15351,2)</f>
        <v>1.67</v>
      </c>
    </row>
    <row r="15352" ht="30.0" customHeight="1">
      <c r="A15352" s="10" t="s">
        <v>1229</v>
      </c>
      <c r="B15352" s="10" t="s">
        <v>42</v>
      </c>
      <c r="C15352" s="10" t="s">
        <v>231</v>
      </c>
      <c r="D15352" s="10" t="s">
        <v>1230</v>
      </c>
      <c r="E15352" s="14">
        <v>0.005</v>
      </c>
      <c r="F15352" s="15">
        <f>ROUND(21.5,3)</f>
        <v>21.5</v>
      </c>
      <c r="G15352" s="12">
        <f t="shared" si="2332"/>
        <v>0.11</v>
      </c>
    </row>
    <row r="15353" ht="30.0" customHeight="1">
      <c r="A15353" s="10" t="s">
        <v>6184</v>
      </c>
      <c r="B15353" s="10" t="s">
        <v>18</v>
      </c>
      <c r="C15353" s="10" t="s">
        <v>23</v>
      </c>
      <c r="D15353" s="10" t="s">
        <v>6185</v>
      </c>
      <c r="E15353" s="14">
        <v>0.5</v>
      </c>
      <c r="F15353" s="15">
        <f>F15356</f>
        <v>40</v>
      </c>
      <c r="G15353" s="12">
        <f t="shared" si="2332"/>
        <v>20</v>
      </c>
    </row>
    <row r="15354" ht="24.0" customHeight="1">
      <c r="A15354" s="10" t="s">
        <v>6231</v>
      </c>
      <c r="B15354" s="10" t="s">
        <v>26</v>
      </c>
      <c r="C15354" s="10" t="s">
        <v>23</v>
      </c>
      <c r="D15354" s="10" t="s">
        <v>6232</v>
      </c>
      <c r="E15354" s="14">
        <v>1.0</v>
      </c>
      <c r="F15354" s="15">
        <f>ROUND(21,3)</f>
        <v>21</v>
      </c>
      <c r="G15354" s="12">
        <f t="shared" si="2332"/>
        <v>21</v>
      </c>
    </row>
    <row r="15355" ht="24.0" customHeight="1">
      <c r="A15355" s="10" t="s">
        <v>6233</v>
      </c>
      <c r="B15355" s="10" t="s">
        <v>26</v>
      </c>
      <c r="C15355" s="10" t="s">
        <v>23</v>
      </c>
      <c r="D15355" s="10" t="s">
        <v>6234</v>
      </c>
      <c r="E15355" s="14">
        <v>1.0</v>
      </c>
      <c r="F15355" s="15">
        <f>ROUND(19,3)</f>
        <v>19</v>
      </c>
      <c r="G15355" s="12">
        <f t="shared" si="2332"/>
        <v>19</v>
      </c>
    </row>
    <row r="15356" ht="15.0" customHeight="1">
      <c r="A15356" s="11"/>
      <c r="B15356" s="11"/>
      <c r="C15356" s="11"/>
      <c r="D15356" s="10" t="s">
        <v>6184</v>
      </c>
      <c r="E15356" s="14">
        <v>0.5</v>
      </c>
      <c r="F15356" s="15">
        <f>ROUND((G15354+G15355),3)</f>
        <v>40</v>
      </c>
      <c r="G15356" s="12">
        <f t="shared" si="2332"/>
        <v>20</v>
      </c>
    </row>
    <row r="15357" ht="15.0" customHeight="1">
      <c r="A15357" s="10" t="s">
        <v>32</v>
      </c>
      <c r="B15357" s="10"/>
      <c r="C15357" s="10" t="s">
        <v>33</v>
      </c>
      <c r="D15357" s="10" t="s">
        <v>34</v>
      </c>
      <c r="E15357" s="14">
        <v>5.0</v>
      </c>
      <c r="F15357" s="15">
        <f>ROUND(20,3)</f>
        <v>20</v>
      </c>
      <c r="G15357" s="12">
        <f>ROUND((E15357*F15357)/100,2)</f>
        <v>1</v>
      </c>
    </row>
    <row r="15358" ht="15.0" customHeight="1">
      <c r="A15358" s="16"/>
      <c r="B15358" s="16"/>
      <c r="C15358" s="16"/>
      <c r="D15358" s="17" t="s">
        <v>6182</v>
      </c>
      <c r="E15358" s="16"/>
      <c r="F15358" s="18">
        <f>ROUND((G15351+G15352+G15353+G15357)*(1+G2/100),2)</f>
        <v>22.78</v>
      </c>
      <c r="G15358" s="16"/>
    </row>
    <row r="15359" ht="15.0" customHeight="1">
      <c r="A15359" s="23"/>
      <c r="B15359" s="23"/>
      <c r="C15359" s="23"/>
      <c r="D15359" s="32" t="s">
        <v>6228</v>
      </c>
      <c r="E15359" s="33"/>
      <c r="F15359" s="33"/>
      <c r="G15359" s="33"/>
    </row>
    <row r="15360" ht="15.0" customHeight="1">
      <c r="A15360" s="23"/>
      <c r="B15360" s="23"/>
      <c r="C15360" s="23"/>
      <c r="D15360" s="36" t="s">
        <v>6177</v>
      </c>
      <c r="E15360" s="37"/>
      <c r="F15360" s="37"/>
      <c r="G15360" s="37"/>
    </row>
    <row r="15361" ht="15.0" customHeight="1">
      <c r="A15361" s="38" t="s">
        <v>6235</v>
      </c>
      <c r="B15361" s="38" t="s">
        <v>10</v>
      </c>
      <c r="C15361" s="39"/>
      <c r="D15361" s="38" t="s">
        <v>6236</v>
      </c>
      <c r="E15361" s="39"/>
      <c r="F15361" s="60">
        <v>0.0</v>
      </c>
      <c r="G15361" s="39"/>
    </row>
    <row r="15362" ht="15.0" customHeight="1">
      <c r="A15362" s="16"/>
      <c r="B15362" s="16"/>
      <c r="C15362" s="16"/>
      <c r="D15362" s="58" t="s">
        <v>6235</v>
      </c>
      <c r="E15362" s="59"/>
      <c r="F15362" s="59"/>
      <c r="G15362" s="59"/>
    </row>
    <row r="15363" ht="15.0" customHeight="1">
      <c r="A15363" s="38" t="s">
        <v>6237</v>
      </c>
      <c r="B15363" s="38" t="s">
        <v>10</v>
      </c>
      <c r="C15363" s="39"/>
      <c r="D15363" s="38" t="s">
        <v>6238</v>
      </c>
      <c r="E15363" s="39"/>
      <c r="F15363" s="39"/>
      <c r="G15363" s="39"/>
    </row>
    <row r="15364" ht="30.0" customHeight="1">
      <c r="A15364" s="13" t="s">
        <v>686</v>
      </c>
      <c r="B15364" s="10" t="s">
        <v>112</v>
      </c>
      <c r="C15364" s="10" t="s">
        <v>231</v>
      </c>
      <c r="D15364" s="10" t="s">
        <v>687</v>
      </c>
      <c r="E15364" s="11"/>
      <c r="F15364" s="12">
        <f>ROUND(999*(1+G2/100),2)</f>
        <v>999</v>
      </c>
      <c r="G15364" s="11"/>
    </row>
    <row r="15365" ht="76.5" customHeight="1">
      <c r="A15365" s="11"/>
      <c r="B15365" s="11"/>
      <c r="C15365" s="11"/>
      <c r="D15365" s="10" t="s">
        <v>6239</v>
      </c>
    </row>
    <row r="15366" ht="21.0" customHeight="1">
      <c r="A15366" s="13" t="s">
        <v>3227</v>
      </c>
      <c r="B15366" s="10" t="s">
        <v>112</v>
      </c>
      <c r="C15366" s="10" t="s">
        <v>231</v>
      </c>
      <c r="D15366" s="10" t="s">
        <v>3228</v>
      </c>
      <c r="E15366" s="11"/>
      <c r="F15366" s="12">
        <f>ROUND(188.43*(1+G2/100),2)</f>
        <v>188.43</v>
      </c>
      <c r="G15366" s="11"/>
    </row>
    <row r="15367" ht="67.5" customHeight="1">
      <c r="A15367" s="11"/>
      <c r="B15367" s="11"/>
      <c r="C15367" s="11"/>
      <c r="D15367" s="10" t="s">
        <v>6240</v>
      </c>
    </row>
    <row r="15368" ht="30.0" customHeight="1">
      <c r="A15368" s="13" t="s">
        <v>6163</v>
      </c>
      <c r="B15368" s="10" t="s">
        <v>112</v>
      </c>
      <c r="C15368" s="10" t="s">
        <v>231</v>
      </c>
      <c r="D15368" s="10" t="s">
        <v>6164</v>
      </c>
      <c r="E15368" s="11"/>
      <c r="F15368" s="12">
        <f>ROUND(257*(1+G2/100),2)</f>
        <v>257</v>
      </c>
      <c r="G15368" s="11"/>
    </row>
    <row r="15369" ht="57.75" customHeight="1">
      <c r="A15369" s="11"/>
      <c r="B15369" s="11"/>
      <c r="C15369" s="11"/>
      <c r="D15369" s="10" t="s">
        <v>6241</v>
      </c>
    </row>
    <row r="15370" ht="30.0" customHeight="1">
      <c r="A15370" s="13" t="s">
        <v>771</v>
      </c>
      <c r="B15370" s="10" t="s">
        <v>112</v>
      </c>
      <c r="C15370" s="10" t="s">
        <v>231</v>
      </c>
      <c r="D15370" s="10" t="s">
        <v>772</v>
      </c>
      <c r="E15370" s="11"/>
      <c r="F15370" s="12">
        <f>ROUND(1366.23*(1+G2/100),2)</f>
        <v>1366.23</v>
      </c>
      <c r="G15370" s="11"/>
    </row>
    <row r="15371" ht="48.75" customHeight="1">
      <c r="A15371" s="11"/>
      <c r="B15371" s="11"/>
      <c r="C15371" s="11"/>
      <c r="D15371" s="10" t="s">
        <v>6141</v>
      </c>
    </row>
    <row r="15372" ht="15.0" customHeight="1">
      <c r="A15372" s="16"/>
      <c r="B15372" s="16"/>
      <c r="C15372" s="16"/>
      <c r="D15372" s="58" t="s">
        <v>6237</v>
      </c>
      <c r="E15372" s="59"/>
      <c r="F15372" s="59"/>
      <c r="G15372" s="59"/>
    </row>
    <row r="15373" ht="15.0" customHeight="1">
      <c r="A15373" s="38" t="s">
        <v>6242</v>
      </c>
      <c r="B15373" s="38" t="s">
        <v>10</v>
      </c>
      <c r="C15373" s="39"/>
      <c r="D15373" s="38" t="s">
        <v>6242</v>
      </c>
      <c r="E15373" s="39"/>
      <c r="F15373" s="39"/>
      <c r="G15373" s="39"/>
    </row>
    <row r="15374" ht="24.75" customHeight="1">
      <c r="A15374" s="40" t="s">
        <v>6243</v>
      </c>
      <c r="B15374" s="40" t="s">
        <v>10</v>
      </c>
      <c r="C15374" s="41"/>
      <c r="D15374" s="40" t="s">
        <v>6244</v>
      </c>
      <c r="E15374" s="41"/>
      <c r="F15374" s="41"/>
      <c r="G15374" s="41"/>
    </row>
    <row r="15375" ht="30.0" customHeight="1">
      <c r="A15375" s="13" t="s">
        <v>3246</v>
      </c>
      <c r="B15375" s="10" t="s">
        <v>42</v>
      </c>
      <c r="C15375" s="10" t="s">
        <v>3247</v>
      </c>
      <c r="D15375" s="10" t="s">
        <v>3248</v>
      </c>
      <c r="E15375" s="11"/>
      <c r="F15375" s="12">
        <f>ROUND(46.95*(1+G2/100),2)</f>
        <v>46.95</v>
      </c>
      <c r="G15375" s="11"/>
    </row>
    <row r="15376" ht="21.0" customHeight="1">
      <c r="A15376" s="11"/>
      <c r="B15376" s="11"/>
      <c r="C15376" s="11"/>
      <c r="D15376" s="10" t="s">
        <v>6245</v>
      </c>
    </row>
    <row r="15377" ht="30.0" customHeight="1">
      <c r="A15377" s="13" t="s">
        <v>982</v>
      </c>
      <c r="B15377" s="10" t="s">
        <v>42</v>
      </c>
      <c r="C15377" s="10" t="s">
        <v>344</v>
      </c>
      <c r="D15377" s="10" t="s">
        <v>983</v>
      </c>
      <c r="E15377" s="11"/>
      <c r="F15377" s="12">
        <f>ROUND(0.85*(1+G2/100),2)</f>
        <v>0.85</v>
      </c>
      <c r="G15377" s="11"/>
    </row>
    <row r="15378" ht="30.0" customHeight="1">
      <c r="A15378" s="11"/>
      <c r="B15378" s="11"/>
      <c r="C15378" s="11"/>
      <c r="D15378" s="10" t="s">
        <v>6246</v>
      </c>
    </row>
    <row r="15379" ht="30.0" customHeight="1">
      <c r="A15379" s="13" t="s">
        <v>971</v>
      </c>
      <c r="B15379" s="10" t="s">
        <v>42</v>
      </c>
      <c r="C15379" s="10" t="s">
        <v>231</v>
      </c>
      <c r="D15379" s="10" t="s">
        <v>972</v>
      </c>
      <c r="E15379" s="11"/>
      <c r="F15379" s="12">
        <f>ROUND(4.92*(1+G2/100),2)</f>
        <v>4.92</v>
      </c>
      <c r="G15379" s="11"/>
    </row>
    <row r="15380" ht="12.0" customHeight="1">
      <c r="A15380" s="11"/>
      <c r="B15380" s="11"/>
      <c r="C15380" s="11"/>
      <c r="D15380" s="10" t="s">
        <v>972</v>
      </c>
    </row>
    <row r="15381" ht="30.0" customHeight="1">
      <c r="A15381" s="13" t="s">
        <v>6247</v>
      </c>
      <c r="B15381" s="10" t="s">
        <v>42</v>
      </c>
      <c r="C15381" s="10" t="s">
        <v>43</v>
      </c>
      <c r="D15381" s="10" t="s">
        <v>6248</v>
      </c>
      <c r="E15381" s="11"/>
      <c r="F15381" s="12">
        <f>ROUND(7.98*(1+G2/100),2)</f>
        <v>7.98</v>
      </c>
      <c r="G15381" s="11"/>
    </row>
    <row r="15382" ht="57.75" customHeight="1">
      <c r="A15382" s="11"/>
      <c r="B15382" s="11"/>
      <c r="C15382" s="11"/>
      <c r="D15382" s="10" t="s">
        <v>6249</v>
      </c>
    </row>
    <row r="15383" ht="30.0" customHeight="1">
      <c r="A15383" s="13" t="s">
        <v>3244</v>
      </c>
      <c r="B15383" s="10" t="s">
        <v>42</v>
      </c>
      <c r="C15383" s="10" t="s">
        <v>43</v>
      </c>
      <c r="D15383" s="10" t="s">
        <v>3245</v>
      </c>
      <c r="E15383" s="11"/>
      <c r="F15383" s="12">
        <f>ROUND(2.9*(1+G2/100),2)</f>
        <v>2.9</v>
      </c>
      <c r="G15383" s="11"/>
    </row>
    <row r="15384" ht="48.75" customHeight="1">
      <c r="A15384" s="11"/>
      <c r="B15384" s="11"/>
      <c r="C15384" s="11"/>
      <c r="D15384" s="10" t="s">
        <v>6250</v>
      </c>
    </row>
    <row r="15385" ht="39.75" customHeight="1">
      <c r="A15385" s="13" t="s">
        <v>6251</v>
      </c>
      <c r="B15385" s="10" t="s">
        <v>42</v>
      </c>
      <c r="C15385" s="10" t="s">
        <v>1825</v>
      </c>
      <c r="D15385" s="10" t="s">
        <v>6252</v>
      </c>
      <c r="E15385" s="11"/>
      <c r="F15385" s="12">
        <f>ROUND(17.82*(1+G2/100),2)</f>
        <v>17.82</v>
      </c>
      <c r="G15385" s="11"/>
    </row>
    <row r="15386" ht="39.75" customHeight="1">
      <c r="A15386" s="11"/>
      <c r="B15386" s="11"/>
      <c r="C15386" s="11"/>
      <c r="D15386" s="10" t="s">
        <v>6253</v>
      </c>
    </row>
    <row r="15387" ht="21.0" customHeight="1">
      <c r="A15387" s="13" t="s">
        <v>1344</v>
      </c>
      <c r="B15387" s="10" t="s">
        <v>42</v>
      </c>
      <c r="C15387" s="10" t="s">
        <v>231</v>
      </c>
      <c r="D15387" s="10" t="s">
        <v>1345</v>
      </c>
      <c r="E15387" s="11"/>
      <c r="F15387" s="12">
        <f>ROUND(5.52*(1+G2/100),2)</f>
        <v>5.52</v>
      </c>
      <c r="G15387" s="11"/>
    </row>
    <row r="15388" ht="57.75" customHeight="1">
      <c r="A15388" s="11"/>
      <c r="B15388" s="11"/>
      <c r="C15388" s="11"/>
      <c r="D15388" s="10" t="s">
        <v>6254</v>
      </c>
    </row>
    <row r="15389" ht="30.0" customHeight="1">
      <c r="A15389" s="13" t="s">
        <v>1100</v>
      </c>
      <c r="B15389" s="10" t="s">
        <v>42</v>
      </c>
      <c r="C15389" s="10" t="s">
        <v>344</v>
      </c>
      <c r="D15389" s="10" t="s">
        <v>1101</v>
      </c>
      <c r="E15389" s="11"/>
      <c r="F15389" s="12">
        <f>ROUND(24.45*(1+G2/100),2)</f>
        <v>24.45</v>
      </c>
      <c r="G15389" s="11"/>
    </row>
    <row r="15390" ht="30.0" customHeight="1">
      <c r="A15390" s="11"/>
      <c r="B15390" s="11"/>
      <c r="C15390" s="11"/>
      <c r="D15390" s="10" t="s">
        <v>6255</v>
      </c>
    </row>
    <row r="15391" ht="30.0" customHeight="1">
      <c r="A15391" s="13" t="s">
        <v>6256</v>
      </c>
      <c r="B15391" s="10" t="s">
        <v>42</v>
      </c>
      <c r="C15391" s="10" t="s">
        <v>344</v>
      </c>
      <c r="D15391" s="10" t="s">
        <v>6257</v>
      </c>
      <c r="E15391" s="11"/>
      <c r="F15391" s="12">
        <f>ROUND(23.09*(1+G2/100),2)</f>
        <v>23.09</v>
      </c>
      <c r="G15391" s="11"/>
    </row>
    <row r="15392" ht="30.0" customHeight="1">
      <c r="A15392" s="11"/>
      <c r="B15392" s="11"/>
      <c r="C15392" s="11"/>
      <c r="D15392" s="10" t="s">
        <v>6258</v>
      </c>
    </row>
    <row r="15393" ht="21.0" customHeight="1">
      <c r="A15393" s="13" t="s">
        <v>6259</v>
      </c>
      <c r="B15393" s="10" t="s">
        <v>42</v>
      </c>
      <c r="C15393" s="10" t="s">
        <v>344</v>
      </c>
      <c r="D15393" s="10" t="s">
        <v>6260</v>
      </c>
      <c r="E15393" s="11"/>
      <c r="F15393" s="12">
        <f>ROUND(13.5*(1+G2/100),2)</f>
        <v>13.5</v>
      </c>
      <c r="G15393" s="11"/>
    </row>
    <row r="15394" ht="57.75" customHeight="1">
      <c r="A15394" s="11"/>
      <c r="B15394" s="11"/>
      <c r="C15394" s="11"/>
      <c r="D15394" s="10" t="s">
        <v>6261</v>
      </c>
    </row>
    <row r="15395" ht="21.0" customHeight="1">
      <c r="A15395" s="13" t="s">
        <v>6262</v>
      </c>
      <c r="B15395" s="10" t="s">
        <v>42</v>
      </c>
      <c r="C15395" s="10" t="s">
        <v>344</v>
      </c>
      <c r="D15395" s="10" t="s">
        <v>6263</v>
      </c>
      <c r="E15395" s="11"/>
      <c r="F15395" s="12">
        <f>ROUND(16.5*(1+G2/100),2)</f>
        <v>16.5</v>
      </c>
      <c r="G15395" s="11"/>
    </row>
    <row r="15396" ht="21.0" customHeight="1">
      <c r="A15396" s="11"/>
      <c r="B15396" s="11"/>
      <c r="C15396" s="11"/>
      <c r="D15396" s="10" t="s">
        <v>6264</v>
      </c>
    </row>
    <row r="15397" ht="39.75" customHeight="1">
      <c r="A15397" s="13" t="s">
        <v>3249</v>
      </c>
      <c r="B15397" s="10" t="s">
        <v>42</v>
      </c>
      <c r="C15397" s="10" t="s">
        <v>231</v>
      </c>
      <c r="D15397" s="10" t="s">
        <v>3250</v>
      </c>
      <c r="E15397" s="11"/>
      <c r="F15397" s="12">
        <f>ROUND(42.12*(1+G2/100),2)</f>
        <v>42.12</v>
      </c>
      <c r="G15397" s="11"/>
    </row>
    <row r="15398" ht="48.75" customHeight="1">
      <c r="A15398" s="11"/>
      <c r="B15398" s="11"/>
      <c r="C15398" s="11"/>
      <c r="D15398" s="10" t="s">
        <v>6265</v>
      </c>
    </row>
    <row r="15399" ht="30.0" customHeight="1">
      <c r="A15399" s="13" t="s">
        <v>6266</v>
      </c>
      <c r="B15399" s="10" t="s">
        <v>42</v>
      </c>
      <c r="C15399" s="10" t="s">
        <v>584</v>
      </c>
      <c r="D15399" s="10" t="s">
        <v>6267</v>
      </c>
      <c r="E15399" s="11"/>
      <c r="F15399" s="12">
        <f>ROUND(2.48*(1+G2/100),2)</f>
        <v>2.48</v>
      </c>
      <c r="G15399" s="11"/>
    </row>
    <row r="15400" ht="21.0" customHeight="1">
      <c r="A15400" s="11"/>
      <c r="B15400" s="11"/>
      <c r="C15400" s="11"/>
      <c r="D15400" s="10" t="s">
        <v>6268</v>
      </c>
    </row>
    <row r="15401" ht="30.0" customHeight="1">
      <c r="A15401" s="13" t="s">
        <v>6269</v>
      </c>
      <c r="B15401" s="10" t="s">
        <v>42</v>
      </c>
      <c r="C15401" s="10" t="s">
        <v>43</v>
      </c>
      <c r="D15401" s="10" t="s">
        <v>6270</v>
      </c>
      <c r="E15401" s="11"/>
      <c r="F15401" s="12">
        <f>ROUND(2.46*(1+G2/100),2)</f>
        <v>2.46</v>
      </c>
      <c r="G15401" s="11"/>
    </row>
    <row r="15402" ht="48.75" customHeight="1">
      <c r="A15402" s="11"/>
      <c r="B15402" s="11"/>
      <c r="C15402" s="11"/>
      <c r="D15402" s="10" t="s">
        <v>6271</v>
      </c>
    </row>
    <row r="15403" ht="30.0" customHeight="1">
      <c r="A15403" s="13" t="s">
        <v>6272</v>
      </c>
      <c r="B15403" s="10" t="s">
        <v>42</v>
      </c>
      <c r="C15403" s="10" t="s">
        <v>43</v>
      </c>
      <c r="D15403" s="10" t="s">
        <v>6273</v>
      </c>
      <c r="E15403" s="11"/>
      <c r="F15403" s="12">
        <f>ROUND(4.29*(1+G2/100),2)</f>
        <v>4.29</v>
      </c>
      <c r="G15403" s="11"/>
    </row>
    <row r="15404" ht="48.75" customHeight="1">
      <c r="A15404" s="11"/>
      <c r="B15404" s="11"/>
      <c r="C15404" s="11"/>
      <c r="D15404" s="10" t="s">
        <v>6274</v>
      </c>
    </row>
    <row r="15405" ht="39.75" customHeight="1">
      <c r="A15405" s="13" t="s">
        <v>2434</v>
      </c>
      <c r="B15405" s="10" t="s">
        <v>42</v>
      </c>
      <c r="C15405" s="10" t="s">
        <v>2435</v>
      </c>
      <c r="D15405" s="10" t="s">
        <v>2436</v>
      </c>
      <c r="E15405" s="11"/>
      <c r="F15405" s="12">
        <f>ROUND(7.65*(1+G2/100),2)</f>
        <v>7.65</v>
      </c>
      <c r="G15405" s="11"/>
    </row>
    <row r="15406" ht="30.0" customHeight="1">
      <c r="A15406" s="11"/>
      <c r="B15406" s="11"/>
      <c r="C15406" s="11"/>
      <c r="D15406" s="10" t="s">
        <v>6275</v>
      </c>
    </row>
    <row r="15407" ht="30.0" customHeight="1">
      <c r="A15407" s="13" t="s">
        <v>2545</v>
      </c>
      <c r="B15407" s="10" t="s">
        <v>42</v>
      </c>
      <c r="C15407" s="10" t="s">
        <v>325</v>
      </c>
      <c r="D15407" s="10" t="s">
        <v>2546</v>
      </c>
      <c r="E15407" s="11"/>
      <c r="F15407" s="12">
        <f>ROUND(64.19*(1+G2/100),2)</f>
        <v>64.19</v>
      </c>
      <c r="G15407" s="11"/>
    </row>
    <row r="15408" ht="39.75" customHeight="1">
      <c r="A15408" s="11"/>
      <c r="B15408" s="11"/>
      <c r="C15408" s="11"/>
      <c r="D15408" s="10" t="s">
        <v>6276</v>
      </c>
    </row>
    <row r="15409" ht="39.75" customHeight="1">
      <c r="A15409" s="13" t="s">
        <v>3637</v>
      </c>
      <c r="B15409" s="10" t="s">
        <v>42</v>
      </c>
      <c r="C15409" s="10" t="s">
        <v>330</v>
      </c>
      <c r="D15409" s="10" t="s">
        <v>3638</v>
      </c>
      <c r="E15409" s="11"/>
      <c r="F15409" s="12">
        <f>ROUND(18.8*(1+G2/100),2)</f>
        <v>18.8</v>
      </c>
      <c r="G15409" s="11"/>
    </row>
    <row r="15410" ht="21.0" customHeight="1">
      <c r="A15410" s="11"/>
      <c r="B15410" s="11"/>
      <c r="C15410" s="11"/>
      <c r="D15410" s="10" t="s">
        <v>6277</v>
      </c>
    </row>
    <row r="15411" ht="39.75" customHeight="1">
      <c r="A15411" s="13" t="s">
        <v>3635</v>
      </c>
      <c r="B15411" s="10" t="s">
        <v>42</v>
      </c>
      <c r="C15411" s="10" t="s">
        <v>330</v>
      </c>
      <c r="D15411" s="10" t="s">
        <v>3636</v>
      </c>
      <c r="E15411" s="11"/>
      <c r="F15411" s="12">
        <f>ROUND(27.85*(1+G2/100),2)</f>
        <v>27.85</v>
      </c>
      <c r="G15411" s="11"/>
    </row>
    <row r="15412" ht="21.0" customHeight="1">
      <c r="A15412" s="11"/>
      <c r="B15412" s="11"/>
      <c r="C15412" s="11"/>
      <c r="D15412" s="10" t="s">
        <v>6278</v>
      </c>
    </row>
    <row r="15413" ht="48.75" customHeight="1">
      <c r="A15413" s="13" t="s">
        <v>6279</v>
      </c>
      <c r="B15413" s="10" t="s">
        <v>42</v>
      </c>
      <c r="C15413" s="10" t="s">
        <v>231</v>
      </c>
      <c r="D15413" s="10" t="s">
        <v>6280</v>
      </c>
      <c r="E15413" s="11"/>
      <c r="F15413" s="12">
        <f>ROUND(16.12*(1+G2/100),2)</f>
        <v>16.12</v>
      </c>
      <c r="G15413" s="11"/>
    </row>
    <row r="15414" ht="39.75" customHeight="1">
      <c r="A15414" s="11"/>
      <c r="B15414" s="11"/>
      <c r="C15414" s="11"/>
      <c r="D15414" s="10" t="s">
        <v>6281</v>
      </c>
    </row>
    <row r="15415" ht="21.0" customHeight="1">
      <c r="A15415" s="13" t="s">
        <v>6282</v>
      </c>
      <c r="B15415" s="10" t="s">
        <v>42</v>
      </c>
      <c r="C15415" s="10" t="s">
        <v>584</v>
      </c>
      <c r="D15415" s="10" t="s">
        <v>6283</v>
      </c>
      <c r="E15415" s="11"/>
      <c r="F15415" s="12">
        <f>ROUND(4.67*(1+G2/100),2)</f>
        <v>4.67</v>
      </c>
      <c r="G15415" s="11"/>
    </row>
    <row r="15416" ht="12.0" customHeight="1">
      <c r="A15416" s="11"/>
      <c r="B15416" s="11"/>
      <c r="C15416" s="11"/>
      <c r="D15416" s="10" t="s">
        <v>6284</v>
      </c>
    </row>
    <row r="15417" ht="30.0" customHeight="1">
      <c r="A15417" s="13" t="s">
        <v>6285</v>
      </c>
      <c r="B15417" s="10" t="s">
        <v>42</v>
      </c>
      <c r="C15417" s="10" t="s">
        <v>344</v>
      </c>
      <c r="D15417" s="10" t="s">
        <v>6286</v>
      </c>
      <c r="E15417" s="11"/>
      <c r="F15417" s="12">
        <f>ROUND(10.74*(1+G2/100),2)</f>
        <v>10.74</v>
      </c>
      <c r="G15417" s="11"/>
    </row>
    <row r="15418" ht="57.75" customHeight="1">
      <c r="A15418" s="11"/>
      <c r="B15418" s="11"/>
      <c r="C15418" s="11"/>
      <c r="D15418" s="10" t="s">
        <v>6287</v>
      </c>
    </row>
    <row r="15419" ht="30.0" customHeight="1">
      <c r="A15419" s="13" t="s">
        <v>6288</v>
      </c>
      <c r="B15419" s="10" t="s">
        <v>42</v>
      </c>
      <c r="C15419" s="10" t="s">
        <v>344</v>
      </c>
      <c r="D15419" s="10" t="s">
        <v>6289</v>
      </c>
      <c r="E15419" s="11"/>
      <c r="F15419" s="12">
        <f>ROUND(11.22*(1+G2/100),2)</f>
        <v>11.22</v>
      </c>
      <c r="G15419" s="11"/>
    </row>
    <row r="15420" ht="57.75" customHeight="1">
      <c r="A15420" s="11"/>
      <c r="B15420" s="11"/>
      <c r="C15420" s="11"/>
      <c r="D15420" s="10" t="s">
        <v>6290</v>
      </c>
    </row>
    <row r="15421" ht="30.0" customHeight="1">
      <c r="A15421" s="13" t="s">
        <v>6291</v>
      </c>
      <c r="B15421" s="10" t="s">
        <v>42</v>
      </c>
      <c r="C15421" s="10" t="s">
        <v>344</v>
      </c>
      <c r="D15421" s="10" t="s">
        <v>6292</v>
      </c>
      <c r="E15421" s="11"/>
      <c r="F15421" s="12">
        <f>ROUND(11.78*(1+G2/100),2)</f>
        <v>11.78</v>
      </c>
      <c r="G15421" s="11"/>
    </row>
    <row r="15422" ht="57.75" customHeight="1">
      <c r="A15422" s="11"/>
      <c r="B15422" s="11"/>
      <c r="C15422" s="11"/>
      <c r="D15422" s="10" t="s">
        <v>6293</v>
      </c>
    </row>
    <row r="15423" ht="30.0" customHeight="1">
      <c r="A15423" s="13" t="s">
        <v>1793</v>
      </c>
      <c r="B15423" s="10" t="s">
        <v>42</v>
      </c>
      <c r="C15423" s="10" t="s">
        <v>956</v>
      </c>
      <c r="D15423" s="10" t="s">
        <v>1794</v>
      </c>
      <c r="E15423" s="11"/>
      <c r="F15423" s="12">
        <f>ROUND(8.81*(1+G2/100),2)</f>
        <v>8.81</v>
      </c>
      <c r="G15423" s="11"/>
    </row>
    <row r="15424" ht="21.0" customHeight="1">
      <c r="A15424" s="11"/>
      <c r="B15424" s="11"/>
      <c r="C15424" s="11"/>
      <c r="D15424" s="10" t="s">
        <v>6294</v>
      </c>
    </row>
    <row r="15425" ht="39.75" customHeight="1">
      <c r="A15425" s="13" t="s">
        <v>6295</v>
      </c>
      <c r="B15425" s="10" t="s">
        <v>42</v>
      </c>
      <c r="C15425" s="10" t="s">
        <v>330</v>
      </c>
      <c r="D15425" s="10" t="s">
        <v>6296</v>
      </c>
      <c r="E15425" s="11"/>
      <c r="F15425" s="12">
        <f>ROUND(2.63*(1+G2/100),2)</f>
        <v>2.63</v>
      </c>
      <c r="G15425" s="11"/>
    </row>
    <row r="15426" ht="21.0" customHeight="1">
      <c r="A15426" s="11"/>
      <c r="B15426" s="11"/>
      <c r="C15426" s="11"/>
      <c r="D15426" s="10" t="s">
        <v>6297</v>
      </c>
    </row>
    <row r="15427" ht="39.75" customHeight="1">
      <c r="A15427" s="13" t="s">
        <v>3802</v>
      </c>
      <c r="B15427" s="10" t="s">
        <v>42</v>
      </c>
      <c r="C15427" s="10" t="s">
        <v>330</v>
      </c>
      <c r="D15427" s="10" t="s">
        <v>3803</v>
      </c>
      <c r="E15427" s="11"/>
      <c r="F15427" s="12">
        <f>ROUND(2.63*(1+G2/100),2)</f>
        <v>2.63</v>
      </c>
      <c r="G15427" s="11"/>
    </row>
    <row r="15428" ht="21.0" customHeight="1">
      <c r="A15428" s="11"/>
      <c r="B15428" s="11"/>
      <c r="C15428" s="11"/>
      <c r="D15428" s="10" t="s">
        <v>6298</v>
      </c>
    </row>
    <row r="15429" ht="39.75" customHeight="1">
      <c r="A15429" s="13" t="s">
        <v>6299</v>
      </c>
      <c r="B15429" s="10" t="s">
        <v>42</v>
      </c>
      <c r="C15429" s="10" t="s">
        <v>6300</v>
      </c>
      <c r="D15429" s="10" t="s">
        <v>6301</v>
      </c>
      <c r="E15429" s="11"/>
      <c r="F15429" s="12">
        <f>ROUND(2.63*(1+G2/100),2)</f>
        <v>2.63</v>
      </c>
      <c r="G15429" s="11"/>
    </row>
    <row r="15430" ht="21.0" customHeight="1">
      <c r="A15430" s="11"/>
      <c r="B15430" s="11"/>
      <c r="C15430" s="11"/>
      <c r="D15430" s="10" t="s">
        <v>6302</v>
      </c>
    </row>
    <row r="15431" ht="30.0" customHeight="1">
      <c r="A15431" s="13" t="s">
        <v>2771</v>
      </c>
      <c r="B15431" s="10" t="s">
        <v>42</v>
      </c>
      <c r="C15431" s="10" t="s">
        <v>956</v>
      </c>
      <c r="D15431" s="10" t="s">
        <v>2772</v>
      </c>
      <c r="E15431" s="11"/>
      <c r="F15431" s="12">
        <f>ROUND(24.98*(1+G2/100),2)</f>
        <v>24.98</v>
      </c>
      <c r="G15431" s="11"/>
    </row>
    <row r="15432" ht="30.0" customHeight="1">
      <c r="A15432" s="11"/>
      <c r="B15432" s="11"/>
      <c r="C15432" s="11"/>
      <c r="D15432" s="10" t="s">
        <v>6303</v>
      </c>
    </row>
    <row r="15433" ht="30.0" customHeight="1">
      <c r="A15433" s="13" t="s">
        <v>6304</v>
      </c>
      <c r="B15433" s="10" t="s">
        <v>42</v>
      </c>
      <c r="C15433" s="10" t="s">
        <v>956</v>
      </c>
      <c r="D15433" s="10" t="s">
        <v>6305</v>
      </c>
      <c r="E15433" s="11"/>
      <c r="F15433" s="12">
        <f>ROUND(0.88*(1+G2/100),2)</f>
        <v>0.88</v>
      </c>
      <c r="G15433" s="11"/>
    </row>
    <row r="15434" ht="30.0" customHeight="1">
      <c r="A15434" s="11"/>
      <c r="B15434" s="11"/>
      <c r="C15434" s="11"/>
      <c r="D15434" s="10" t="s">
        <v>6306</v>
      </c>
    </row>
    <row r="15435" ht="30.0" customHeight="1">
      <c r="A15435" s="13" t="s">
        <v>6307</v>
      </c>
      <c r="B15435" s="10" t="s">
        <v>42</v>
      </c>
      <c r="C15435" s="10" t="s">
        <v>956</v>
      </c>
      <c r="D15435" s="10" t="s">
        <v>6308</v>
      </c>
      <c r="E15435" s="11"/>
      <c r="F15435" s="12">
        <f>ROUND(2.95*(1+G2/100),2)</f>
        <v>2.95</v>
      </c>
      <c r="G15435" s="11"/>
    </row>
    <row r="15436" ht="30.0" customHeight="1">
      <c r="A15436" s="11"/>
      <c r="B15436" s="11"/>
      <c r="C15436" s="11"/>
      <c r="D15436" s="10" t="s">
        <v>6309</v>
      </c>
    </row>
    <row r="15437" ht="21.0" customHeight="1">
      <c r="A15437" s="13" t="s">
        <v>955</v>
      </c>
      <c r="B15437" s="10" t="s">
        <v>42</v>
      </c>
      <c r="C15437" s="10" t="s">
        <v>956</v>
      </c>
      <c r="D15437" s="10" t="s">
        <v>957</v>
      </c>
      <c r="E15437" s="11"/>
      <c r="F15437" s="12">
        <f>ROUND(0.97*(1+G2/100),2)</f>
        <v>0.97</v>
      </c>
      <c r="G15437" s="11"/>
    </row>
    <row r="15438" ht="12.0" customHeight="1">
      <c r="A15438" s="11"/>
      <c r="B15438" s="11"/>
      <c r="C15438" s="11"/>
      <c r="D15438" s="10" t="s">
        <v>957</v>
      </c>
    </row>
    <row r="15439" ht="21.0" customHeight="1">
      <c r="A15439" s="13" t="s">
        <v>6310</v>
      </c>
      <c r="B15439" s="10" t="s">
        <v>42</v>
      </c>
      <c r="C15439" s="10" t="s">
        <v>956</v>
      </c>
      <c r="D15439" s="10" t="s">
        <v>6311</v>
      </c>
      <c r="E15439" s="11"/>
      <c r="F15439" s="12">
        <f>ROUND(2.71*(1+G2/100),2)</f>
        <v>2.71</v>
      </c>
      <c r="G15439" s="11"/>
    </row>
    <row r="15440" ht="12.0" customHeight="1">
      <c r="A15440" s="11"/>
      <c r="B15440" s="11"/>
      <c r="C15440" s="11"/>
      <c r="D15440" s="10" t="s">
        <v>6312</v>
      </c>
    </row>
    <row r="15441" ht="30.0" customHeight="1">
      <c r="A15441" s="13" t="s">
        <v>6313</v>
      </c>
      <c r="B15441" s="10" t="s">
        <v>42</v>
      </c>
      <c r="C15441" s="10" t="s">
        <v>231</v>
      </c>
      <c r="D15441" s="10" t="s">
        <v>6314</v>
      </c>
      <c r="E15441" s="11"/>
      <c r="F15441" s="12">
        <f>ROUND(7.56*(1+G2/100),2)</f>
        <v>7.56</v>
      </c>
      <c r="G15441" s="11"/>
    </row>
    <row r="15442" ht="113.25" customHeight="1">
      <c r="A15442" s="11"/>
      <c r="B15442" s="11"/>
      <c r="C15442" s="11"/>
      <c r="D15442" s="10" t="s">
        <v>6315</v>
      </c>
    </row>
    <row r="15443" ht="30.0" customHeight="1">
      <c r="A15443" s="13" t="s">
        <v>6316</v>
      </c>
      <c r="B15443" s="10" t="s">
        <v>42</v>
      </c>
      <c r="C15443" s="10" t="s">
        <v>231</v>
      </c>
      <c r="D15443" s="10" t="s">
        <v>6317</v>
      </c>
      <c r="E15443" s="11"/>
      <c r="F15443" s="12">
        <f>ROUND(6.53*(1+G2/100),2)</f>
        <v>6.53</v>
      </c>
      <c r="G15443" s="11"/>
    </row>
    <row r="15444" ht="12.0" customHeight="1">
      <c r="A15444" s="11"/>
      <c r="B15444" s="11"/>
      <c r="C15444" s="11"/>
      <c r="D15444" s="10" t="s">
        <v>6317</v>
      </c>
    </row>
    <row r="15445" ht="30.0" customHeight="1">
      <c r="A15445" s="13" t="s">
        <v>6318</v>
      </c>
      <c r="B15445" s="10" t="s">
        <v>42</v>
      </c>
      <c r="C15445" s="10" t="s">
        <v>325</v>
      </c>
      <c r="D15445" s="10" t="s">
        <v>6319</v>
      </c>
      <c r="E15445" s="11"/>
      <c r="F15445" s="12">
        <f>ROUND(5.98*(1+G2/100),2)</f>
        <v>5.98</v>
      </c>
      <c r="G15445" s="11"/>
    </row>
    <row r="15446" ht="12.0" customHeight="1">
      <c r="A15446" s="11"/>
      <c r="B15446" s="11"/>
      <c r="C15446" s="11"/>
      <c r="D15446" s="10" t="s">
        <v>6319</v>
      </c>
    </row>
    <row r="15447" ht="30.0" customHeight="1">
      <c r="A15447" s="13" t="s">
        <v>6320</v>
      </c>
      <c r="B15447" s="10" t="s">
        <v>42</v>
      </c>
      <c r="C15447" s="10" t="s">
        <v>956</v>
      </c>
      <c r="D15447" s="10" t="s">
        <v>6321</v>
      </c>
      <c r="E15447" s="11"/>
      <c r="F15447" s="12">
        <f>ROUND(1.07*(1+G2/100),2)</f>
        <v>1.07</v>
      </c>
      <c r="G15447" s="11"/>
    </row>
    <row r="15448" ht="30.0" customHeight="1">
      <c r="A15448" s="11"/>
      <c r="B15448" s="11"/>
      <c r="C15448" s="11"/>
      <c r="D15448" s="10" t="s">
        <v>6322</v>
      </c>
    </row>
    <row r="15449" ht="30.0" customHeight="1">
      <c r="A15449" s="13" t="s">
        <v>6323</v>
      </c>
      <c r="B15449" s="10" t="s">
        <v>42</v>
      </c>
      <c r="C15449" s="10" t="s">
        <v>344</v>
      </c>
      <c r="D15449" s="10" t="s">
        <v>6324</v>
      </c>
      <c r="E15449" s="11"/>
      <c r="F15449" s="12">
        <f>ROUND(1.1*(1+G2/100),2)</f>
        <v>1.1</v>
      </c>
      <c r="G15449" s="11"/>
    </row>
    <row r="15450" ht="30.0" customHeight="1">
      <c r="A15450" s="11"/>
      <c r="B15450" s="11"/>
      <c r="C15450" s="11"/>
      <c r="D15450" s="10" t="s">
        <v>6325</v>
      </c>
    </row>
    <row r="15451" ht="30.0" customHeight="1">
      <c r="A15451" s="13" t="s">
        <v>6326</v>
      </c>
      <c r="B15451" s="10" t="s">
        <v>42</v>
      </c>
      <c r="C15451" s="10" t="s">
        <v>2435</v>
      </c>
      <c r="D15451" s="10" t="s">
        <v>6327</v>
      </c>
      <c r="E15451" s="11"/>
      <c r="F15451" s="12">
        <f>ROUND(9.95*(1+G2/100),2)</f>
        <v>9.95</v>
      </c>
      <c r="G15451" s="11"/>
    </row>
    <row r="15452" ht="12.0" customHeight="1">
      <c r="A15452" s="11"/>
      <c r="B15452" s="11"/>
      <c r="C15452" s="11"/>
      <c r="D15452" s="10" t="s">
        <v>6327</v>
      </c>
    </row>
    <row r="15453" ht="39.75" customHeight="1">
      <c r="A15453" s="13" t="s">
        <v>6328</v>
      </c>
      <c r="B15453" s="10" t="s">
        <v>42</v>
      </c>
      <c r="C15453" s="10" t="s">
        <v>2435</v>
      </c>
      <c r="D15453" s="10" t="s">
        <v>6329</v>
      </c>
      <c r="E15453" s="11"/>
      <c r="F15453" s="12">
        <f>ROUND(7.99*(1+G2/100),2)</f>
        <v>7.99</v>
      </c>
      <c r="G15453" s="11"/>
    </row>
    <row r="15454" ht="30.0" customHeight="1">
      <c r="A15454" s="11"/>
      <c r="B15454" s="11"/>
      <c r="C15454" s="11"/>
      <c r="D15454" s="10" t="s">
        <v>6330</v>
      </c>
    </row>
    <row r="15455" ht="15.0" customHeight="1">
      <c r="A15455" s="16"/>
      <c r="B15455" s="16"/>
      <c r="C15455" s="16"/>
      <c r="D15455" s="61" t="s">
        <v>6243</v>
      </c>
      <c r="E15455" s="62"/>
      <c r="F15455" s="62"/>
      <c r="G15455" s="62"/>
    </row>
    <row r="15456" ht="24.75" customHeight="1">
      <c r="A15456" s="34" t="s">
        <v>6331</v>
      </c>
      <c r="B15456" s="34" t="s">
        <v>10</v>
      </c>
      <c r="C15456" s="35"/>
      <c r="D15456" s="34" t="s">
        <v>6332</v>
      </c>
      <c r="E15456" s="35"/>
      <c r="F15456" s="35"/>
      <c r="G15456" s="35"/>
    </row>
    <row r="15457" ht="39.75" customHeight="1">
      <c r="A15457" s="13" t="s">
        <v>2934</v>
      </c>
      <c r="B15457" s="10" t="s">
        <v>42</v>
      </c>
      <c r="C15457" s="10" t="s">
        <v>344</v>
      </c>
      <c r="D15457" s="10" t="s">
        <v>2935</v>
      </c>
      <c r="E15457" s="11"/>
      <c r="F15457" s="12">
        <f>ROUND(119.53*(1+G2/100),2)</f>
        <v>119.53</v>
      </c>
      <c r="G15457" s="11"/>
    </row>
    <row r="15458" ht="95.25" customHeight="1">
      <c r="A15458" s="11"/>
      <c r="B15458" s="11"/>
      <c r="C15458" s="11"/>
      <c r="D15458" s="10" t="s">
        <v>6333</v>
      </c>
    </row>
    <row r="15459" ht="39.75" customHeight="1">
      <c r="A15459" s="13" t="s">
        <v>6334</v>
      </c>
      <c r="B15459" s="10" t="s">
        <v>42</v>
      </c>
      <c r="C15459" s="10" t="s">
        <v>1881</v>
      </c>
      <c r="D15459" s="10" t="s">
        <v>6335</v>
      </c>
      <c r="E15459" s="11"/>
      <c r="F15459" s="12">
        <f>ROUND(6.55*(1+G2/100),2)</f>
        <v>6.55</v>
      </c>
      <c r="G15459" s="11"/>
    </row>
    <row r="15460" ht="21.0" customHeight="1">
      <c r="A15460" s="11"/>
      <c r="B15460" s="11"/>
      <c r="C15460" s="11"/>
      <c r="D15460" s="10" t="s">
        <v>6335</v>
      </c>
    </row>
    <row r="15461" ht="39.75" customHeight="1">
      <c r="A15461" s="13" t="s">
        <v>6336</v>
      </c>
      <c r="B15461" s="10" t="s">
        <v>42</v>
      </c>
      <c r="C15461" s="10" t="s">
        <v>1881</v>
      </c>
      <c r="D15461" s="10" t="s">
        <v>6337</v>
      </c>
      <c r="E15461" s="11"/>
      <c r="F15461" s="12">
        <f>ROUND(12.69*(1+G2/100),2)</f>
        <v>12.69</v>
      </c>
      <c r="G15461" s="11"/>
    </row>
    <row r="15462" ht="21.0" customHeight="1">
      <c r="A15462" s="11"/>
      <c r="B15462" s="11"/>
      <c r="C15462" s="11"/>
      <c r="D15462" s="10" t="s">
        <v>6337</v>
      </c>
    </row>
    <row r="15463" ht="39.75" customHeight="1">
      <c r="A15463" s="13" t="s">
        <v>6338</v>
      </c>
      <c r="B15463" s="10" t="s">
        <v>42</v>
      </c>
      <c r="C15463" s="10" t="s">
        <v>1881</v>
      </c>
      <c r="D15463" s="10" t="s">
        <v>6339</v>
      </c>
      <c r="E15463" s="11"/>
      <c r="F15463" s="12">
        <f>ROUND(2.37*(1+G2/100),2)</f>
        <v>2.37</v>
      </c>
      <c r="G15463" s="11"/>
    </row>
    <row r="15464" ht="21.0" customHeight="1">
      <c r="A15464" s="11"/>
      <c r="B15464" s="11"/>
      <c r="C15464" s="11"/>
      <c r="D15464" s="10" t="s">
        <v>6339</v>
      </c>
    </row>
    <row r="15465" ht="30.0" customHeight="1">
      <c r="A15465" s="13" t="s">
        <v>2479</v>
      </c>
      <c r="B15465" s="10" t="s">
        <v>42</v>
      </c>
      <c r="C15465" s="10" t="s">
        <v>351</v>
      </c>
      <c r="D15465" s="10" t="s">
        <v>2480</v>
      </c>
      <c r="E15465" s="11"/>
      <c r="F15465" s="12">
        <f>ROUND(198*(1+G2/100),2)</f>
        <v>198</v>
      </c>
      <c r="G15465" s="11"/>
    </row>
    <row r="15466" ht="48.75" customHeight="1">
      <c r="A15466" s="11"/>
      <c r="B15466" s="11"/>
      <c r="C15466" s="11"/>
      <c r="D15466" s="10" t="s">
        <v>6340</v>
      </c>
    </row>
    <row r="15467" ht="39.75" customHeight="1">
      <c r="A15467" s="13" t="s">
        <v>2430</v>
      </c>
      <c r="B15467" s="10" t="s">
        <v>42</v>
      </c>
      <c r="C15467" s="10" t="s">
        <v>344</v>
      </c>
      <c r="D15467" s="10" t="s">
        <v>2431</v>
      </c>
      <c r="E15467" s="11"/>
      <c r="F15467" s="12">
        <f>ROUND(26*(1+G2/100),2)</f>
        <v>26</v>
      </c>
      <c r="G15467" s="11"/>
    </row>
    <row r="15468" ht="21.0" customHeight="1">
      <c r="A15468" s="11"/>
      <c r="B15468" s="11"/>
      <c r="C15468" s="11"/>
      <c r="D15468" s="10" t="s">
        <v>2431</v>
      </c>
    </row>
    <row r="15469" ht="48.75" customHeight="1">
      <c r="A15469" s="13" t="s">
        <v>1747</v>
      </c>
      <c r="B15469" s="10" t="s">
        <v>42</v>
      </c>
      <c r="C15469" s="10" t="s">
        <v>344</v>
      </c>
      <c r="D15469" s="10" t="s">
        <v>1748</v>
      </c>
      <c r="E15469" s="11"/>
      <c r="F15469" s="12">
        <f>ROUND(52.89*(1+G2/100),2)</f>
        <v>52.89</v>
      </c>
      <c r="G15469" s="11"/>
    </row>
    <row r="15470" ht="21.0" customHeight="1">
      <c r="A15470" s="11"/>
      <c r="B15470" s="11"/>
      <c r="C15470" s="11"/>
      <c r="D15470" s="10" t="s">
        <v>1748</v>
      </c>
    </row>
    <row r="15471" ht="39.75" customHeight="1">
      <c r="A15471" s="13" t="s">
        <v>2494</v>
      </c>
      <c r="B15471" s="10" t="s">
        <v>42</v>
      </c>
      <c r="C15471" s="10" t="s">
        <v>344</v>
      </c>
      <c r="D15471" s="10" t="s">
        <v>2495</v>
      </c>
      <c r="E15471" s="11"/>
      <c r="F15471" s="12">
        <f>ROUND(25.61*(1+G2/100),2)</f>
        <v>25.61</v>
      </c>
      <c r="G15471" s="11"/>
    </row>
    <row r="15472" ht="21.0" customHeight="1">
      <c r="A15472" s="11"/>
      <c r="B15472" s="11"/>
      <c r="C15472" s="11"/>
      <c r="D15472" s="10" t="s">
        <v>2495</v>
      </c>
    </row>
    <row r="15473" ht="48.75" customHeight="1">
      <c r="A15473" s="13" t="s">
        <v>6341</v>
      </c>
      <c r="B15473" s="10" t="s">
        <v>42</v>
      </c>
      <c r="C15473" s="10" t="s">
        <v>344</v>
      </c>
      <c r="D15473" s="10" t="s">
        <v>6342</v>
      </c>
      <c r="E15473" s="11"/>
      <c r="F15473" s="12">
        <f>ROUND(14.29*(1+G2/100),2)</f>
        <v>14.29</v>
      </c>
      <c r="G15473" s="11"/>
    </row>
    <row r="15474" ht="21.0" customHeight="1">
      <c r="A15474" s="11"/>
      <c r="B15474" s="11"/>
      <c r="C15474" s="11"/>
      <c r="D15474" s="10" t="s">
        <v>6342</v>
      </c>
    </row>
    <row r="15475" ht="48.75" customHeight="1">
      <c r="A15475" s="13" t="s">
        <v>6343</v>
      </c>
      <c r="B15475" s="10" t="s">
        <v>42</v>
      </c>
      <c r="C15475" s="10" t="s">
        <v>344</v>
      </c>
      <c r="D15475" s="10" t="s">
        <v>6344</v>
      </c>
      <c r="E15475" s="11"/>
      <c r="F15475" s="12">
        <f>ROUND(18.33*(1+G2/100),2)</f>
        <v>18.33</v>
      </c>
      <c r="G15475" s="11"/>
    </row>
    <row r="15476" ht="21.0" customHeight="1">
      <c r="A15476" s="11"/>
      <c r="B15476" s="11"/>
      <c r="C15476" s="11"/>
      <c r="D15476" s="10" t="s">
        <v>6344</v>
      </c>
    </row>
    <row r="15477" ht="48.75" customHeight="1">
      <c r="A15477" s="13" t="s">
        <v>6345</v>
      </c>
      <c r="B15477" s="10" t="s">
        <v>42</v>
      </c>
      <c r="C15477" s="10" t="s">
        <v>344</v>
      </c>
      <c r="D15477" s="10" t="s">
        <v>6346</v>
      </c>
      <c r="E15477" s="11"/>
      <c r="F15477" s="12">
        <f>ROUND(21.19*(1+G2/100),2)</f>
        <v>21.19</v>
      </c>
      <c r="G15477" s="11"/>
    </row>
    <row r="15478" ht="21.0" customHeight="1">
      <c r="A15478" s="11"/>
      <c r="B15478" s="11"/>
      <c r="C15478" s="11"/>
      <c r="D15478" s="10" t="s">
        <v>6346</v>
      </c>
    </row>
    <row r="15479" ht="48.75" customHeight="1">
      <c r="A15479" s="13" t="s">
        <v>3871</v>
      </c>
      <c r="B15479" s="10" t="s">
        <v>42</v>
      </c>
      <c r="C15479" s="10" t="s">
        <v>344</v>
      </c>
      <c r="D15479" s="10" t="s">
        <v>3872</v>
      </c>
      <c r="E15479" s="11"/>
      <c r="F15479" s="12">
        <f>ROUND(25.58*(1+G2/100),2)</f>
        <v>25.58</v>
      </c>
      <c r="G15479" s="11"/>
    </row>
    <row r="15480" ht="21.0" customHeight="1">
      <c r="A15480" s="11"/>
      <c r="B15480" s="11"/>
      <c r="C15480" s="11"/>
      <c r="D15480" s="10" t="s">
        <v>3872</v>
      </c>
    </row>
    <row r="15481" ht="39.75" customHeight="1">
      <c r="A15481" s="13" t="s">
        <v>6347</v>
      </c>
      <c r="B15481" s="10" t="s">
        <v>42</v>
      </c>
      <c r="C15481" s="10" t="s">
        <v>1881</v>
      </c>
      <c r="D15481" s="10" t="s">
        <v>6348</v>
      </c>
      <c r="E15481" s="11"/>
      <c r="F15481" s="12">
        <f>ROUND(3.2*(1+G2/100),2)</f>
        <v>3.2</v>
      </c>
      <c r="G15481" s="11"/>
    </row>
    <row r="15482" ht="21.0" customHeight="1">
      <c r="A15482" s="11"/>
      <c r="B15482" s="11"/>
      <c r="C15482" s="11"/>
      <c r="D15482" s="10" t="s">
        <v>6348</v>
      </c>
    </row>
    <row r="15483" ht="30.0" customHeight="1">
      <c r="A15483" s="13" t="s">
        <v>6349</v>
      </c>
      <c r="B15483" s="10" t="s">
        <v>42</v>
      </c>
      <c r="C15483" s="10" t="s">
        <v>344</v>
      </c>
      <c r="D15483" s="10" t="s">
        <v>6350</v>
      </c>
      <c r="E15483" s="11"/>
      <c r="F15483" s="12">
        <f>ROUND(8.44*(1+G2/100),2)</f>
        <v>8.44</v>
      </c>
      <c r="G15483" s="11"/>
    </row>
    <row r="15484" ht="12.0" customHeight="1">
      <c r="A15484" s="11"/>
      <c r="B15484" s="11"/>
      <c r="C15484" s="11"/>
      <c r="D15484" s="10" t="s">
        <v>6350</v>
      </c>
    </row>
    <row r="15485" ht="21.0" customHeight="1">
      <c r="A15485" s="13" t="s">
        <v>6351</v>
      </c>
      <c r="B15485" s="10" t="s">
        <v>42</v>
      </c>
      <c r="C15485" s="10" t="s">
        <v>344</v>
      </c>
      <c r="D15485" s="10" t="s">
        <v>6352</v>
      </c>
      <c r="E15485" s="11"/>
      <c r="F15485" s="12">
        <f>ROUND(6.85*(1+G2/100),2)</f>
        <v>6.85</v>
      </c>
      <c r="G15485" s="11"/>
    </row>
    <row r="15486" ht="21.0" customHeight="1">
      <c r="A15486" s="11"/>
      <c r="B15486" s="11"/>
      <c r="C15486" s="11"/>
      <c r="D15486" s="10" t="s">
        <v>6353</v>
      </c>
    </row>
    <row r="15487" ht="39.75" customHeight="1">
      <c r="A15487" s="13" t="s">
        <v>2496</v>
      </c>
      <c r="B15487" s="10" t="s">
        <v>42</v>
      </c>
      <c r="C15487" s="10" t="s">
        <v>344</v>
      </c>
      <c r="D15487" s="10" t="s">
        <v>2497</v>
      </c>
      <c r="E15487" s="11"/>
      <c r="F15487" s="12">
        <f>ROUND(49*(1+G2/100),2)</f>
        <v>49</v>
      </c>
      <c r="G15487" s="11"/>
    </row>
    <row r="15488" ht="21.0" customHeight="1">
      <c r="A15488" s="11"/>
      <c r="B15488" s="11"/>
      <c r="C15488" s="11"/>
      <c r="D15488" s="10" t="s">
        <v>2497</v>
      </c>
    </row>
    <row r="15489" ht="39.75" customHeight="1">
      <c r="A15489" s="13" t="s">
        <v>6354</v>
      </c>
      <c r="B15489" s="10" t="s">
        <v>42</v>
      </c>
      <c r="C15489" s="10" t="s">
        <v>1825</v>
      </c>
      <c r="D15489" s="10" t="s">
        <v>6355</v>
      </c>
      <c r="E15489" s="11"/>
      <c r="F15489" s="12">
        <f>ROUND(35.6*(1+G2/100),2)</f>
        <v>35.6</v>
      </c>
      <c r="G15489" s="11"/>
    </row>
    <row r="15490" ht="21.0" customHeight="1">
      <c r="A15490" s="11"/>
      <c r="B15490" s="11"/>
      <c r="C15490" s="11"/>
      <c r="D15490" s="10" t="s">
        <v>6356</v>
      </c>
    </row>
    <row r="15491" ht="39.75" customHeight="1">
      <c r="A15491" s="13" t="s">
        <v>6357</v>
      </c>
      <c r="B15491" s="10" t="s">
        <v>42</v>
      </c>
      <c r="C15491" s="10" t="s">
        <v>1825</v>
      </c>
      <c r="D15491" s="10" t="s">
        <v>6358</v>
      </c>
      <c r="E15491" s="11"/>
      <c r="F15491" s="12">
        <f>ROUND(35.6*(1+G2/100),2)</f>
        <v>35.6</v>
      </c>
      <c r="G15491" s="11"/>
    </row>
    <row r="15492" ht="21.0" customHeight="1">
      <c r="A15492" s="11"/>
      <c r="B15492" s="11"/>
      <c r="C15492" s="11"/>
      <c r="D15492" s="10" t="s">
        <v>6359</v>
      </c>
    </row>
    <row r="15493" ht="39.75" customHeight="1">
      <c r="A15493" s="13" t="s">
        <v>6360</v>
      </c>
      <c r="B15493" s="10" t="s">
        <v>42</v>
      </c>
      <c r="C15493" s="10" t="s">
        <v>1825</v>
      </c>
      <c r="D15493" s="10" t="s">
        <v>6361</v>
      </c>
      <c r="E15493" s="11"/>
      <c r="F15493" s="12">
        <f>ROUND(46.5*(1+G2/100),2)</f>
        <v>46.5</v>
      </c>
      <c r="G15493" s="11"/>
    </row>
    <row r="15494" ht="21.0" customHeight="1">
      <c r="A15494" s="11"/>
      <c r="B15494" s="11"/>
      <c r="C15494" s="11"/>
      <c r="D15494" s="10" t="s">
        <v>6362</v>
      </c>
    </row>
    <row r="15495" ht="30.0" customHeight="1">
      <c r="A15495" s="13" t="s">
        <v>1770</v>
      </c>
      <c r="B15495" s="10" t="s">
        <v>42</v>
      </c>
      <c r="C15495" s="10" t="s">
        <v>344</v>
      </c>
      <c r="D15495" s="10" t="s">
        <v>1771</v>
      </c>
      <c r="E15495" s="11"/>
      <c r="F15495" s="12">
        <f>ROUND(4.96*(1+G2/100),2)</f>
        <v>4.96</v>
      </c>
      <c r="G15495" s="11"/>
    </row>
    <row r="15496" ht="21.0" customHeight="1">
      <c r="A15496" s="11"/>
      <c r="B15496" s="11"/>
      <c r="C15496" s="11"/>
      <c r="D15496" s="10" t="s">
        <v>6363</v>
      </c>
    </row>
    <row r="15497" ht="30.0" customHeight="1">
      <c r="A15497" s="13" t="s">
        <v>6364</v>
      </c>
      <c r="B15497" s="10" t="s">
        <v>42</v>
      </c>
      <c r="C15497" s="10" t="s">
        <v>344</v>
      </c>
      <c r="D15497" s="10" t="s">
        <v>6365</v>
      </c>
      <c r="E15497" s="11"/>
      <c r="F15497" s="12">
        <f>ROUND(4.26*(1+G2/100),2)</f>
        <v>4.26</v>
      </c>
      <c r="G15497" s="11"/>
    </row>
    <row r="15498" ht="21.0" customHeight="1">
      <c r="A15498" s="11"/>
      <c r="B15498" s="11"/>
      <c r="C15498" s="11"/>
      <c r="D15498" s="10" t="s">
        <v>6366</v>
      </c>
    </row>
    <row r="15499" ht="39.75" customHeight="1">
      <c r="A15499" s="13" t="s">
        <v>2432</v>
      </c>
      <c r="B15499" s="10" t="s">
        <v>42</v>
      </c>
      <c r="C15499" s="10" t="s">
        <v>325</v>
      </c>
      <c r="D15499" s="10" t="s">
        <v>2433</v>
      </c>
      <c r="E15499" s="11"/>
      <c r="F15499" s="12">
        <f>ROUND(13.53*(1+G2/100),2)</f>
        <v>13.53</v>
      </c>
      <c r="G15499" s="11"/>
    </row>
    <row r="15500" ht="21.0" customHeight="1">
      <c r="A15500" s="11"/>
      <c r="B15500" s="11"/>
      <c r="C15500" s="11"/>
      <c r="D15500" s="10" t="s">
        <v>6367</v>
      </c>
    </row>
    <row r="15501" ht="39.75" customHeight="1">
      <c r="A15501" s="13" t="s">
        <v>6368</v>
      </c>
      <c r="B15501" s="10" t="s">
        <v>42</v>
      </c>
      <c r="C15501" s="10" t="s">
        <v>325</v>
      </c>
      <c r="D15501" s="10" t="s">
        <v>6369</v>
      </c>
      <c r="E15501" s="11"/>
      <c r="F15501" s="12">
        <f>ROUND(8.72*(1+G2/100),2)</f>
        <v>8.72</v>
      </c>
      <c r="G15501" s="11"/>
    </row>
    <row r="15502" ht="21.0" customHeight="1">
      <c r="A15502" s="11"/>
      <c r="B15502" s="11"/>
      <c r="C15502" s="11"/>
      <c r="D15502" s="10" t="s">
        <v>6370</v>
      </c>
    </row>
    <row r="15503" ht="30.0" customHeight="1">
      <c r="A15503" s="13" t="s">
        <v>3047</v>
      </c>
      <c r="B15503" s="10" t="s">
        <v>42</v>
      </c>
      <c r="C15503" s="10" t="s">
        <v>344</v>
      </c>
      <c r="D15503" s="10" t="s">
        <v>3048</v>
      </c>
      <c r="E15503" s="11"/>
      <c r="F15503" s="12">
        <f>ROUND(3.41*(1+G2/100),2)</f>
        <v>3.41</v>
      </c>
      <c r="G15503" s="11"/>
    </row>
    <row r="15504" ht="57.75" customHeight="1">
      <c r="A15504" s="11"/>
      <c r="B15504" s="11"/>
      <c r="C15504" s="11"/>
      <c r="D15504" s="10" t="s">
        <v>6371</v>
      </c>
    </row>
    <row r="15505" ht="48.75" customHeight="1">
      <c r="A15505" s="13" t="s">
        <v>2465</v>
      </c>
      <c r="B15505" s="10" t="s">
        <v>42</v>
      </c>
      <c r="C15505" s="10" t="s">
        <v>344</v>
      </c>
      <c r="D15505" s="10" t="s">
        <v>2466</v>
      </c>
      <c r="E15505" s="11"/>
      <c r="F15505" s="12">
        <f>ROUND(52.36*(1+G2/100),2)</f>
        <v>52.36</v>
      </c>
      <c r="G15505" s="11"/>
    </row>
    <row r="15506" ht="21.0" customHeight="1">
      <c r="A15506" s="11"/>
      <c r="B15506" s="11"/>
      <c r="C15506" s="11"/>
      <c r="D15506" s="10" t="s">
        <v>6372</v>
      </c>
    </row>
    <row r="15507" ht="30.0" customHeight="1">
      <c r="A15507" s="13" t="s">
        <v>1824</v>
      </c>
      <c r="B15507" s="10" t="s">
        <v>42</v>
      </c>
      <c r="C15507" s="10" t="s">
        <v>1825</v>
      </c>
      <c r="D15507" s="10" t="s">
        <v>1826</v>
      </c>
      <c r="E15507" s="11"/>
      <c r="F15507" s="12">
        <f>ROUND(24.3*(1+G2/100),2)</f>
        <v>24.3</v>
      </c>
      <c r="G15507" s="11"/>
    </row>
    <row r="15508" ht="76.5" customHeight="1">
      <c r="A15508" s="11"/>
      <c r="B15508" s="11"/>
      <c r="C15508" s="11"/>
      <c r="D15508" s="10" t="s">
        <v>6373</v>
      </c>
    </row>
    <row r="15509" ht="15.0" customHeight="1">
      <c r="A15509" s="16"/>
      <c r="B15509" s="16"/>
      <c r="C15509" s="16"/>
      <c r="D15509" s="61" t="s">
        <v>6331</v>
      </c>
      <c r="E15509" s="62"/>
      <c r="F15509" s="62"/>
      <c r="G15509" s="62"/>
    </row>
    <row r="15510" ht="24.75" customHeight="1">
      <c r="A15510" s="34" t="s">
        <v>6374</v>
      </c>
      <c r="B15510" s="34" t="s">
        <v>10</v>
      </c>
      <c r="C15510" s="35"/>
      <c r="D15510" s="34" t="s">
        <v>6375</v>
      </c>
      <c r="E15510" s="35"/>
      <c r="F15510" s="35"/>
      <c r="G15510" s="35"/>
    </row>
    <row r="15511" ht="30.0" customHeight="1">
      <c r="A15511" s="13" t="s">
        <v>6376</v>
      </c>
      <c r="B15511" s="10" t="s">
        <v>42</v>
      </c>
      <c r="C15511" s="10" t="s">
        <v>344</v>
      </c>
      <c r="D15511" s="10" t="s">
        <v>6377</v>
      </c>
      <c r="E15511" s="11"/>
      <c r="F15511" s="12">
        <f>ROUND(1.15*(1+G2/100),2)</f>
        <v>1.15</v>
      </c>
      <c r="G15511" s="11"/>
    </row>
    <row r="15512" ht="30.0" customHeight="1">
      <c r="A15512" s="11"/>
      <c r="B15512" s="11"/>
      <c r="C15512" s="11"/>
      <c r="D15512" s="10" t="s">
        <v>6378</v>
      </c>
    </row>
    <row r="15513" ht="21.0" customHeight="1">
      <c r="A15513" s="13" t="s">
        <v>6379</v>
      </c>
      <c r="B15513" s="10" t="s">
        <v>42</v>
      </c>
      <c r="C15513" s="10" t="s">
        <v>344</v>
      </c>
      <c r="D15513" s="10" t="s">
        <v>6380</v>
      </c>
      <c r="E15513" s="11"/>
      <c r="F15513" s="12">
        <f>ROUND(1.21*(1+G2/100),2)</f>
        <v>1.21</v>
      </c>
      <c r="G15513" s="11"/>
    </row>
    <row r="15514" ht="21.0" customHeight="1">
      <c r="A15514" s="11"/>
      <c r="B15514" s="11"/>
      <c r="C15514" s="11"/>
      <c r="D15514" s="10" t="s">
        <v>6381</v>
      </c>
    </row>
    <row r="15515" ht="30.0" customHeight="1">
      <c r="A15515" s="13" t="s">
        <v>6382</v>
      </c>
      <c r="B15515" s="10" t="s">
        <v>42</v>
      </c>
      <c r="C15515" s="10" t="s">
        <v>344</v>
      </c>
      <c r="D15515" s="10" t="s">
        <v>6383</v>
      </c>
      <c r="E15515" s="11"/>
      <c r="F15515" s="12">
        <f>ROUND(1.07*(1+G2/100),2)</f>
        <v>1.07</v>
      </c>
      <c r="G15515" s="11"/>
    </row>
    <row r="15516" ht="21.0" customHeight="1">
      <c r="A15516" s="11"/>
      <c r="B15516" s="11"/>
      <c r="C15516" s="11"/>
      <c r="D15516" s="10" t="s">
        <v>6384</v>
      </c>
    </row>
    <row r="15517" ht="30.0" customHeight="1">
      <c r="A15517" s="13" t="s">
        <v>6385</v>
      </c>
      <c r="B15517" s="10" t="s">
        <v>42</v>
      </c>
      <c r="C15517" s="10" t="s">
        <v>344</v>
      </c>
      <c r="D15517" s="10" t="s">
        <v>6386</v>
      </c>
      <c r="E15517" s="11"/>
      <c r="F15517" s="12">
        <f>ROUND(1.05*(1+G2/100),2)</f>
        <v>1.05</v>
      </c>
      <c r="G15517" s="11"/>
    </row>
    <row r="15518" ht="21.0" customHeight="1">
      <c r="A15518" s="11"/>
      <c r="B15518" s="11"/>
      <c r="C15518" s="11"/>
      <c r="D15518" s="10" t="s">
        <v>6387</v>
      </c>
    </row>
    <row r="15519" ht="30.0" customHeight="1">
      <c r="A15519" s="13" t="s">
        <v>6388</v>
      </c>
      <c r="B15519" s="10" t="s">
        <v>42</v>
      </c>
      <c r="C15519" s="10" t="s">
        <v>344</v>
      </c>
      <c r="D15519" s="10" t="s">
        <v>6389</v>
      </c>
      <c r="E15519" s="11"/>
      <c r="F15519" s="12">
        <f>ROUND(1.15*(1+G2/100),2)</f>
        <v>1.15</v>
      </c>
      <c r="G15519" s="11"/>
    </row>
    <row r="15520" ht="21.0" customHeight="1">
      <c r="A15520" s="11"/>
      <c r="B15520" s="11"/>
      <c r="C15520" s="11"/>
      <c r="D15520" s="10" t="s">
        <v>6390</v>
      </c>
    </row>
    <row r="15521" ht="39.75" customHeight="1">
      <c r="A15521" s="13" t="s">
        <v>3013</v>
      </c>
      <c r="B15521" s="10" t="s">
        <v>42</v>
      </c>
      <c r="C15521" s="10" t="s">
        <v>344</v>
      </c>
      <c r="D15521" s="10" t="s">
        <v>3014</v>
      </c>
      <c r="E15521" s="11"/>
      <c r="F15521" s="12">
        <f>ROUND(14.7*(1+G2/100),2)</f>
        <v>14.7</v>
      </c>
      <c r="G15521" s="11"/>
    </row>
    <row r="15522" ht="30.0" customHeight="1">
      <c r="A15522" s="11"/>
      <c r="B15522" s="11"/>
      <c r="C15522" s="11"/>
      <c r="D15522" s="10" t="s">
        <v>6391</v>
      </c>
    </row>
    <row r="15523" ht="30.0" customHeight="1">
      <c r="A15523" s="13" t="s">
        <v>6392</v>
      </c>
      <c r="B15523" s="10" t="s">
        <v>42</v>
      </c>
      <c r="C15523" s="10" t="s">
        <v>344</v>
      </c>
      <c r="D15523" s="10" t="s">
        <v>6393</v>
      </c>
      <c r="E15523" s="11"/>
      <c r="F15523" s="12">
        <f>ROUND(17.76*(1+G2/100),2)</f>
        <v>17.76</v>
      </c>
      <c r="G15523" s="11"/>
    </row>
    <row r="15524" ht="104.25" customHeight="1">
      <c r="A15524" s="11"/>
      <c r="B15524" s="11"/>
      <c r="C15524" s="11"/>
      <c r="D15524" s="10" t="s">
        <v>6394</v>
      </c>
    </row>
    <row r="15525" ht="39.75" customHeight="1">
      <c r="A15525" s="13" t="s">
        <v>6395</v>
      </c>
      <c r="B15525" s="10" t="s">
        <v>42</v>
      </c>
      <c r="C15525" s="10" t="s">
        <v>344</v>
      </c>
      <c r="D15525" s="10" t="s">
        <v>6396</v>
      </c>
      <c r="E15525" s="11"/>
      <c r="F15525" s="12">
        <f>ROUND(0.45*(1+G2/100),2)</f>
        <v>0.45</v>
      </c>
      <c r="G15525" s="11"/>
    </row>
    <row r="15526" ht="39.75" customHeight="1">
      <c r="A15526" s="11"/>
      <c r="B15526" s="11"/>
      <c r="C15526" s="11"/>
      <c r="D15526" s="10" t="s">
        <v>6397</v>
      </c>
    </row>
    <row r="15527" ht="39.75" customHeight="1">
      <c r="A15527" s="13" t="s">
        <v>6398</v>
      </c>
      <c r="B15527" s="10" t="s">
        <v>42</v>
      </c>
      <c r="C15527" s="10" t="s">
        <v>344</v>
      </c>
      <c r="D15527" s="10" t="s">
        <v>6399</v>
      </c>
      <c r="E15527" s="11"/>
      <c r="F15527" s="12">
        <f>ROUND(0.49*(1+G2/100),2)</f>
        <v>0.49</v>
      </c>
      <c r="G15527" s="11"/>
    </row>
    <row r="15528" ht="30.0" customHeight="1">
      <c r="A15528" s="11"/>
      <c r="B15528" s="11"/>
      <c r="C15528" s="11"/>
      <c r="D15528" s="10" t="s">
        <v>6400</v>
      </c>
    </row>
    <row r="15529" ht="30.0" customHeight="1">
      <c r="A15529" s="13" t="s">
        <v>6401</v>
      </c>
      <c r="B15529" s="10" t="s">
        <v>42</v>
      </c>
      <c r="C15529" s="10" t="s">
        <v>344</v>
      </c>
      <c r="D15529" s="10" t="s">
        <v>6402</v>
      </c>
      <c r="E15529" s="11"/>
      <c r="F15529" s="12">
        <f>ROUND(0.79*(1+G2/100),2)</f>
        <v>0.79</v>
      </c>
      <c r="G15529" s="11"/>
    </row>
    <row r="15530" ht="21.0" customHeight="1">
      <c r="A15530" s="11"/>
      <c r="B15530" s="11"/>
      <c r="C15530" s="11"/>
      <c r="D15530" s="10" t="s">
        <v>6403</v>
      </c>
    </row>
    <row r="15531" ht="30.0" customHeight="1">
      <c r="A15531" s="13" t="s">
        <v>6404</v>
      </c>
      <c r="B15531" s="10" t="s">
        <v>42</v>
      </c>
      <c r="C15531" s="10" t="s">
        <v>344</v>
      </c>
      <c r="D15531" s="10" t="s">
        <v>6405</v>
      </c>
      <c r="E15531" s="11"/>
      <c r="F15531" s="12">
        <f>ROUND(1.1*(1+G2/100),2)</f>
        <v>1.1</v>
      </c>
      <c r="G15531" s="11"/>
    </row>
    <row r="15532" ht="21.0" customHeight="1">
      <c r="A15532" s="11"/>
      <c r="B15532" s="11"/>
      <c r="C15532" s="11"/>
      <c r="D15532" s="10" t="s">
        <v>6406</v>
      </c>
    </row>
    <row r="15533" ht="30.0" customHeight="1">
      <c r="A15533" s="13" t="s">
        <v>6407</v>
      </c>
      <c r="B15533" s="10" t="s">
        <v>42</v>
      </c>
      <c r="C15533" s="10" t="s">
        <v>344</v>
      </c>
      <c r="D15533" s="10" t="s">
        <v>6408</v>
      </c>
      <c r="E15533" s="11"/>
      <c r="F15533" s="12">
        <f>ROUND(0.7*(1+G2/100),2)</f>
        <v>0.7</v>
      </c>
      <c r="G15533" s="11"/>
    </row>
    <row r="15534" ht="21.0" customHeight="1">
      <c r="A15534" s="11"/>
      <c r="B15534" s="11"/>
      <c r="C15534" s="11"/>
      <c r="D15534" s="10" t="s">
        <v>6409</v>
      </c>
    </row>
    <row r="15535" ht="39.75" customHeight="1">
      <c r="A15535" s="13" t="s">
        <v>6410</v>
      </c>
      <c r="B15535" s="10" t="s">
        <v>42</v>
      </c>
      <c r="C15535" s="10" t="s">
        <v>344</v>
      </c>
      <c r="D15535" s="10" t="s">
        <v>6411</v>
      </c>
      <c r="E15535" s="11"/>
      <c r="F15535" s="12">
        <f>ROUND(1.54*(1+G2/100),2)</f>
        <v>1.54</v>
      </c>
      <c r="G15535" s="11"/>
    </row>
    <row r="15536" ht="21.0" customHeight="1">
      <c r="A15536" s="11"/>
      <c r="B15536" s="11"/>
      <c r="C15536" s="11"/>
      <c r="D15536" s="10" t="s">
        <v>6412</v>
      </c>
    </row>
    <row r="15537" ht="39.75" customHeight="1">
      <c r="A15537" s="13" t="s">
        <v>2291</v>
      </c>
      <c r="B15537" s="10" t="s">
        <v>42</v>
      </c>
      <c r="C15537" s="10" t="s">
        <v>344</v>
      </c>
      <c r="D15537" s="10" t="s">
        <v>2292</v>
      </c>
      <c r="E15537" s="11"/>
      <c r="F15537" s="12">
        <f>ROUND(0.45*(1+G2/100),2)</f>
        <v>0.45</v>
      </c>
      <c r="G15537" s="11"/>
    </row>
    <row r="15538" ht="30.0" customHeight="1">
      <c r="A15538" s="11"/>
      <c r="B15538" s="11"/>
      <c r="C15538" s="11"/>
      <c r="D15538" s="10" t="s">
        <v>6413</v>
      </c>
    </row>
    <row r="15539" ht="30.0" customHeight="1">
      <c r="A15539" s="13" t="s">
        <v>3505</v>
      </c>
      <c r="B15539" s="10" t="s">
        <v>42</v>
      </c>
      <c r="C15539" s="10" t="s">
        <v>344</v>
      </c>
      <c r="D15539" s="10" t="s">
        <v>3506</v>
      </c>
      <c r="E15539" s="11"/>
      <c r="F15539" s="12">
        <f>ROUND(0.47*(1+G2/100),2)</f>
        <v>0.47</v>
      </c>
      <c r="G15539" s="11"/>
    </row>
    <row r="15540" ht="21.0" customHeight="1">
      <c r="A15540" s="11"/>
      <c r="B15540" s="11"/>
      <c r="C15540" s="11"/>
      <c r="D15540" s="10" t="s">
        <v>6414</v>
      </c>
    </row>
    <row r="15541" ht="21.0" customHeight="1">
      <c r="A15541" s="13" t="s">
        <v>6415</v>
      </c>
      <c r="B15541" s="10" t="s">
        <v>42</v>
      </c>
      <c r="C15541" s="10" t="s">
        <v>344</v>
      </c>
      <c r="D15541" s="10" t="s">
        <v>6416</v>
      </c>
      <c r="E15541" s="11"/>
      <c r="F15541" s="12">
        <f>ROUND(0.34*(1+G2/100),2)</f>
        <v>0.34</v>
      </c>
      <c r="G15541" s="11"/>
    </row>
    <row r="15542" ht="21.0" customHeight="1">
      <c r="A15542" s="11"/>
      <c r="B15542" s="11"/>
      <c r="C15542" s="11"/>
      <c r="D15542" s="10" t="s">
        <v>6417</v>
      </c>
    </row>
    <row r="15543" ht="21.0" customHeight="1">
      <c r="A15543" s="13" t="s">
        <v>1783</v>
      </c>
      <c r="B15543" s="10" t="s">
        <v>42</v>
      </c>
      <c r="C15543" s="10" t="s">
        <v>344</v>
      </c>
      <c r="D15543" s="10" t="s">
        <v>1784</v>
      </c>
      <c r="E15543" s="11"/>
      <c r="F15543" s="12">
        <f>ROUND(0.66*(1+G2/100),2)</f>
        <v>0.66</v>
      </c>
      <c r="G15543" s="11"/>
    </row>
    <row r="15544" ht="30.0" customHeight="1">
      <c r="A15544" s="11"/>
      <c r="B15544" s="11"/>
      <c r="C15544" s="11"/>
      <c r="D15544" s="10" t="s">
        <v>6418</v>
      </c>
    </row>
    <row r="15545" ht="21.0" customHeight="1">
      <c r="A15545" s="13" t="s">
        <v>6419</v>
      </c>
      <c r="B15545" s="10" t="s">
        <v>42</v>
      </c>
      <c r="C15545" s="10" t="s">
        <v>344</v>
      </c>
      <c r="D15545" s="10" t="s">
        <v>6420</v>
      </c>
      <c r="E15545" s="11"/>
      <c r="F15545" s="12">
        <f>ROUND(0.59*(1+G2/100),2)</f>
        <v>0.59</v>
      </c>
      <c r="G15545" s="11"/>
    </row>
    <row r="15546" ht="21.0" customHeight="1">
      <c r="A15546" s="11"/>
      <c r="B15546" s="11"/>
      <c r="C15546" s="11"/>
      <c r="D15546" s="10" t="s">
        <v>6421</v>
      </c>
    </row>
    <row r="15547" ht="39.75" customHeight="1">
      <c r="A15547" s="13" t="s">
        <v>3026</v>
      </c>
      <c r="B15547" s="10" t="s">
        <v>42</v>
      </c>
      <c r="C15547" s="10" t="s">
        <v>344</v>
      </c>
      <c r="D15547" s="10" t="s">
        <v>3027</v>
      </c>
      <c r="E15547" s="11"/>
      <c r="F15547" s="12">
        <f>ROUND(0.43*(1+G2/100),2)</f>
        <v>0.43</v>
      </c>
      <c r="G15547" s="11"/>
    </row>
    <row r="15548" ht="21.0" customHeight="1">
      <c r="A15548" s="11"/>
      <c r="B15548" s="11"/>
      <c r="C15548" s="11"/>
      <c r="D15548" s="10" t="s">
        <v>6422</v>
      </c>
    </row>
    <row r="15549" ht="21.0" customHeight="1">
      <c r="A15549" s="13" t="s">
        <v>6423</v>
      </c>
      <c r="B15549" s="10" t="s">
        <v>42</v>
      </c>
      <c r="C15549" s="10" t="s">
        <v>344</v>
      </c>
      <c r="D15549" s="10" t="s">
        <v>6424</v>
      </c>
      <c r="E15549" s="11"/>
      <c r="F15549" s="12">
        <f>ROUND(0.36*(1+G2/100),2)</f>
        <v>0.36</v>
      </c>
      <c r="G15549" s="11"/>
    </row>
    <row r="15550" ht="30.0" customHeight="1">
      <c r="A15550" s="11"/>
      <c r="B15550" s="11"/>
      <c r="C15550" s="11"/>
      <c r="D15550" s="10" t="s">
        <v>6425</v>
      </c>
    </row>
    <row r="15551" ht="30.0" customHeight="1">
      <c r="A15551" s="13" t="s">
        <v>4476</v>
      </c>
      <c r="B15551" s="10" t="s">
        <v>42</v>
      </c>
      <c r="C15551" s="10" t="s">
        <v>344</v>
      </c>
      <c r="D15551" s="10" t="s">
        <v>4477</v>
      </c>
      <c r="E15551" s="11"/>
      <c r="F15551" s="12">
        <f>ROUND(0.33*(1+G2/100),2)</f>
        <v>0.33</v>
      </c>
      <c r="G15551" s="11"/>
    </row>
    <row r="15552" ht="21.0" customHeight="1">
      <c r="A15552" s="11"/>
      <c r="B15552" s="11"/>
      <c r="C15552" s="11"/>
      <c r="D15552" s="10" t="s">
        <v>6426</v>
      </c>
    </row>
    <row r="15553" ht="39.75" customHeight="1">
      <c r="A15553" s="13" t="s">
        <v>6427</v>
      </c>
      <c r="B15553" s="10" t="s">
        <v>42</v>
      </c>
      <c r="C15553" s="10" t="s">
        <v>344</v>
      </c>
      <c r="D15553" s="10" t="s">
        <v>6428</v>
      </c>
      <c r="E15553" s="11"/>
      <c r="F15553" s="12">
        <f>ROUND(0.49*(1+G2/100),2)</f>
        <v>0.49</v>
      </c>
      <c r="G15553" s="11"/>
    </row>
    <row r="15554" ht="30.0" customHeight="1">
      <c r="A15554" s="11"/>
      <c r="B15554" s="11"/>
      <c r="C15554" s="11"/>
      <c r="D15554" s="10" t="s">
        <v>6429</v>
      </c>
    </row>
    <row r="15555" ht="30.0" customHeight="1">
      <c r="A15555" s="13" t="s">
        <v>4367</v>
      </c>
      <c r="B15555" s="10" t="s">
        <v>42</v>
      </c>
      <c r="C15555" s="10" t="s">
        <v>344</v>
      </c>
      <c r="D15555" s="10" t="s">
        <v>4368</v>
      </c>
      <c r="E15555" s="11"/>
      <c r="F15555" s="12">
        <f>ROUND(0.75*(1+G2/100),2)</f>
        <v>0.75</v>
      </c>
      <c r="G15555" s="11"/>
    </row>
    <row r="15556" ht="39.75" customHeight="1">
      <c r="A15556" s="11"/>
      <c r="B15556" s="11"/>
      <c r="C15556" s="11"/>
      <c r="D15556" s="10" t="s">
        <v>6430</v>
      </c>
    </row>
    <row r="15557" ht="30.0" customHeight="1">
      <c r="A15557" s="13" t="s">
        <v>4362</v>
      </c>
      <c r="B15557" s="10" t="s">
        <v>42</v>
      </c>
      <c r="C15557" s="10" t="s">
        <v>344</v>
      </c>
      <c r="D15557" s="10" t="s">
        <v>4363</v>
      </c>
      <c r="E15557" s="11"/>
      <c r="F15557" s="12">
        <f>ROUND(0.78*(1+G2/100),2)</f>
        <v>0.78</v>
      </c>
      <c r="G15557" s="11"/>
    </row>
    <row r="15558" ht="39.75" customHeight="1">
      <c r="A15558" s="11"/>
      <c r="B15558" s="11"/>
      <c r="C15558" s="11"/>
      <c r="D15558" s="10" t="s">
        <v>6431</v>
      </c>
    </row>
    <row r="15559" ht="30.0" customHeight="1">
      <c r="A15559" s="13" t="s">
        <v>4372</v>
      </c>
      <c r="B15559" s="10" t="s">
        <v>42</v>
      </c>
      <c r="C15559" s="10" t="s">
        <v>344</v>
      </c>
      <c r="D15559" s="10" t="s">
        <v>4373</v>
      </c>
      <c r="E15559" s="11"/>
      <c r="F15559" s="12">
        <f>ROUND(1.25*(1+G2/100),2)</f>
        <v>1.25</v>
      </c>
      <c r="G15559" s="11"/>
    </row>
    <row r="15560" ht="39.75" customHeight="1">
      <c r="A15560" s="11"/>
      <c r="B15560" s="11"/>
      <c r="C15560" s="11"/>
      <c r="D15560" s="10" t="s">
        <v>6432</v>
      </c>
    </row>
    <row r="15561" ht="39.75" customHeight="1">
      <c r="A15561" s="13" t="s">
        <v>6433</v>
      </c>
      <c r="B15561" s="10" t="s">
        <v>42</v>
      </c>
      <c r="C15561" s="10" t="s">
        <v>344</v>
      </c>
      <c r="D15561" s="10" t="s">
        <v>6434</v>
      </c>
      <c r="E15561" s="11"/>
      <c r="F15561" s="12">
        <f>ROUND(0.23*(1+G2/100),2)</f>
        <v>0.23</v>
      </c>
      <c r="G15561" s="11"/>
    </row>
    <row r="15562" ht="30.0" customHeight="1">
      <c r="A15562" s="11"/>
      <c r="B15562" s="11"/>
      <c r="C15562" s="11"/>
      <c r="D15562" s="10" t="s">
        <v>6435</v>
      </c>
    </row>
    <row r="15563" ht="21.0" customHeight="1">
      <c r="A15563" s="13" t="s">
        <v>6436</v>
      </c>
      <c r="B15563" s="10" t="s">
        <v>42</v>
      </c>
      <c r="C15563" s="10" t="s">
        <v>344</v>
      </c>
      <c r="D15563" s="10" t="s">
        <v>6437</v>
      </c>
      <c r="E15563" s="11"/>
      <c r="F15563" s="12">
        <f>ROUND(0.43*(1+G2/100),2)</f>
        <v>0.43</v>
      </c>
      <c r="G15563" s="11"/>
    </row>
    <row r="15564" ht="30.0" customHeight="1">
      <c r="A15564" s="11"/>
      <c r="B15564" s="11"/>
      <c r="C15564" s="11"/>
      <c r="D15564" s="10" t="s">
        <v>6438</v>
      </c>
    </row>
    <row r="15565" ht="21.0" customHeight="1">
      <c r="A15565" s="13" t="s">
        <v>2261</v>
      </c>
      <c r="B15565" s="10" t="s">
        <v>42</v>
      </c>
      <c r="C15565" s="10" t="s">
        <v>344</v>
      </c>
      <c r="D15565" s="10" t="s">
        <v>2262</v>
      </c>
      <c r="E15565" s="11"/>
      <c r="F15565" s="12">
        <f>ROUND(0.59*(1+G2/100),2)</f>
        <v>0.59</v>
      </c>
      <c r="G15565" s="11"/>
    </row>
    <row r="15566" ht="30.0" customHeight="1">
      <c r="A15566" s="11"/>
      <c r="B15566" s="11"/>
      <c r="C15566" s="11"/>
      <c r="D15566" s="10" t="s">
        <v>6439</v>
      </c>
    </row>
    <row r="15567" ht="15.0" customHeight="1">
      <c r="A15567" s="16"/>
      <c r="B15567" s="16"/>
      <c r="C15567" s="16"/>
      <c r="D15567" s="61" t="s">
        <v>6374</v>
      </c>
      <c r="E15567" s="62"/>
      <c r="F15567" s="62"/>
      <c r="G15567" s="62"/>
    </row>
    <row r="15568" ht="24.75" customHeight="1">
      <c r="A15568" s="34" t="s">
        <v>6440</v>
      </c>
      <c r="B15568" s="34" t="s">
        <v>10</v>
      </c>
      <c r="C15568" s="35"/>
      <c r="D15568" s="34" t="s">
        <v>6441</v>
      </c>
      <c r="E15568" s="35"/>
      <c r="F15568" s="35"/>
      <c r="G15568" s="35"/>
    </row>
    <row r="15569" ht="30.0" customHeight="1">
      <c r="A15569" s="13" t="s">
        <v>183</v>
      </c>
      <c r="B15569" s="10" t="s">
        <v>42</v>
      </c>
      <c r="C15569" s="10" t="s">
        <v>184</v>
      </c>
      <c r="D15569" s="10" t="s">
        <v>185</v>
      </c>
      <c r="E15569" s="11"/>
      <c r="F15569" s="12">
        <f>ROUND(18.76*(1+G2/100),2)</f>
        <v>18.76</v>
      </c>
      <c r="G15569" s="11"/>
    </row>
    <row r="15570" ht="57.75" customHeight="1">
      <c r="A15570" s="11"/>
      <c r="B15570" s="11"/>
      <c r="C15570" s="11"/>
      <c r="D15570" s="10" t="s">
        <v>6442</v>
      </c>
    </row>
    <row r="15571" ht="21.0" customHeight="1">
      <c r="A15571" s="13" t="s">
        <v>6443</v>
      </c>
      <c r="B15571" s="10" t="s">
        <v>42</v>
      </c>
      <c r="C15571" s="10" t="s">
        <v>184</v>
      </c>
      <c r="D15571" s="10" t="s">
        <v>6444</v>
      </c>
      <c r="E15571" s="11"/>
      <c r="F15571" s="12">
        <f>ROUND(24.22*(1+G2/100),2)</f>
        <v>24.22</v>
      </c>
      <c r="G15571" s="11"/>
    </row>
    <row r="15572" ht="215.25" customHeight="1">
      <c r="A15572" s="11"/>
      <c r="B15572" s="11"/>
      <c r="C15572" s="11"/>
      <c r="D15572" s="10" t="s">
        <v>6445</v>
      </c>
    </row>
    <row r="15573" ht="30.0" customHeight="1">
      <c r="A15573" s="13" t="s">
        <v>6446</v>
      </c>
      <c r="B15573" s="10" t="s">
        <v>42</v>
      </c>
      <c r="C15573" s="10" t="s">
        <v>184</v>
      </c>
      <c r="D15573" s="10" t="s">
        <v>6447</v>
      </c>
      <c r="E15573" s="11"/>
      <c r="F15573" s="12">
        <f>ROUND(1.28*(1+G2/100),2)</f>
        <v>1.28</v>
      </c>
      <c r="G15573" s="11"/>
    </row>
    <row r="15574" ht="21.0" customHeight="1">
      <c r="A15574" s="11"/>
      <c r="B15574" s="11"/>
      <c r="C15574" s="11"/>
      <c r="D15574" s="10" t="s">
        <v>6448</v>
      </c>
    </row>
    <row r="15575" ht="30.0" customHeight="1">
      <c r="A15575" s="13" t="s">
        <v>1925</v>
      </c>
      <c r="B15575" s="10" t="s">
        <v>42</v>
      </c>
      <c r="C15575" s="10" t="s">
        <v>184</v>
      </c>
      <c r="D15575" s="10" t="s">
        <v>1926</v>
      </c>
      <c r="E15575" s="11"/>
      <c r="F15575" s="12">
        <f>ROUND(4.93*(1+G2/100),2)</f>
        <v>4.93</v>
      </c>
      <c r="G15575" s="11"/>
    </row>
    <row r="15576" ht="57.75" customHeight="1">
      <c r="A15576" s="11"/>
      <c r="B15576" s="11"/>
      <c r="C15576" s="11"/>
      <c r="D15576" s="10" t="s">
        <v>6449</v>
      </c>
    </row>
    <row r="15577" ht="48.75" customHeight="1">
      <c r="A15577" s="13" t="s">
        <v>4478</v>
      </c>
      <c r="B15577" s="10" t="s">
        <v>42</v>
      </c>
      <c r="C15577" s="10" t="s">
        <v>184</v>
      </c>
      <c r="D15577" s="10" t="s">
        <v>4479</v>
      </c>
      <c r="E15577" s="11"/>
      <c r="F15577" s="12">
        <f>ROUND(5.7*(1+G2/100),2)</f>
        <v>5.7</v>
      </c>
      <c r="G15577" s="11"/>
    </row>
    <row r="15578" ht="48.75" customHeight="1">
      <c r="A15578" s="11"/>
      <c r="B15578" s="11"/>
      <c r="C15578" s="11"/>
      <c r="D15578" s="10" t="s">
        <v>6450</v>
      </c>
    </row>
    <row r="15579" ht="39.75" customHeight="1">
      <c r="A15579" s="13" t="s">
        <v>6451</v>
      </c>
      <c r="B15579" s="10" t="s">
        <v>42</v>
      </c>
      <c r="C15579" s="10" t="s">
        <v>184</v>
      </c>
      <c r="D15579" s="10" t="s">
        <v>6452</v>
      </c>
      <c r="E15579" s="11"/>
      <c r="F15579" s="12">
        <f>ROUND(5.53*(1+G2/100),2)</f>
        <v>5.53</v>
      </c>
      <c r="G15579" s="11"/>
    </row>
    <row r="15580" ht="48.75" customHeight="1">
      <c r="A15580" s="11"/>
      <c r="B15580" s="11"/>
      <c r="C15580" s="11"/>
      <c r="D15580" s="10" t="s">
        <v>6453</v>
      </c>
    </row>
    <row r="15581" ht="30.0" customHeight="1">
      <c r="A15581" s="13" t="s">
        <v>1404</v>
      </c>
      <c r="B15581" s="10" t="s">
        <v>42</v>
      </c>
      <c r="C15581" s="10" t="s">
        <v>184</v>
      </c>
      <c r="D15581" s="10" t="s">
        <v>1405</v>
      </c>
      <c r="E15581" s="11"/>
      <c r="F15581" s="12">
        <f>ROUND(0.43*(1+G2/100),2)</f>
        <v>0.43</v>
      </c>
      <c r="G15581" s="11"/>
    </row>
    <row r="15582" ht="30.0" customHeight="1">
      <c r="A15582" s="11"/>
      <c r="B15582" s="11"/>
      <c r="C15582" s="11"/>
      <c r="D15582" s="10" t="s">
        <v>6454</v>
      </c>
    </row>
    <row r="15583" ht="21.0" customHeight="1">
      <c r="A15583" s="13" t="s">
        <v>5924</v>
      </c>
      <c r="B15583" s="10" t="s">
        <v>42</v>
      </c>
      <c r="C15583" s="10" t="s">
        <v>184</v>
      </c>
      <c r="D15583" s="10" t="s">
        <v>5925</v>
      </c>
      <c r="E15583" s="11"/>
      <c r="F15583" s="12">
        <f>ROUND(10.18*(1+G2/100),2)</f>
        <v>10.18</v>
      </c>
      <c r="G15583" s="11"/>
    </row>
    <row r="15584" ht="30.0" customHeight="1">
      <c r="A15584" s="11"/>
      <c r="B15584" s="11"/>
      <c r="C15584" s="11"/>
      <c r="D15584" s="10" t="s">
        <v>6455</v>
      </c>
    </row>
    <row r="15585" ht="30.0" customHeight="1">
      <c r="A15585" s="13" t="s">
        <v>1929</v>
      </c>
      <c r="B15585" s="10" t="s">
        <v>42</v>
      </c>
      <c r="C15585" s="10" t="s">
        <v>184</v>
      </c>
      <c r="D15585" s="10" t="s">
        <v>1930</v>
      </c>
      <c r="E15585" s="11"/>
      <c r="F15585" s="12">
        <f>ROUND(10.18*(1+G2/100),2)</f>
        <v>10.18</v>
      </c>
      <c r="G15585" s="11"/>
    </row>
    <row r="15586" ht="30.0" customHeight="1">
      <c r="A15586" s="11"/>
      <c r="B15586" s="11"/>
      <c r="C15586" s="11"/>
      <c r="D15586" s="10" t="s">
        <v>6456</v>
      </c>
    </row>
    <row r="15587" ht="30.0" customHeight="1">
      <c r="A15587" s="13" t="s">
        <v>6457</v>
      </c>
      <c r="B15587" s="10" t="s">
        <v>42</v>
      </c>
      <c r="C15587" s="10" t="s">
        <v>184</v>
      </c>
      <c r="D15587" s="10" t="s">
        <v>6458</v>
      </c>
      <c r="E15587" s="11"/>
      <c r="F15587" s="12">
        <f>ROUND(6.22*(1+G2/100),2)</f>
        <v>6.22</v>
      </c>
      <c r="G15587" s="11"/>
    </row>
    <row r="15588" ht="21.0" customHeight="1">
      <c r="A15588" s="11"/>
      <c r="B15588" s="11"/>
      <c r="C15588" s="11"/>
      <c r="D15588" s="10" t="s">
        <v>6459</v>
      </c>
    </row>
    <row r="15589" ht="30.0" customHeight="1">
      <c r="A15589" s="13" t="s">
        <v>5890</v>
      </c>
      <c r="B15589" s="10" t="s">
        <v>42</v>
      </c>
      <c r="C15589" s="10" t="s">
        <v>184</v>
      </c>
      <c r="D15589" s="10" t="s">
        <v>5891</v>
      </c>
      <c r="E15589" s="11"/>
      <c r="F15589" s="12">
        <f>ROUND(6.72*(1+G2/100),2)</f>
        <v>6.72</v>
      </c>
      <c r="G15589" s="11"/>
    </row>
    <row r="15590" ht="30.0" customHeight="1">
      <c r="A15590" s="11"/>
      <c r="B15590" s="11"/>
      <c r="C15590" s="11"/>
      <c r="D15590" s="10" t="s">
        <v>6460</v>
      </c>
    </row>
    <row r="15591" ht="21.0" customHeight="1">
      <c r="A15591" s="13" t="s">
        <v>1943</v>
      </c>
      <c r="B15591" s="10" t="s">
        <v>42</v>
      </c>
      <c r="C15591" s="10" t="s">
        <v>184</v>
      </c>
      <c r="D15591" s="10" t="s">
        <v>1944</v>
      </c>
      <c r="E15591" s="11"/>
      <c r="F15591" s="12">
        <f>ROUND(6.9*(1+G2/100),2)</f>
        <v>6.9</v>
      </c>
      <c r="G15591" s="11"/>
    </row>
    <row r="15592" ht="30.0" customHeight="1">
      <c r="A15592" s="11"/>
      <c r="B15592" s="11"/>
      <c r="C15592" s="11"/>
      <c r="D15592" s="10" t="s">
        <v>6461</v>
      </c>
    </row>
    <row r="15593" ht="30.0" customHeight="1">
      <c r="A15593" s="13" t="s">
        <v>6462</v>
      </c>
      <c r="B15593" s="10" t="s">
        <v>42</v>
      </c>
      <c r="C15593" s="10" t="s">
        <v>184</v>
      </c>
      <c r="D15593" s="10" t="s">
        <v>6463</v>
      </c>
      <c r="E15593" s="11"/>
      <c r="F15593" s="12">
        <f>ROUND(11.4*(1+G2/100),2)</f>
        <v>11.4</v>
      </c>
      <c r="G15593" s="11"/>
    </row>
    <row r="15594" ht="30.0" customHeight="1">
      <c r="A15594" s="11"/>
      <c r="B15594" s="11"/>
      <c r="C15594" s="11"/>
      <c r="D15594" s="10" t="s">
        <v>6464</v>
      </c>
    </row>
    <row r="15595" ht="15.0" customHeight="1">
      <c r="A15595" s="16"/>
      <c r="B15595" s="16"/>
      <c r="C15595" s="16"/>
      <c r="D15595" s="61" t="s">
        <v>6440</v>
      </c>
      <c r="E15595" s="62"/>
      <c r="F15595" s="62"/>
      <c r="G15595" s="62"/>
    </row>
    <row r="15596" ht="31.5" customHeight="1">
      <c r="A15596" s="34" t="s">
        <v>6465</v>
      </c>
      <c r="B15596" s="34" t="s">
        <v>10</v>
      </c>
      <c r="C15596" s="35"/>
      <c r="D15596" s="34" t="s">
        <v>6466</v>
      </c>
      <c r="E15596" s="35"/>
      <c r="F15596" s="35"/>
      <c r="G15596" s="35"/>
    </row>
    <row r="15597" ht="39.75" customHeight="1">
      <c r="A15597" s="13" t="s">
        <v>3967</v>
      </c>
      <c r="B15597" s="10" t="s">
        <v>42</v>
      </c>
      <c r="C15597" s="10" t="s">
        <v>231</v>
      </c>
      <c r="D15597" s="10" t="s">
        <v>3968</v>
      </c>
      <c r="E15597" s="11"/>
      <c r="F15597" s="12">
        <f>ROUND(34.29*(1+G2/100),2)</f>
        <v>34.29</v>
      </c>
      <c r="G15597" s="11"/>
    </row>
    <row r="15598" ht="39.75" customHeight="1">
      <c r="A15598" s="11"/>
      <c r="B15598" s="11"/>
      <c r="C15598" s="11"/>
      <c r="D15598" s="10" t="s">
        <v>6467</v>
      </c>
    </row>
    <row r="15599" ht="30.0" customHeight="1">
      <c r="A15599" s="13" t="s">
        <v>3956</v>
      </c>
      <c r="B15599" s="10" t="s">
        <v>42</v>
      </c>
      <c r="C15599" s="10" t="s">
        <v>344</v>
      </c>
      <c r="D15599" s="10" t="s">
        <v>3957</v>
      </c>
      <c r="E15599" s="11"/>
      <c r="F15599" s="12">
        <f>ROUND(25.77*(1+G2/100),2)</f>
        <v>25.77</v>
      </c>
      <c r="G15599" s="11"/>
    </row>
    <row r="15600" ht="67.5" customHeight="1">
      <c r="A15600" s="11"/>
      <c r="B15600" s="11"/>
      <c r="C15600" s="11"/>
      <c r="D15600" s="10" t="s">
        <v>6468</v>
      </c>
    </row>
    <row r="15601" ht="30.0" customHeight="1">
      <c r="A15601" s="13" t="s">
        <v>3962</v>
      </c>
      <c r="B15601" s="10" t="s">
        <v>42</v>
      </c>
      <c r="C15601" s="10" t="s">
        <v>344</v>
      </c>
      <c r="D15601" s="10" t="s">
        <v>3963</v>
      </c>
      <c r="E15601" s="11"/>
      <c r="F15601" s="12">
        <f>ROUND(0.38*(1+G2/100),2)</f>
        <v>0.38</v>
      </c>
      <c r="G15601" s="11"/>
    </row>
    <row r="15602" ht="12.0" customHeight="1">
      <c r="A15602" s="11"/>
      <c r="B15602" s="11"/>
      <c r="C15602" s="11"/>
      <c r="D15602" s="10" t="s">
        <v>3963</v>
      </c>
    </row>
    <row r="15603" ht="30.0" customHeight="1">
      <c r="A15603" s="13" t="s">
        <v>3958</v>
      </c>
      <c r="B15603" s="10" t="s">
        <v>42</v>
      </c>
      <c r="C15603" s="10" t="s">
        <v>344</v>
      </c>
      <c r="D15603" s="10" t="s">
        <v>3959</v>
      </c>
      <c r="E15603" s="11"/>
      <c r="F15603" s="12">
        <f>ROUND(19.73*(1+G2/100),2)</f>
        <v>19.73</v>
      </c>
      <c r="G15603" s="11"/>
    </row>
    <row r="15604" ht="48.75" customHeight="1">
      <c r="A15604" s="11"/>
      <c r="B15604" s="11"/>
      <c r="C15604" s="11"/>
      <c r="D15604" s="10" t="s">
        <v>6469</v>
      </c>
    </row>
    <row r="15605" ht="30.0" customHeight="1">
      <c r="A15605" s="13" t="s">
        <v>3960</v>
      </c>
      <c r="B15605" s="10" t="s">
        <v>42</v>
      </c>
      <c r="C15605" s="10" t="s">
        <v>226</v>
      </c>
      <c r="D15605" s="10" t="s">
        <v>3961</v>
      </c>
      <c r="E15605" s="11"/>
      <c r="F15605" s="12">
        <f>ROUND(32.59*(1+G2/100),2)</f>
        <v>32.59</v>
      </c>
      <c r="G15605" s="11"/>
    </row>
    <row r="15606" ht="21.0" customHeight="1">
      <c r="A15606" s="11"/>
      <c r="B15606" s="11"/>
      <c r="C15606" s="11"/>
      <c r="D15606" s="10" t="s">
        <v>6470</v>
      </c>
    </row>
    <row r="15607" ht="15.0" customHeight="1">
      <c r="A15607" s="16"/>
      <c r="B15607" s="16"/>
      <c r="C15607" s="16"/>
      <c r="D15607" s="61" t="s">
        <v>6465</v>
      </c>
      <c r="E15607" s="62"/>
      <c r="F15607" s="62"/>
      <c r="G15607" s="62"/>
    </row>
    <row r="15608" ht="31.5" customHeight="1">
      <c r="A15608" s="34" t="s">
        <v>6471</v>
      </c>
      <c r="B15608" s="34" t="s">
        <v>10</v>
      </c>
      <c r="C15608" s="35"/>
      <c r="D15608" s="34" t="s">
        <v>6472</v>
      </c>
      <c r="E15608" s="35"/>
      <c r="F15608" s="35"/>
      <c r="G15608" s="35"/>
    </row>
    <row r="15609" ht="39.75" customHeight="1">
      <c r="A15609" s="13" t="s">
        <v>4850</v>
      </c>
      <c r="B15609" s="10" t="s">
        <v>42</v>
      </c>
      <c r="C15609" s="10" t="s">
        <v>19</v>
      </c>
      <c r="D15609" s="10" t="s">
        <v>4851</v>
      </c>
      <c r="E15609" s="11"/>
      <c r="F15609" s="12">
        <f>ROUND(62.9*(1+G2/100),2)</f>
        <v>62.9</v>
      </c>
      <c r="G15609" s="11"/>
    </row>
    <row r="15610" ht="57.75" customHeight="1">
      <c r="A15610" s="11"/>
      <c r="B15610" s="11"/>
      <c r="C15610" s="11"/>
      <c r="D15610" s="10" t="s">
        <v>6473</v>
      </c>
    </row>
    <row r="15611" ht="39.75" customHeight="1">
      <c r="A15611" s="13" t="s">
        <v>4854</v>
      </c>
      <c r="B15611" s="10" t="s">
        <v>42</v>
      </c>
      <c r="C15611" s="10" t="s">
        <v>19</v>
      </c>
      <c r="D15611" s="10" t="s">
        <v>4855</v>
      </c>
      <c r="E15611" s="11"/>
      <c r="F15611" s="12">
        <f>ROUND(55.9*(1+G2/100),2)</f>
        <v>55.9</v>
      </c>
      <c r="G15611" s="11"/>
    </row>
    <row r="15612" ht="57.75" customHeight="1">
      <c r="A15612" s="11"/>
      <c r="B15612" s="11"/>
      <c r="C15612" s="11"/>
      <c r="D15612" s="10" t="s">
        <v>6474</v>
      </c>
    </row>
    <row r="15613" ht="39.75" customHeight="1">
      <c r="A15613" s="13" t="s">
        <v>2712</v>
      </c>
      <c r="B15613" s="10" t="s">
        <v>42</v>
      </c>
      <c r="C15613" s="10" t="s">
        <v>344</v>
      </c>
      <c r="D15613" s="10" t="s">
        <v>2713</v>
      </c>
      <c r="E15613" s="11"/>
      <c r="F15613" s="12">
        <f>ROUND(12.02*(1+G2/100),2)</f>
        <v>12.02</v>
      </c>
      <c r="G15613" s="11"/>
    </row>
    <row r="15614" ht="21.0" customHeight="1">
      <c r="A15614" s="11"/>
      <c r="B15614" s="11"/>
      <c r="C15614" s="11"/>
      <c r="D15614" s="10" t="s">
        <v>6475</v>
      </c>
    </row>
    <row r="15615" ht="39.75" customHeight="1">
      <c r="A15615" s="13" t="s">
        <v>6476</v>
      </c>
      <c r="B15615" s="10" t="s">
        <v>42</v>
      </c>
      <c r="C15615" s="10" t="s">
        <v>344</v>
      </c>
      <c r="D15615" s="10" t="s">
        <v>6477</v>
      </c>
      <c r="E15615" s="11"/>
      <c r="F15615" s="12">
        <f>ROUND(9.8*(1+G2/100),2)</f>
        <v>9.8</v>
      </c>
      <c r="G15615" s="11"/>
    </row>
    <row r="15616" ht="21.0" customHeight="1">
      <c r="A15616" s="11"/>
      <c r="B15616" s="11"/>
      <c r="C15616" s="11"/>
      <c r="D15616" s="10" t="s">
        <v>6477</v>
      </c>
    </row>
    <row r="15617" ht="30.0" customHeight="1">
      <c r="A15617" s="13" t="s">
        <v>2941</v>
      </c>
      <c r="B15617" s="10" t="s">
        <v>42</v>
      </c>
      <c r="C15617" s="10" t="s">
        <v>344</v>
      </c>
      <c r="D15617" s="10" t="s">
        <v>2942</v>
      </c>
      <c r="E15617" s="11"/>
      <c r="F15617" s="12">
        <f>ROUND(22.42*(1+G2/100),2)</f>
        <v>22.42</v>
      </c>
      <c r="G15617" s="11"/>
    </row>
    <row r="15618" ht="48.75" customHeight="1">
      <c r="A15618" s="11"/>
      <c r="B15618" s="11"/>
      <c r="C15618" s="11"/>
      <c r="D15618" s="10" t="s">
        <v>6478</v>
      </c>
    </row>
    <row r="15619" ht="24.75" customHeight="1">
      <c r="A15619" s="13" t="s">
        <v>4834</v>
      </c>
      <c r="B15619" s="10" t="s">
        <v>42</v>
      </c>
      <c r="C15619" s="10" t="s">
        <v>344</v>
      </c>
      <c r="D15619" s="10" t="s">
        <v>4835</v>
      </c>
      <c r="E15619" s="11"/>
      <c r="F15619" s="12">
        <f>ROUND(3.15*(1+G2/100),2)</f>
        <v>3.15</v>
      </c>
      <c r="G15619" s="11"/>
    </row>
    <row r="15620" ht="30.0" customHeight="1">
      <c r="A15620" s="11"/>
      <c r="B15620" s="11"/>
      <c r="C15620" s="11"/>
      <c r="D15620" s="10" t="s">
        <v>6479</v>
      </c>
    </row>
    <row r="15621" ht="24.75" customHeight="1">
      <c r="A15621" s="13" t="s">
        <v>6480</v>
      </c>
      <c r="B15621" s="10" t="s">
        <v>42</v>
      </c>
      <c r="C15621" s="10" t="s">
        <v>344</v>
      </c>
      <c r="D15621" s="10" t="s">
        <v>6481</v>
      </c>
      <c r="E15621" s="11"/>
      <c r="F15621" s="12">
        <f>ROUND(3.78*(1+G2/100),2)</f>
        <v>3.78</v>
      </c>
      <c r="G15621" s="11"/>
    </row>
    <row r="15622" ht="21.0" customHeight="1">
      <c r="A15622" s="11"/>
      <c r="B15622" s="11"/>
      <c r="C15622" s="11"/>
      <c r="D15622" s="10" t="s">
        <v>6482</v>
      </c>
    </row>
    <row r="15623" ht="24.75" customHeight="1">
      <c r="A15623" s="13" t="s">
        <v>2910</v>
      </c>
      <c r="B15623" s="10" t="s">
        <v>42</v>
      </c>
      <c r="C15623" s="10" t="s">
        <v>344</v>
      </c>
      <c r="D15623" s="10" t="s">
        <v>2911</v>
      </c>
      <c r="E15623" s="11"/>
      <c r="F15623" s="12">
        <f>ROUND(5.2*(1+G2/100),2)</f>
        <v>5.2</v>
      </c>
      <c r="G15623" s="11"/>
    </row>
    <row r="15624" ht="21.0" customHeight="1">
      <c r="A15624" s="11"/>
      <c r="B15624" s="11"/>
      <c r="C15624" s="11"/>
      <c r="D15624" s="10" t="s">
        <v>6483</v>
      </c>
    </row>
    <row r="15625" ht="24.75" customHeight="1">
      <c r="A15625" s="13" t="s">
        <v>6484</v>
      </c>
      <c r="B15625" s="10" t="s">
        <v>42</v>
      </c>
      <c r="C15625" s="10" t="s">
        <v>344</v>
      </c>
      <c r="D15625" s="10" t="s">
        <v>6485</v>
      </c>
      <c r="E15625" s="11"/>
      <c r="F15625" s="12">
        <f>ROUND(3.15*(1+G2/100),2)</f>
        <v>3.15</v>
      </c>
      <c r="G15625" s="11"/>
    </row>
    <row r="15626" ht="30.0" customHeight="1">
      <c r="A15626" s="11"/>
      <c r="B15626" s="11"/>
      <c r="C15626" s="11"/>
      <c r="D15626" s="10" t="s">
        <v>6486</v>
      </c>
    </row>
    <row r="15627" ht="24.75" customHeight="1">
      <c r="A15627" s="13" t="s">
        <v>6487</v>
      </c>
      <c r="B15627" s="10" t="s">
        <v>42</v>
      </c>
      <c r="C15627" s="10" t="s">
        <v>344</v>
      </c>
      <c r="D15627" s="10" t="s">
        <v>6488</v>
      </c>
      <c r="E15627" s="11"/>
      <c r="F15627" s="12">
        <f>ROUND(3.78*(1+G2/100),2)</f>
        <v>3.78</v>
      </c>
      <c r="G15627" s="11"/>
    </row>
    <row r="15628" ht="21.0" customHeight="1">
      <c r="A15628" s="11"/>
      <c r="B15628" s="11"/>
      <c r="C15628" s="11"/>
      <c r="D15628" s="10" t="s">
        <v>6489</v>
      </c>
    </row>
    <row r="15629" ht="24.75" customHeight="1">
      <c r="A15629" s="13" t="s">
        <v>6490</v>
      </c>
      <c r="B15629" s="10" t="s">
        <v>42</v>
      </c>
      <c r="C15629" s="10" t="s">
        <v>344</v>
      </c>
      <c r="D15629" s="10" t="s">
        <v>6491</v>
      </c>
      <c r="E15629" s="11"/>
      <c r="F15629" s="12">
        <f>ROUND(5.2*(1+G2/100),2)</f>
        <v>5.2</v>
      </c>
      <c r="G15629" s="11"/>
    </row>
    <row r="15630" ht="21.0" customHeight="1">
      <c r="A15630" s="11"/>
      <c r="B15630" s="11"/>
      <c r="C15630" s="11"/>
      <c r="D15630" s="10" t="s">
        <v>6492</v>
      </c>
    </row>
    <row r="15631" ht="30.0" customHeight="1">
      <c r="A15631" s="13" t="s">
        <v>6493</v>
      </c>
      <c r="B15631" s="10" t="s">
        <v>42</v>
      </c>
      <c r="C15631" s="10" t="s">
        <v>344</v>
      </c>
      <c r="D15631" s="10" t="s">
        <v>6494</v>
      </c>
      <c r="E15631" s="11"/>
      <c r="F15631" s="12">
        <f>ROUND(5.75*(1+G2/100),2)</f>
        <v>5.75</v>
      </c>
      <c r="G15631" s="11"/>
    </row>
    <row r="15632" ht="39.75" customHeight="1">
      <c r="A15632" s="11"/>
      <c r="B15632" s="11"/>
      <c r="C15632" s="11"/>
      <c r="D15632" s="10" t="s">
        <v>6495</v>
      </c>
    </row>
    <row r="15633" ht="30.0" customHeight="1">
      <c r="A15633" s="13" t="s">
        <v>6496</v>
      </c>
      <c r="B15633" s="10" t="s">
        <v>42</v>
      </c>
      <c r="C15633" s="10" t="s">
        <v>344</v>
      </c>
      <c r="D15633" s="10" t="s">
        <v>6497</v>
      </c>
      <c r="E15633" s="11"/>
      <c r="F15633" s="12">
        <f>ROUND(6.9*(1+G2/100),2)</f>
        <v>6.9</v>
      </c>
      <c r="G15633" s="11"/>
    </row>
    <row r="15634" ht="30.0" customHeight="1">
      <c r="A15634" s="11"/>
      <c r="B15634" s="11"/>
      <c r="C15634" s="11"/>
      <c r="D15634" s="10" t="s">
        <v>6498</v>
      </c>
    </row>
    <row r="15635" ht="30.0" customHeight="1">
      <c r="A15635" s="13" t="s">
        <v>6499</v>
      </c>
      <c r="B15635" s="10" t="s">
        <v>42</v>
      </c>
      <c r="C15635" s="10" t="s">
        <v>344</v>
      </c>
      <c r="D15635" s="10" t="s">
        <v>6500</v>
      </c>
      <c r="E15635" s="11"/>
      <c r="F15635" s="12">
        <f>ROUND(9.49*(1+G2/100),2)</f>
        <v>9.49</v>
      </c>
      <c r="G15635" s="11"/>
    </row>
    <row r="15636" ht="30.0" customHeight="1">
      <c r="A15636" s="11"/>
      <c r="B15636" s="11"/>
      <c r="C15636" s="11"/>
      <c r="D15636" s="10" t="s">
        <v>6501</v>
      </c>
    </row>
    <row r="15637" ht="30.0" customHeight="1">
      <c r="A15637" s="13" t="s">
        <v>6502</v>
      </c>
      <c r="B15637" s="10" t="s">
        <v>42</v>
      </c>
      <c r="C15637" s="10" t="s">
        <v>344</v>
      </c>
      <c r="D15637" s="10" t="s">
        <v>6503</v>
      </c>
      <c r="E15637" s="11"/>
      <c r="F15637" s="12">
        <f>ROUND(5.95*(1+G2/100),2)</f>
        <v>5.95</v>
      </c>
      <c r="G15637" s="11"/>
    </row>
    <row r="15638" ht="39.75" customHeight="1">
      <c r="A15638" s="11"/>
      <c r="B15638" s="11"/>
      <c r="C15638" s="11"/>
      <c r="D15638" s="10" t="s">
        <v>6504</v>
      </c>
    </row>
    <row r="15639" ht="30.0" customHeight="1">
      <c r="A15639" s="13" t="s">
        <v>6505</v>
      </c>
      <c r="B15639" s="10" t="s">
        <v>42</v>
      </c>
      <c r="C15639" s="10" t="s">
        <v>344</v>
      </c>
      <c r="D15639" s="10" t="s">
        <v>6506</v>
      </c>
      <c r="E15639" s="11"/>
      <c r="F15639" s="12">
        <f>ROUND(7.14*(1+G2/100),2)</f>
        <v>7.14</v>
      </c>
      <c r="G15639" s="11"/>
    </row>
    <row r="15640" ht="30.0" customHeight="1">
      <c r="A15640" s="11"/>
      <c r="B15640" s="11"/>
      <c r="C15640" s="11"/>
      <c r="D15640" s="10" t="s">
        <v>6507</v>
      </c>
    </row>
    <row r="15641" ht="30.0" customHeight="1">
      <c r="A15641" s="13" t="s">
        <v>2741</v>
      </c>
      <c r="B15641" s="10" t="s">
        <v>42</v>
      </c>
      <c r="C15641" s="10" t="s">
        <v>344</v>
      </c>
      <c r="D15641" s="10" t="s">
        <v>2742</v>
      </c>
      <c r="E15641" s="11"/>
      <c r="F15641" s="12">
        <f>ROUND(9.82*(1+G2/100),2)</f>
        <v>9.82</v>
      </c>
      <c r="G15641" s="11"/>
    </row>
    <row r="15642" ht="30.0" customHeight="1">
      <c r="A15642" s="11"/>
      <c r="B15642" s="11"/>
      <c r="C15642" s="11"/>
      <c r="D15642" s="10" t="s">
        <v>6508</v>
      </c>
    </row>
    <row r="15643" ht="30.0" customHeight="1">
      <c r="A15643" s="13" t="s">
        <v>6509</v>
      </c>
      <c r="B15643" s="10" t="s">
        <v>42</v>
      </c>
      <c r="C15643" s="10" t="s">
        <v>344</v>
      </c>
      <c r="D15643" s="10" t="s">
        <v>6510</v>
      </c>
      <c r="E15643" s="11"/>
      <c r="F15643" s="12">
        <f>ROUND(3.95*(1+G2/100),2)</f>
        <v>3.95</v>
      </c>
      <c r="G15643" s="11"/>
    </row>
    <row r="15644" ht="39.75" customHeight="1">
      <c r="A15644" s="11"/>
      <c r="B15644" s="11"/>
      <c r="C15644" s="11"/>
      <c r="D15644" s="10" t="s">
        <v>6511</v>
      </c>
    </row>
    <row r="15645" ht="30.0" customHeight="1">
      <c r="A15645" s="13" t="s">
        <v>6512</v>
      </c>
      <c r="B15645" s="10" t="s">
        <v>42</v>
      </c>
      <c r="C15645" s="10" t="s">
        <v>344</v>
      </c>
      <c r="D15645" s="10" t="s">
        <v>6513</v>
      </c>
      <c r="E15645" s="11"/>
      <c r="F15645" s="12">
        <f>ROUND(4.74*(1+G2/100),2)</f>
        <v>4.74</v>
      </c>
      <c r="G15645" s="11"/>
    </row>
    <row r="15646" ht="30.0" customHeight="1">
      <c r="A15646" s="11"/>
      <c r="B15646" s="11"/>
      <c r="C15646" s="11"/>
      <c r="D15646" s="10" t="s">
        <v>6514</v>
      </c>
    </row>
    <row r="15647" ht="30.0" customHeight="1">
      <c r="A15647" s="13" t="s">
        <v>6515</v>
      </c>
      <c r="B15647" s="10" t="s">
        <v>42</v>
      </c>
      <c r="C15647" s="10" t="s">
        <v>344</v>
      </c>
      <c r="D15647" s="10" t="s">
        <v>6516</v>
      </c>
      <c r="E15647" s="11"/>
      <c r="F15647" s="12">
        <f>ROUND(6.52*(1+G2/100),2)</f>
        <v>6.52</v>
      </c>
      <c r="G15647" s="11"/>
    </row>
    <row r="15648" ht="30.0" customHeight="1">
      <c r="A15648" s="11"/>
      <c r="B15648" s="11"/>
      <c r="C15648" s="11"/>
      <c r="D15648" s="10" t="s">
        <v>6517</v>
      </c>
    </row>
    <row r="15649" ht="30.0" customHeight="1">
      <c r="A15649" s="13" t="s">
        <v>6518</v>
      </c>
      <c r="B15649" s="10" t="s">
        <v>42</v>
      </c>
      <c r="C15649" s="10" t="s">
        <v>344</v>
      </c>
      <c r="D15649" s="10" t="s">
        <v>6519</v>
      </c>
      <c r="E15649" s="11"/>
      <c r="F15649" s="12">
        <f>ROUND(4.15*(1+G2/100),2)</f>
        <v>4.15</v>
      </c>
      <c r="G15649" s="11"/>
    </row>
    <row r="15650" ht="39.75" customHeight="1">
      <c r="A15650" s="11"/>
      <c r="B15650" s="11"/>
      <c r="C15650" s="11"/>
      <c r="D15650" s="10" t="s">
        <v>6520</v>
      </c>
    </row>
    <row r="15651" ht="30.0" customHeight="1">
      <c r="A15651" s="13" t="s">
        <v>6521</v>
      </c>
      <c r="B15651" s="10" t="s">
        <v>42</v>
      </c>
      <c r="C15651" s="10" t="s">
        <v>344</v>
      </c>
      <c r="D15651" s="10" t="s">
        <v>6522</v>
      </c>
      <c r="E15651" s="11"/>
      <c r="F15651" s="12">
        <f>ROUND(4.98*(1+G2/100),2)</f>
        <v>4.98</v>
      </c>
      <c r="G15651" s="11"/>
    </row>
    <row r="15652" ht="30.0" customHeight="1">
      <c r="A15652" s="11"/>
      <c r="B15652" s="11"/>
      <c r="C15652" s="11"/>
      <c r="D15652" s="10" t="s">
        <v>6523</v>
      </c>
    </row>
    <row r="15653" ht="30.0" customHeight="1">
      <c r="A15653" s="13" t="s">
        <v>2918</v>
      </c>
      <c r="B15653" s="10" t="s">
        <v>42</v>
      </c>
      <c r="C15653" s="10" t="s">
        <v>344</v>
      </c>
      <c r="D15653" s="10" t="s">
        <v>2919</v>
      </c>
      <c r="E15653" s="11"/>
      <c r="F15653" s="12">
        <f>ROUND(6.85*(1+G2/100),2)</f>
        <v>6.85</v>
      </c>
      <c r="G15653" s="11"/>
    </row>
    <row r="15654" ht="30.0" customHeight="1">
      <c r="A15654" s="11"/>
      <c r="B15654" s="11"/>
      <c r="C15654" s="11"/>
      <c r="D15654" s="10" t="s">
        <v>6524</v>
      </c>
    </row>
    <row r="15655" ht="30.0" customHeight="1">
      <c r="A15655" s="13" t="s">
        <v>3800</v>
      </c>
      <c r="B15655" s="10" t="s">
        <v>42</v>
      </c>
      <c r="C15655" s="10" t="s">
        <v>19</v>
      </c>
      <c r="D15655" s="10" t="s">
        <v>3801</v>
      </c>
      <c r="E15655" s="11"/>
      <c r="F15655" s="12">
        <f>ROUND(25*(1+G2/100),2)</f>
        <v>25</v>
      </c>
      <c r="G15655" s="11"/>
    </row>
    <row r="15656" ht="21.0" customHeight="1">
      <c r="A15656" s="11"/>
      <c r="B15656" s="11"/>
      <c r="C15656" s="11"/>
      <c r="D15656" s="10" t="s">
        <v>6525</v>
      </c>
    </row>
    <row r="15657" ht="30.0" customHeight="1">
      <c r="A15657" s="13" t="s">
        <v>6526</v>
      </c>
      <c r="B15657" s="10" t="s">
        <v>42</v>
      </c>
      <c r="C15657" s="10" t="s">
        <v>344</v>
      </c>
      <c r="D15657" s="10" t="s">
        <v>6527</v>
      </c>
      <c r="E15657" s="11"/>
      <c r="F15657" s="12">
        <f>ROUND(6.36*(1+G2/100),2)</f>
        <v>6.36</v>
      </c>
      <c r="G15657" s="11"/>
    </row>
    <row r="15658" ht="39.75" customHeight="1">
      <c r="A15658" s="11"/>
      <c r="B15658" s="11"/>
      <c r="C15658" s="11"/>
      <c r="D15658" s="10" t="s">
        <v>6528</v>
      </c>
    </row>
    <row r="15659" ht="30.0" customHeight="1">
      <c r="A15659" s="13" t="s">
        <v>6529</v>
      </c>
      <c r="B15659" s="10" t="s">
        <v>42</v>
      </c>
      <c r="C15659" s="10" t="s">
        <v>344</v>
      </c>
      <c r="D15659" s="10" t="s">
        <v>6530</v>
      </c>
      <c r="E15659" s="11"/>
      <c r="F15659" s="12">
        <f>ROUND(5.98*(1+G2/100),2)</f>
        <v>5.98</v>
      </c>
      <c r="G15659" s="11"/>
    </row>
    <row r="15660" ht="67.5" customHeight="1">
      <c r="A15660" s="11"/>
      <c r="B15660" s="11"/>
      <c r="C15660" s="11"/>
      <c r="D15660" s="10" t="s">
        <v>6531</v>
      </c>
    </row>
    <row r="15661" ht="30.0" customHeight="1">
      <c r="A15661" s="13" t="s">
        <v>2700</v>
      </c>
      <c r="B15661" s="10" t="s">
        <v>42</v>
      </c>
      <c r="C15661" s="10" t="s">
        <v>344</v>
      </c>
      <c r="D15661" s="10" t="s">
        <v>2701</v>
      </c>
      <c r="E15661" s="11"/>
      <c r="F15661" s="12">
        <f>ROUND(6.06*(1+G2/100),2)</f>
        <v>6.06</v>
      </c>
      <c r="G15661" s="11"/>
    </row>
    <row r="15662" ht="39.75" customHeight="1">
      <c r="A15662" s="11"/>
      <c r="B15662" s="11"/>
      <c r="C15662" s="11"/>
      <c r="D15662" s="10" t="s">
        <v>6532</v>
      </c>
    </row>
    <row r="15663" ht="39.75" customHeight="1">
      <c r="A15663" s="13" t="s">
        <v>6533</v>
      </c>
      <c r="B15663" s="10" t="s">
        <v>42</v>
      </c>
      <c r="C15663" s="10" t="s">
        <v>344</v>
      </c>
      <c r="D15663" s="10" t="s">
        <v>6534</v>
      </c>
      <c r="E15663" s="11"/>
      <c r="F15663" s="12">
        <f>ROUND(17.92*(1+G2/100),2)</f>
        <v>17.92</v>
      </c>
      <c r="G15663" s="11"/>
    </row>
    <row r="15664" ht="30.0" customHeight="1">
      <c r="A15664" s="11"/>
      <c r="B15664" s="11"/>
      <c r="C15664" s="11"/>
      <c r="D15664" s="10" t="s">
        <v>6535</v>
      </c>
    </row>
    <row r="15665" ht="39.75" customHeight="1">
      <c r="A15665" s="13" t="s">
        <v>2769</v>
      </c>
      <c r="B15665" s="10" t="s">
        <v>42</v>
      </c>
      <c r="C15665" s="10" t="s">
        <v>19</v>
      </c>
      <c r="D15665" s="10" t="s">
        <v>2770</v>
      </c>
      <c r="E15665" s="11"/>
      <c r="F15665" s="12">
        <f>ROUND(29*(1+G2/100),2)</f>
        <v>29</v>
      </c>
      <c r="G15665" s="11"/>
    </row>
    <row r="15666" ht="21.0" customHeight="1">
      <c r="A15666" s="11"/>
      <c r="B15666" s="11"/>
      <c r="C15666" s="11"/>
      <c r="D15666" s="10" t="s">
        <v>2770</v>
      </c>
    </row>
    <row r="15667" ht="48.75" customHeight="1">
      <c r="A15667" s="13" t="s">
        <v>6536</v>
      </c>
      <c r="B15667" s="10" t="s">
        <v>42</v>
      </c>
      <c r="C15667" s="10" t="s">
        <v>344</v>
      </c>
      <c r="D15667" s="10" t="s">
        <v>6537</v>
      </c>
      <c r="E15667" s="11"/>
      <c r="F15667" s="12">
        <f>ROUND(105*(1+G2/100),2)</f>
        <v>105</v>
      </c>
      <c r="G15667" s="11"/>
    </row>
    <row r="15668" ht="21.0" customHeight="1">
      <c r="A15668" s="11"/>
      <c r="B15668" s="11"/>
      <c r="C15668" s="11"/>
      <c r="D15668" s="10" t="s">
        <v>6537</v>
      </c>
    </row>
    <row r="15669" ht="48.75" customHeight="1">
      <c r="A15669" s="13" t="s">
        <v>6538</v>
      </c>
      <c r="B15669" s="10" t="s">
        <v>42</v>
      </c>
      <c r="C15669" s="10" t="s">
        <v>344</v>
      </c>
      <c r="D15669" s="10" t="s">
        <v>6539</v>
      </c>
      <c r="E15669" s="11"/>
      <c r="F15669" s="12">
        <f>ROUND(85*(1+G2/100),2)</f>
        <v>85</v>
      </c>
      <c r="G15669" s="11"/>
    </row>
    <row r="15670" ht="21.0" customHeight="1">
      <c r="A15670" s="11"/>
      <c r="B15670" s="11"/>
      <c r="C15670" s="11"/>
      <c r="D15670" s="10" t="s">
        <v>6539</v>
      </c>
    </row>
    <row r="15671" ht="39.75" customHeight="1">
      <c r="A15671" s="13" t="s">
        <v>6540</v>
      </c>
      <c r="B15671" s="10" t="s">
        <v>42</v>
      </c>
      <c r="C15671" s="10" t="s">
        <v>344</v>
      </c>
      <c r="D15671" s="10" t="s">
        <v>6541</v>
      </c>
      <c r="E15671" s="11"/>
      <c r="F15671" s="12">
        <f>ROUND(110*(1+G2/100),2)</f>
        <v>110</v>
      </c>
      <c r="G15671" s="11"/>
    </row>
    <row r="15672" ht="21.0" customHeight="1">
      <c r="A15672" s="11"/>
      <c r="B15672" s="11"/>
      <c r="C15672" s="11"/>
      <c r="D15672" s="10" t="s">
        <v>6541</v>
      </c>
    </row>
    <row r="15673" ht="48.75" customHeight="1">
      <c r="A15673" s="13" t="s">
        <v>6542</v>
      </c>
      <c r="B15673" s="10" t="s">
        <v>42</v>
      </c>
      <c r="C15673" s="10" t="s">
        <v>344</v>
      </c>
      <c r="D15673" s="10" t="s">
        <v>6543</v>
      </c>
      <c r="E15673" s="11"/>
      <c r="F15673" s="12">
        <f>ROUND(115*(1+G2/100),2)</f>
        <v>115</v>
      </c>
      <c r="G15673" s="11"/>
    </row>
    <row r="15674" ht="21.0" customHeight="1">
      <c r="A15674" s="11"/>
      <c r="B15674" s="11"/>
      <c r="C15674" s="11"/>
      <c r="D15674" s="10" t="s">
        <v>6543</v>
      </c>
    </row>
    <row r="15675" ht="39.75" customHeight="1">
      <c r="A15675" s="13" t="s">
        <v>2051</v>
      </c>
      <c r="B15675" s="10" t="s">
        <v>42</v>
      </c>
      <c r="C15675" s="10" t="s">
        <v>19</v>
      </c>
      <c r="D15675" s="10" t="s">
        <v>2052</v>
      </c>
      <c r="E15675" s="11"/>
      <c r="F15675" s="12">
        <f>ROUND(40.95*(1+G2/100),2)</f>
        <v>40.95</v>
      </c>
      <c r="G15675" s="11"/>
    </row>
    <row r="15676" ht="21.0" customHeight="1">
      <c r="A15676" s="11"/>
      <c r="B15676" s="11"/>
      <c r="C15676" s="11"/>
      <c r="D15676" s="10" t="s">
        <v>2052</v>
      </c>
    </row>
    <row r="15677" ht="39.75" customHeight="1">
      <c r="A15677" s="13" t="s">
        <v>6544</v>
      </c>
      <c r="B15677" s="10" t="s">
        <v>42</v>
      </c>
      <c r="C15677" s="10" t="s">
        <v>344</v>
      </c>
      <c r="D15677" s="10" t="s">
        <v>6545</v>
      </c>
      <c r="E15677" s="11"/>
      <c r="F15677" s="12">
        <f>ROUND(5.65*(1+G2/100),2)</f>
        <v>5.65</v>
      </c>
      <c r="G15677" s="11"/>
    </row>
    <row r="15678" ht="30.0" customHeight="1">
      <c r="A15678" s="11"/>
      <c r="B15678" s="11"/>
      <c r="C15678" s="11"/>
      <c r="D15678" s="10" t="s">
        <v>6546</v>
      </c>
    </row>
    <row r="15679" ht="39.75" customHeight="1">
      <c r="A15679" s="13" t="s">
        <v>6547</v>
      </c>
      <c r="B15679" s="10" t="s">
        <v>42</v>
      </c>
      <c r="C15679" s="10" t="s">
        <v>344</v>
      </c>
      <c r="D15679" s="10" t="s">
        <v>6548</v>
      </c>
      <c r="E15679" s="11"/>
      <c r="F15679" s="12">
        <f>ROUND(7.4*(1+G2/100),2)</f>
        <v>7.4</v>
      </c>
      <c r="G15679" s="11"/>
    </row>
    <row r="15680" ht="30.0" customHeight="1">
      <c r="A15680" s="11"/>
      <c r="B15680" s="11"/>
      <c r="C15680" s="11"/>
      <c r="D15680" s="10" t="s">
        <v>6549</v>
      </c>
    </row>
    <row r="15681" ht="39.75" customHeight="1">
      <c r="A15681" s="13" t="s">
        <v>2811</v>
      </c>
      <c r="B15681" s="10" t="s">
        <v>42</v>
      </c>
      <c r="C15681" s="10" t="s">
        <v>344</v>
      </c>
      <c r="D15681" s="10" t="s">
        <v>2812</v>
      </c>
      <c r="E15681" s="11"/>
      <c r="F15681" s="12">
        <f>ROUND(8.22*(1+G2/100),2)</f>
        <v>8.22</v>
      </c>
      <c r="G15681" s="11"/>
    </row>
    <row r="15682" ht="30.0" customHeight="1">
      <c r="A15682" s="11"/>
      <c r="B15682" s="11"/>
      <c r="C15682" s="11"/>
      <c r="D15682" s="10" t="s">
        <v>6550</v>
      </c>
    </row>
    <row r="15683" ht="39.75" customHeight="1">
      <c r="A15683" s="13" t="s">
        <v>2818</v>
      </c>
      <c r="B15683" s="10" t="s">
        <v>42</v>
      </c>
      <c r="C15683" s="10" t="s">
        <v>344</v>
      </c>
      <c r="D15683" s="10" t="s">
        <v>2819</v>
      </c>
      <c r="E15683" s="11"/>
      <c r="F15683" s="12">
        <f>ROUND(10.7*(1+G2/100),2)</f>
        <v>10.7</v>
      </c>
      <c r="G15683" s="11"/>
    </row>
    <row r="15684" ht="30.0" customHeight="1">
      <c r="A15684" s="11"/>
      <c r="B15684" s="11"/>
      <c r="C15684" s="11"/>
      <c r="D15684" s="10" t="s">
        <v>6551</v>
      </c>
    </row>
    <row r="15685" ht="39.75" customHeight="1">
      <c r="A15685" s="13" t="s">
        <v>6552</v>
      </c>
      <c r="B15685" s="10" t="s">
        <v>42</v>
      </c>
      <c r="C15685" s="10" t="s">
        <v>344</v>
      </c>
      <c r="D15685" s="10" t="s">
        <v>6553</v>
      </c>
      <c r="E15685" s="11"/>
      <c r="F15685" s="12">
        <f>ROUND(6.6*(1+G2/100),2)</f>
        <v>6.6</v>
      </c>
      <c r="G15685" s="11"/>
    </row>
    <row r="15686" ht="30.0" customHeight="1">
      <c r="A15686" s="11"/>
      <c r="B15686" s="11"/>
      <c r="C15686" s="11"/>
      <c r="D15686" s="10" t="s">
        <v>6554</v>
      </c>
    </row>
    <row r="15687" ht="39.75" customHeight="1">
      <c r="A15687" s="13" t="s">
        <v>6555</v>
      </c>
      <c r="B15687" s="10" t="s">
        <v>42</v>
      </c>
      <c r="C15687" s="10" t="s">
        <v>344</v>
      </c>
      <c r="D15687" s="10" t="s">
        <v>6556</v>
      </c>
      <c r="E15687" s="11"/>
      <c r="F15687" s="12">
        <f>ROUND(8.22*(1+G2/100),2)</f>
        <v>8.22</v>
      </c>
      <c r="G15687" s="11"/>
    </row>
    <row r="15688" ht="30.0" customHeight="1">
      <c r="A15688" s="11"/>
      <c r="B15688" s="11"/>
      <c r="C15688" s="11"/>
      <c r="D15688" s="10" t="s">
        <v>6557</v>
      </c>
    </row>
    <row r="15689" ht="39.75" customHeight="1">
      <c r="A15689" s="13" t="s">
        <v>2718</v>
      </c>
      <c r="B15689" s="10" t="s">
        <v>42</v>
      </c>
      <c r="C15689" s="10" t="s">
        <v>344</v>
      </c>
      <c r="D15689" s="10" t="s">
        <v>2719</v>
      </c>
      <c r="E15689" s="11"/>
      <c r="F15689" s="12">
        <f>ROUND(7.4*(1+G2/100),2)</f>
        <v>7.4</v>
      </c>
      <c r="G15689" s="11"/>
    </row>
    <row r="15690" ht="30.0" customHeight="1">
      <c r="A15690" s="11"/>
      <c r="B15690" s="11"/>
      <c r="C15690" s="11"/>
      <c r="D15690" s="10" t="s">
        <v>6558</v>
      </c>
    </row>
    <row r="15691" ht="39.75" customHeight="1">
      <c r="A15691" s="13" t="s">
        <v>2724</v>
      </c>
      <c r="B15691" s="10" t="s">
        <v>42</v>
      </c>
      <c r="C15691" s="10" t="s">
        <v>344</v>
      </c>
      <c r="D15691" s="10" t="s">
        <v>2725</v>
      </c>
      <c r="E15691" s="11"/>
      <c r="F15691" s="12">
        <f>ROUND(9.05*(1+G2/100),2)</f>
        <v>9.05</v>
      </c>
      <c r="G15691" s="11"/>
    </row>
    <row r="15692" ht="30.0" customHeight="1">
      <c r="A15692" s="11"/>
      <c r="B15692" s="11"/>
      <c r="C15692" s="11"/>
      <c r="D15692" s="10" t="s">
        <v>6559</v>
      </c>
    </row>
    <row r="15693" ht="39.75" customHeight="1">
      <c r="A15693" s="13" t="s">
        <v>6560</v>
      </c>
      <c r="B15693" s="10" t="s">
        <v>42</v>
      </c>
      <c r="C15693" s="10" t="s">
        <v>344</v>
      </c>
      <c r="D15693" s="10" t="s">
        <v>6561</v>
      </c>
      <c r="E15693" s="11"/>
      <c r="F15693" s="12">
        <f>ROUND(9.05*(1+G2/100),2)</f>
        <v>9.05</v>
      </c>
      <c r="G15693" s="11"/>
    </row>
    <row r="15694" ht="30.0" customHeight="1">
      <c r="A15694" s="11"/>
      <c r="B15694" s="11"/>
      <c r="C15694" s="11"/>
      <c r="D15694" s="10" t="s">
        <v>6562</v>
      </c>
    </row>
    <row r="15695" ht="39.75" customHeight="1">
      <c r="A15695" s="13" t="s">
        <v>6563</v>
      </c>
      <c r="B15695" s="10" t="s">
        <v>42</v>
      </c>
      <c r="C15695" s="10" t="s">
        <v>19</v>
      </c>
      <c r="D15695" s="10" t="s">
        <v>6564</v>
      </c>
      <c r="E15695" s="11"/>
      <c r="F15695" s="12">
        <f>ROUND(24.85*(1+G2/100),2)</f>
        <v>24.85</v>
      </c>
      <c r="G15695" s="11"/>
    </row>
    <row r="15696" ht="67.5" customHeight="1">
      <c r="A15696" s="11"/>
      <c r="B15696" s="11"/>
      <c r="C15696" s="11"/>
      <c r="D15696" s="10" t="s">
        <v>6565</v>
      </c>
    </row>
    <row r="15697" ht="39.75" customHeight="1">
      <c r="A15697" s="13" t="s">
        <v>4810</v>
      </c>
      <c r="B15697" s="10" t="s">
        <v>42</v>
      </c>
      <c r="C15697" s="10" t="s">
        <v>19</v>
      </c>
      <c r="D15697" s="10" t="s">
        <v>4811</v>
      </c>
      <c r="E15697" s="11"/>
      <c r="F15697" s="12">
        <f>ROUND(33.84*(1+G2/100),2)</f>
        <v>33.84</v>
      </c>
      <c r="G15697" s="11"/>
    </row>
    <row r="15698" ht="67.5" customHeight="1">
      <c r="A15698" s="11"/>
      <c r="B15698" s="11"/>
      <c r="C15698" s="11"/>
      <c r="D15698" s="10" t="s">
        <v>6566</v>
      </c>
    </row>
    <row r="15699" ht="39.75" customHeight="1">
      <c r="A15699" s="13" t="s">
        <v>4915</v>
      </c>
      <c r="B15699" s="10" t="s">
        <v>42</v>
      </c>
      <c r="C15699" s="10" t="s">
        <v>19</v>
      </c>
      <c r="D15699" s="10" t="s">
        <v>4916</v>
      </c>
      <c r="E15699" s="11"/>
      <c r="F15699" s="12">
        <f>ROUND(21.12*(1+G2/100),2)</f>
        <v>21.12</v>
      </c>
      <c r="G15699" s="11"/>
    </row>
    <row r="15700" ht="21.0" customHeight="1">
      <c r="A15700" s="11"/>
      <c r="B15700" s="11"/>
      <c r="C15700" s="11"/>
      <c r="D15700" s="10" t="s">
        <v>6567</v>
      </c>
    </row>
    <row r="15701" ht="39.75" customHeight="1">
      <c r="A15701" s="13" t="s">
        <v>6568</v>
      </c>
      <c r="B15701" s="10" t="s">
        <v>42</v>
      </c>
      <c r="C15701" s="10" t="s">
        <v>19</v>
      </c>
      <c r="D15701" s="10" t="s">
        <v>6569</v>
      </c>
      <c r="E15701" s="11"/>
      <c r="F15701" s="12">
        <f>ROUND(27.04*(1+G2/100),2)</f>
        <v>27.04</v>
      </c>
      <c r="G15701" s="11"/>
    </row>
    <row r="15702" ht="21.0" customHeight="1">
      <c r="A15702" s="11"/>
      <c r="B15702" s="11"/>
      <c r="C15702" s="11"/>
      <c r="D15702" s="10" t="s">
        <v>6570</v>
      </c>
    </row>
    <row r="15703" ht="30.0" customHeight="1">
      <c r="A15703" s="13" t="s">
        <v>2791</v>
      </c>
      <c r="B15703" s="10" t="s">
        <v>42</v>
      </c>
      <c r="C15703" s="10" t="s">
        <v>344</v>
      </c>
      <c r="D15703" s="10" t="s">
        <v>2792</v>
      </c>
      <c r="E15703" s="11"/>
      <c r="F15703" s="12">
        <f>ROUND(4.93*(1+G2/100),2)</f>
        <v>4.93</v>
      </c>
      <c r="G15703" s="11"/>
    </row>
    <row r="15704" ht="21.0" customHeight="1">
      <c r="A15704" s="11"/>
      <c r="B15704" s="11"/>
      <c r="C15704" s="11"/>
      <c r="D15704" s="10" t="s">
        <v>6571</v>
      </c>
    </row>
    <row r="15705" ht="48.75" customHeight="1">
      <c r="A15705" s="13" t="s">
        <v>6572</v>
      </c>
      <c r="B15705" s="10" t="s">
        <v>42</v>
      </c>
      <c r="C15705" s="10" t="s">
        <v>344</v>
      </c>
      <c r="D15705" s="10" t="s">
        <v>6573</v>
      </c>
      <c r="E15705" s="11"/>
      <c r="F15705" s="12">
        <f>ROUND(29.86*(1+G2/100),2)</f>
        <v>29.86</v>
      </c>
      <c r="G15705" s="11"/>
    </row>
    <row r="15706" ht="187.5" customHeight="1">
      <c r="A15706" s="11"/>
      <c r="B15706" s="11"/>
      <c r="C15706" s="11"/>
      <c r="D15706" s="10" t="s">
        <v>6574</v>
      </c>
    </row>
    <row r="15707" ht="48.75" customHeight="1">
      <c r="A15707" s="13" t="s">
        <v>6575</v>
      </c>
      <c r="B15707" s="10" t="s">
        <v>42</v>
      </c>
      <c r="C15707" s="10" t="s">
        <v>344</v>
      </c>
      <c r="D15707" s="10" t="s">
        <v>6576</v>
      </c>
      <c r="E15707" s="11"/>
      <c r="F15707" s="12">
        <f>ROUND(38.48*(1+G2/100),2)</f>
        <v>38.48</v>
      </c>
      <c r="G15707" s="11"/>
    </row>
    <row r="15708" ht="187.5" customHeight="1">
      <c r="A15708" s="11"/>
      <c r="B15708" s="11"/>
      <c r="C15708" s="11"/>
      <c r="D15708" s="10" t="s">
        <v>6577</v>
      </c>
    </row>
    <row r="15709" ht="48.75" customHeight="1">
      <c r="A15709" s="13" t="s">
        <v>6578</v>
      </c>
      <c r="B15709" s="10" t="s">
        <v>42</v>
      </c>
      <c r="C15709" s="10" t="s">
        <v>344</v>
      </c>
      <c r="D15709" s="10" t="s">
        <v>6579</v>
      </c>
      <c r="E15709" s="11"/>
      <c r="F15709" s="12">
        <f>ROUND(52.64*(1+G2/100),2)</f>
        <v>52.64</v>
      </c>
      <c r="G15709" s="11"/>
    </row>
    <row r="15710" ht="187.5" customHeight="1">
      <c r="A15710" s="11"/>
      <c r="B15710" s="11"/>
      <c r="C15710" s="11"/>
      <c r="D15710" s="10" t="s">
        <v>6580</v>
      </c>
    </row>
    <row r="15711" ht="48.75" customHeight="1">
      <c r="A15711" s="13" t="s">
        <v>6581</v>
      </c>
      <c r="B15711" s="10" t="s">
        <v>42</v>
      </c>
      <c r="C15711" s="10" t="s">
        <v>344</v>
      </c>
      <c r="D15711" s="10" t="s">
        <v>6582</v>
      </c>
      <c r="E15711" s="11"/>
      <c r="F15711" s="12">
        <f>ROUND(26.9*(1+G2/100),2)</f>
        <v>26.9</v>
      </c>
      <c r="G15711" s="11"/>
    </row>
    <row r="15712" ht="187.5" customHeight="1">
      <c r="A15712" s="11"/>
      <c r="B15712" s="11"/>
      <c r="C15712" s="11"/>
      <c r="D15712" s="10" t="s">
        <v>6583</v>
      </c>
    </row>
    <row r="15713" ht="48.75" customHeight="1">
      <c r="A15713" s="13" t="s">
        <v>2797</v>
      </c>
      <c r="B15713" s="10" t="s">
        <v>42</v>
      </c>
      <c r="C15713" s="10" t="s">
        <v>344</v>
      </c>
      <c r="D15713" s="10" t="s">
        <v>2798</v>
      </c>
      <c r="E15713" s="11"/>
      <c r="F15713" s="12">
        <f>ROUND(38*(1+G2/100),2)</f>
        <v>38</v>
      </c>
      <c r="G15713" s="11"/>
    </row>
    <row r="15714" ht="187.5" customHeight="1">
      <c r="A15714" s="11"/>
      <c r="B15714" s="11"/>
      <c r="C15714" s="11"/>
      <c r="D15714" s="10" t="s">
        <v>6584</v>
      </c>
    </row>
    <row r="15715" ht="48.75" customHeight="1">
      <c r="A15715" s="13" t="s">
        <v>2804</v>
      </c>
      <c r="B15715" s="10" t="s">
        <v>42</v>
      </c>
      <c r="C15715" s="10" t="s">
        <v>344</v>
      </c>
      <c r="D15715" s="10" t="s">
        <v>2805</v>
      </c>
      <c r="E15715" s="11"/>
      <c r="F15715" s="12">
        <f>ROUND(51.87*(1+G2/100),2)</f>
        <v>51.87</v>
      </c>
      <c r="G15715" s="11"/>
    </row>
    <row r="15716" ht="187.5" customHeight="1">
      <c r="A15716" s="11"/>
      <c r="B15716" s="11"/>
      <c r="C15716" s="11"/>
      <c r="D15716" s="10" t="s">
        <v>6585</v>
      </c>
    </row>
    <row r="15717" ht="39.75" customHeight="1">
      <c r="A15717" s="13" t="s">
        <v>2960</v>
      </c>
      <c r="B15717" s="10" t="s">
        <v>42</v>
      </c>
      <c r="C15717" s="10" t="s">
        <v>344</v>
      </c>
      <c r="D15717" s="10" t="s">
        <v>2961</v>
      </c>
      <c r="E15717" s="11"/>
      <c r="F15717" s="12">
        <f>ROUND(2.39*(1+G2/100),2)</f>
        <v>2.39</v>
      </c>
      <c r="G15717" s="11"/>
    </row>
    <row r="15718" ht="30.0" customHeight="1">
      <c r="A15718" s="11"/>
      <c r="B15718" s="11"/>
      <c r="C15718" s="11"/>
      <c r="D15718" s="10" t="s">
        <v>6586</v>
      </c>
    </row>
    <row r="15719" ht="48.75" customHeight="1">
      <c r="A15719" s="13" t="s">
        <v>6587</v>
      </c>
      <c r="B15719" s="10" t="s">
        <v>42</v>
      </c>
      <c r="C15719" s="10" t="s">
        <v>344</v>
      </c>
      <c r="D15719" s="10" t="s">
        <v>6588</v>
      </c>
      <c r="E15719" s="11"/>
      <c r="F15719" s="12">
        <f>ROUND(28.7*(1+G2/100),2)</f>
        <v>28.7</v>
      </c>
      <c r="G15719" s="11"/>
    </row>
    <row r="15720" ht="187.5" customHeight="1">
      <c r="A15720" s="11"/>
      <c r="B15720" s="11"/>
      <c r="C15720" s="11"/>
      <c r="D15720" s="10" t="s">
        <v>6589</v>
      </c>
    </row>
    <row r="15721" ht="48.75" customHeight="1">
      <c r="A15721" s="13" t="s">
        <v>6590</v>
      </c>
      <c r="B15721" s="10" t="s">
        <v>42</v>
      </c>
      <c r="C15721" s="10" t="s">
        <v>344</v>
      </c>
      <c r="D15721" s="10" t="s">
        <v>6591</v>
      </c>
      <c r="E15721" s="11"/>
      <c r="F15721" s="12">
        <f>ROUND(36.81*(1+G2/100),2)</f>
        <v>36.81</v>
      </c>
      <c r="G15721" s="11"/>
    </row>
    <row r="15722" ht="187.5" customHeight="1">
      <c r="A15722" s="11"/>
      <c r="B15722" s="11"/>
      <c r="C15722" s="11"/>
      <c r="D15722" s="10" t="s">
        <v>6592</v>
      </c>
    </row>
    <row r="15723" ht="48.75" customHeight="1">
      <c r="A15723" s="13" t="s">
        <v>6593</v>
      </c>
      <c r="B15723" s="10" t="s">
        <v>42</v>
      </c>
      <c r="C15723" s="10" t="s">
        <v>344</v>
      </c>
      <c r="D15723" s="10" t="s">
        <v>6594</v>
      </c>
      <c r="E15723" s="11"/>
      <c r="F15723" s="12">
        <f>ROUND(50.97*(1+G2/100),2)</f>
        <v>50.97</v>
      </c>
      <c r="G15723" s="11"/>
    </row>
    <row r="15724" ht="187.5" customHeight="1">
      <c r="A15724" s="11"/>
      <c r="B15724" s="11"/>
      <c r="C15724" s="11"/>
      <c r="D15724" s="10" t="s">
        <v>6595</v>
      </c>
    </row>
    <row r="15725" ht="48.75" customHeight="1">
      <c r="A15725" s="13" t="s">
        <v>6596</v>
      </c>
      <c r="B15725" s="10" t="s">
        <v>42</v>
      </c>
      <c r="C15725" s="10" t="s">
        <v>344</v>
      </c>
      <c r="D15725" s="10" t="s">
        <v>6597</v>
      </c>
      <c r="E15725" s="11"/>
      <c r="F15725" s="12">
        <f>ROUND(38*(1+G2/100),2)</f>
        <v>38</v>
      </c>
      <c r="G15725" s="11"/>
    </row>
    <row r="15726" ht="187.5" customHeight="1">
      <c r="A15726" s="11"/>
      <c r="B15726" s="11"/>
      <c r="C15726" s="11"/>
      <c r="D15726" s="10" t="s">
        <v>6598</v>
      </c>
    </row>
    <row r="15727" ht="48.75" customHeight="1">
      <c r="A15727" s="13" t="s">
        <v>6599</v>
      </c>
      <c r="B15727" s="10" t="s">
        <v>42</v>
      </c>
      <c r="C15727" s="10" t="s">
        <v>344</v>
      </c>
      <c r="D15727" s="10" t="s">
        <v>6600</v>
      </c>
      <c r="E15727" s="11"/>
      <c r="F15727" s="12">
        <f>ROUND(44.4*(1+G2/100),2)</f>
        <v>44.4</v>
      </c>
      <c r="G15727" s="11"/>
    </row>
    <row r="15728" ht="187.5" customHeight="1">
      <c r="A15728" s="11"/>
      <c r="B15728" s="11"/>
      <c r="C15728" s="11"/>
      <c r="D15728" s="10" t="s">
        <v>6601</v>
      </c>
    </row>
    <row r="15729" ht="48.75" customHeight="1">
      <c r="A15729" s="13" t="s">
        <v>6602</v>
      </c>
      <c r="B15729" s="10" t="s">
        <v>42</v>
      </c>
      <c r="C15729" s="10" t="s">
        <v>344</v>
      </c>
      <c r="D15729" s="10" t="s">
        <v>6603</v>
      </c>
      <c r="E15729" s="11"/>
      <c r="F15729" s="12">
        <f>ROUND(57.27*(1+G2/100),2)</f>
        <v>57.27</v>
      </c>
      <c r="G15729" s="11"/>
    </row>
    <row r="15730" ht="187.5" customHeight="1">
      <c r="A15730" s="11"/>
      <c r="B15730" s="11"/>
      <c r="C15730" s="11"/>
      <c r="D15730" s="10" t="s">
        <v>6604</v>
      </c>
    </row>
    <row r="15731" ht="24.75" customHeight="1">
      <c r="A15731" s="13" t="s">
        <v>6605</v>
      </c>
      <c r="B15731" s="10" t="s">
        <v>42</v>
      </c>
      <c r="C15731" s="10" t="s">
        <v>344</v>
      </c>
      <c r="D15731" s="10" t="s">
        <v>6606</v>
      </c>
      <c r="E15731" s="11"/>
      <c r="F15731" s="12">
        <f>ROUND(2.44*(1+G2/100),2)</f>
        <v>2.44</v>
      </c>
      <c r="G15731" s="11"/>
    </row>
    <row r="15732" ht="39.75" customHeight="1">
      <c r="A15732" s="11"/>
      <c r="B15732" s="11"/>
      <c r="C15732" s="11"/>
      <c r="D15732" s="10" t="s">
        <v>6607</v>
      </c>
    </row>
    <row r="15733" ht="39.75" customHeight="1">
      <c r="A15733" s="13" t="s">
        <v>2948</v>
      </c>
      <c r="B15733" s="10" t="s">
        <v>42</v>
      </c>
      <c r="C15733" s="10" t="s">
        <v>344</v>
      </c>
      <c r="D15733" s="10" t="s">
        <v>2949</v>
      </c>
      <c r="E15733" s="11"/>
      <c r="F15733" s="12">
        <f>ROUND(10.09*(1+G2/100),2)</f>
        <v>10.09</v>
      </c>
      <c r="G15733" s="11"/>
    </row>
    <row r="15734" ht="30.0" customHeight="1">
      <c r="A15734" s="11"/>
      <c r="B15734" s="11"/>
      <c r="C15734" s="11"/>
      <c r="D15734" s="10" t="s">
        <v>6608</v>
      </c>
    </row>
    <row r="15735" ht="30.0" customHeight="1">
      <c r="A15735" s="13" t="s">
        <v>6609</v>
      </c>
      <c r="B15735" s="10" t="s">
        <v>42</v>
      </c>
      <c r="C15735" s="10" t="s">
        <v>344</v>
      </c>
      <c r="D15735" s="10" t="s">
        <v>6610</v>
      </c>
      <c r="E15735" s="11"/>
      <c r="F15735" s="12">
        <f>ROUND(32.34*(1+G2/100),2)</f>
        <v>32.34</v>
      </c>
      <c r="G15735" s="11"/>
    </row>
    <row r="15736" ht="39.75" customHeight="1">
      <c r="A15736" s="11"/>
      <c r="B15736" s="11"/>
      <c r="C15736" s="11"/>
      <c r="D15736" s="10" t="s">
        <v>6611</v>
      </c>
    </row>
    <row r="15737" ht="30.0" customHeight="1">
      <c r="A15737" s="13" t="s">
        <v>2755</v>
      </c>
      <c r="B15737" s="10" t="s">
        <v>42</v>
      </c>
      <c r="C15737" s="10" t="s">
        <v>344</v>
      </c>
      <c r="D15737" s="10" t="s">
        <v>2756</v>
      </c>
      <c r="E15737" s="11"/>
      <c r="F15737" s="12">
        <f>ROUND(0.4*(1+G2/100),2)</f>
        <v>0.4</v>
      </c>
      <c r="G15737" s="11"/>
    </row>
    <row r="15738" ht="12.0" customHeight="1">
      <c r="A15738" s="11"/>
      <c r="B15738" s="11"/>
      <c r="C15738" s="11"/>
      <c r="D15738" s="10" t="s">
        <v>6612</v>
      </c>
    </row>
    <row r="15739" ht="39.75" customHeight="1">
      <c r="A15739" s="13" t="s">
        <v>2837</v>
      </c>
      <c r="B15739" s="10" t="s">
        <v>42</v>
      </c>
      <c r="C15739" s="10" t="s">
        <v>344</v>
      </c>
      <c r="D15739" s="10" t="s">
        <v>2838</v>
      </c>
      <c r="E15739" s="11"/>
      <c r="F15739" s="12">
        <f>ROUND(0.93*(1+G2/100),2)</f>
        <v>0.93</v>
      </c>
      <c r="G15739" s="11"/>
    </row>
    <row r="15740" ht="85.5" customHeight="1">
      <c r="A15740" s="11"/>
      <c r="B15740" s="11"/>
      <c r="C15740" s="11"/>
      <c r="D15740" s="10" t="s">
        <v>6613</v>
      </c>
    </row>
    <row r="15741" ht="30.0" customHeight="1">
      <c r="A15741" s="13" t="s">
        <v>2692</v>
      </c>
      <c r="B15741" s="10" t="s">
        <v>42</v>
      </c>
      <c r="C15741" s="10" t="s">
        <v>344</v>
      </c>
      <c r="D15741" s="10" t="s">
        <v>2693</v>
      </c>
      <c r="E15741" s="11"/>
      <c r="F15741" s="12">
        <f>ROUND(2.13*(1+G2/100),2)</f>
        <v>2.13</v>
      </c>
      <c r="G15741" s="11"/>
    </row>
    <row r="15742" ht="30.0" customHeight="1">
      <c r="A15742" s="11"/>
      <c r="B15742" s="11"/>
      <c r="C15742" s="11"/>
      <c r="D15742" s="10" t="s">
        <v>6614</v>
      </c>
    </row>
    <row r="15743" ht="30.0" customHeight="1">
      <c r="A15743" s="13" t="s">
        <v>2829</v>
      </c>
      <c r="B15743" s="10" t="s">
        <v>42</v>
      </c>
      <c r="C15743" s="10" t="s">
        <v>344</v>
      </c>
      <c r="D15743" s="10" t="s">
        <v>2830</v>
      </c>
      <c r="E15743" s="11"/>
      <c r="F15743" s="12">
        <f>ROUND(1.63*(1+G2/100),2)</f>
        <v>1.63</v>
      </c>
      <c r="G15743" s="11"/>
    </row>
    <row r="15744" ht="85.5" customHeight="1">
      <c r="A15744" s="11"/>
      <c r="B15744" s="11"/>
      <c r="C15744" s="11"/>
      <c r="D15744" s="10" t="s">
        <v>6615</v>
      </c>
    </row>
    <row r="15745" ht="30.0" customHeight="1">
      <c r="A15745" s="13" t="s">
        <v>2857</v>
      </c>
      <c r="B15745" s="10" t="s">
        <v>42</v>
      </c>
      <c r="C15745" s="10" t="s">
        <v>344</v>
      </c>
      <c r="D15745" s="10" t="s">
        <v>2858</v>
      </c>
      <c r="E15745" s="11"/>
      <c r="F15745" s="12">
        <f>ROUND(1.19*(1+G2/100),2)</f>
        <v>1.19</v>
      </c>
      <c r="G15745" s="11"/>
    </row>
    <row r="15746" ht="85.5" customHeight="1">
      <c r="A15746" s="11"/>
      <c r="B15746" s="11"/>
      <c r="C15746" s="11"/>
      <c r="D15746" s="10" t="s">
        <v>6616</v>
      </c>
    </row>
    <row r="15747" ht="30.0" customHeight="1">
      <c r="A15747" s="13" t="s">
        <v>2880</v>
      </c>
      <c r="B15747" s="10" t="s">
        <v>42</v>
      </c>
      <c r="C15747" s="10" t="s">
        <v>344</v>
      </c>
      <c r="D15747" s="10" t="s">
        <v>2881</v>
      </c>
      <c r="E15747" s="11"/>
      <c r="F15747" s="12">
        <f>ROUND(1.95*(1+G2/100),2)</f>
        <v>1.95</v>
      </c>
      <c r="G15747" s="11"/>
    </row>
    <row r="15748" ht="12.0" customHeight="1">
      <c r="A15748" s="11"/>
      <c r="B15748" s="11"/>
      <c r="C15748" s="11"/>
      <c r="D15748" s="10" t="s">
        <v>2881</v>
      </c>
    </row>
    <row r="15749" ht="39.75" customHeight="1">
      <c r="A15749" s="13" t="s">
        <v>4823</v>
      </c>
      <c r="B15749" s="10" t="s">
        <v>42</v>
      </c>
      <c r="C15749" s="10" t="s">
        <v>344</v>
      </c>
      <c r="D15749" s="10" t="s">
        <v>4824</v>
      </c>
      <c r="E15749" s="11"/>
      <c r="F15749" s="12">
        <f>ROUND(2.8*(1+G2/100),2)</f>
        <v>2.8</v>
      </c>
      <c r="G15749" s="11"/>
    </row>
    <row r="15750" ht="30.0" customHeight="1">
      <c r="A15750" s="11"/>
      <c r="B15750" s="11"/>
      <c r="C15750" s="11"/>
      <c r="D15750" s="10" t="s">
        <v>6617</v>
      </c>
    </row>
    <row r="15751" ht="30.0" customHeight="1">
      <c r="A15751" s="13" t="s">
        <v>2902</v>
      </c>
      <c r="B15751" s="10" t="s">
        <v>42</v>
      </c>
      <c r="C15751" s="10" t="s">
        <v>344</v>
      </c>
      <c r="D15751" s="10" t="s">
        <v>2903</v>
      </c>
      <c r="E15751" s="11"/>
      <c r="F15751" s="12">
        <f>ROUND(7.55*(1+G2/100),2)</f>
        <v>7.55</v>
      </c>
      <c r="G15751" s="11"/>
    </row>
    <row r="15752" ht="12.0" customHeight="1">
      <c r="A15752" s="11"/>
      <c r="B15752" s="11"/>
      <c r="C15752" s="11"/>
      <c r="D15752" s="10" t="s">
        <v>2903</v>
      </c>
    </row>
    <row r="15753" ht="30.0" customHeight="1">
      <c r="A15753" s="13" t="s">
        <v>2964</v>
      </c>
      <c r="B15753" s="10" t="s">
        <v>42</v>
      </c>
      <c r="C15753" s="10" t="s">
        <v>344</v>
      </c>
      <c r="D15753" s="10" t="s">
        <v>2965</v>
      </c>
      <c r="E15753" s="11"/>
      <c r="F15753" s="12">
        <f>ROUND(7.55*(1+G2/100),2)</f>
        <v>7.55</v>
      </c>
      <c r="G15753" s="11"/>
    </row>
    <row r="15754" ht="12.0" customHeight="1">
      <c r="A15754" s="11"/>
      <c r="B15754" s="11"/>
      <c r="C15754" s="11"/>
      <c r="D15754" s="10" t="s">
        <v>2965</v>
      </c>
    </row>
    <row r="15755" ht="30.0" customHeight="1">
      <c r="A15755" s="13" t="s">
        <v>6618</v>
      </c>
      <c r="B15755" s="10" t="s">
        <v>42</v>
      </c>
      <c r="C15755" s="10" t="s">
        <v>344</v>
      </c>
      <c r="D15755" s="10" t="s">
        <v>6619</v>
      </c>
      <c r="E15755" s="11"/>
      <c r="F15755" s="12">
        <f>ROUND(7.55*(1+G2/100),2)</f>
        <v>7.55</v>
      </c>
      <c r="G15755" s="11"/>
    </row>
    <row r="15756" ht="12.0" customHeight="1">
      <c r="A15756" s="11"/>
      <c r="B15756" s="11"/>
      <c r="C15756" s="11"/>
      <c r="D15756" s="10" t="s">
        <v>6619</v>
      </c>
    </row>
    <row r="15757" ht="30.0" customHeight="1">
      <c r="A15757" s="13" t="s">
        <v>4926</v>
      </c>
      <c r="B15757" s="10" t="s">
        <v>42</v>
      </c>
      <c r="C15757" s="10" t="s">
        <v>344</v>
      </c>
      <c r="D15757" s="10" t="s">
        <v>4927</v>
      </c>
      <c r="E15757" s="11"/>
      <c r="F15757" s="12">
        <f>ROUND(1.95*(1+G2/100),2)</f>
        <v>1.95</v>
      </c>
      <c r="G15757" s="11"/>
    </row>
    <row r="15758" ht="12.0" customHeight="1">
      <c r="A15758" s="11"/>
      <c r="B15758" s="11"/>
      <c r="C15758" s="11"/>
      <c r="D15758" s="10" t="s">
        <v>4927</v>
      </c>
    </row>
    <row r="15759" ht="30.0" customHeight="1">
      <c r="A15759" s="13" t="s">
        <v>4922</v>
      </c>
      <c r="B15759" s="10" t="s">
        <v>42</v>
      </c>
      <c r="C15759" s="10" t="s">
        <v>344</v>
      </c>
      <c r="D15759" s="10" t="s">
        <v>4923</v>
      </c>
      <c r="E15759" s="11"/>
      <c r="F15759" s="12">
        <f>ROUND(1.99*(1+G2/100),2)</f>
        <v>1.99</v>
      </c>
      <c r="G15759" s="11"/>
    </row>
    <row r="15760" ht="12.0" customHeight="1">
      <c r="A15760" s="11"/>
      <c r="B15760" s="11"/>
      <c r="C15760" s="11"/>
      <c r="D15760" s="10" t="s">
        <v>4923</v>
      </c>
    </row>
    <row r="15761" ht="30.0" customHeight="1">
      <c r="A15761" s="13" t="s">
        <v>4930</v>
      </c>
      <c r="B15761" s="10" t="s">
        <v>42</v>
      </c>
      <c r="C15761" s="10" t="s">
        <v>344</v>
      </c>
      <c r="D15761" s="10" t="s">
        <v>4931</v>
      </c>
      <c r="E15761" s="11"/>
      <c r="F15761" s="12">
        <f>ROUND(1.89*(1+G2/100),2)</f>
        <v>1.89</v>
      </c>
      <c r="G15761" s="11"/>
    </row>
    <row r="15762" ht="12.0" customHeight="1">
      <c r="A15762" s="11"/>
      <c r="B15762" s="11"/>
      <c r="C15762" s="11"/>
      <c r="D15762" s="10" t="s">
        <v>4931</v>
      </c>
    </row>
    <row r="15763" ht="21.0" customHeight="1">
      <c r="A15763" s="13" t="s">
        <v>6620</v>
      </c>
      <c r="B15763" s="10" t="s">
        <v>42</v>
      </c>
      <c r="C15763" s="10" t="s">
        <v>344</v>
      </c>
      <c r="D15763" s="10" t="s">
        <v>6621</v>
      </c>
      <c r="E15763" s="11"/>
      <c r="F15763" s="12">
        <f>ROUND(1.45*(1+G2/100),2)</f>
        <v>1.45</v>
      </c>
      <c r="G15763" s="11"/>
    </row>
    <row r="15764" ht="12.0" customHeight="1">
      <c r="A15764" s="11"/>
      <c r="B15764" s="11"/>
      <c r="C15764" s="11"/>
      <c r="D15764" s="10" t="s">
        <v>6621</v>
      </c>
    </row>
    <row r="15765" ht="21.0" customHeight="1">
      <c r="A15765" s="13" t="s">
        <v>6622</v>
      </c>
      <c r="B15765" s="10" t="s">
        <v>42</v>
      </c>
      <c r="C15765" s="10" t="s">
        <v>344</v>
      </c>
      <c r="D15765" s="10" t="s">
        <v>6623</v>
      </c>
      <c r="E15765" s="11"/>
      <c r="F15765" s="12">
        <f>ROUND(1.8*(1+G2/100),2)</f>
        <v>1.8</v>
      </c>
      <c r="G15765" s="11"/>
    </row>
    <row r="15766" ht="12.0" customHeight="1">
      <c r="A15766" s="11"/>
      <c r="B15766" s="11"/>
      <c r="C15766" s="11"/>
      <c r="D15766" s="10" t="s">
        <v>6623</v>
      </c>
    </row>
    <row r="15767" ht="30.0" customHeight="1">
      <c r="A15767" s="13" t="s">
        <v>6624</v>
      </c>
      <c r="B15767" s="10" t="s">
        <v>42</v>
      </c>
      <c r="C15767" s="10" t="s">
        <v>19</v>
      </c>
      <c r="D15767" s="10" t="s">
        <v>6625</v>
      </c>
      <c r="E15767" s="11"/>
      <c r="F15767" s="12">
        <f>ROUND(31.75*(1+G2/100),2)</f>
        <v>31.75</v>
      </c>
      <c r="G15767" s="11"/>
    </row>
    <row r="15768" ht="12.0" customHeight="1">
      <c r="A15768" s="11"/>
      <c r="B15768" s="11"/>
      <c r="C15768" s="11"/>
      <c r="D15768" s="10" t="s">
        <v>6625</v>
      </c>
    </row>
    <row r="15769" ht="30.0" customHeight="1">
      <c r="A15769" s="13" t="s">
        <v>3053</v>
      </c>
      <c r="B15769" s="10" t="s">
        <v>42</v>
      </c>
      <c r="C15769" s="10" t="s">
        <v>344</v>
      </c>
      <c r="D15769" s="10" t="s">
        <v>3054</v>
      </c>
      <c r="E15769" s="11"/>
      <c r="F15769" s="12">
        <f>ROUND(10*(1+G2/100),2)</f>
        <v>10</v>
      </c>
      <c r="G15769" s="11"/>
    </row>
    <row r="15770" ht="12.0" customHeight="1">
      <c r="A15770" s="11"/>
      <c r="B15770" s="11"/>
      <c r="C15770" s="11"/>
      <c r="D15770" s="10" t="s">
        <v>6626</v>
      </c>
    </row>
    <row r="15771" ht="21.0" customHeight="1">
      <c r="A15771" s="13" t="s">
        <v>4814</v>
      </c>
      <c r="B15771" s="10" t="s">
        <v>42</v>
      </c>
      <c r="C15771" s="10" t="s">
        <v>19</v>
      </c>
      <c r="D15771" s="10" t="s">
        <v>4815</v>
      </c>
      <c r="E15771" s="11"/>
      <c r="F15771" s="12">
        <f>ROUND(11.5*(1+G2/100),2)</f>
        <v>11.5</v>
      </c>
      <c r="G15771" s="11"/>
    </row>
    <row r="15772" ht="12.0" customHeight="1">
      <c r="A15772" s="11"/>
      <c r="B15772" s="11"/>
      <c r="C15772" s="11"/>
      <c r="D15772" s="10" t="s">
        <v>4815</v>
      </c>
    </row>
    <row r="15773" ht="30.0" customHeight="1">
      <c r="A15773" s="13" t="s">
        <v>2824</v>
      </c>
      <c r="B15773" s="10" t="s">
        <v>42</v>
      </c>
      <c r="C15773" s="10" t="s">
        <v>344</v>
      </c>
      <c r="D15773" s="10" t="s">
        <v>2825</v>
      </c>
      <c r="E15773" s="11"/>
      <c r="F15773" s="12">
        <f>ROUND(10*(1+G2/100),2)</f>
        <v>10</v>
      </c>
      <c r="G15773" s="11"/>
    </row>
    <row r="15774" ht="12.0" customHeight="1">
      <c r="A15774" s="11"/>
      <c r="B15774" s="11"/>
      <c r="C15774" s="11"/>
      <c r="D15774" s="10" t="s">
        <v>2825</v>
      </c>
    </row>
    <row r="15775" ht="30.0" customHeight="1">
      <c r="A15775" s="13" t="s">
        <v>4846</v>
      </c>
      <c r="B15775" s="10" t="s">
        <v>42</v>
      </c>
      <c r="C15775" s="10" t="s">
        <v>19</v>
      </c>
      <c r="D15775" s="10" t="s">
        <v>4847</v>
      </c>
      <c r="E15775" s="11"/>
      <c r="F15775" s="12">
        <f>ROUND(9.47*(1+G2/100),2)</f>
        <v>9.47</v>
      </c>
      <c r="G15775" s="11"/>
    </row>
    <row r="15776" ht="12.0" customHeight="1">
      <c r="A15776" s="11"/>
      <c r="B15776" s="11"/>
      <c r="C15776" s="11"/>
      <c r="D15776" s="10" t="s">
        <v>4847</v>
      </c>
    </row>
    <row r="15777" ht="39.75" customHeight="1">
      <c r="A15777" s="13" t="s">
        <v>2750</v>
      </c>
      <c r="B15777" s="10" t="s">
        <v>42</v>
      </c>
      <c r="C15777" s="10" t="s">
        <v>19</v>
      </c>
      <c r="D15777" s="10" t="s">
        <v>2751</v>
      </c>
      <c r="E15777" s="11"/>
      <c r="F15777" s="12">
        <f>ROUND(10.12*(1+G2/100),2)</f>
        <v>10.12</v>
      </c>
      <c r="G15777" s="11"/>
    </row>
    <row r="15778" ht="21.0" customHeight="1">
      <c r="A15778" s="11"/>
      <c r="B15778" s="11"/>
      <c r="C15778" s="11"/>
      <c r="D15778" s="10" t="s">
        <v>2751</v>
      </c>
    </row>
    <row r="15779" ht="39.75" customHeight="1">
      <c r="A15779" s="13" t="s">
        <v>6627</v>
      </c>
      <c r="B15779" s="10" t="s">
        <v>42</v>
      </c>
      <c r="C15779" s="10" t="s">
        <v>344</v>
      </c>
      <c r="D15779" s="10" t="s">
        <v>6628</v>
      </c>
      <c r="E15779" s="11"/>
      <c r="F15779" s="12">
        <f>ROUND(1.1*(1+G2/100),2)</f>
        <v>1.1</v>
      </c>
      <c r="G15779" s="11"/>
    </row>
    <row r="15780" ht="21.0" customHeight="1">
      <c r="A15780" s="11"/>
      <c r="B15780" s="11"/>
      <c r="C15780" s="11"/>
      <c r="D15780" s="10" t="s">
        <v>6628</v>
      </c>
    </row>
    <row r="15781" ht="39.75" customHeight="1">
      <c r="A15781" s="13" t="s">
        <v>6629</v>
      </c>
      <c r="B15781" s="10" t="s">
        <v>42</v>
      </c>
      <c r="C15781" s="10" t="s">
        <v>344</v>
      </c>
      <c r="D15781" s="10" t="s">
        <v>6630</v>
      </c>
      <c r="E15781" s="11"/>
      <c r="F15781" s="12">
        <f>ROUND(1.1*(1+G2/100),2)</f>
        <v>1.1</v>
      </c>
      <c r="G15781" s="11"/>
    </row>
    <row r="15782" ht="21.0" customHeight="1">
      <c r="A15782" s="11"/>
      <c r="B15782" s="11"/>
      <c r="C15782" s="11"/>
      <c r="D15782" s="10" t="s">
        <v>6630</v>
      </c>
    </row>
    <row r="15783" ht="30.0" customHeight="1">
      <c r="A15783" s="13" t="s">
        <v>2784</v>
      </c>
      <c r="B15783" s="10" t="s">
        <v>42</v>
      </c>
      <c r="C15783" s="10" t="s">
        <v>344</v>
      </c>
      <c r="D15783" s="10" t="s">
        <v>2785</v>
      </c>
      <c r="E15783" s="11"/>
      <c r="F15783" s="12">
        <f>ROUND(3.04*(1+G2/100),2)</f>
        <v>3.04</v>
      </c>
      <c r="G15783" s="11"/>
    </row>
    <row r="15784" ht="123.0" customHeight="1">
      <c r="A15784" s="11"/>
      <c r="B15784" s="11"/>
      <c r="C15784" s="11"/>
      <c r="D15784" s="10" t="s">
        <v>6631</v>
      </c>
    </row>
    <row r="15785" ht="30.0" customHeight="1">
      <c r="A15785" s="13" t="s">
        <v>4829</v>
      </c>
      <c r="B15785" s="10" t="s">
        <v>42</v>
      </c>
      <c r="C15785" s="10" t="s">
        <v>344</v>
      </c>
      <c r="D15785" s="10" t="s">
        <v>4830</v>
      </c>
      <c r="E15785" s="11"/>
      <c r="F15785" s="12">
        <f>ROUND(1.84*(1+G2/100),2)</f>
        <v>1.84</v>
      </c>
      <c r="G15785" s="11"/>
    </row>
    <row r="15786" ht="48.75" customHeight="1">
      <c r="A15786" s="11"/>
      <c r="B15786" s="11"/>
      <c r="C15786" s="11"/>
      <c r="D15786" s="10" t="s">
        <v>6632</v>
      </c>
    </row>
    <row r="15787" ht="30.0" customHeight="1">
      <c r="A15787" s="13" t="s">
        <v>6633</v>
      </c>
      <c r="B15787" s="10" t="s">
        <v>42</v>
      </c>
      <c r="C15787" s="10" t="s">
        <v>344</v>
      </c>
      <c r="D15787" s="10" t="s">
        <v>6634</v>
      </c>
      <c r="E15787" s="11"/>
      <c r="F15787" s="12">
        <f>ROUND(1.67*(1+G2/100),2)</f>
        <v>1.67</v>
      </c>
      <c r="G15787" s="11"/>
    </row>
    <row r="15788" ht="48.75" customHeight="1">
      <c r="A15788" s="11"/>
      <c r="B15788" s="11"/>
      <c r="C15788" s="11"/>
      <c r="D15788" s="10" t="s">
        <v>6635</v>
      </c>
    </row>
    <row r="15789" ht="21.0" customHeight="1">
      <c r="A15789" s="13" t="s">
        <v>2075</v>
      </c>
      <c r="B15789" s="10" t="s">
        <v>42</v>
      </c>
      <c r="C15789" s="10" t="s">
        <v>19</v>
      </c>
      <c r="D15789" s="10" t="s">
        <v>2076</v>
      </c>
      <c r="E15789" s="11"/>
      <c r="F15789" s="12">
        <f>ROUND(64.5*(1+G2/100),2)</f>
        <v>64.5</v>
      </c>
      <c r="G15789" s="11"/>
    </row>
    <row r="15790" ht="12.0" customHeight="1">
      <c r="A15790" s="11"/>
      <c r="B15790" s="11"/>
      <c r="C15790" s="11"/>
      <c r="D15790" s="10" t="s">
        <v>2076</v>
      </c>
    </row>
    <row r="15791" ht="30.0" customHeight="1">
      <c r="A15791" s="13" t="s">
        <v>6636</v>
      </c>
      <c r="B15791" s="10" t="s">
        <v>42</v>
      </c>
      <c r="C15791" s="10" t="s">
        <v>19</v>
      </c>
      <c r="D15791" s="10" t="s">
        <v>6637</v>
      </c>
      <c r="E15791" s="11"/>
      <c r="F15791" s="12">
        <f>ROUND(18.02*(1+G2/100),2)</f>
        <v>18.02</v>
      </c>
      <c r="G15791" s="11"/>
    </row>
    <row r="15792" ht="21.0" customHeight="1">
      <c r="A15792" s="11"/>
      <c r="B15792" s="11"/>
      <c r="C15792" s="11"/>
      <c r="D15792" s="10" t="s">
        <v>6638</v>
      </c>
    </row>
    <row r="15793" ht="30.0" customHeight="1">
      <c r="A15793" s="13" t="s">
        <v>6639</v>
      </c>
      <c r="B15793" s="10" t="s">
        <v>42</v>
      </c>
      <c r="C15793" s="10" t="s">
        <v>19</v>
      </c>
      <c r="D15793" s="10" t="s">
        <v>6640</v>
      </c>
      <c r="E15793" s="11"/>
      <c r="F15793" s="12">
        <f>ROUND(53.95*(1+G2/100),2)</f>
        <v>53.95</v>
      </c>
      <c r="G15793" s="11"/>
    </row>
    <row r="15794" ht="21.0" customHeight="1">
      <c r="A15794" s="11"/>
      <c r="B15794" s="11"/>
      <c r="C15794" s="11"/>
      <c r="D15794" s="10" t="s">
        <v>6640</v>
      </c>
    </row>
    <row r="15795" ht="48.75" customHeight="1">
      <c r="A15795" s="13" t="s">
        <v>6641</v>
      </c>
      <c r="B15795" s="10" t="s">
        <v>42</v>
      </c>
      <c r="C15795" s="10" t="s">
        <v>19</v>
      </c>
      <c r="D15795" s="10" t="s">
        <v>6642</v>
      </c>
      <c r="E15795" s="11"/>
      <c r="F15795" s="12">
        <f>ROUND(11.16*(1+G2/100),2)</f>
        <v>11.16</v>
      </c>
      <c r="G15795" s="11"/>
    </row>
    <row r="15796" ht="21.0" customHeight="1">
      <c r="A15796" s="11"/>
      <c r="B15796" s="11"/>
      <c r="C15796" s="11"/>
      <c r="D15796" s="10" t="s">
        <v>6643</v>
      </c>
    </row>
    <row r="15797" ht="39.75" customHeight="1">
      <c r="A15797" s="13" t="s">
        <v>4839</v>
      </c>
      <c r="B15797" s="10" t="s">
        <v>42</v>
      </c>
      <c r="C15797" s="10" t="s">
        <v>19</v>
      </c>
      <c r="D15797" s="10" t="s">
        <v>4840</v>
      </c>
      <c r="E15797" s="11"/>
      <c r="F15797" s="12">
        <f>ROUND(35.19*(1+G2/100),2)</f>
        <v>35.19</v>
      </c>
      <c r="G15797" s="11"/>
    </row>
    <row r="15798" ht="39.75" customHeight="1">
      <c r="A15798" s="11"/>
      <c r="B15798" s="11"/>
      <c r="C15798" s="11"/>
      <c r="D15798" s="10" t="s">
        <v>6644</v>
      </c>
    </row>
    <row r="15799" ht="39.75" customHeight="1">
      <c r="A15799" s="13" t="s">
        <v>2706</v>
      </c>
      <c r="B15799" s="10" t="s">
        <v>42</v>
      </c>
      <c r="C15799" s="10" t="s">
        <v>344</v>
      </c>
      <c r="D15799" s="10" t="s">
        <v>2707</v>
      </c>
      <c r="E15799" s="11"/>
      <c r="F15799" s="12">
        <f>ROUND(2.8*(1+G2/100),2)</f>
        <v>2.8</v>
      </c>
      <c r="G15799" s="11"/>
    </row>
    <row r="15800" ht="21.0" customHeight="1">
      <c r="A15800" s="11"/>
      <c r="B15800" s="11"/>
      <c r="C15800" s="11"/>
      <c r="D15800" s="10" t="s">
        <v>2707</v>
      </c>
    </row>
    <row r="15801" ht="15.0" customHeight="1">
      <c r="A15801" s="16"/>
      <c r="B15801" s="16"/>
      <c r="C15801" s="16"/>
      <c r="D15801" s="61" t="s">
        <v>6471</v>
      </c>
      <c r="E15801" s="62"/>
      <c r="F15801" s="62"/>
      <c r="G15801" s="62"/>
    </row>
    <row r="15802" ht="15.0" customHeight="1">
      <c r="A15802" s="34" t="s">
        <v>6645</v>
      </c>
      <c r="B15802" s="34" t="s">
        <v>10</v>
      </c>
      <c r="C15802" s="35"/>
      <c r="D15802" s="34" t="s">
        <v>6646</v>
      </c>
      <c r="E15802" s="35"/>
      <c r="F15802" s="35"/>
      <c r="G15802" s="35"/>
    </row>
    <row r="15803" ht="39.75" customHeight="1">
      <c r="A15803" s="13" t="s">
        <v>6647</v>
      </c>
      <c r="B15803" s="10" t="s">
        <v>42</v>
      </c>
      <c r="C15803" s="10" t="s">
        <v>344</v>
      </c>
      <c r="D15803" s="10" t="s">
        <v>6648</v>
      </c>
      <c r="E15803" s="11"/>
      <c r="F15803" s="12">
        <f>ROUND(23.56*(1+G2/100),2)</f>
        <v>23.56</v>
      </c>
      <c r="G15803" s="11"/>
    </row>
    <row r="15804" ht="57.75" customHeight="1">
      <c r="A15804" s="11"/>
      <c r="B15804" s="11"/>
      <c r="C15804" s="11"/>
      <c r="D15804" s="10" t="s">
        <v>6649</v>
      </c>
    </row>
    <row r="15805" ht="30.0" customHeight="1">
      <c r="A15805" s="13" t="s">
        <v>6650</v>
      </c>
      <c r="B15805" s="10" t="s">
        <v>42</v>
      </c>
      <c r="C15805" s="10" t="s">
        <v>231</v>
      </c>
      <c r="D15805" s="10" t="s">
        <v>6651</v>
      </c>
      <c r="E15805" s="11"/>
      <c r="F15805" s="12">
        <f>ROUND(15.47*(1+G2/100),2)</f>
        <v>15.47</v>
      </c>
      <c r="G15805" s="11"/>
    </row>
    <row r="15806" ht="21.0" customHeight="1">
      <c r="A15806" s="11"/>
      <c r="B15806" s="11"/>
      <c r="C15806" s="11"/>
      <c r="D15806" s="10" t="s">
        <v>6652</v>
      </c>
    </row>
    <row r="15807" ht="30.0" customHeight="1">
      <c r="A15807" s="13" t="s">
        <v>6653</v>
      </c>
      <c r="B15807" s="10" t="s">
        <v>42</v>
      </c>
      <c r="C15807" s="10" t="s">
        <v>344</v>
      </c>
      <c r="D15807" s="10" t="s">
        <v>6654</v>
      </c>
      <c r="E15807" s="11"/>
      <c r="F15807" s="12">
        <f>ROUND(19.24*(1+G2/100),2)</f>
        <v>19.24</v>
      </c>
      <c r="G15807" s="11"/>
    </row>
    <row r="15808" ht="21.0" customHeight="1">
      <c r="A15808" s="11"/>
      <c r="B15808" s="11"/>
      <c r="C15808" s="11"/>
      <c r="D15808" s="10" t="s">
        <v>6654</v>
      </c>
    </row>
    <row r="15809" ht="30.0" customHeight="1">
      <c r="A15809" s="13" t="s">
        <v>6655</v>
      </c>
      <c r="B15809" s="10" t="s">
        <v>42</v>
      </c>
      <c r="C15809" s="10" t="s">
        <v>344</v>
      </c>
      <c r="D15809" s="10" t="s">
        <v>6656</v>
      </c>
      <c r="E15809" s="11"/>
      <c r="F15809" s="12">
        <f>ROUND(9.6*(1+G2/100),2)</f>
        <v>9.6</v>
      </c>
      <c r="G15809" s="11"/>
    </row>
    <row r="15810" ht="12.0" customHeight="1">
      <c r="A15810" s="11"/>
      <c r="B15810" s="11"/>
      <c r="C15810" s="11"/>
      <c r="D15810" s="10" t="s">
        <v>6656</v>
      </c>
    </row>
    <row r="15811" ht="15.0" customHeight="1">
      <c r="A15811" s="16"/>
      <c r="B15811" s="16"/>
      <c r="C15811" s="16"/>
      <c r="D15811" s="61" t="s">
        <v>6645</v>
      </c>
      <c r="E15811" s="62"/>
      <c r="F15811" s="62"/>
      <c r="G15811" s="62"/>
    </row>
    <row r="15812" ht="24.75" customHeight="1">
      <c r="A15812" s="34" t="s">
        <v>6657</v>
      </c>
      <c r="B15812" s="34" t="s">
        <v>10</v>
      </c>
      <c r="C15812" s="35"/>
      <c r="D15812" s="34" t="s">
        <v>6658</v>
      </c>
      <c r="E15812" s="35"/>
      <c r="F15812" s="35"/>
      <c r="G15812" s="35"/>
    </row>
    <row r="15813" ht="30.0" customHeight="1">
      <c r="A15813" s="13" t="s">
        <v>6659</v>
      </c>
      <c r="B15813" s="10" t="s">
        <v>42</v>
      </c>
      <c r="C15813" s="10" t="s">
        <v>19</v>
      </c>
      <c r="D15813" s="10" t="s">
        <v>6660</v>
      </c>
      <c r="E15813" s="11"/>
      <c r="F15813" s="12">
        <f>ROUND(95*(1+G2/100),2)</f>
        <v>95</v>
      </c>
      <c r="G15813" s="11"/>
    </row>
    <row r="15814" ht="12.0" customHeight="1">
      <c r="A15814" s="11"/>
      <c r="B15814" s="11"/>
      <c r="C15814" s="11"/>
      <c r="D15814" s="10" t="s">
        <v>6660</v>
      </c>
    </row>
    <row r="15815" ht="30.0" customHeight="1">
      <c r="A15815" s="13" t="s">
        <v>6661</v>
      </c>
      <c r="B15815" s="10" t="s">
        <v>42</v>
      </c>
      <c r="C15815" s="10" t="s">
        <v>6662</v>
      </c>
      <c r="D15815" s="10" t="s">
        <v>6663</v>
      </c>
      <c r="E15815" s="11"/>
      <c r="F15815" s="12">
        <f>ROUND(159.04*(1+G2/100),2)</f>
        <v>159.04</v>
      </c>
      <c r="G15815" s="11"/>
    </row>
    <row r="15816" ht="150.0" customHeight="1">
      <c r="A15816" s="11"/>
      <c r="B15816" s="11"/>
      <c r="C15816" s="11"/>
      <c r="D15816" s="10" t="s">
        <v>6664</v>
      </c>
    </row>
    <row r="15817" ht="30.0" customHeight="1">
      <c r="A15817" s="13" t="s">
        <v>6665</v>
      </c>
      <c r="B15817" s="10" t="s">
        <v>42</v>
      </c>
      <c r="C15817" s="10" t="s">
        <v>6662</v>
      </c>
      <c r="D15817" s="10" t="s">
        <v>6666</v>
      </c>
      <c r="E15817" s="11"/>
      <c r="F15817" s="12">
        <f>ROUND(188.6*(1+G2/100),2)</f>
        <v>188.6</v>
      </c>
      <c r="G15817" s="11"/>
    </row>
    <row r="15818" ht="150.0" customHeight="1">
      <c r="A15818" s="11"/>
      <c r="B15818" s="11"/>
      <c r="C15818" s="11"/>
      <c r="D15818" s="10" t="s">
        <v>6667</v>
      </c>
    </row>
    <row r="15819" ht="30.0" customHeight="1">
      <c r="A15819" s="13" t="s">
        <v>6668</v>
      </c>
      <c r="B15819" s="10" t="s">
        <v>42</v>
      </c>
      <c r="C15819" s="10" t="s">
        <v>6662</v>
      </c>
      <c r="D15819" s="10" t="s">
        <v>6669</v>
      </c>
      <c r="E15819" s="11"/>
      <c r="F15819" s="12">
        <f>ROUND(208.59*(1+G2/100),2)</f>
        <v>208.59</v>
      </c>
      <c r="G15819" s="11"/>
    </row>
    <row r="15820" ht="150.0" customHeight="1">
      <c r="A15820" s="11"/>
      <c r="B15820" s="11"/>
      <c r="C15820" s="11"/>
      <c r="D15820" s="10" t="s">
        <v>6670</v>
      </c>
    </row>
    <row r="15821" ht="15.0" customHeight="1">
      <c r="A15821" s="16"/>
      <c r="B15821" s="16"/>
      <c r="C15821" s="16"/>
      <c r="D15821" s="61" t="s">
        <v>6657</v>
      </c>
      <c r="E15821" s="62"/>
      <c r="F15821" s="62"/>
      <c r="G15821" s="62"/>
    </row>
    <row r="15822" ht="31.5" customHeight="1">
      <c r="A15822" s="34" t="s">
        <v>6671</v>
      </c>
      <c r="B15822" s="34" t="s">
        <v>10</v>
      </c>
      <c r="C15822" s="35"/>
      <c r="D15822" s="34" t="s">
        <v>6672</v>
      </c>
      <c r="E15822" s="35"/>
      <c r="F15822" s="35"/>
      <c r="G15822" s="35"/>
    </row>
    <row r="15823" ht="30.0" customHeight="1">
      <c r="A15823" s="13" t="s">
        <v>6673</v>
      </c>
      <c r="B15823" s="10" t="s">
        <v>42</v>
      </c>
      <c r="C15823" s="10" t="s">
        <v>226</v>
      </c>
      <c r="D15823" s="10" t="s">
        <v>6674</v>
      </c>
      <c r="E15823" s="11"/>
      <c r="F15823" s="12">
        <f>ROUND(3.86*(1+G2/100),2)</f>
        <v>3.86</v>
      </c>
      <c r="G15823" s="11"/>
    </row>
    <row r="15824" ht="12.0" customHeight="1">
      <c r="A15824" s="11"/>
      <c r="B15824" s="11"/>
      <c r="C15824" s="11"/>
      <c r="D15824" s="10" t="s">
        <v>6674</v>
      </c>
    </row>
    <row r="15825" ht="30.0" customHeight="1">
      <c r="A15825" s="13" t="s">
        <v>6675</v>
      </c>
      <c r="B15825" s="10" t="s">
        <v>42</v>
      </c>
      <c r="C15825" s="10" t="s">
        <v>344</v>
      </c>
      <c r="D15825" s="10" t="s">
        <v>6676</v>
      </c>
      <c r="E15825" s="11"/>
      <c r="F15825" s="12">
        <f>ROUND(4.98*(1+G2/100),2)</f>
        <v>4.98</v>
      </c>
      <c r="G15825" s="11"/>
    </row>
    <row r="15826" ht="21.0" customHeight="1">
      <c r="A15826" s="11"/>
      <c r="B15826" s="11"/>
      <c r="C15826" s="11"/>
      <c r="D15826" s="10" t="s">
        <v>6676</v>
      </c>
    </row>
    <row r="15827" ht="30.0" customHeight="1">
      <c r="A15827" s="13" t="s">
        <v>6677</v>
      </c>
      <c r="B15827" s="10" t="s">
        <v>42</v>
      </c>
      <c r="C15827" s="10" t="s">
        <v>485</v>
      </c>
      <c r="D15827" s="10" t="s">
        <v>6678</v>
      </c>
      <c r="E15827" s="11"/>
      <c r="F15827" s="12">
        <f>ROUND(1.57*(1+G2/100),2)</f>
        <v>1.57</v>
      </c>
      <c r="G15827" s="11"/>
    </row>
    <row r="15828" ht="21.0" customHeight="1">
      <c r="A15828" s="11"/>
      <c r="B15828" s="11"/>
      <c r="C15828" s="11"/>
      <c r="D15828" s="10" t="s">
        <v>6678</v>
      </c>
    </row>
    <row r="15829" ht="30.0" customHeight="1">
      <c r="A15829" s="13" t="s">
        <v>6679</v>
      </c>
      <c r="B15829" s="10" t="s">
        <v>42</v>
      </c>
      <c r="C15829" s="10" t="s">
        <v>485</v>
      </c>
      <c r="D15829" s="10" t="s">
        <v>6680</v>
      </c>
      <c r="E15829" s="11"/>
      <c r="F15829" s="12">
        <f>ROUND(4.16*(1+G2/100),2)</f>
        <v>4.16</v>
      </c>
      <c r="G15829" s="11"/>
    </row>
    <row r="15830" ht="21.0" customHeight="1">
      <c r="A15830" s="11"/>
      <c r="B15830" s="11"/>
      <c r="C15830" s="11"/>
      <c r="D15830" s="10" t="s">
        <v>6680</v>
      </c>
    </row>
    <row r="15831" ht="57.75" customHeight="1">
      <c r="A15831" s="13" t="s">
        <v>6681</v>
      </c>
      <c r="B15831" s="10" t="s">
        <v>42</v>
      </c>
      <c r="C15831" s="10" t="s">
        <v>344</v>
      </c>
      <c r="D15831" s="10" t="s">
        <v>6682</v>
      </c>
      <c r="E15831" s="11"/>
      <c r="F15831" s="12">
        <f>ROUND(19.97*(1+G2/100),2)</f>
        <v>19.97</v>
      </c>
      <c r="G15831" s="11"/>
    </row>
    <row r="15832" ht="30.0" customHeight="1">
      <c r="A15832" s="11"/>
      <c r="B15832" s="11"/>
      <c r="C15832" s="11"/>
      <c r="D15832" s="10" t="s">
        <v>6682</v>
      </c>
    </row>
    <row r="15833" ht="57.75" customHeight="1">
      <c r="A15833" s="13" t="s">
        <v>6683</v>
      </c>
      <c r="B15833" s="10" t="s">
        <v>42</v>
      </c>
      <c r="C15833" s="10" t="s">
        <v>344</v>
      </c>
      <c r="D15833" s="10" t="s">
        <v>6684</v>
      </c>
      <c r="E15833" s="11"/>
      <c r="F15833" s="12">
        <f>ROUND(17.22*(1+G2/100),2)</f>
        <v>17.22</v>
      </c>
      <c r="G15833" s="11"/>
    </row>
    <row r="15834" ht="30.0" customHeight="1">
      <c r="A15834" s="11"/>
      <c r="B15834" s="11"/>
      <c r="C15834" s="11"/>
      <c r="D15834" s="10" t="s">
        <v>6684</v>
      </c>
    </row>
    <row r="15835" ht="57.75" customHeight="1">
      <c r="A15835" s="13" t="s">
        <v>6685</v>
      </c>
      <c r="B15835" s="10" t="s">
        <v>42</v>
      </c>
      <c r="C15835" s="10" t="s">
        <v>344</v>
      </c>
      <c r="D15835" s="10" t="s">
        <v>6686</v>
      </c>
      <c r="E15835" s="11"/>
      <c r="F15835" s="12">
        <f>ROUND(19.36*(1+G2/100),2)</f>
        <v>19.36</v>
      </c>
      <c r="G15835" s="11"/>
    </row>
    <row r="15836" ht="30.0" customHeight="1">
      <c r="A15836" s="11"/>
      <c r="B15836" s="11"/>
      <c r="C15836" s="11"/>
      <c r="D15836" s="10" t="s">
        <v>6686</v>
      </c>
    </row>
    <row r="15837" ht="57.75" customHeight="1">
      <c r="A15837" s="13" t="s">
        <v>6687</v>
      </c>
      <c r="B15837" s="10" t="s">
        <v>42</v>
      </c>
      <c r="C15837" s="10" t="s">
        <v>344</v>
      </c>
      <c r="D15837" s="10" t="s">
        <v>6688</v>
      </c>
      <c r="E15837" s="11"/>
      <c r="F15837" s="12">
        <f>ROUND(20.55*(1+G2/100),2)</f>
        <v>20.55</v>
      </c>
      <c r="G15837" s="11"/>
    </row>
    <row r="15838" ht="30.0" customHeight="1">
      <c r="A15838" s="11"/>
      <c r="B15838" s="11"/>
      <c r="C15838" s="11"/>
      <c r="D15838" s="10" t="s">
        <v>6689</v>
      </c>
    </row>
    <row r="15839" ht="39.75" customHeight="1">
      <c r="A15839" s="13" t="s">
        <v>2533</v>
      </c>
      <c r="B15839" s="10" t="s">
        <v>42</v>
      </c>
      <c r="C15839" s="10" t="s">
        <v>2534</v>
      </c>
      <c r="D15839" s="10" t="s">
        <v>2535</v>
      </c>
      <c r="E15839" s="11"/>
      <c r="F15839" s="12">
        <f>ROUND(88.43*(1+G2/100),2)</f>
        <v>88.43</v>
      </c>
      <c r="G15839" s="11"/>
    </row>
    <row r="15840" ht="48.75" customHeight="1">
      <c r="A15840" s="11"/>
      <c r="B15840" s="11"/>
      <c r="C15840" s="11"/>
      <c r="D15840" s="10" t="s">
        <v>6690</v>
      </c>
    </row>
    <row r="15841" ht="30.0" customHeight="1">
      <c r="A15841" s="13" t="s">
        <v>2681</v>
      </c>
      <c r="B15841" s="10" t="s">
        <v>42</v>
      </c>
      <c r="C15841" s="10" t="s">
        <v>344</v>
      </c>
      <c r="D15841" s="10" t="s">
        <v>2682</v>
      </c>
      <c r="E15841" s="11"/>
      <c r="F15841" s="12">
        <f>ROUND(6.6*(1+G2/100),2)</f>
        <v>6.6</v>
      </c>
      <c r="G15841" s="11"/>
    </row>
    <row r="15842" ht="67.5" customHeight="1">
      <c r="A15842" s="11"/>
      <c r="B15842" s="11"/>
      <c r="C15842" s="11"/>
      <c r="D15842" s="10" t="s">
        <v>6691</v>
      </c>
    </row>
    <row r="15843" ht="30.0" customHeight="1">
      <c r="A15843" s="13" t="s">
        <v>2685</v>
      </c>
      <c r="B15843" s="10" t="s">
        <v>42</v>
      </c>
      <c r="C15843" s="10" t="s">
        <v>344</v>
      </c>
      <c r="D15843" s="10" t="s">
        <v>2686</v>
      </c>
      <c r="E15843" s="11"/>
      <c r="F15843" s="12">
        <f>ROUND(4.04*(1+G2/100),2)</f>
        <v>4.04</v>
      </c>
      <c r="G15843" s="11"/>
    </row>
    <row r="15844" ht="67.5" customHeight="1">
      <c r="A15844" s="11"/>
      <c r="B15844" s="11"/>
      <c r="C15844" s="11"/>
      <c r="D15844" s="10" t="s">
        <v>6692</v>
      </c>
    </row>
    <row r="15845" ht="30.0" customHeight="1">
      <c r="A15845" s="13" t="s">
        <v>2677</v>
      </c>
      <c r="B15845" s="10" t="s">
        <v>42</v>
      </c>
      <c r="C15845" s="10" t="s">
        <v>344</v>
      </c>
      <c r="D15845" s="10" t="s">
        <v>2678</v>
      </c>
      <c r="E15845" s="11"/>
      <c r="F15845" s="12">
        <f>ROUND(6.03*(1+G2/100),2)</f>
        <v>6.03</v>
      </c>
      <c r="G15845" s="11"/>
    </row>
    <row r="15846" ht="67.5" customHeight="1">
      <c r="A15846" s="11"/>
      <c r="B15846" s="11"/>
      <c r="C15846" s="11"/>
      <c r="D15846" s="10" t="s">
        <v>6693</v>
      </c>
    </row>
    <row r="15847" ht="30.0" customHeight="1">
      <c r="A15847" s="13" t="s">
        <v>6694</v>
      </c>
      <c r="B15847" s="10" t="s">
        <v>42</v>
      </c>
      <c r="C15847" s="10" t="s">
        <v>231</v>
      </c>
      <c r="D15847" s="10" t="s">
        <v>6695</v>
      </c>
      <c r="E15847" s="11"/>
      <c r="F15847" s="12">
        <f>ROUND(214.05*(1+G2/100),2)</f>
        <v>214.05</v>
      </c>
      <c r="G15847" s="11"/>
    </row>
    <row r="15848" ht="76.5" customHeight="1">
      <c r="A15848" s="11"/>
      <c r="B15848" s="11"/>
      <c r="C15848" s="11"/>
      <c r="D15848" s="10" t="s">
        <v>6696</v>
      </c>
    </row>
    <row r="15849" ht="30.0" customHeight="1">
      <c r="A15849" s="13" t="s">
        <v>6697</v>
      </c>
      <c r="B15849" s="10" t="s">
        <v>42</v>
      </c>
      <c r="C15849" s="10" t="s">
        <v>231</v>
      </c>
      <c r="D15849" s="10" t="s">
        <v>6698</v>
      </c>
      <c r="E15849" s="11"/>
      <c r="F15849" s="12">
        <f>ROUND(214.05*(1+G2/100),2)</f>
        <v>214.05</v>
      </c>
      <c r="G15849" s="11"/>
    </row>
    <row r="15850" ht="76.5" customHeight="1">
      <c r="A15850" s="11"/>
      <c r="B15850" s="11"/>
      <c r="C15850" s="11"/>
      <c r="D15850" s="10" t="s">
        <v>6699</v>
      </c>
    </row>
    <row r="15851" ht="30.0" customHeight="1">
      <c r="A15851" s="13" t="s">
        <v>6700</v>
      </c>
      <c r="B15851" s="10" t="s">
        <v>42</v>
      </c>
      <c r="C15851" s="10" t="s">
        <v>231</v>
      </c>
      <c r="D15851" s="10" t="s">
        <v>6701</v>
      </c>
      <c r="E15851" s="11"/>
      <c r="F15851" s="12">
        <f>ROUND(214.05*(1+G2/100),2)</f>
        <v>214.05</v>
      </c>
      <c r="G15851" s="11"/>
    </row>
    <row r="15852" ht="76.5" customHeight="1">
      <c r="A15852" s="11"/>
      <c r="B15852" s="11"/>
      <c r="C15852" s="11"/>
      <c r="D15852" s="10" t="s">
        <v>6702</v>
      </c>
    </row>
    <row r="15853" ht="30.0" customHeight="1">
      <c r="A15853" s="13" t="s">
        <v>6703</v>
      </c>
      <c r="B15853" s="10" t="s">
        <v>42</v>
      </c>
      <c r="C15853" s="10" t="s">
        <v>4401</v>
      </c>
      <c r="D15853" s="10" t="s">
        <v>6704</v>
      </c>
      <c r="E15853" s="11"/>
      <c r="F15853" s="12">
        <f>ROUND(247.11*(1+G2/100),2)</f>
        <v>247.11</v>
      </c>
      <c r="G15853" s="11"/>
    </row>
    <row r="15854" ht="21.0" customHeight="1">
      <c r="A15854" s="11"/>
      <c r="B15854" s="11"/>
      <c r="C15854" s="11"/>
      <c r="D15854" s="10" t="s">
        <v>6704</v>
      </c>
    </row>
    <row r="15855" ht="39.75" customHeight="1">
      <c r="A15855" s="13" t="s">
        <v>2549</v>
      </c>
      <c r="B15855" s="10" t="s">
        <v>42</v>
      </c>
      <c r="C15855" s="10" t="s">
        <v>231</v>
      </c>
      <c r="D15855" s="10" t="s">
        <v>2550</v>
      </c>
      <c r="E15855" s="11"/>
      <c r="F15855" s="12">
        <f>ROUND(109.51*(1+G2/100),2)</f>
        <v>109.51</v>
      </c>
      <c r="G15855" s="11"/>
    </row>
    <row r="15856" ht="95.25" customHeight="1">
      <c r="A15856" s="11"/>
      <c r="B15856" s="11"/>
      <c r="C15856" s="11"/>
      <c r="D15856" s="10" t="s">
        <v>6705</v>
      </c>
    </row>
    <row r="15857" ht="48.75" customHeight="1">
      <c r="A15857" s="13" t="s">
        <v>6706</v>
      </c>
      <c r="B15857" s="10" t="s">
        <v>42</v>
      </c>
      <c r="C15857" s="10" t="s">
        <v>344</v>
      </c>
      <c r="D15857" s="10" t="s">
        <v>6707</v>
      </c>
      <c r="E15857" s="11"/>
      <c r="F15857" s="12">
        <f>ROUND(19.01*(1+G2/100),2)</f>
        <v>19.01</v>
      </c>
      <c r="G15857" s="11"/>
    </row>
    <row r="15858" ht="30.0" customHeight="1">
      <c r="A15858" s="11"/>
      <c r="B15858" s="11"/>
      <c r="C15858" s="11"/>
      <c r="D15858" s="10" t="s">
        <v>6708</v>
      </c>
    </row>
    <row r="15859" ht="48.75" customHeight="1">
      <c r="A15859" s="13" t="s">
        <v>6709</v>
      </c>
      <c r="B15859" s="10" t="s">
        <v>42</v>
      </c>
      <c r="C15859" s="10" t="s">
        <v>344</v>
      </c>
      <c r="D15859" s="10" t="s">
        <v>6710</v>
      </c>
      <c r="E15859" s="11"/>
      <c r="F15859" s="12">
        <f>ROUND(39.59*(1+G2/100),2)</f>
        <v>39.59</v>
      </c>
      <c r="G15859" s="11"/>
    </row>
    <row r="15860" ht="30.0" customHeight="1">
      <c r="A15860" s="11"/>
      <c r="B15860" s="11"/>
      <c r="C15860" s="11"/>
      <c r="D15860" s="10" t="s">
        <v>6711</v>
      </c>
    </row>
    <row r="15861" ht="15.0" customHeight="1">
      <c r="A15861" s="16"/>
      <c r="B15861" s="16"/>
      <c r="C15861" s="16"/>
      <c r="D15861" s="61" t="s">
        <v>6671</v>
      </c>
      <c r="E15861" s="62"/>
      <c r="F15861" s="62"/>
      <c r="G15861" s="62"/>
    </row>
    <row r="15862" ht="24.75" customHeight="1">
      <c r="A15862" s="34" t="s">
        <v>6712</v>
      </c>
      <c r="B15862" s="34" t="s">
        <v>10</v>
      </c>
      <c r="C15862" s="35"/>
      <c r="D15862" s="34" t="s">
        <v>6713</v>
      </c>
      <c r="E15862" s="35"/>
      <c r="F15862" s="35"/>
      <c r="G15862" s="35"/>
    </row>
    <row r="15863" ht="39.75" customHeight="1">
      <c r="A15863" s="13" t="s">
        <v>6714</v>
      </c>
      <c r="B15863" s="10" t="s">
        <v>42</v>
      </c>
      <c r="C15863" s="10" t="s">
        <v>231</v>
      </c>
      <c r="D15863" s="10" t="s">
        <v>6715</v>
      </c>
      <c r="E15863" s="11"/>
      <c r="F15863" s="12">
        <f>ROUND(188.52*(1+G2/100),2)</f>
        <v>188.52</v>
      </c>
      <c r="G15863" s="11"/>
    </row>
    <row r="15864" ht="150.0" customHeight="1">
      <c r="A15864" s="11"/>
      <c r="B15864" s="11"/>
      <c r="C15864" s="11"/>
      <c r="D15864" s="10" t="s">
        <v>6716</v>
      </c>
    </row>
    <row r="15865" ht="39.75" customHeight="1">
      <c r="A15865" s="13" t="s">
        <v>6717</v>
      </c>
      <c r="B15865" s="10" t="s">
        <v>42</v>
      </c>
      <c r="C15865" s="10" t="s">
        <v>231</v>
      </c>
      <c r="D15865" s="10" t="s">
        <v>6718</v>
      </c>
      <c r="E15865" s="11"/>
      <c r="F15865" s="12">
        <f>ROUND(98.35*(1+G2/100),2)</f>
        <v>98.35</v>
      </c>
      <c r="G15865" s="11"/>
    </row>
    <row r="15866" ht="76.5" customHeight="1">
      <c r="A15866" s="11"/>
      <c r="B15866" s="11"/>
      <c r="C15866" s="11"/>
      <c r="D15866" s="10" t="s">
        <v>6719</v>
      </c>
    </row>
    <row r="15867" ht="39.75" customHeight="1">
      <c r="A15867" s="13" t="s">
        <v>6720</v>
      </c>
      <c r="B15867" s="10" t="s">
        <v>42</v>
      </c>
      <c r="C15867" s="10" t="s">
        <v>231</v>
      </c>
      <c r="D15867" s="10" t="s">
        <v>6721</v>
      </c>
      <c r="E15867" s="11"/>
      <c r="F15867" s="12">
        <f>ROUND(395.06*(1+G2/100),2)</f>
        <v>395.06</v>
      </c>
      <c r="G15867" s="11"/>
    </row>
    <row r="15868" ht="150.0" customHeight="1">
      <c r="A15868" s="11"/>
      <c r="B15868" s="11"/>
      <c r="C15868" s="11"/>
      <c r="D15868" s="10" t="s">
        <v>6722</v>
      </c>
    </row>
    <row r="15869" ht="39.75" customHeight="1">
      <c r="A15869" s="13" t="s">
        <v>6723</v>
      </c>
      <c r="B15869" s="10" t="s">
        <v>42</v>
      </c>
      <c r="C15869" s="10" t="s">
        <v>231</v>
      </c>
      <c r="D15869" s="10" t="s">
        <v>6724</v>
      </c>
      <c r="E15869" s="11"/>
      <c r="F15869" s="12">
        <f>ROUND(308.53*(1+G2/100),2)</f>
        <v>308.53</v>
      </c>
      <c r="G15869" s="11"/>
    </row>
    <row r="15870" ht="150.0" customHeight="1">
      <c r="A15870" s="11"/>
      <c r="B15870" s="11"/>
      <c r="C15870" s="11"/>
      <c r="D15870" s="10" t="s">
        <v>6725</v>
      </c>
    </row>
    <row r="15871" ht="15.0" customHeight="1">
      <c r="A15871" s="16"/>
      <c r="B15871" s="16"/>
      <c r="C15871" s="16"/>
      <c r="D15871" s="61" t="s">
        <v>6712</v>
      </c>
      <c r="E15871" s="62"/>
      <c r="F15871" s="62"/>
      <c r="G15871" s="62"/>
    </row>
    <row r="15872" ht="24.75" customHeight="1">
      <c r="A15872" s="34" t="s">
        <v>6726</v>
      </c>
      <c r="B15872" s="34" t="s">
        <v>10</v>
      </c>
      <c r="C15872" s="35"/>
      <c r="D15872" s="34" t="s">
        <v>6727</v>
      </c>
      <c r="E15872" s="35"/>
      <c r="F15872" s="35"/>
      <c r="G15872" s="35"/>
    </row>
    <row r="15873" ht="30.0" customHeight="1">
      <c r="A15873" s="13" t="s">
        <v>3950</v>
      </c>
      <c r="B15873" s="10" t="s">
        <v>42</v>
      </c>
      <c r="C15873" s="10" t="s">
        <v>330</v>
      </c>
      <c r="D15873" s="10" t="s">
        <v>3951</v>
      </c>
      <c r="E15873" s="11"/>
      <c r="F15873" s="12">
        <f>ROUND(2.43*(1+G2/100),2)</f>
        <v>2.43</v>
      </c>
      <c r="G15873" s="11"/>
    </row>
    <row r="15874" ht="21.0" customHeight="1">
      <c r="A15874" s="11"/>
      <c r="B15874" s="11"/>
      <c r="C15874" s="11"/>
      <c r="D15874" s="10" t="s">
        <v>3951</v>
      </c>
    </row>
    <row r="15875" ht="30.0" customHeight="1">
      <c r="A15875" s="13" t="s">
        <v>1745</v>
      </c>
      <c r="B15875" s="10" t="s">
        <v>42</v>
      </c>
      <c r="C15875" s="10" t="s">
        <v>330</v>
      </c>
      <c r="D15875" s="10" t="s">
        <v>1746</v>
      </c>
      <c r="E15875" s="11"/>
      <c r="F15875" s="12">
        <f>ROUND(7.93*(1+G2/100),2)</f>
        <v>7.93</v>
      </c>
      <c r="G15875" s="11"/>
    </row>
    <row r="15876" ht="21.0" customHeight="1">
      <c r="A15876" s="11"/>
      <c r="B15876" s="11"/>
      <c r="C15876" s="11"/>
      <c r="D15876" s="10" t="s">
        <v>6728</v>
      </c>
    </row>
    <row r="15877" ht="30.0" customHeight="1">
      <c r="A15877" s="13" t="s">
        <v>6729</v>
      </c>
      <c r="B15877" s="10" t="s">
        <v>42</v>
      </c>
      <c r="C15877" s="10" t="s">
        <v>330</v>
      </c>
      <c r="D15877" s="10" t="s">
        <v>6730</v>
      </c>
      <c r="E15877" s="11"/>
      <c r="F15877" s="12">
        <f>ROUND(4.03*(1+G2/100),2)</f>
        <v>4.03</v>
      </c>
      <c r="G15877" s="11"/>
    </row>
    <row r="15878" ht="85.5" customHeight="1">
      <c r="A15878" s="11"/>
      <c r="B15878" s="11"/>
      <c r="C15878" s="11"/>
      <c r="D15878" s="10" t="s">
        <v>6731</v>
      </c>
    </row>
    <row r="15879" ht="30.0" customHeight="1">
      <c r="A15879" s="13" t="s">
        <v>6732</v>
      </c>
      <c r="B15879" s="10" t="s">
        <v>42</v>
      </c>
      <c r="C15879" s="10" t="s">
        <v>330</v>
      </c>
      <c r="D15879" s="10" t="s">
        <v>6733</v>
      </c>
      <c r="E15879" s="11"/>
      <c r="F15879" s="12">
        <f>ROUND(4.5*(1+G2/100),2)</f>
        <v>4.5</v>
      </c>
      <c r="G15879" s="11"/>
    </row>
    <row r="15880" ht="85.5" customHeight="1">
      <c r="A15880" s="11"/>
      <c r="B15880" s="11"/>
      <c r="C15880" s="11"/>
      <c r="D15880" s="10" t="s">
        <v>6734</v>
      </c>
    </row>
    <row r="15881" ht="30.0" customHeight="1">
      <c r="A15881" s="13" t="s">
        <v>1378</v>
      </c>
      <c r="B15881" s="10" t="s">
        <v>42</v>
      </c>
      <c r="C15881" s="10" t="s">
        <v>330</v>
      </c>
      <c r="D15881" s="10" t="s">
        <v>1379</v>
      </c>
      <c r="E15881" s="11"/>
      <c r="F15881" s="12">
        <f>ROUND(6.14*(1+G2/100),2)</f>
        <v>6.14</v>
      </c>
      <c r="G15881" s="11"/>
    </row>
    <row r="15882" ht="76.5" customHeight="1">
      <c r="A15882" s="11"/>
      <c r="B15882" s="11"/>
      <c r="C15882" s="11"/>
      <c r="D15882" s="10" t="s">
        <v>6735</v>
      </c>
    </row>
    <row r="15883" ht="30.0" customHeight="1">
      <c r="A15883" s="13" t="s">
        <v>3120</v>
      </c>
      <c r="B15883" s="10" t="s">
        <v>42</v>
      </c>
      <c r="C15883" s="10" t="s">
        <v>344</v>
      </c>
      <c r="D15883" s="10" t="s">
        <v>3121</v>
      </c>
      <c r="E15883" s="11"/>
      <c r="F15883" s="12">
        <f>ROUND(0.48*(1+G2/100),2)</f>
        <v>0.48</v>
      </c>
      <c r="G15883" s="11"/>
    </row>
    <row r="15884" ht="21.0" customHeight="1">
      <c r="A15884" s="11"/>
      <c r="B15884" s="11"/>
      <c r="C15884" s="11"/>
      <c r="D15884" s="10" t="s">
        <v>6736</v>
      </c>
    </row>
    <row r="15885" ht="39.75" customHeight="1">
      <c r="A15885" s="13" t="s">
        <v>6737</v>
      </c>
      <c r="B15885" s="10" t="s">
        <v>42</v>
      </c>
      <c r="C15885" s="10" t="s">
        <v>344</v>
      </c>
      <c r="D15885" s="10" t="s">
        <v>6738</v>
      </c>
      <c r="E15885" s="11"/>
      <c r="F15885" s="12">
        <f>ROUND(0.55*(1+G2/100),2)</f>
        <v>0.55</v>
      </c>
      <c r="G15885" s="11"/>
    </row>
    <row r="15886" ht="39.75" customHeight="1">
      <c r="A15886" s="11"/>
      <c r="B15886" s="11"/>
      <c r="C15886" s="11"/>
      <c r="D15886" s="10" t="s">
        <v>6739</v>
      </c>
    </row>
    <row r="15887" ht="30.0" customHeight="1">
      <c r="A15887" s="13" t="s">
        <v>6740</v>
      </c>
      <c r="B15887" s="10" t="s">
        <v>42</v>
      </c>
      <c r="C15887" s="10" t="s">
        <v>344</v>
      </c>
      <c r="D15887" s="10" t="s">
        <v>6741</v>
      </c>
      <c r="E15887" s="11"/>
      <c r="F15887" s="12">
        <f>ROUND(3.99*(1+G2/100),2)</f>
        <v>3.99</v>
      </c>
      <c r="G15887" s="11"/>
    </row>
    <row r="15888" ht="21.0" customHeight="1">
      <c r="A15888" s="11"/>
      <c r="B15888" s="11"/>
      <c r="C15888" s="11"/>
      <c r="D15888" s="10" t="s">
        <v>6742</v>
      </c>
    </row>
    <row r="15889" ht="30.0" customHeight="1">
      <c r="A15889" s="13" t="s">
        <v>3240</v>
      </c>
      <c r="B15889" s="10" t="s">
        <v>42</v>
      </c>
      <c r="C15889" s="10" t="s">
        <v>344</v>
      </c>
      <c r="D15889" s="10" t="s">
        <v>3241</v>
      </c>
      <c r="E15889" s="11"/>
      <c r="F15889" s="12">
        <f>ROUND(0.95*(1+G2/100),2)</f>
        <v>0.95</v>
      </c>
      <c r="G15889" s="11"/>
    </row>
    <row r="15890" ht="30.0" customHeight="1">
      <c r="A15890" s="11"/>
      <c r="B15890" s="11"/>
      <c r="C15890" s="11"/>
      <c r="D15890" s="10" t="s">
        <v>6743</v>
      </c>
    </row>
    <row r="15891" ht="30.0" customHeight="1">
      <c r="A15891" s="13" t="s">
        <v>3440</v>
      </c>
      <c r="B15891" s="10" t="s">
        <v>42</v>
      </c>
      <c r="C15891" s="10" t="s">
        <v>344</v>
      </c>
      <c r="D15891" s="10" t="s">
        <v>3441</v>
      </c>
      <c r="E15891" s="11"/>
      <c r="F15891" s="12">
        <f>ROUND(1.63*(1+G2/100),2)</f>
        <v>1.63</v>
      </c>
      <c r="G15891" s="11"/>
    </row>
    <row r="15892" ht="21.0" customHeight="1">
      <c r="A15892" s="11"/>
      <c r="B15892" s="11"/>
      <c r="C15892" s="11"/>
      <c r="D15892" s="10" t="s">
        <v>3441</v>
      </c>
    </row>
    <row r="15893" ht="30.0" customHeight="1">
      <c r="A15893" s="13" t="s">
        <v>3452</v>
      </c>
      <c r="B15893" s="10" t="s">
        <v>42</v>
      </c>
      <c r="C15893" s="10" t="s">
        <v>344</v>
      </c>
      <c r="D15893" s="10" t="s">
        <v>3453</v>
      </c>
      <c r="E15893" s="11"/>
      <c r="F15893" s="12">
        <f>ROUND(1.73*(1+G2/100),2)</f>
        <v>1.73</v>
      </c>
      <c r="G15893" s="11"/>
    </row>
    <row r="15894" ht="21.0" customHeight="1">
      <c r="A15894" s="11"/>
      <c r="B15894" s="11"/>
      <c r="C15894" s="11"/>
      <c r="D15894" s="10" t="s">
        <v>3453</v>
      </c>
    </row>
    <row r="15895" ht="39.75" customHeight="1">
      <c r="A15895" s="13" t="s">
        <v>6744</v>
      </c>
      <c r="B15895" s="10" t="s">
        <v>42</v>
      </c>
      <c r="C15895" s="10" t="s">
        <v>330</v>
      </c>
      <c r="D15895" s="10" t="s">
        <v>6745</v>
      </c>
      <c r="E15895" s="11"/>
      <c r="F15895" s="12">
        <f>ROUND(4.14*(1+G2/100),2)</f>
        <v>4.14</v>
      </c>
      <c r="G15895" s="11"/>
    </row>
    <row r="15896" ht="21.0" customHeight="1">
      <c r="A15896" s="11"/>
      <c r="B15896" s="11"/>
      <c r="C15896" s="11"/>
      <c r="D15896" s="10" t="s">
        <v>6745</v>
      </c>
    </row>
    <row r="15897" ht="39.75" customHeight="1">
      <c r="A15897" s="13" t="s">
        <v>6746</v>
      </c>
      <c r="B15897" s="10" t="s">
        <v>42</v>
      </c>
      <c r="C15897" s="10" t="s">
        <v>330</v>
      </c>
      <c r="D15897" s="10" t="s">
        <v>6747</v>
      </c>
      <c r="E15897" s="11"/>
      <c r="F15897" s="12">
        <f>ROUND(4.59*(1+G2/100),2)</f>
        <v>4.59</v>
      </c>
      <c r="G15897" s="11"/>
    </row>
    <row r="15898" ht="21.0" customHeight="1">
      <c r="A15898" s="11"/>
      <c r="B15898" s="11"/>
      <c r="C15898" s="11"/>
      <c r="D15898" s="10" t="s">
        <v>6747</v>
      </c>
    </row>
    <row r="15899" ht="30.0" customHeight="1">
      <c r="A15899" s="13" t="s">
        <v>1244</v>
      </c>
      <c r="B15899" s="10" t="s">
        <v>42</v>
      </c>
      <c r="C15899" s="10" t="s">
        <v>1245</v>
      </c>
      <c r="D15899" s="10" t="s">
        <v>1246</v>
      </c>
      <c r="E15899" s="11"/>
      <c r="F15899" s="12">
        <f>ROUND(12.31*(1+G2/100),2)</f>
        <v>12.31</v>
      </c>
      <c r="G15899" s="11"/>
    </row>
    <row r="15900" ht="104.25" customHeight="1">
      <c r="A15900" s="11"/>
      <c r="B15900" s="11"/>
      <c r="C15900" s="11"/>
      <c r="D15900" s="10" t="s">
        <v>6748</v>
      </c>
    </row>
    <row r="15901" ht="39.75" customHeight="1">
      <c r="A15901" s="13" t="s">
        <v>1342</v>
      </c>
      <c r="B15901" s="10" t="s">
        <v>42</v>
      </c>
      <c r="C15901" s="10" t="s">
        <v>330</v>
      </c>
      <c r="D15901" s="10" t="s">
        <v>1343</v>
      </c>
      <c r="E15901" s="11"/>
      <c r="F15901" s="12">
        <f>ROUND(11.38*(1+G2/100),2)</f>
        <v>11.38</v>
      </c>
      <c r="G15901" s="11"/>
    </row>
    <row r="15902" ht="21.0" customHeight="1">
      <c r="A15902" s="11"/>
      <c r="B15902" s="11"/>
      <c r="C15902" s="11"/>
      <c r="D15902" s="10" t="s">
        <v>1343</v>
      </c>
    </row>
    <row r="15903" ht="39.75" customHeight="1">
      <c r="A15903" s="13" t="s">
        <v>2453</v>
      </c>
      <c r="B15903" s="10" t="s">
        <v>42</v>
      </c>
      <c r="C15903" s="10" t="s">
        <v>330</v>
      </c>
      <c r="D15903" s="10" t="s">
        <v>2454</v>
      </c>
      <c r="E15903" s="11"/>
      <c r="F15903" s="12">
        <f>ROUND(16.67*(1+G2/100),2)</f>
        <v>16.67</v>
      </c>
      <c r="G15903" s="11"/>
    </row>
    <row r="15904" ht="21.0" customHeight="1">
      <c r="A15904" s="11"/>
      <c r="B15904" s="11"/>
      <c r="C15904" s="11"/>
      <c r="D15904" s="10" t="s">
        <v>2454</v>
      </c>
    </row>
    <row r="15905" ht="30.0" customHeight="1">
      <c r="A15905" s="13" t="s">
        <v>3118</v>
      </c>
      <c r="B15905" s="10" t="s">
        <v>42</v>
      </c>
      <c r="C15905" s="10" t="s">
        <v>344</v>
      </c>
      <c r="D15905" s="10" t="s">
        <v>3119</v>
      </c>
      <c r="E15905" s="11"/>
      <c r="F15905" s="12">
        <f>ROUND(17.99*(1+G2/100),2)</f>
        <v>17.99</v>
      </c>
      <c r="G15905" s="11"/>
    </row>
    <row r="15906" ht="12.0" customHeight="1">
      <c r="A15906" s="11"/>
      <c r="B15906" s="11"/>
      <c r="C15906" s="11"/>
      <c r="D15906" s="10" t="s">
        <v>3119</v>
      </c>
    </row>
    <row r="15907" ht="30.0" customHeight="1">
      <c r="A15907" s="13" t="s">
        <v>2378</v>
      </c>
      <c r="B15907" s="10" t="s">
        <v>42</v>
      </c>
      <c r="C15907" s="10" t="s">
        <v>325</v>
      </c>
      <c r="D15907" s="10" t="s">
        <v>2379</v>
      </c>
      <c r="E15907" s="11"/>
      <c r="F15907" s="12">
        <f>ROUND(2.72*(1+G2/100),2)</f>
        <v>2.72</v>
      </c>
      <c r="G15907" s="11"/>
    </row>
    <row r="15908" ht="21.0" customHeight="1">
      <c r="A15908" s="11"/>
      <c r="B15908" s="11"/>
      <c r="C15908" s="11"/>
      <c r="D15908" s="10" t="s">
        <v>6749</v>
      </c>
    </row>
    <row r="15909" ht="30.0" customHeight="1">
      <c r="A15909" s="13" t="s">
        <v>6750</v>
      </c>
      <c r="B15909" s="10" t="s">
        <v>42</v>
      </c>
      <c r="C15909" s="10" t="s">
        <v>325</v>
      </c>
      <c r="D15909" s="10" t="s">
        <v>6751</v>
      </c>
      <c r="E15909" s="11"/>
      <c r="F15909" s="12">
        <f>ROUND(1.92*(1+G2/100),2)</f>
        <v>1.92</v>
      </c>
      <c r="G15909" s="11"/>
    </row>
    <row r="15910" ht="21.0" customHeight="1">
      <c r="A15910" s="11"/>
      <c r="B15910" s="11"/>
      <c r="C15910" s="11"/>
      <c r="D15910" s="10" t="s">
        <v>6752</v>
      </c>
    </row>
    <row r="15911" ht="30.0" customHeight="1">
      <c r="A15911" s="13" t="s">
        <v>6753</v>
      </c>
      <c r="B15911" s="10" t="s">
        <v>42</v>
      </c>
      <c r="C15911" s="10" t="s">
        <v>344</v>
      </c>
      <c r="D15911" s="10" t="s">
        <v>6754</v>
      </c>
      <c r="E15911" s="11"/>
      <c r="F15911" s="12">
        <f>ROUND(0.12*(1+G2/100),2)</f>
        <v>0.12</v>
      </c>
      <c r="G15911" s="11"/>
    </row>
    <row r="15912" ht="21.0" customHeight="1">
      <c r="A15912" s="11"/>
      <c r="B15912" s="11"/>
      <c r="C15912" s="11"/>
      <c r="D15912" s="10" t="s">
        <v>6755</v>
      </c>
    </row>
    <row r="15913" ht="30.0" customHeight="1">
      <c r="A15913" s="13" t="s">
        <v>6756</v>
      </c>
      <c r="B15913" s="10" t="s">
        <v>42</v>
      </c>
      <c r="C15913" s="10" t="s">
        <v>344</v>
      </c>
      <c r="D15913" s="10" t="s">
        <v>6757</v>
      </c>
      <c r="E15913" s="11"/>
      <c r="F15913" s="12">
        <f>ROUND(0.16*(1+G2/100),2)</f>
        <v>0.16</v>
      </c>
      <c r="G15913" s="11"/>
    </row>
    <row r="15914" ht="21.0" customHeight="1">
      <c r="A15914" s="11"/>
      <c r="B15914" s="11"/>
      <c r="C15914" s="11"/>
      <c r="D15914" s="10" t="s">
        <v>6758</v>
      </c>
    </row>
    <row r="15915" ht="30.0" customHeight="1">
      <c r="A15915" s="13" t="s">
        <v>3229</v>
      </c>
      <c r="B15915" s="10" t="s">
        <v>42</v>
      </c>
      <c r="C15915" s="10" t="s">
        <v>344</v>
      </c>
      <c r="D15915" s="10" t="s">
        <v>3230</v>
      </c>
      <c r="E15915" s="11"/>
      <c r="F15915" s="12">
        <f>ROUND(0.24*(1+G2/100),2)</f>
        <v>0.24</v>
      </c>
      <c r="G15915" s="11"/>
    </row>
    <row r="15916" ht="21.0" customHeight="1">
      <c r="A15916" s="11"/>
      <c r="B15916" s="11"/>
      <c r="C15916" s="11"/>
      <c r="D15916" s="10" t="s">
        <v>6759</v>
      </c>
    </row>
    <row r="15917" ht="30.0" customHeight="1">
      <c r="A15917" s="13" t="s">
        <v>6760</v>
      </c>
      <c r="B15917" s="10" t="s">
        <v>42</v>
      </c>
      <c r="C15917" s="10" t="s">
        <v>344</v>
      </c>
      <c r="D15917" s="10" t="s">
        <v>6761</v>
      </c>
      <c r="E15917" s="11"/>
      <c r="F15917" s="12">
        <f>ROUND(6.5*(1+G2/100),2)</f>
        <v>6.5</v>
      </c>
      <c r="G15917" s="11"/>
    </row>
    <row r="15918" ht="30.0" customHeight="1">
      <c r="A15918" s="11"/>
      <c r="B15918" s="11"/>
      <c r="C15918" s="11"/>
      <c r="D15918" s="10" t="s">
        <v>6762</v>
      </c>
    </row>
    <row r="15919" ht="30.0" customHeight="1">
      <c r="A15919" s="13" t="s">
        <v>6763</v>
      </c>
      <c r="B15919" s="10" t="s">
        <v>42</v>
      </c>
      <c r="C15919" s="10" t="s">
        <v>344</v>
      </c>
      <c r="D15919" s="10" t="s">
        <v>6764</v>
      </c>
      <c r="E15919" s="11"/>
      <c r="F15919" s="12">
        <f>ROUND(1.85*(1+G2/100),2)</f>
        <v>1.85</v>
      </c>
      <c r="G15919" s="11"/>
    </row>
    <row r="15920" ht="12.0" customHeight="1">
      <c r="A15920" s="11"/>
      <c r="B15920" s="11"/>
      <c r="C15920" s="11"/>
      <c r="D15920" s="10" t="s">
        <v>6764</v>
      </c>
    </row>
    <row r="15921" ht="30.0" customHeight="1">
      <c r="A15921" s="13" t="s">
        <v>2340</v>
      </c>
      <c r="B15921" s="10" t="s">
        <v>42</v>
      </c>
      <c r="C15921" s="10" t="s">
        <v>344</v>
      </c>
      <c r="D15921" s="10" t="s">
        <v>2341</v>
      </c>
      <c r="E15921" s="11"/>
      <c r="F15921" s="12">
        <f>ROUND(0.74*(1+G2/100),2)</f>
        <v>0.74</v>
      </c>
      <c r="G15921" s="11"/>
    </row>
    <row r="15922" ht="12.0" customHeight="1">
      <c r="A15922" s="11"/>
      <c r="B15922" s="11"/>
      <c r="C15922" s="11"/>
      <c r="D15922" s="10" t="s">
        <v>2341</v>
      </c>
    </row>
    <row r="15923" ht="30.0" customHeight="1">
      <c r="A15923" s="13" t="s">
        <v>6765</v>
      </c>
      <c r="B15923" s="10" t="s">
        <v>42</v>
      </c>
      <c r="C15923" s="10" t="s">
        <v>344</v>
      </c>
      <c r="D15923" s="10" t="s">
        <v>6766</v>
      </c>
      <c r="E15923" s="11"/>
      <c r="F15923" s="12">
        <f>ROUND(1.29*(1+G2/100),2)</f>
        <v>1.29</v>
      </c>
      <c r="G15923" s="11"/>
    </row>
    <row r="15924" ht="12.0" customHeight="1">
      <c r="A15924" s="11"/>
      <c r="B15924" s="11"/>
      <c r="C15924" s="11"/>
      <c r="D15924" s="10" t="s">
        <v>6766</v>
      </c>
    </row>
    <row r="15925" ht="21.0" customHeight="1">
      <c r="A15925" s="13" t="s">
        <v>967</v>
      </c>
      <c r="B15925" s="10" t="s">
        <v>42</v>
      </c>
      <c r="C15925" s="10" t="s">
        <v>325</v>
      </c>
      <c r="D15925" s="10" t="s">
        <v>968</v>
      </c>
      <c r="E15925" s="11"/>
      <c r="F15925" s="12">
        <f>ROUND(6.49*(1+G2/100),2)</f>
        <v>6.49</v>
      </c>
      <c r="G15925" s="11"/>
    </row>
    <row r="15926" ht="113.25" customHeight="1">
      <c r="A15926" s="11"/>
      <c r="B15926" s="11"/>
      <c r="C15926" s="11"/>
      <c r="D15926" s="10" t="s">
        <v>6767</v>
      </c>
    </row>
    <row r="15927" ht="48.75" customHeight="1">
      <c r="A15927" s="13" t="s">
        <v>6768</v>
      </c>
      <c r="B15927" s="10" t="s">
        <v>42</v>
      </c>
      <c r="C15927" s="10" t="s">
        <v>325</v>
      </c>
      <c r="D15927" s="10" t="s">
        <v>6769</v>
      </c>
      <c r="E15927" s="11"/>
      <c r="F15927" s="12">
        <f>ROUND(31.84*(1+G2/100),2)</f>
        <v>31.84</v>
      </c>
      <c r="G15927" s="11"/>
    </row>
    <row r="15928" ht="21.0" customHeight="1">
      <c r="A15928" s="11"/>
      <c r="B15928" s="11"/>
      <c r="C15928" s="11"/>
      <c r="D15928" s="10" t="s">
        <v>6770</v>
      </c>
    </row>
    <row r="15929" ht="30.0" customHeight="1">
      <c r="A15929" s="13" t="s">
        <v>6771</v>
      </c>
      <c r="B15929" s="10" t="s">
        <v>42</v>
      </c>
      <c r="C15929" s="10" t="s">
        <v>344</v>
      </c>
      <c r="D15929" s="10" t="s">
        <v>6772</v>
      </c>
      <c r="E15929" s="11"/>
      <c r="F15929" s="12">
        <f>ROUND(3.08*(1+G2/100),2)</f>
        <v>3.08</v>
      </c>
      <c r="G15929" s="11"/>
    </row>
    <row r="15930" ht="12.0" customHeight="1">
      <c r="A15930" s="11"/>
      <c r="B15930" s="11"/>
      <c r="C15930" s="11"/>
      <c r="D15930" s="10" t="s">
        <v>6772</v>
      </c>
    </row>
    <row r="15931" ht="21.0" customHeight="1">
      <c r="A15931" s="13" t="s">
        <v>2338</v>
      </c>
      <c r="B15931" s="10" t="s">
        <v>42</v>
      </c>
      <c r="C15931" s="10" t="s">
        <v>330</v>
      </c>
      <c r="D15931" s="10" t="s">
        <v>2339</v>
      </c>
      <c r="E15931" s="11"/>
      <c r="F15931" s="12">
        <f>ROUND(2.95*(1+G2/100),2)</f>
        <v>2.95</v>
      </c>
      <c r="G15931" s="11"/>
    </row>
    <row r="15932" ht="21.0" customHeight="1">
      <c r="A15932" s="11"/>
      <c r="B15932" s="11"/>
      <c r="C15932" s="11"/>
      <c r="D15932" s="10" t="s">
        <v>6773</v>
      </c>
    </row>
    <row r="15933" ht="39.75" customHeight="1">
      <c r="A15933" s="13" t="s">
        <v>4409</v>
      </c>
      <c r="B15933" s="10" t="s">
        <v>42</v>
      </c>
      <c r="C15933" s="10" t="s">
        <v>344</v>
      </c>
      <c r="D15933" s="10" t="s">
        <v>4410</v>
      </c>
      <c r="E15933" s="11"/>
      <c r="F15933" s="12">
        <f>ROUND(0.62*(1+G2/100),2)</f>
        <v>0.62</v>
      </c>
      <c r="G15933" s="11"/>
    </row>
    <row r="15934" ht="21.0" customHeight="1">
      <c r="A15934" s="11"/>
      <c r="B15934" s="11"/>
      <c r="C15934" s="11"/>
      <c r="D15934" s="10" t="s">
        <v>4410</v>
      </c>
    </row>
    <row r="15935" ht="39.75" customHeight="1">
      <c r="A15935" s="13" t="s">
        <v>4316</v>
      </c>
      <c r="B15935" s="10" t="s">
        <v>42</v>
      </c>
      <c r="C15935" s="10" t="s">
        <v>330</v>
      </c>
      <c r="D15935" s="10" t="s">
        <v>4317</v>
      </c>
      <c r="E15935" s="11"/>
      <c r="F15935" s="12">
        <f>ROUND(15.09*(1+G2/100),2)</f>
        <v>15.09</v>
      </c>
      <c r="G15935" s="11"/>
    </row>
    <row r="15936" ht="21.0" customHeight="1">
      <c r="A15936" s="11"/>
      <c r="B15936" s="11"/>
      <c r="C15936" s="11"/>
      <c r="D15936" s="10" t="s">
        <v>4317</v>
      </c>
    </row>
    <row r="15937" ht="39.75" customHeight="1">
      <c r="A15937" s="13" t="s">
        <v>6774</v>
      </c>
      <c r="B15937" s="10" t="s">
        <v>42</v>
      </c>
      <c r="C15937" s="10" t="s">
        <v>43</v>
      </c>
      <c r="D15937" s="10" t="s">
        <v>6775</v>
      </c>
      <c r="E15937" s="11"/>
      <c r="F15937" s="12">
        <f>ROUND(2.19*(1+G2/100),2)</f>
        <v>2.19</v>
      </c>
      <c r="G15937" s="11"/>
    </row>
    <row r="15938" ht="21.0" customHeight="1">
      <c r="A15938" s="11"/>
      <c r="B15938" s="11"/>
      <c r="C15938" s="11"/>
      <c r="D15938" s="10" t="s">
        <v>6775</v>
      </c>
    </row>
    <row r="15939" ht="39.75" customHeight="1">
      <c r="A15939" s="13" t="s">
        <v>6776</v>
      </c>
      <c r="B15939" s="10" t="s">
        <v>42</v>
      </c>
      <c r="C15939" s="10" t="s">
        <v>43</v>
      </c>
      <c r="D15939" s="10" t="s">
        <v>6777</v>
      </c>
      <c r="E15939" s="11"/>
      <c r="F15939" s="12">
        <f>ROUND(2.19*(1+G2/100),2)</f>
        <v>2.19</v>
      </c>
      <c r="G15939" s="11"/>
    </row>
    <row r="15940" ht="21.0" customHeight="1">
      <c r="A15940" s="11"/>
      <c r="B15940" s="11"/>
      <c r="C15940" s="11"/>
      <c r="D15940" s="10" t="s">
        <v>6778</v>
      </c>
    </row>
    <row r="15941" ht="21.0" customHeight="1">
      <c r="A15941" s="13" t="s">
        <v>329</v>
      </c>
      <c r="B15941" s="10" t="s">
        <v>42</v>
      </c>
      <c r="C15941" s="10" t="s">
        <v>330</v>
      </c>
      <c r="D15941" s="10" t="s">
        <v>331</v>
      </c>
      <c r="E15941" s="11"/>
      <c r="F15941" s="12">
        <f>ROUND(4.8*(1+G2/100),2)</f>
        <v>4.8</v>
      </c>
      <c r="G15941" s="11"/>
    </row>
    <row r="15942" ht="21.0" customHeight="1">
      <c r="A15942" s="11"/>
      <c r="B15942" s="11"/>
      <c r="C15942" s="11"/>
      <c r="D15942" s="10" t="s">
        <v>6779</v>
      </c>
    </row>
    <row r="15943" ht="30.0" customHeight="1">
      <c r="A15943" s="13" t="s">
        <v>6780</v>
      </c>
      <c r="B15943" s="10" t="s">
        <v>42</v>
      </c>
      <c r="C15943" s="10" t="s">
        <v>1245</v>
      </c>
      <c r="D15943" s="10" t="s">
        <v>6781</v>
      </c>
      <c r="E15943" s="11"/>
      <c r="F15943" s="12">
        <f>ROUND(5.89*(1+G2/100),2)</f>
        <v>5.89</v>
      </c>
      <c r="G15943" s="11"/>
    </row>
    <row r="15944" ht="57.75" customHeight="1">
      <c r="A15944" s="11"/>
      <c r="B15944" s="11"/>
      <c r="C15944" s="11"/>
      <c r="D15944" s="10" t="s">
        <v>6782</v>
      </c>
    </row>
    <row r="15945" ht="39.75" customHeight="1">
      <c r="A15945" s="13" t="s">
        <v>1340</v>
      </c>
      <c r="B15945" s="10" t="s">
        <v>42</v>
      </c>
      <c r="C15945" s="10" t="s">
        <v>1245</v>
      </c>
      <c r="D15945" s="10" t="s">
        <v>1341</v>
      </c>
      <c r="E15945" s="11"/>
      <c r="F15945" s="12">
        <f>ROUND(7.37*(1+G2/100),2)</f>
        <v>7.37</v>
      </c>
      <c r="G15945" s="11"/>
    </row>
    <row r="15946" ht="85.5" customHeight="1">
      <c r="A15946" s="11"/>
      <c r="B15946" s="11"/>
      <c r="C15946" s="11"/>
      <c r="D15946" s="10" t="s">
        <v>6783</v>
      </c>
    </row>
    <row r="15947" ht="21.0" customHeight="1">
      <c r="A15947" s="13" t="s">
        <v>6784</v>
      </c>
      <c r="B15947" s="10" t="s">
        <v>42</v>
      </c>
      <c r="C15947" s="10" t="s">
        <v>330</v>
      </c>
      <c r="D15947" s="10" t="s">
        <v>6785</v>
      </c>
      <c r="E15947" s="11"/>
      <c r="F15947" s="12">
        <f>ROUND(3.77*(1+G2/100),2)</f>
        <v>3.77</v>
      </c>
      <c r="G15947" s="11"/>
    </row>
    <row r="15948" ht="21.0" customHeight="1">
      <c r="A15948" s="11"/>
      <c r="B15948" s="11"/>
      <c r="C15948" s="11"/>
      <c r="D15948" s="10" t="s">
        <v>6786</v>
      </c>
    </row>
    <row r="15949" ht="21.0" customHeight="1">
      <c r="A15949" s="13" t="s">
        <v>6787</v>
      </c>
      <c r="B15949" s="10" t="s">
        <v>42</v>
      </c>
      <c r="C15949" s="10" t="s">
        <v>330</v>
      </c>
      <c r="D15949" s="10" t="s">
        <v>6788</v>
      </c>
      <c r="E15949" s="11"/>
      <c r="F15949" s="12">
        <f>ROUND(3.9*(1+G2/100),2)</f>
        <v>3.9</v>
      </c>
      <c r="G15949" s="11"/>
    </row>
    <row r="15950" ht="21.0" customHeight="1">
      <c r="A15950" s="11"/>
      <c r="B15950" s="11"/>
      <c r="C15950" s="11"/>
      <c r="D15950" s="10" t="s">
        <v>6789</v>
      </c>
    </row>
    <row r="15951" ht="21.0" customHeight="1">
      <c r="A15951" s="13" t="s">
        <v>6790</v>
      </c>
      <c r="B15951" s="10" t="s">
        <v>42</v>
      </c>
      <c r="C15951" s="10" t="s">
        <v>330</v>
      </c>
      <c r="D15951" s="10" t="s">
        <v>6791</v>
      </c>
      <c r="E15951" s="11"/>
      <c r="F15951" s="12">
        <f>ROUND(3.77*(1+G2/100),2)</f>
        <v>3.77</v>
      </c>
      <c r="G15951" s="11"/>
    </row>
    <row r="15952" ht="21.0" customHeight="1">
      <c r="A15952" s="11"/>
      <c r="B15952" s="11"/>
      <c r="C15952" s="11"/>
      <c r="D15952" s="10" t="s">
        <v>6792</v>
      </c>
    </row>
    <row r="15953" ht="21.0" customHeight="1">
      <c r="A15953" s="13" t="s">
        <v>6793</v>
      </c>
      <c r="B15953" s="10" t="s">
        <v>42</v>
      </c>
      <c r="C15953" s="10" t="s">
        <v>330</v>
      </c>
      <c r="D15953" s="10" t="s">
        <v>6794</v>
      </c>
      <c r="E15953" s="11"/>
      <c r="F15953" s="12">
        <f>ROUND(3.99*(1+G2/100),2)</f>
        <v>3.99</v>
      </c>
      <c r="G15953" s="11"/>
    </row>
    <row r="15954" ht="21.0" customHeight="1">
      <c r="A15954" s="11"/>
      <c r="B15954" s="11"/>
      <c r="C15954" s="11"/>
      <c r="D15954" s="10" t="s">
        <v>6795</v>
      </c>
    </row>
    <row r="15955" ht="39.75" customHeight="1">
      <c r="A15955" s="13" t="s">
        <v>6796</v>
      </c>
      <c r="B15955" s="10" t="s">
        <v>42</v>
      </c>
      <c r="C15955" s="10" t="s">
        <v>1245</v>
      </c>
      <c r="D15955" s="10" t="s">
        <v>6797</v>
      </c>
      <c r="E15955" s="11"/>
      <c r="F15955" s="12">
        <f>ROUND(5.69*(1+G2/100),2)</f>
        <v>5.69</v>
      </c>
      <c r="G15955" s="11"/>
    </row>
    <row r="15956" ht="85.5" customHeight="1">
      <c r="A15956" s="11"/>
      <c r="B15956" s="11"/>
      <c r="C15956" s="11"/>
      <c r="D15956" s="10" t="s">
        <v>6783</v>
      </c>
    </row>
    <row r="15957" ht="30.0" customHeight="1">
      <c r="A15957" s="13" t="s">
        <v>6798</v>
      </c>
      <c r="B15957" s="10" t="s">
        <v>42</v>
      </c>
      <c r="C15957" s="10" t="s">
        <v>1245</v>
      </c>
      <c r="D15957" s="10" t="s">
        <v>6799</v>
      </c>
      <c r="E15957" s="11"/>
      <c r="F15957" s="12">
        <f>ROUND(4.8*(1+G2/100),2)</f>
        <v>4.8</v>
      </c>
      <c r="G15957" s="11"/>
    </row>
    <row r="15958" ht="57.75" customHeight="1">
      <c r="A15958" s="11"/>
      <c r="B15958" s="11"/>
      <c r="C15958" s="11"/>
      <c r="D15958" s="10" t="s">
        <v>6782</v>
      </c>
    </row>
    <row r="15959" ht="39.75" customHeight="1">
      <c r="A15959" s="13" t="s">
        <v>6800</v>
      </c>
      <c r="B15959" s="10" t="s">
        <v>42</v>
      </c>
      <c r="C15959" s="10" t="s">
        <v>1245</v>
      </c>
      <c r="D15959" s="10" t="s">
        <v>6801</v>
      </c>
      <c r="E15959" s="11"/>
      <c r="F15959" s="12">
        <f>ROUND(12.03*(1+G2/100),2)</f>
        <v>12.03</v>
      </c>
      <c r="G15959" s="11"/>
    </row>
    <row r="15960" ht="159.75" customHeight="1">
      <c r="A15960" s="11"/>
      <c r="B15960" s="11"/>
      <c r="C15960" s="11"/>
      <c r="D15960" s="10" t="s">
        <v>6802</v>
      </c>
    </row>
    <row r="15961" ht="30.0" customHeight="1">
      <c r="A15961" s="13" t="s">
        <v>6803</v>
      </c>
      <c r="B15961" s="10" t="s">
        <v>42</v>
      </c>
      <c r="C15961" s="10" t="s">
        <v>325</v>
      </c>
      <c r="D15961" s="10" t="s">
        <v>6804</v>
      </c>
      <c r="E15961" s="11"/>
      <c r="F15961" s="12">
        <f>ROUND(70.22*(1+G2/100),2)</f>
        <v>70.22</v>
      </c>
      <c r="G15961" s="11"/>
    </row>
    <row r="15962" ht="21.0" customHeight="1">
      <c r="A15962" s="11"/>
      <c r="B15962" s="11"/>
      <c r="C15962" s="11"/>
      <c r="D15962" s="10" t="s">
        <v>6804</v>
      </c>
    </row>
    <row r="15963" ht="30.0" customHeight="1">
      <c r="A15963" s="13" t="s">
        <v>1759</v>
      </c>
      <c r="B15963" s="10" t="s">
        <v>42</v>
      </c>
      <c r="C15963" s="10" t="s">
        <v>325</v>
      </c>
      <c r="D15963" s="10" t="s">
        <v>1760</v>
      </c>
      <c r="E15963" s="11"/>
      <c r="F15963" s="12">
        <f>ROUND(82.11*(1+G2/100),2)</f>
        <v>82.11</v>
      </c>
      <c r="G15963" s="11"/>
    </row>
    <row r="15964" ht="21.0" customHeight="1">
      <c r="A15964" s="11"/>
      <c r="B15964" s="11"/>
      <c r="C15964" s="11"/>
      <c r="D15964" s="10" t="s">
        <v>1760</v>
      </c>
    </row>
    <row r="15965" ht="30.0" customHeight="1">
      <c r="A15965" s="13" t="s">
        <v>6805</v>
      </c>
      <c r="B15965" s="10" t="s">
        <v>42</v>
      </c>
      <c r="C15965" s="10" t="s">
        <v>344</v>
      </c>
      <c r="D15965" s="10" t="s">
        <v>6806</v>
      </c>
      <c r="E15965" s="11"/>
      <c r="F15965" s="12">
        <f>ROUND(16.44*(1+G2/100),2)</f>
        <v>16.44</v>
      </c>
      <c r="G15965" s="11"/>
    </row>
    <row r="15966" ht="12.0" customHeight="1">
      <c r="A15966" s="11"/>
      <c r="B15966" s="11"/>
      <c r="C15966" s="11"/>
      <c r="D15966" s="10" t="s">
        <v>6806</v>
      </c>
    </row>
    <row r="15967" ht="39.75" customHeight="1">
      <c r="A15967" s="13" t="s">
        <v>6807</v>
      </c>
      <c r="B15967" s="10" t="s">
        <v>42</v>
      </c>
      <c r="C15967" s="10" t="s">
        <v>330</v>
      </c>
      <c r="D15967" s="10" t="s">
        <v>6808</v>
      </c>
      <c r="E15967" s="11"/>
      <c r="F15967" s="12">
        <f>ROUND(20.91*(1+G2/100),2)</f>
        <v>20.91</v>
      </c>
      <c r="G15967" s="11"/>
    </row>
    <row r="15968" ht="67.5" customHeight="1">
      <c r="A15968" s="11"/>
      <c r="B15968" s="11"/>
      <c r="C15968" s="11"/>
      <c r="D15968" s="10" t="s">
        <v>6809</v>
      </c>
    </row>
    <row r="15969" ht="30.0" customHeight="1">
      <c r="A15969" s="13" t="s">
        <v>6810</v>
      </c>
      <c r="B15969" s="10" t="s">
        <v>42</v>
      </c>
      <c r="C15969" s="10" t="s">
        <v>344</v>
      </c>
      <c r="D15969" s="10" t="s">
        <v>6811</v>
      </c>
      <c r="E15969" s="11"/>
      <c r="F15969" s="12">
        <f>ROUND(1.61*(1+G2/100),2)</f>
        <v>1.61</v>
      </c>
      <c r="G15969" s="11"/>
    </row>
    <row r="15970" ht="39.75" customHeight="1">
      <c r="A15970" s="11"/>
      <c r="B15970" s="11"/>
      <c r="C15970" s="11"/>
      <c r="D15970" s="10" t="s">
        <v>6812</v>
      </c>
    </row>
    <row r="15971" ht="15.0" customHeight="1">
      <c r="A15971" s="13" t="s">
        <v>6813</v>
      </c>
      <c r="B15971" s="10" t="s">
        <v>42</v>
      </c>
      <c r="C15971" s="10" t="s">
        <v>344</v>
      </c>
      <c r="D15971" s="10" t="s">
        <v>6814</v>
      </c>
      <c r="E15971" s="11"/>
      <c r="F15971" s="12">
        <f>ROUND(10*(1+G2/100),2)</f>
        <v>10</v>
      </c>
      <c r="G15971" s="11"/>
    </row>
    <row r="15972" ht="12.0" customHeight="1">
      <c r="A15972" s="11"/>
      <c r="B15972" s="11"/>
      <c r="C15972" s="11"/>
      <c r="D15972" s="10" t="s">
        <v>6814</v>
      </c>
    </row>
    <row r="15973" ht="15.0" customHeight="1">
      <c r="A15973" s="16"/>
      <c r="B15973" s="16"/>
      <c r="C15973" s="16"/>
      <c r="D15973" s="61" t="s">
        <v>6726</v>
      </c>
      <c r="E15973" s="62"/>
      <c r="F15973" s="62"/>
      <c r="G15973" s="62"/>
    </row>
    <row r="15974" ht="24.75" customHeight="1">
      <c r="A15974" s="34" t="s">
        <v>6815</v>
      </c>
      <c r="B15974" s="34" t="s">
        <v>10</v>
      </c>
      <c r="C15974" s="35"/>
      <c r="D15974" s="34" t="s">
        <v>6816</v>
      </c>
      <c r="E15974" s="35"/>
      <c r="F15974" s="35"/>
      <c r="G15974" s="35"/>
    </row>
    <row r="15975" ht="21.75" customHeight="1">
      <c r="A15975" s="42" t="s">
        <v>6817</v>
      </c>
      <c r="B15975" s="42" t="s">
        <v>10</v>
      </c>
      <c r="C15975" s="43"/>
      <c r="D15975" s="42" t="s">
        <v>6818</v>
      </c>
      <c r="E15975" s="43"/>
      <c r="F15975" s="43"/>
      <c r="G15975" s="43"/>
    </row>
    <row r="15976" ht="21.0" customHeight="1">
      <c r="A15976" s="13" t="s">
        <v>6819</v>
      </c>
      <c r="B15976" s="10" t="s">
        <v>42</v>
      </c>
      <c r="C15976" s="10" t="s">
        <v>344</v>
      </c>
      <c r="D15976" s="10" t="s">
        <v>6820</v>
      </c>
      <c r="E15976" s="11"/>
      <c r="F15976" s="12">
        <f>ROUND(4.46*(1+G2/100),2)</f>
        <v>4.46</v>
      </c>
      <c r="G15976" s="11"/>
    </row>
    <row r="15977" ht="12.0" customHeight="1">
      <c r="A15977" s="11"/>
      <c r="B15977" s="11"/>
      <c r="C15977" s="11"/>
      <c r="D15977" s="10" t="s">
        <v>6820</v>
      </c>
    </row>
    <row r="15978" ht="21.0" customHeight="1">
      <c r="A15978" s="13" t="s">
        <v>6821</v>
      </c>
      <c r="B15978" s="10" t="s">
        <v>42</v>
      </c>
      <c r="C15978" s="10" t="s">
        <v>344</v>
      </c>
      <c r="D15978" s="10" t="s">
        <v>6822</v>
      </c>
      <c r="E15978" s="11"/>
      <c r="F15978" s="12">
        <f>ROUND(1.04*(1+G2/100),2)</f>
        <v>1.04</v>
      </c>
      <c r="G15978" s="11"/>
    </row>
    <row r="15979" ht="12.0" customHeight="1">
      <c r="A15979" s="11"/>
      <c r="B15979" s="11"/>
      <c r="C15979" s="11"/>
      <c r="D15979" s="10" t="s">
        <v>6822</v>
      </c>
    </row>
    <row r="15980" ht="21.0" customHeight="1">
      <c r="A15980" s="13" t="s">
        <v>6823</v>
      </c>
      <c r="B15980" s="10" t="s">
        <v>42</v>
      </c>
      <c r="C15980" s="10" t="s">
        <v>344</v>
      </c>
      <c r="D15980" s="10" t="s">
        <v>6824</v>
      </c>
      <c r="E15980" s="11"/>
      <c r="F15980" s="12">
        <f>ROUND(1.45*(1+G2/100),2)</f>
        <v>1.45</v>
      </c>
      <c r="G15980" s="11"/>
    </row>
    <row r="15981" ht="12.0" customHeight="1">
      <c r="A15981" s="11"/>
      <c r="B15981" s="11"/>
      <c r="C15981" s="11"/>
      <c r="D15981" s="10" t="s">
        <v>6824</v>
      </c>
    </row>
    <row r="15982" ht="21.0" customHeight="1">
      <c r="A15982" s="13" t="s">
        <v>6825</v>
      </c>
      <c r="B15982" s="10" t="s">
        <v>42</v>
      </c>
      <c r="C15982" s="10" t="s">
        <v>344</v>
      </c>
      <c r="D15982" s="10" t="s">
        <v>6826</v>
      </c>
      <c r="E15982" s="11"/>
      <c r="F15982" s="12">
        <f>ROUND(2.15*(1+G2/100),2)</f>
        <v>2.15</v>
      </c>
      <c r="G15982" s="11"/>
    </row>
    <row r="15983" ht="12.0" customHeight="1">
      <c r="A15983" s="11"/>
      <c r="B15983" s="11"/>
      <c r="C15983" s="11"/>
      <c r="D15983" s="10" t="s">
        <v>6826</v>
      </c>
    </row>
    <row r="15984" ht="21.0" customHeight="1">
      <c r="A15984" s="13" t="s">
        <v>6827</v>
      </c>
      <c r="B15984" s="10" t="s">
        <v>42</v>
      </c>
      <c r="C15984" s="10" t="s">
        <v>344</v>
      </c>
      <c r="D15984" s="10" t="s">
        <v>6828</v>
      </c>
      <c r="E15984" s="11"/>
      <c r="F15984" s="12">
        <f>ROUND(1.2*(1+G2/100),2)</f>
        <v>1.2</v>
      </c>
      <c r="G15984" s="11"/>
    </row>
    <row r="15985" ht="12.0" customHeight="1">
      <c r="A15985" s="11"/>
      <c r="B15985" s="11"/>
      <c r="C15985" s="11"/>
      <c r="D15985" s="10" t="s">
        <v>6828</v>
      </c>
    </row>
    <row r="15986" ht="21.0" customHeight="1">
      <c r="A15986" s="13" t="s">
        <v>6829</v>
      </c>
      <c r="B15986" s="10" t="s">
        <v>42</v>
      </c>
      <c r="C15986" s="10" t="s">
        <v>344</v>
      </c>
      <c r="D15986" s="10" t="s">
        <v>6830</v>
      </c>
      <c r="E15986" s="11"/>
      <c r="F15986" s="12">
        <f>ROUND(1.71*(1+G2/100),2)</f>
        <v>1.71</v>
      </c>
      <c r="G15986" s="11"/>
    </row>
    <row r="15987" ht="12.0" customHeight="1">
      <c r="A15987" s="11"/>
      <c r="B15987" s="11"/>
      <c r="C15987" s="11"/>
      <c r="D15987" s="10" t="s">
        <v>6830</v>
      </c>
    </row>
    <row r="15988" ht="21.0" customHeight="1">
      <c r="A15988" s="13" t="s">
        <v>6831</v>
      </c>
      <c r="B15988" s="10" t="s">
        <v>42</v>
      </c>
      <c r="C15988" s="10" t="s">
        <v>344</v>
      </c>
      <c r="D15988" s="10" t="s">
        <v>6832</v>
      </c>
      <c r="E15988" s="11"/>
      <c r="F15988" s="12">
        <f>ROUND(2.93*(1+G2/100),2)</f>
        <v>2.93</v>
      </c>
      <c r="G15988" s="11"/>
    </row>
    <row r="15989" ht="12.0" customHeight="1">
      <c r="A15989" s="11"/>
      <c r="B15989" s="11"/>
      <c r="C15989" s="11"/>
      <c r="D15989" s="10" t="s">
        <v>6832</v>
      </c>
    </row>
    <row r="15990" ht="30.0" customHeight="1">
      <c r="A15990" s="13" t="s">
        <v>6833</v>
      </c>
      <c r="B15990" s="10" t="s">
        <v>42</v>
      </c>
      <c r="C15990" s="10" t="s">
        <v>344</v>
      </c>
      <c r="D15990" s="10" t="s">
        <v>6834</v>
      </c>
      <c r="E15990" s="11"/>
      <c r="F15990" s="12">
        <f>ROUND(5.21*(1+G2/100),2)</f>
        <v>5.21</v>
      </c>
      <c r="G15990" s="11"/>
    </row>
    <row r="15991" ht="12.0" customHeight="1">
      <c r="A15991" s="11"/>
      <c r="B15991" s="11"/>
      <c r="C15991" s="11"/>
      <c r="D15991" s="10" t="s">
        <v>6834</v>
      </c>
    </row>
    <row r="15992" ht="30.0" customHeight="1">
      <c r="A15992" s="13" t="s">
        <v>6835</v>
      </c>
      <c r="B15992" s="10" t="s">
        <v>42</v>
      </c>
      <c r="C15992" s="10" t="s">
        <v>344</v>
      </c>
      <c r="D15992" s="10" t="s">
        <v>6836</v>
      </c>
      <c r="E15992" s="11"/>
      <c r="F15992" s="12">
        <f>ROUND(5.41*(1+G2/100),2)</f>
        <v>5.41</v>
      </c>
      <c r="G15992" s="11"/>
    </row>
    <row r="15993" ht="12.0" customHeight="1">
      <c r="A15993" s="11"/>
      <c r="B15993" s="11"/>
      <c r="C15993" s="11"/>
      <c r="D15993" s="10" t="s">
        <v>6836</v>
      </c>
    </row>
    <row r="15994" ht="30.0" customHeight="1">
      <c r="A15994" s="13" t="s">
        <v>6837</v>
      </c>
      <c r="B15994" s="10" t="s">
        <v>42</v>
      </c>
      <c r="C15994" s="10" t="s">
        <v>344</v>
      </c>
      <c r="D15994" s="10" t="s">
        <v>6838</v>
      </c>
      <c r="E15994" s="11"/>
      <c r="F15994" s="12">
        <f>ROUND(7.99*(1+G2/100),2)</f>
        <v>7.99</v>
      </c>
      <c r="G15994" s="11"/>
    </row>
    <row r="15995" ht="12.0" customHeight="1">
      <c r="A15995" s="11"/>
      <c r="B15995" s="11"/>
      <c r="C15995" s="11"/>
      <c r="D15995" s="10" t="s">
        <v>6838</v>
      </c>
    </row>
    <row r="15996" ht="30.0" customHeight="1">
      <c r="A15996" s="13" t="s">
        <v>6839</v>
      </c>
      <c r="B15996" s="10" t="s">
        <v>42</v>
      </c>
      <c r="C15996" s="10" t="s">
        <v>344</v>
      </c>
      <c r="D15996" s="10" t="s">
        <v>6840</v>
      </c>
      <c r="E15996" s="11"/>
      <c r="F15996" s="12">
        <f>ROUND(4.09*(1+G2/100),2)</f>
        <v>4.09</v>
      </c>
      <c r="G15996" s="11"/>
    </row>
    <row r="15997" ht="12.0" customHeight="1">
      <c r="A15997" s="11"/>
      <c r="B15997" s="11"/>
      <c r="C15997" s="11"/>
      <c r="D15997" s="10" t="s">
        <v>6840</v>
      </c>
    </row>
    <row r="15998" ht="30.0" customHeight="1">
      <c r="A15998" s="13" t="s">
        <v>6841</v>
      </c>
      <c r="B15998" s="10" t="s">
        <v>42</v>
      </c>
      <c r="C15998" s="10" t="s">
        <v>344</v>
      </c>
      <c r="D15998" s="10" t="s">
        <v>6842</v>
      </c>
      <c r="E15998" s="11"/>
      <c r="F15998" s="12">
        <f>ROUND(4.3*(1+G2/100),2)</f>
        <v>4.3</v>
      </c>
      <c r="G15998" s="11"/>
    </row>
    <row r="15999" ht="12.0" customHeight="1">
      <c r="A15999" s="11"/>
      <c r="B15999" s="11"/>
      <c r="C15999" s="11"/>
      <c r="D15999" s="10" t="s">
        <v>6842</v>
      </c>
    </row>
    <row r="16000" ht="30.0" customHeight="1">
      <c r="A16000" s="13" t="s">
        <v>6843</v>
      </c>
      <c r="B16000" s="10" t="s">
        <v>42</v>
      </c>
      <c r="C16000" s="10" t="s">
        <v>344</v>
      </c>
      <c r="D16000" s="10" t="s">
        <v>6844</v>
      </c>
      <c r="E16000" s="11"/>
      <c r="F16000" s="12">
        <f>ROUND(6.94*(1+G2/100),2)</f>
        <v>6.94</v>
      </c>
      <c r="G16000" s="11"/>
    </row>
    <row r="16001" ht="12.0" customHeight="1">
      <c r="A16001" s="11"/>
      <c r="B16001" s="11"/>
      <c r="C16001" s="11"/>
      <c r="D16001" s="10" t="s">
        <v>6844</v>
      </c>
    </row>
    <row r="16002" ht="30.0" customHeight="1">
      <c r="A16002" s="13" t="s">
        <v>6845</v>
      </c>
      <c r="B16002" s="10" t="s">
        <v>42</v>
      </c>
      <c r="C16002" s="10" t="s">
        <v>6846</v>
      </c>
      <c r="D16002" s="10" t="s">
        <v>6847</v>
      </c>
      <c r="E16002" s="11"/>
      <c r="F16002" s="12">
        <f>ROUND(15.5*(1+G2/100),2)</f>
        <v>15.5</v>
      </c>
      <c r="G16002" s="11"/>
    </row>
    <row r="16003" ht="141.0" customHeight="1">
      <c r="A16003" s="11"/>
      <c r="B16003" s="11"/>
      <c r="C16003" s="11"/>
      <c r="D16003" s="10" t="s">
        <v>6848</v>
      </c>
    </row>
    <row r="16004" ht="30.0" customHeight="1">
      <c r="A16004" s="13" t="s">
        <v>6849</v>
      </c>
      <c r="B16004" s="10" t="s">
        <v>42</v>
      </c>
      <c r="C16004" s="10" t="s">
        <v>226</v>
      </c>
      <c r="D16004" s="10" t="s">
        <v>6850</v>
      </c>
      <c r="E16004" s="11"/>
      <c r="F16004" s="12">
        <f>ROUND(22.5*(1+G2/100),2)</f>
        <v>22.5</v>
      </c>
      <c r="G16004" s="11"/>
    </row>
    <row r="16005" ht="141.0" customHeight="1">
      <c r="A16005" s="11"/>
      <c r="B16005" s="11"/>
      <c r="C16005" s="11"/>
      <c r="D16005" s="10" t="s">
        <v>6851</v>
      </c>
    </row>
    <row r="16006" ht="30.0" customHeight="1">
      <c r="A16006" s="13" t="s">
        <v>6852</v>
      </c>
      <c r="B16006" s="10" t="s">
        <v>42</v>
      </c>
      <c r="C16006" s="10" t="s">
        <v>226</v>
      </c>
      <c r="D16006" s="10" t="s">
        <v>6853</v>
      </c>
      <c r="E16006" s="11"/>
      <c r="F16006" s="12">
        <f>ROUND(70.25*(1+G2/100),2)</f>
        <v>70.25</v>
      </c>
      <c r="G16006" s="11"/>
    </row>
    <row r="16007" ht="150.0" customHeight="1">
      <c r="A16007" s="11"/>
      <c r="B16007" s="11"/>
      <c r="C16007" s="11"/>
      <c r="D16007" s="10" t="s">
        <v>6854</v>
      </c>
    </row>
    <row r="16008" ht="30.0" customHeight="1">
      <c r="A16008" s="13" t="s">
        <v>3259</v>
      </c>
      <c r="B16008" s="10" t="s">
        <v>42</v>
      </c>
      <c r="C16008" s="10" t="s">
        <v>226</v>
      </c>
      <c r="D16008" s="10" t="s">
        <v>3260</v>
      </c>
      <c r="E16008" s="11"/>
      <c r="F16008" s="12">
        <f>ROUND(28.1*(1+G2/100),2)</f>
        <v>28.1</v>
      </c>
      <c r="G16008" s="11"/>
    </row>
    <row r="16009" ht="150.0" customHeight="1">
      <c r="A16009" s="11"/>
      <c r="B16009" s="11"/>
      <c r="C16009" s="11"/>
      <c r="D16009" s="10" t="s">
        <v>6855</v>
      </c>
    </row>
    <row r="16010" ht="30.0" customHeight="1">
      <c r="A16010" s="13" t="s">
        <v>6856</v>
      </c>
      <c r="B16010" s="10" t="s">
        <v>42</v>
      </c>
      <c r="C16010" s="10" t="s">
        <v>344</v>
      </c>
      <c r="D16010" s="10" t="s">
        <v>6857</v>
      </c>
      <c r="E16010" s="11"/>
      <c r="F16010" s="12">
        <f>ROUND(9.79*(1+G2/100),2)</f>
        <v>9.79</v>
      </c>
      <c r="G16010" s="11"/>
    </row>
    <row r="16011" ht="12.0" customHeight="1">
      <c r="A16011" s="11"/>
      <c r="B16011" s="11"/>
      <c r="C16011" s="11"/>
      <c r="D16011" s="10" t="s">
        <v>6857</v>
      </c>
    </row>
    <row r="16012" ht="30.0" customHeight="1">
      <c r="A16012" s="13" t="s">
        <v>6858</v>
      </c>
      <c r="B16012" s="10" t="s">
        <v>42</v>
      </c>
      <c r="C16012" s="10" t="s">
        <v>226</v>
      </c>
      <c r="D16012" s="10" t="s">
        <v>6859</v>
      </c>
      <c r="E16012" s="11"/>
      <c r="F16012" s="12">
        <f>ROUND(52.89*(1+G2/100),2)</f>
        <v>52.89</v>
      </c>
      <c r="G16012" s="11"/>
    </row>
    <row r="16013" ht="150.0" customHeight="1">
      <c r="A16013" s="11"/>
      <c r="B16013" s="11"/>
      <c r="C16013" s="11"/>
      <c r="D16013" s="10" t="s">
        <v>6860</v>
      </c>
    </row>
    <row r="16014" ht="21.0" customHeight="1">
      <c r="A16014" s="13" t="s">
        <v>6861</v>
      </c>
      <c r="B16014" s="10" t="s">
        <v>42</v>
      </c>
      <c r="C16014" s="10" t="s">
        <v>344</v>
      </c>
      <c r="D16014" s="10" t="s">
        <v>6862</v>
      </c>
      <c r="E16014" s="11"/>
      <c r="F16014" s="12">
        <f>ROUND(3.18*(1+G2/100),2)</f>
        <v>3.18</v>
      </c>
      <c r="G16014" s="11"/>
    </row>
    <row r="16015" ht="12.0" customHeight="1">
      <c r="A16015" s="11"/>
      <c r="B16015" s="11"/>
      <c r="C16015" s="11"/>
      <c r="D16015" s="10" t="s">
        <v>6862</v>
      </c>
    </row>
    <row r="16016" ht="30.0" customHeight="1">
      <c r="A16016" s="13" t="s">
        <v>6863</v>
      </c>
      <c r="B16016" s="10" t="s">
        <v>42</v>
      </c>
      <c r="C16016" s="10" t="s">
        <v>226</v>
      </c>
      <c r="D16016" s="10" t="s">
        <v>6864</v>
      </c>
      <c r="E16016" s="11"/>
      <c r="F16016" s="12">
        <f>ROUND(53.72*(1+G2/100),2)</f>
        <v>53.72</v>
      </c>
      <c r="G16016" s="11"/>
    </row>
    <row r="16017" ht="150.0" customHeight="1">
      <c r="A16017" s="11"/>
      <c r="B16017" s="11"/>
      <c r="C16017" s="11"/>
      <c r="D16017" s="10" t="s">
        <v>6865</v>
      </c>
    </row>
    <row r="16018" ht="30.0" customHeight="1">
      <c r="A16018" s="13" t="s">
        <v>6866</v>
      </c>
      <c r="B16018" s="10" t="s">
        <v>42</v>
      </c>
      <c r="C16018" s="10" t="s">
        <v>226</v>
      </c>
      <c r="D16018" s="10" t="s">
        <v>6867</v>
      </c>
      <c r="E16018" s="11"/>
      <c r="F16018" s="12">
        <f>ROUND(66.12*(1+G2/100),2)</f>
        <v>66.12</v>
      </c>
      <c r="G16018" s="11"/>
    </row>
    <row r="16019" ht="150.0" customHeight="1">
      <c r="A16019" s="11"/>
      <c r="B16019" s="11"/>
      <c r="C16019" s="11"/>
      <c r="D16019" s="10" t="s">
        <v>6868</v>
      </c>
    </row>
    <row r="16020" ht="30.0" customHeight="1">
      <c r="A16020" s="13" t="s">
        <v>6869</v>
      </c>
      <c r="B16020" s="10" t="s">
        <v>42</v>
      </c>
      <c r="C16020" s="10" t="s">
        <v>226</v>
      </c>
      <c r="D16020" s="10" t="s">
        <v>6870</v>
      </c>
      <c r="E16020" s="11"/>
      <c r="F16020" s="12">
        <f>ROUND(60.33*(1+G2/100),2)</f>
        <v>60.33</v>
      </c>
      <c r="G16020" s="11"/>
    </row>
    <row r="16021" ht="150.0" customHeight="1">
      <c r="A16021" s="11"/>
      <c r="B16021" s="11"/>
      <c r="C16021" s="11"/>
      <c r="D16021" s="10" t="s">
        <v>6871</v>
      </c>
    </row>
    <row r="16022" ht="30.0" customHeight="1">
      <c r="A16022" s="13" t="s">
        <v>6872</v>
      </c>
      <c r="B16022" s="10" t="s">
        <v>42</v>
      </c>
      <c r="C16022" s="10" t="s">
        <v>344</v>
      </c>
      <c r="D16022" s="10" t="s">
        <v>6873</v>
      </c>
      <c r="E16022" s="11"/>
      <c r="F16022" s="12">
        <f>ROUND(6.36*(1+G2/100),2)</f>
        <v>6.36</v>
      </c>
      <c r="G16022" s="11"/>
    </row>
    <row r="16023" ht="12.0" customHeight="1">
      <c r="A16023" s="11"/>
      <c r="B16023" s="11"/>
      <c r="C16023" s="11"/>
      <c r="D16023" s="10" t="s">
        <v>6873</v>
      </c>
    </row>
    <row r="16024" ht="30.0" customHeight="1">
      <c r="A16024" s="13" t="s">
        <v>6874</v>
      </c>
      <c r="B16024" s="10" t="s">
        <v>42</v>
      </c>
      <c r="C16024" s="10" t="s">
        <v>344</v>
      </c>
      <c r="D16024" s="10" t="s">
        <v>6875</v>
      </c>
      <c r="E16024" s="11"/>
      <c r="F16024" s="12">
        <f>ROUND(8.26*(1+G2/100),2)</f>
        <v>8.26</v>
      </c>
      <c r="G16024" s="11"/>
    </row>
    <row r="16025" ht="12.0" customHeight="1">
      <c r="A16025" s="11"/>
      <c r="B16025" s="11"/>
      <c r="C16025" s="11"/>
      <c r="D16025" s="10" t="s">
        <v>6875</v>
      </c>
    </row>
    <row r="16026" ht="30.0" customHeight="1">
      <c r="A16026" s="13" t="s">
        <v>6876</v>
      </c>
      <c r="B16026" s="10" t="s">
        <v>42</v>
      </c>
      <c r="C16026" s="10" t="s">
        <v>344</v>
      </c>
      <c r="D16026" s="10" t="s">
        <v>6877</v>
      </c>
      <c r="E16026" s="11"/>
      <c r="F16026" s="12">
        <f>ROUND(11.74*(1+G2/100),2)</f>
        <v>11.74</v>
      </c>
      <c r="G16026" s="11"/>
    </row>
    <row r="16027" ht="12.0" customHeight="1">
      <c r="A16027" s="11"/>
      <c r="B16027" s="11"/>
      <c r="C16027" s="11"/>
      <c r="D16027" s="10" t="s">
        <v>6877</v>
      </c>
    </row>
    <row r="16028" ht="30.0" customHeight="1">
      <c r="A16028" s="13" t="s">
        <v>6878</v>
      </c>
      <c r="B16028" s="10" t="s">
        <v>42</v>
      </c>
      <c r="C16028" s="10" t="s">
        <v>344</v>
      </c>
      <c r="D16028" s="10" t="s">
        <v>6879</v>
      </c>
      <c r="E16028" s="11"/>
      <c r="F16028" s="12">
        <f>ROUND(9.17*(1+G2/100),2)</f>
        <v>9.17</v>
      </c>
      <c r="G16028" s="11"/>
    </row>
    <row r="16029" ht="12.0" customHeight="1">
      <c r="A16029" s="11"/>
      <c r="B16029" s="11"/>
      <c r="C16029" s="11"/>
      <c r="D16029" s="10" t="s">
        <v>6879</v>
      </c>
    </row>
    <row r="16030" ht="30.0" customHeight="1">
      <c r="A16030" s="13" t="s">
        <v>6880</v>
      </c>
      <c r="B16030" s="10" t="s">
        <v>42</v>
      </c>
      <c r="C16030" s="10" t="s">
        <v>344</v>
      </c>
      <c r="D16030" s="10" t="s">
        <v>6881</v>
      </c>
      <c r="E16030" s="11"/>
      <c r="F16030" s="12">
        <f>ROUND(1.4*(1+G2/100),2)</f>
        <v>1.4</v>
      </c>
      <c r="G16030" s="11"/>
    </row>
    <row r="16031" ht="12.0" customHeight="1">
      <c r="A16031" s="11"/>
      <c r="B16031" s="11"/>
      <c r="C16031" s="11"/>
      <c r="D16031" s="10" t="s">
        <v>6881</v>
      </c>
    </row>
    <row r="16032" ht="30.0" customHeight="1">
      <c r="A16032" s="13" t="s">
        <v>6882</v>
      </c>
      <c r="B16032" s="10" t="s">
        <v>42</v>
      </c>
      <c r="C16032" s="10" t="s">
        <v>344</v>
      </c>
      <c r="D16032" s="10" t="s">
        <v>6883</v>
      </c>
      <c r="E16032" s="11"/>
      <c r="F16032" s="12">
        <f>ROUND(2.3*(1+G2/100),2)</f>
        <v>2.3</v>
      </c>
      <c r="G16032" s="11"/>
    </row>
    <row r="16033" ht="12.0" customHeight="1">
      <c r="A16033" s="11"/>
      <c r="B16033" s="11"/>
      <c r="C16033" s="11"/>
      <c r="D16033" s="10" t="s">
        <v>6883</v>
      </c>
    </row>
    <row r="16034" ht="21.0" customHeight="1">
      <c r="A16034" s="13" t="s">
        <v>6884</v>
      </c>
      <c r="B16034" s="10" t="s">
        <v>42</v>
      </c>
      <c r="C16034" s="10" t="s">
        <v>344</v>
      </c>
      <c r="D16034" s="10" t="s">
        <v>6885</v>
      </c>
      <c r="E16034" s="11"/>
      <c r="F16034" s="12">
        <f>ROUND(1.97*(1+G2/100),2)</f>
        <v>1.97</v>
      </c>
      <c r="G16034" s="11"/>
    </row>
    <row r="16035" ht="12.0" customHeight="1">
      <c r="A16035" s="11"/>
      <c r="B16035" s="11"/>
      <c r="C16035" s="11"/>
      <c r="D16035" s="10" t="s">
        <v>6885</v>
      </c>
    </row>
    <row r="16036" ht="21.0" customHeight="1">
      <c r="A16036" s="13" t="s">
        <v>6886</v>
      </c>
      <c r="B16036" s="10" t="s">
        <v>42</v>
      </c>
      <c r="C16036" s="10" t="s">
        <v>344</v>
      </c>
      <c r="D16036" s="10" t="s">
        <v>6887</v>
      </c>
      <c r="E16036" s="11"/>
      <c r="F16036" s="12">
        <f>ROUND(2.8*(1+G2/100),2)</f>
        <v>2.8</v>
      </c>
      <c r="G16036" s="11"/>
    </row>
    <row r="16037" ht="12.0" customHeight="1">
      <c r="A16037" s="11"/>
      <c r="B16037" s="11"/>
      <c r="C16037" s="11"/>
      <c r="D16037" s="10" t="s">
        <v>6887</v>
      </c>
    </row>
    <row r="16038" ht="21.0" customHeight="1">
      <c r="A16038" s="13" t="s">
        <v>6888</v>
      </c>
      <c r="B16038" s="10" t="s">
        <v>42</v>
      </c>
      <c r="C16038" s="10" t="s">
        <v>344</v>
      </c>
      <c r="D16038" s="10" t="s">
        <v>6889</v>
      </c>
      <c r="E16038" s="11"/>
      <c r="F16038" s="12">
        <f>ROUND(5.04*(1+G2/100),2)</f>
        <v>5.04</v>
      </c>
      <c r="G16038" s="11"/>
    </row>
    <row r="16039" ht="12.0" customHeight="1">
      <c r="A16039" s="11"/>
      <c r="B16039" s="11"/>
      <c r="C16039" s="11"/>
      <c r="D16039" s="10" t="s">
        <v>6889</v>
      </c>
    </row>
    <row r="16040" ht="21.0" customHeight="1">
      <c r="A16040" s="13" t="s">
        <v>6890</v>
      </c>
      <c r="B16040" s="10" t="s">
        <v>42</v>
      </c>
      <c r="C16040" s="10" t="s">
        <v>344</v>
      </c>
      <c r="D16040" s="10" t="s">
        <v>6891</v>
      </c>
      <c r="E16040" s="11"/>
      <c r="F16040" s="12">
        <f>ROUND(2.43*(1+G2/100),2)</f>
        <v>2.43</v>
      </c>
      <c r="G16040" s="11"/>
    </row>
    <row r="16041" ht="12.0" customHeight="1">
      <c r="A16041" s="11"/>
      <c r="B16041" s="11"/>
      <c r="C16041" s="11"/>
      <c r="D16041" s="10" t="s">
        <v>6891</v>
      </c>
    </row>
    <row r="16042" ht="21.0" customHeight="1">
      <c r="A16042" s="13" t="s">
        <v>6892</v>
      </c>
      <c r="B16042" s="10" t="s">
        <v>42</v>
      </c>
      <c r="C16042" s="10" t="s">
        <v>344</v>
      </c>
      <c r="D16042" s="10" t="s">
        <v>6893</v>
      </c>
      <c r="E16042" s="11"/>
      <c r="F16042" s="12">
        <f>ROUND(2.52*(1+G2/100),2)</f>
        <v>2.52</v>
      </c>
      <c r="G16042" s="11"/>
    </row>
    <row r="16043" ht="12.0" customHeight="1">
      <c r="A16043" s="11"/>
      <c r="B16043" s="11"/>
      <c r="C16043" s="11"/>
      <c r="D16043" s="10" t="s">
        <v>6893</v>
      </c>
    </row>
    <row r="16044" ht="21.0" customHeight="1">
      <c r="A16044" s="13" t="s">
        <v>6894</v>
      </c>
      <c r="B16044" s="10" t="s">
        <v>42</v>
      </c>
      <c r="C16044" s="10" t="s">
        <v>344</v>
      </c>
      <c r="D16044" s="10" t="s">
        <v>6895</v>
      </c>
      <c r="E16044" s="11"/>
      <c r="F16044" s="12">
        <f>ROUND(2.67*(1+G2/100),2)</f>
        <v>2.67</v>
      </c>
      <c r="G16044" s="11"/>
    </row>
    <row r="16045" ht="12.0" customHeight="1">
      <c r="A16045" s="11"/>
      <c r="B16045" s="11"/>
      <c r="C16045" s="11"/>
      <c r="D16045" s="10" t="s">
        <v>6895</v>
      </c>
    </row>
    <row r="16046" ht="30.0" customHeight="1">
      <c r="A16046" s="13" t="s">
        <v>6896</v>
      </c>
      <c r="B16046" s="10" t="s">
        <v>42</v>
      </c>
      <c r="C16046" s="10" t="s">
        <v>344</v>
      </c>
      <c r="D16046" s="10" t="s">
        <v>6897</v>
      </c>
      <c r="E16046" s="11"/>
      <c r="F16046" s="12">
        <f>ROUND(2.25*(1+G2/100),2)</f>
        <v>2.25</v>
      </c>
      <c r="G16046" s="11"/>
    </row>
    <row r="16047" ht="12.0" customHeight="1">
      <c r="A16047" s="11"/>
      <c r="B16047" s="11"/>
      <c r="C16047" s="11"/>
      <c r="D16047" s="10" t="s">
        <v>6897</v>
      </c>
    </row>
    <row r="16048" ht="21.0" customHeight="1">
      <c r="A16048" s="13" t="s">
        <v>6898</v>
      </c>
      <c r="B16048" s="10" t="s">
        <v>42</v>
      </c>
      <c r="C16048" s="10" t="s">
        <v>344</v>
      </c>
      <c r="D16048" s="10" t="s">
        <v>6899</v>
      </c>
      <c r="E16048" s="11"/>
      <c r="F16048" s="12">
        <f>ROUND(4.48*(1+G2/100),2)</f>
        <v>4.48</v>
      </c>
      <c r="G16048" s="11"/>
    </row>
    <row r="16049" ht="12.0" customHeight="1">
      <c r="A16049" s="11"/>
      <c r="B16049" s="11"/>
      <c r="C16049" s="11"/>
      <c r="D16049" s="10" t="s">
        <v>6899</v>
      </c>
    </row>
    <row r="16050" ht="21.0" customHeight="1">
      <c r="A16050" s="13" t="s">
        <v>6900</v>
      </c>
      <c r="B16050" s="10" t="s">
        <v>42</v>
      </c>
      <c r="C16050" s="10" t="s">
        <v>344</v>
      </c>
      <c r="D16050" s="10" t="s">
        <v>6901</v>
      </c>
      <c r="E16050" s="11"/>
      <c r="F16050" s="12">
        <f>ROUND(4.26*(1+G2/100),2)</f>
        <v>4.26</v>
      </c>
      <c r="G16050" s="11"/>
    </row>
    <row r="16051" ht="12.0" customHeight="1">
      <c r="A16051" s="11"/>
      <c r="B16051" s="11"/>
      <c r="C16051" s="11"/>
      <c r="D16051" s="10" t="s">
        <v>6901</v>
      </c>
    </row>
    <row r="16052" ht="21.0" customHeight="1">
      <c r="A16052" s="13" t="s">
        <v>6902</v>
      </c>
      <c r="B16052" s="10" t="s">
        <v>42</v>
      </c>
      <c r="C16052" s="10" t="s">
        <v>344</v>
      </c>
      <c r="D16052" s="10" t="s">
        <v>6903</v>
      </c>
      <c r="E16052" s="11"/>
      <c r="F16052" s="12">
        <f>ROUND(4.53*(1+G2/100),2)</f>
        <v>4.53</v>
      </c>
      <c r="G16052" s="11"/>
    </row>
    <row r="16053" ht="12.0" customHeight="1">
      <c r="A16053" s="11"/>
      <c r="B16053" s="11"/>
      <c r="C16053" s="11"/>
      <c r="D16053" s="10" t="s">
        <v>6903</v>
      </c>
    </row>
    <row r="16054" ht="21.0" customHeight="1">
      <c r="A16054" s="13" t="s">
        <v>6904</v>
      </c>
      <c r="B16054" s="10" t="s">
        <v>42</v>
      </c>
      <c r="C16054" s="10" t="s">
        <v>344</v>
      </c>
      <c r="D16054" s="10" t="s">
        <v>6905</v>
      </c>
      <c r="E16054" s="11"/>
      <c r="F16054" s="12">
        <f>ROUND(16*(1+G2/100),2)</f>
        <v>16</v>
      </c>
      <c r="G16054" s="11"/>
    </row>
    <row r="16055" ht="12.0" customHeight="1">
      <c r="A16055" s="11"/>
      <c r="B16055" s="11"/>
      <c r="C16055" s="11"/>
      <c r="D16055" s="10" t="s">
        <v>6905</v>
      </c>
    </row>
    <row r="16056" ht="21.0" customHeight="1">
      <c r="A16056" s="13" t="s">
        <v>6906</v>
      </c>
      <c r="B16056" s="10" t="s">
        <v>42</v>
      </c>
      <c r="C16056" s="10" t="s">
        <v>344</v>
      </c>
      <c r="D16056" s="10" t="s">
        <v>6907</v>
      </c>
      <c r="E16056" s="11"/>
      <c r="F16056" s="12">
        <f>ROUND(20.54*(1+G2/100),2)</f>
        <v>20.54</v>
      </c>
      <c r="G16056" s="11"/>
    </row>
    <row r="16057" ht="12.0" customHeight="1">
      <c r="A16057" s="11"/>
      <c r="B16057" s="11"/>
      <c r="C16057" s="11"/>
      <c r="D16057" s="10" t="s">
        <v>6907</v>
      </c>
    </row>
    <row r="16058" ht="21.0" customHeight="1">
      <c r="A16058" s="13" t="s">
        <v>6908</v>
      </c>
      <c r="B16058" s="10" t="s">
        <v>42</v>
      </c>
      <c r="C16058" s="10" t="s">
        <v>344</v>
      </c>
      <c r="D16058" s="10" t="s">
        <v>6909</v>
      </c>
      <c r="E16058" s="11"/>
      <c r="F16058" s="12">
        <f>ROUND(4.78*(1+G2/100),2)</f>
        <v>4.78</v>
      </c>
      <c r="G16058" s="11"/>
    </row>
    <row r="16059" ht="12.0" customHeight="1">
      <c r="A16059" s="11"/>
      <c r="B16059" s="11"/>
      <c r="C16059" s="11"/>
      <c r="D16059" s="10" t="s">
        <v>6909</v>
      </c>
    </row>
    <row r="16060" ht="30.0" customHeight="1">
      <c r="A16060" s="13" t="s">
        <v>6910</v>
      </c>
      <c r="B16060" s="10" t="s">
        <v>42</v>
      </c>
      <c r="C16060" s="10" t="s">
        <v>344</v>
      </c>
      <c r="D16060" s="10" t="s">
        <v>6911</v>
      </c>
      <c r="E16060" s="11"/>
      <c r="F16060" s="12">
        <f>ROUND(2.53*(1+G2/100),2)</f>
        <v>2.53</v>
      </c>
      <c r="G16060" s="11"/>
    </row>
    <row r="16061" ht="12.0" customHeight="1">
      <c r="A16061" s="11"/>
      <c r="B16061" s="11"/>
      <c r="C16061" s="11"/>
      <c r="D16061" s="10" t="s">
        <v>6911</v>
      </c>
    </row>
    <row r="16062" ht="30.0" customHeight="1">
      <c r="A16062" s="13" t="s">
        <v>6912</v>
      </c>
      <c r="B16062" s="10" t="s">
        <v>42</v>
      </c>
      <c r="C16062" s="10" t="s">
        <v>344</v>
      </c>
      <c r="D16062" s="10" t="s">
        <v>6913</v>
      </c>
      <c r="E16062" s="11"/>
      <c r="F16062" s="12">
        <f>ROUND(4.07*(1+G2/100),2)</f>
        <v>4.07</v>
      </c>
      <c r="G16062" s="11"/>
    </row>
    <row r="16063" ht="12.0" customHeight="1">
      <c r="A16063" s="11"/>
      <c r="B16063" s="11"/>
      <c r="C16063" s="11"/>
      <c r="D16063" s="10" t="s">
        <v>6913</v>
      </c>
    </row>
    <row r="16064" ht="21.0" customHeight="1">
      <c r="A16064" s="13" t="s">
        <v>6914</v>
      </c>
      <c r="B16064" s="10" t="s">
        <v>42</v>
      </c>
      <c r="C16064" s="10" t="s">
        <v>344</v>
      </c>
      <c r="D16064" s="10" t="s">
        <v>6915</v>
      </c>
      <c r="E16064" s="11"/>
      <c r="F16064" s="12">
        <f>ROUND(2.94*(1+G2/100),2)</f>
        <v>2.94</v>
      </c>
      <c r="G16064" s="11"/>
    </row>
    <row r="16065" ht="12.0" customHeight="1">
      <c r="A16065" s="11"/>
      <c r="B16065" s="11"/>
      <c r="C16065" s="11"/>
      <c r="D16065" s="10" t="s">
        <v>6915</v>
      </c>
    </row>
    <row r="16066" ht="21.0" customHeight="1">
      <c r="A16066" s="13" t="s">
        <v>6916</v>
      </c>
      <c r="B16066" s="10" t="s">
        <v>42</v>
      </c>
      <c r="C16066" s="10" t="s">
        <v>344</v>
      </c>
      <c r="D16066" s="10" t="s">
        <v>6917</v>
      </c>
      <c r="E16066" s="11"/>
      <c r="F16066" s="12">
        <f>ROUND(4.29*(1+G2/100),2)</f>
        <v>4.29</v>
      </c>
      <c r="G16066" s="11"/>
    </row>
    <row r="16067" ht="12.0" customHeight="1">
      <c r="A16067" s="11"/>
      <c r="B16067" s="11"/>
      <c r="C16067" s="11"/>
      <c r="D16067" s="10" t="s">
        <v>6917</v>
      </c>
    </row>
    <row r="16068" ht="21.0" customHeight="1">
      <c r="A16068" s="13" t="s">
        <v>6918</v>
      </c>
      <c r="B16068" s="10" t="s">
        <v>42</v>
      </c>
      <c r="C16068" s="10" t="s">
        <v>344</v>
      </c>
      <c r="D16068" s="10" t="s">
        <v>6919</v>
      </c>
      <c r="E16068" s="11"/>
      <c r="F16068" s="12">
        <f>ROUND(2.94*(1+G2/100),2)</f>
        <v>2.94</v>
      </c>
      <c r="G16068" s="11"/>
    </row>
    <row r="16069" ht="12.0" customHeight="1">
      <c r="A16069" s="11"/>
      <c r="B16069" s="11"/>
      <c r="C16069" s="11"/>
      <c r="D16069" s="10" t="s">
        <v>6919</v>
      </c>
    </row>
    <row r="16070" ht="21.0" customHeight="1">
      <c r="A16070" s="13" t="s">
        <v>6920</v>
      </c>
      <c r="B16070" s="10" t="s">
        <v>42</v>
      </c>
      <c r="C16070" s="10" t="s">
        <v>344</v>
      </c>
      <c r="D16070" s="10" t="s">
        <v>6921</v>
      </c>
      <c r="E16070" s="11"/>
      <c r="F16070" s="12">
        <f>ROUND(4.29*(1+G2/100),2)</f>
        <v>4.29</v>
      </c>
      <c r="G16070" s="11"/>
    </row>
    <row r="16071" ht="12.0" customHeight="1">
      <c r="A16071" s="11"/>
      <c r="B16071" s="11"/>
      <c r="C16071" s="11"/>
      <c r="D16071" s="10" t="s">
        <v>6921</v>
      </c>
    </row>
    <row r="16072" ht="21.0" customHeight="1">
      <c r="A16072" s="13" t="s">
        <v>6922</v>
      </c>
      <c r="B16072" s="10" t="s">
        <v>42</v>
      </c>
      <c r="C16072" s="10" t="s">
        <v>344</v>
      </c>
      <c r="D16072" s="10" t="s">
        <v>6923</v>
      </c>
      <c r="E16072" s="11"/>
      <c r="F16072" s="12">
        <f>ROUND(4.1*(1+G2/100),2)</f>
        <v>4.1</v>
      </c>
      <c r="G16072" s="11"/>
    </row>
    <row r="16073" ht="12.0" customHeight="1">
      <c r="A16073" s="11"/>
      <c r="B16073" s="11"/>
      <c r="C16073" s="11"/>
      <c r="D16073" s="10" t="s">
        <v>6923</v>
      </c>
    </row>
    <row r="16074" ht="15.0" customHeight="1">
      <c r="A16074" s="16"/>
      <c r="B16074" s="16"/>
      <c r="C16074" s="16"/>
      <c r="D16074" s="45" t="s">
        <v>6817</v>
      </c>
      <c r="E16074" s="46"/>
      <c r="F16074" s="46"/>
      <c r="G16074" s="46"/>
    </row>
    <row r="16075" ht="30.0" customHeight="1">
      <c r="A16075" s="19" t="s">
        <v>3660</v>
      </c>
      <c r="B16075" s="20" t="s">
        <v>42</v>
      </c>
      <c r="C16075" s="20" t="s">
        <v>344</v>
      </c>
      <c r="D16075" s="20" t="s">
        <v>3661</v>
      </c>
      <c r="E16075" s="21"/>
      <c r="F16075" s="22">
        <f>ROUND(6.57*(1+G2/100),2)</f>
        <v>6.57</v>
      </c>
      <c r="G16075" s="21"/>
    </row>
    <row r="16076" ht="12.0" customHeight="1">
      <c r="A16076" s="11"/>
      <c r="B16076" s="11"/>
      <c r="C16076" s="11"/>
      <c r="D16076" s="10" t="s">
        <v>6924</v>
      </c>
    </row>
    <row r="16077" ht="30.0" customHeight="1">
      <c r="A16077" s="13" t="s">
        <v>3664</v>
      </c>
      <c r="B16077" s="10" t="s">
        <v>42</v>
      </c>
      <c r="C16077" s="10" t="s">
        <v>344</v>
      </c>
      <c r="D16077" s="10" t="s">
        <v>3665</v>
      </c>
      <c r="E16077" s="11"/>
      <c r="F16077" s="12">
        <f>ROUND(1.28*(1+G2/100),2)</f>
        <v>1.28</v>
      </c>
      <c r="G16077" s="11"/>
    </row>
    <row r="16078" ht="48.75" customHeight="1">
      <c r="A16078" s="11"/>
      <c r="B16078" s="11"/>
      <c r="C16078" s="11"/>
      <c r="D16078" s="10" t="s">
        <v>6925</v>
      </c>
    </row>
    <row r="16079" ht="30.0" customHeight="1">
      <c r="A16079" s="13" t="s">
        <v>3666</v>
      </c>
      <c r="B16079" s="10" t="s">
        <v>42</v>
      </c>
      <c r="C16079" s="10" t="s">
        <v>344</v>
      </c>
      <c r="D16079" s="10" t="s">
        <v>3667</v>
      </c>
      <c r="E16079" s="11"/>
      <c r="F16079" s="12">
        <f>ROUND(2.07*(1+G2/100),2)</f>
        <v>2.07</v>
      </c>
      <c r="G16079" s="11"/>
    </row>
    <row r="16080" ht="12.0" customHeight="1">
      <c r="A16080" s="11"/>
      <c r="B16080" s="11"/>
      <c r="C16080" s="11"/>
      <c r="D16080" s="10" t="s">
        <v>3667</v>
      </c>
    </row>
    <row r="16081" ht="30.0" customHeight="1">
      <c r="A16081" s="13" t="s">
        <v>3668</v>
      </c>
      <c r="B16081" s="10" t="s">
        <v>42</v>
      </c>
      <c r="C16081" s="10" t="s">
        <v>344</v>
      </c>
      <c r="D16081" s="10" t="s">
        <v>3669</v>
      </c>
      <c r="E16081" s="11"/>
      <c r="F16081" s="12">
        <f>ROUND(3.1*(1+G2/100),2)</f>
        <v>3.1</v>
      </c>
      <c r="G16081" s="11"/>
    </row>
    <row r="16082" ht="30.0" customHeight="1">
      <c r="A16082" s="11"/>
      <c r="B16082" s="11"/>
      <c r="C16082" s="11"/>
      <c r="D16082" s="10" t="s">
        <v>6926</v>
      </c>
    </row>
    <row r="16083" ht="30.0" customHeight="1">
      <c r="A16083" s="13" t="s">
        <v>6927</v>
      </c>
      <c r="B16083" s="10" t="s">
        <v>42</v>
      </c>
      <c r="C16083" s="10" t="s">
        <v>344</v>
      </c>
      <c r="D16083" s="10" t="s">
        <v>6928</v>
      </c>
      <c r="E16083" s="11"/>
      <c r="F16083" s="12">
        <f>ROUND(4.1*(1+G2/100),2)</f>
        <v>4.1</v>
      </c>
      <c r="G16083" s="11"/>
    </row>
    <row r="16084" ht="12.0" customHeight="1">
      <c r="A16084" s="11"/>
      <c r="B16084" s="11"/>
      <c r="C16084" s="11"/>
      <c r="D16084" s="10" t="s">
        <v>6928</v>
      </c>
    </row>
    <row r="16085" ht="30.0" customHeight="1">
      <c r="A16085" s="13" t="s">
        <v>3662</v>
      </c>
      <c r="B16085" s="10" t="s">
        <v>42</v>
      </c>
      <c r="C16085" s="10" t="s">
        <v>344</v>
      </c>
      <c r="D16085" s="10" t="s">
        <v>3663</v>
      </c>
      <c r="E16085" s="11"/>
      <c r="F16085" s="12">
        <f>ROUND(1.74*(1+G2/100),2)</f>
        <v>1.74</v>
      </c>
      <c r="G16085" s="11"/>
    </row>
    <row r="16086" ht="12.0" customHeight="1">
      <c r="A16086" s="11"/>
      <c r="B16086" s="11"/>
      <c r="C16086" s="11"/>
      <c r="D16086" s="10" t="s">
        <v>3663</v>
      </c>
    </row>
    <row r="16087" ht="21.0" customHeight="1">
      <c r="A16087" s="13" t="s">
        <v>6929</v>
      </c>
      <c r="B16087" s="10" t="s">
        <v>42</v>
      </c>
      <c r="C16087" s="10" t="s">
        <v>344</v>
      </c>
      <c r="D16087" s="10" t="s">
        <v>6930</v>
      </c>
      <c r="E16087" s="11"/>
      <c r="F16087" s="12">
        <f>ROUND(1.01*(1+G2/100),2)</f>
        <v>1.01</v>
      </c>
      <c r="G16087" s="11"/>
    </row>
    <row r="16088" ht="76.5" customHeight="1">
      <c r="A16088" s="11"/>
      <c r="B16088" s="11"/>
      <c r="C16088" s="11"/>
      <c r="D16088" s="10" t="s">
        <v>6931</v>
      </c>
    </row>
    <row r="16089" ht="30.0" customHeight="1">
      <c r="A16089" s="13" t="s">
        <v>463</v>
      </c>
      <c r="B16089" s="10" t="s">
        <v>42</v>
      </c>
      <c r="C16089" s="10" t="s">
        <v>226</v>
      </c>
      <c r="D16089" s="10" t="s">
        <v>464</v>
      </c>
      <c r="E16089" s="11"/>
      <c r="F16089" s="12">
        <f>ROUND(24.14*(1+G2/100),2)</f>
        <v>24.14</v>
      </c>
      <c r="G16089" s="11"/>
    </row>
    <row r="16090" ht="39.75" customHeight="1">
      <c r="A16090" s="11"/>
      <c r="B16090" s="11"/>
      <c r="C16090" s="11"/>
      <c r="D16090" s="10" t="s">
        <v>6932</v>
      </c>
    </row>
    <row r="16091" ht="30.0" customHeight="1">
      <c r="A16091" s="13" t="s">
        <v>6933</v>
      </c>
      <c r="B16091" s="10" t="s">
        <v>42</v>
      </c>
      <c r="C16091" s="10" t="s">
        <v>226</v>
      </c>
      <c r="D16091" s="10" t="s">
        <v>6934</v>
      </c>
      <c r="E16091" s="11"/>
      <c r="F16091" s="12">
        <f>ROUND(34.55*(1+G2/100),2)</f>
        <v>34.55</v>
      </c>
      <c r="G16091" s="11"/>
    </row>
    <row r="16092" ht="30.0" customHeight="1">
      <c r="A16092" s="11"/>
      <c r="B16092" s="11"/>
      <c r="C16092" s="11"/>
      <c r="D16092" s="10" t="s">
        <v>6935</v>
      </c>
    </row>
    <row r="16093" ht="30.0" customHeight="1">
      <c r="A16093" s="13" t="s">
        <v>6936</v>
      </c>
      <c r="B16093" s="10" t="s">
        <v>42</v>
      </c>
      <c r="C16093" s="10" t="s">
        <v>226</v>
      </c>
      <c r="D16093" s="10" t="s">
        <v>6937</v>
      </c>
      <c r="E16093" s="11"/>
      <c r="F16093" s="12">
        <f>ROUND(8.97*(1+G2/100),2)</f>
        <v>8.97</v>
      </c>
      <c r="G16093" s="11"/>
    </row>
    <row r="16094" ht="30.0" customHeight="1">
      <c r="A16094" s="11"/>
      <c r="B16094" s="11"/>
      <c r="C16094" s="11"/>
      <c r="D16094" s="10" t="s">
        <v>6938</v>
      </c>
    </row>
    <row r="16095" ht="24.75" customHeight="1">
      <c r="A16095" s="13" t="s">
        <v>4611</v>
      </c>
      <c r="B16095" s="10" t="s">
        <v>42</v>
      </c>
      <c r="C16095" s="10" t="s">
        <v>344</v>
      </c>
      <c r="D16095" s="10" t="s">
        <v>4612</v>
      </c>
      <c r="E16095" s="11"/>
      <c r="F16095" s="12">
        <f>ROUND(11.73*(1+G2/100),2)</f>
        <v>11.73</v>
      </c>
      <c r="G16095" s="11"/>
    </row>
    <row r="16096" ht="85.5" customHeight="1">
      <c r="A16096" s="11"/>
      <c r="B16096" s="11"/>
      <c r="C16096" s="11"/>
      <c r="D16096" s="10" t="s">
        <v>6939</v>
      </c>
    </row>
    <row r="16097" ht="39.75" customHeight="1">
      <c r="A16097" s="13" t="s">
        <v>6940</v>
      </c>
      <c r="B16097" s="10" t="s">
        <v>42</v>
      </c>
      <c r="C16097" s="10" t="s">
        <v>231</v>
      </c>
      <c r="D16097" s="10" t="s">
        <v>6941</v>
      </c>
      <c r="E16097" s="11"/>
      <c r="F16097" s="12">
        <f>ROUND(780*(1+G2/100),2)</f>
        <v>780</v>
      </c>
      <c r="G16097" s="11"/>
    </row>
    <row r="16098" ht="288.75" customHeight="1">
      <c r="A16098" s="11"/>
      <c r="B16098" s="11"/>
      <c r="C16098" s="11"/>
      <c r="D16098" s="10" t="s">
        <v>6942</v>
      </c>
    </row>
    <row r="16099" ht="30.0" customHeight="1">
      <c r="A16099" s="13" t="s">
        <v>6943</v>
      </c>
      <c r="B16099" s="10" t="s">
        <v>42</v>
      </c>
      <c r="C16099" s="10" t="s">
        <v>231</v>
      </c>
      <c r="D16099" s="10" t="s">
        <v>6944</v>
      </c>
      <c r="E16099" s="11"/>
      <c r="F16099" s="12">
        <f>ROUND(530*(1+G2/100),2)</f>
        <v>530</v>
      </c>
      <c r="G16099" s="11"/>
    </row>
    <row r="16100" ht="307.5" customHeight="1">
      <c r="A16100" s="11"/>
      <c r="B16100" s="11"/>
      <c r="C16100" s="11"/>
      <c r="D16100" s="10" t="s">
        <v>6945</v>
      </c>
    </row>
    <row r="16101" ht="39.75" customHeight="1">
      <c r="A16101" s="13" t="s">
        <v>6946</v>
      </c>
      <c r="B16101" s="10" t="s">
        <v>42</v>
      </c>
      <c r="C16101" s="10" t="s">
        <v>344</v>
      </c>
      <c r="D16101" s="10" t="s">
        <v>6947</v>
      </c>
      <c r="E16101" s="11"/>
      <c r="F16101" s="12">
        <f>ROUND(16.95*(1+G2/100),2)</f>
        <v>16.95</v>
      </c>
      <c r="G16101" s="11"/>
    </row>
    <row r="16102" ht="76.5" customHeight="1">
      <c r="A16102" s="11"/>
      <c r="B16102" s="11"/>
      <c r="C16102" s="11"/>
      <c r="D16102" s="10" t="s">
        <v>6948</v>
      </c>
    </row>
    <row r="16103" ht="21.0" customHeight="1">
      <c r="A16103" s="13" t="s">
        <v>3438</v>
      </c>
      <c r="B16103" s="10" t="s">
        <v>42</v>
      </c>
      <c r="C16103" s="10" t="s">
        <v>344</v>
      </c>
      <c r="D16103" s="10" t="s">
        <v>3439</v>
      </c>
      <c r="E16103" s="11"/>
      <c r="F16103" s="12">
        <f>ROUND(1.29*(1+G2/100),2)</f>
        <v>1.29</v>
      </c>
      <c r="G16103" s="11"/>
    </row>
    <row r="16104" ht="21.0" customHeight="1">
      <c r="A16104" s="11"/>
      <c r="B16104" s="11"/>
      <c r="C16104" s="11"/>
      <c r="D16104" s="10" t="s">
        <v>6949</v>
      </c>
    </row>
    <row r="16105" ht="21.0" customHeight="1">
      <c r="A16105" s="13" t="s">
        <v>3450</v>
      </c>
      <c r="B16105" s="10" t="s">
        <v>42</v>
      </c>
      <c r="C16105" s="10" t="s">
        <v>344</v>
      </c>
      <c r="D16105" s="10" t="s">
        <v>3451</v>
      </c>
      <c r="E16105" s="11"/>
      <c r="F16105" s="12">
        <f>ROUND(1.59*(1+G2/100),2)</f>
        <v>1.59</v>
      </c>
      <c r="G16105" s="11"/>
    </row>
    <row r="16106" ht="21.0" customHeight="1">
      <c r="A16106" s="11"/>
      <c r="B16106" s="11"/>
      <c r="C16106" s="11"/>
      <c r="D16106" s="10" t="s">
        <v>6950</v>
      </c>
    </row>
    <row r="16107" ht="21.0" customHeight="1">
      <c r="A16107" s="13" t="s">
        <v>461</v>
      </c>
      <c r="B16107" s="10" t="s">
        <v>42</v>
      </c>
      <c r="C16107" s="10" t="s">
        <v>344</v>
      </c>
      <c r="D16107" s="10" t="s">
        <v>462</v>
      </c>
      <c r="E16107" s="11"/>
      <c r="F16107" s="12">
        <f>ROUND(1.69*(1+G2/100),2)</f>
        <v>1.69</v>
      </c>
      <c r="G16107" s="11"/>
    </row>
    <row r="16108" ht="21.0" customHeight="1">
      <c r="A16108" s="11"/>
      <c r="B16108" s="11"/>
      <c r="C16108" s="11"/>
      <c r="D16108" s="10" t="s">
        <v>6951</v>
      </c>
    </row>
    <row r="16109" ht="30.0" customHeight="1">
      <c r="A16109" s="13" t="s">
        <v>6952</v>
      </c>
      <c r="B16109" s="10" t="s">
        <v>42</v>
      </c>
      <c r="C16109" s="10" t="s">
        <v>344</v>
      </c>
      <c r="D16109" s="10" t="s">
        <v>6953</v>
      </c>
      <c r="E16109" s="11"/>
      <c r="F16109" s="12">
        <f>ROUND(8.15*(1+G2/100),2)</f>
        <v>8.15</v>
      </c>
      <c r="G16109" s="11"/>
    </row>
    <row r="16110" ht="21.0" customHeight="1">
      <c r="A16110" s="11"/>
      <c r="B16110" s="11"/>
      <c r="C16110" s="11"/>
      <c r="D16110" s="10" t="s">
        <v>6954</v>
      </c>
    </row>
    <row r="16111" ht="30.0" customHeight="1">
      <c r="A16111" s="13" t="s">
        <v>6955</v>
      </c>
      <c r="B16111" s="10" t="s">
        <v>42</v>
      </c>
      <c r="C16111" s="10" t="s">
        <v>344</v>
      </c>
      <c r="D16111" s="10" t="s">
        <v>6956</v>
      </c>
      <c r="E16111" s="11"/>
      <c r="F16111" s="12">
        <f>ROUND(12.5*(1+G2/100),2)</f>
        <v>12.5</v>
      </c>
      <c r="G16111" s="11"/>
    </row>
    <row r="16112" ht="21.0" customHeight="1">
      <c r="A16112" s="11"/>
      <c r="B16112" s="11"/>
      <c r="C16112" s="11"/>
      <c r="D16112" s="10" t="s">
        <v>6957</v>
      </c>
    </row>
    <row r="16113" ht="30.0" customHeight="1">
      <c r="A16113" s="13" t="s">
        <v>3436</v>
      </c>
      <c r="B16113" s="10" t="s">
        <v>42</v>
      </c>
      <c r="C16113" s="10" t="s">
        <v>344</v>
      </c>
      <c r="D16113" s="10" t="s">
        <v>3437</v>
      </c>
      <c r="E16113" s="11"/>
      <c r="F16113" s="12">
        <f>ROUND(11.05*(1+G2/100),2)</f>
        <v>11.05</v>
      </c>
      <c r="G16113" s="11"/>
    </row>
    <row r="16114" ht="21.0" customHeight="1">
      <c r="A16114" s="11"/>
      <c r="B16114" s="11"/>
      <c r="C16114" s="11"/>
      <c r="D16114" s="10" t="s">
        <v>6958</v>
      </c>
    </row>
    <row r="16115" ht="30.0" customHeight="1">
      <c r="A16115" s="13" t="s">
        <v>6959</v>
      </c>
      <c r="B16115" s="10" t="s">
        <v>42</v>
      </c>
      <c r="C16115" s="10" t="s">
        <v>344</v>
      </c>
      <c r="D16115" s="10" t="s">
        <v>6960</v>
      </c>
      <c r="E16115" s="11"/>
      <c r="F16115" s="12">
        <f>ROUND(3.75*(1+G2/100),2)</f>
        <v>3.75</v>
      </c>
      <c r="G16115" s="11"/>
    </row>
    <row r="16116" ht="21.0" customHeight="1">
      <c r="A16116" s="11"/>
      <c r="B16116" s="11"/>
      <c r="C16116" s="11"/>
      <c r="D16116" s="10" t="s">
        <v>6961</v>
      </c>
    </row>
    <row r="16117" ht="21.0" customHeight="1">
      <c r="A16117" s="13" t="s">
        <v>6962</v>
      </c>
      <c r="B16117" s="10" t="s">
        <v>42</v>
      </c>
      <c r="C16117" s="10" t="s">
        <v>344</v>
      </c>
      <c r="D16117" s="10" t="s">
        <v>6963</v>
      </c>
      <c r="E16117" s="11"/>
      <c r="F16117" s="12">
        <f>ROUND(2.29*(1+G2/100),2)</f>
        <v>2.29</v>
      </c>
      <c r="G16117" s="11"/>
    </row>
    <row r="16118" ht="21.0" customHeight="1">
      <c r="A16118" s="11"/>
      <c r="B16118" s="11"/>
      <c r="C16118" s="11"/>
      <c r="D16118" s="10" t="s">
        <v>6964</v>
      </c>
    </row>
    <row r="16119" ht="39.75" customHeight="1">
      <c r="A16119" s="13" t="s">
        <v>4585</v>
      </c>
      <c r="B16119" s="10" t="s">
        <v>42</v>
      </c>
      <c r="C16119" s="10" t="s">
        <v>344</v>
      </c>
      <c r="D16119" s="10" t="s">
        <v>4586</v>
      </c>
      <c r="E16119" s="11"/>
      <c r="F16119" s="12">
        <f>ROUND(3.63*(1+G2/100),2)</f>
        <v>3.63</v>
      </c>
      <c r="G16119" s="11"/>
    </row>
    <row r="16120" ht="30.0" customHeight="1">
      <c r="A16120" s="11"/>
      <c r="B16120" s="11"/>
      <c r="C16120" s="11"/>
      <c r="D16120" s="10" t="s">
        <v>6965</v>
      </c>
    </row>
    <row r="16121" ht="30.0" customHeight="1">
      <c r="A16121" s="13" t="s">
        <v>4515</v>
      </c>
      <c r="B16121" s="10" t="s">
        <v>42</v>
      </c>
      <c r="C16121" s="10" t="s">
        <v>344</v>
      </c>
      <c r="D16121" s="10" t="s">
        <v>4516</v>
      </c>
      <c r="E16121" s="11"/>
      <c r="F16121" s="12">
        <f>ROUND(10.73*(1+G2/100),2)</f>
        <v>10.73</v>
      </c>
      <c r="G16121" s="11"/>
    </row>
    <row r="16122" ht="30.0" customHeight="1">
      <c r="A16122" s="11"/>
      <c r="B16122" s="11"/>
      <c r="C16122" s="11"/>
      <c r="D16122" s="10" t="s">
        <v>6966</v>
      </c>
    </row>
    <row r="16123" ht="30.0" customHeight="1">
      <c r="A16123" s="13" t="s">
        <v>4136</v>
      </c>
      <c r="B16123" s="10" t="s">
        <v>42</v>
      </c>
      <c r="C16123" s="10" t="s">
        <v>344</v>
      </c>
      <c r="D16123" s="10" t="s">
        <v>4137</v>
      </c>
      <c r="E16123" s="11"/>
      <c r="F16123" s="12">
        <f>ROUND(20*(1+G2/100),2)</f>
        <v>20</v>
      </c>
      <c r="G16123" s="11"/>
    </row>
    <row r="16124" ht="30.0" customHeight="1">
      <c r="A16124" s="11"/>
      <c r="B16124" s="11"/>
      <c r="C16124" s="11"/>
      <c r="D16124" s="10" t="s">
        <v>6967</v>
      </c>
    </row>
    <row r="16125" ht="39.75" customHeight="1">
      <c r="A16125" s="13" t="s">
        <v>4595</v>
      </c>
      <c r="B16125" s="10" t="s">
        <v>42</v>
      </c>
      <c r="C16125" s="10" t="s">
        <v>344</v>
      </c>
      <c r="D16125" s="10" t="s">
        <v>4596</v>
      </c>
      <c r="E16125" s="11"/>
      <c r="F16125" s="12">
        <f>ROUND(6.33*(1+G2/100),2)</f>
        <v>6.33</v>
      </c>
      <c r="G16125" s="11"/>
    </row>
    <row r="16126" ht="30.0" customHeight="1">
      <c r="A16126" s="11"/>
      <c r="B16126" s="11"/>
      <c r="C16126" s="11"/>
      <c r="D16126" s="10" t="s">
        <v>6968</v>
      </c>
    </row>
    <row r="16127" ht="30.0" customHeight="1">
      <c r="A16127" s="13" t="s">
        <v>3434</v>
      </c>
      <c r="B16127" s="10" t="s">
        <v>42</v>
      </c>
      <c r="C16127" s="10" t="s">
        <v>344</v>
      </c>
      <c r="D16127" s="10" t="s">
        <v>3435</v>
      </c>
      <c r="E16127" s="11"/>
      <c r="F16127" s="12">
        <f>ROUND(10.74*(1+G2/100),2)</f>
        <v>10.74</v>
      </c>
      <c r="G16127" s="11"/>
    </row>
    <row r="16128" ht="21.0" customHeight="1">
      <c r="A16128" s="11"/>
      <c r="B16128" s="11"/>
      <c r="C16128" s="11"/>
      <c r="D16128" s="10" t="s">
        <v>6969</v>
      </c>
    </row>
    <row r="16129" ht="30.0" customHeight="1">
      <c r="A16129" s="13" t="s">
        <v>3448</v>
      </c>
      <c r="B16129" s="10" t="s">
        <v>42</v>
      </c>
      <c r="C16129" s="10" t="s">
        <v>344</v>
      </c>
      <c r="D16129" s="10" t="s">
        <v>3449</v>
      </c>
      <c r="E16129" s="11"/>
      <c r="F16129" s="12">
        <f>ROUND(12.75*(1+G2/100),2)</f>
        <v>12.75</v>
      </c>
      <c r="G16129" s="11"/>
    </row>
    <row r="16130" ht="21.0" customHeight="1">
      <c r="A16130" s="11"/>
      <c r="B16130" s="11"/>
      <c r="C16130" s="11"/>
      <c r="D16130" s="10" t="s">
        <v>6970</v>
      </c>
    </row>
    <row r="16131" ht="21.0" customHeight="1">
      <c r="A16131" s="13" t="s">
        <v>6971</v>
      </c>
      <c r="B16131" s="10" t="s">
        <v>42</v>
      </c>
      <c r="C16131" s="10" t="s">
        <v>226</v>
      </c>
      <c r="D16131" s="10" t="s">
        <v>6972</v>
      </c>
      <c r="E16131" s="11"/>
      <c r="F16131" s="12">
        <f>ROUND(1.26*(1+G2/100),2)</f>
        <v>1.26</v>
      </c>
      <c r="G16131" s="11"/>
    </row>
    <row r="16132" ht="21.0" customHeight="1">
      <c r="A16132" s="11"/>
      <c r="B16132" s="11"/>
      <c r="C16132" s="11"/>
      <c r="D16132" s="10" t="s">
        <v>6973</v>
      </c>
    </row>
    <row r="16133" ht="21.0" customHeight="1">
      <c r="A16133" s="13" t="s">
        <v>348</v>
      </c>
      <c r="B16133" s="10" t="s">
        <v>42</v>
      </c>
      <c r="C16133" s="10" t="s">
        <v>226</v>
      </c>
      <c r="D16133" s="10" t="s">
        <v>349</v>
      </c>
      <c r="E16133" s="11"/>
      <c r="F16133" s="12">
        <f>ROUND(4.95*(1+G2/100),2)</f>
        <v>4.95</v>
      </c>
      <c r="G16133" s="11"/>
    </row>
    <row r="16134" ht="21.0" customHeight="1">
      <c r="A16134" s="11"/>
      <c r="B16134" s="11"/>
      <c r="C16134" s="11"/>
      <c r="D16134" s="10" t="s">
        <v>6974</v>
      </c>
    </row>
    <row r="16135" ht="21.0" customHeight="1">
      <c r="A16135" s="13" t="s">
        <v>6975</v>
      </c>
      <c r="B16135" s="10" t="s">
        <v>42</v>
      </c>
      <c r="C16135" s="10" t="s">
        <v>344</v>
      </c>
      <c r="D16135" s="10" t="s">
        <v>6976</v>
      </c>
      <c r="E16135" s="11"/>
      <c r="F16135" s="12">
        <f>ROUND(0.25*(1+G2/100),2)</f>
        <v>0.25</v>
      </c>
      <c r="G16135" s="11"/>
    </row>
    <row r="16136" ht="12.0" customHeight="1">
      <c r="A16136" s="11"/>
      <c r="B16136" s="11"/>
      <c r="C16136" s="11"/>
      <c r="D16136" s="10" t="s">
        <v>6976</v>
      </c>
    </row>
    <row r="16137" ht="21.0" customHeight="1">
      <c r="A16137" s="13" t="s">
        <v>6977</v>
      </c>
      <c r="B16137" s="10" t="s">
        <v>42</v>
      </c>
      <c r="C16137" s="10" t="s">
        <v>344</v>
      </c>
      <c r="D16137" s="10" t="s">
        <v>6978</v>
      </c>
      <c r="E16137" s="11"/>
      <c r="F16137" s="12">
        <f>ROUND(0.59*(1+G2/100),2)</f>
        <v>0.59</v>
      </c>
      <c r="G16137" s="11"/>
    </row>
    <row r="16138" ht="12.0" customHeight="1">
      <c r="A16138" s="11"/>
      <c r="B16138" s="11"/>
      <c r="C16138" s="11"/>
      <c r="D16138" s="10" t="s">
        <v>6978</v>
      </c>
    </row>
    <row r="16139" ht="21.0" customHeight="1">
      <c r="A16139" s="13" t="s">
        <v>6979</v>
      </c>
      <c r="B16139" s="10" t="s">
        <v>42</v>
      </c>
      <c r="C16139" s="10" t="s">
        <v>344</v>
      </c>
      <c r="D16139" s="10" t="s">
        <v>6980</v>
      </c>
      <c r="E16139" s="11"/>
      <c r="F16139" s="12">
        <f>ROUND(0.69*(1+G2/100),2)</f>
        <v>0.69</v>
      </c>
      <c r="G16139" s="11"/>
    </row>
    <row r="16140" ht="12.0" customHeight="1">
      <c r="A16140" s="11"/>
      <c r="B16140" s="11"/>
      <c r="C16140" s="11"/>
      <c r="D16140" s="10" t="s">
        <v>6980</v>
      </c>
    </row>
    <row r="16141" ht="21.0" customHeight="1">
      <c r="A16141" s="13" t="s">
        <v>6981</v>
      </c>
      <c r="B16141" s="10" t="s">
        <v>42</v>
      </c>
      <c r="C16141" s="10" t="s">
        <v>344</v>
      </c>
      <c r="D16141" s="10" t="s">
        <v>6982</v>
      </c>
      <c r="E16141" s="11"/>
      <c r="F16141" s="12">
        <f>ROUND(1.9*(1+G2/100),2)</f>
        <v>1.9</v>
      </c>
      <c r="G16141" s="11"/>
    </row>
    <row r="16142" ht="12.0" customHeight="1">
      <c r="A16142" s="11"/>
      <c r="B16142" s="11"/>
      <c r="C16142" s="11"/>
      <c r="D16142" s="10" t="s">
        <v>6982</v>
      </c>
    </row>
    <row r="16143" ht="21.0" customHeight="1">
      <c r="A16143" s="13" t="s">
        <v>919</v>
      </c>
      <c r="B16143" s="10" t="s">
        <v>42</v>
      </c>
      <c r="C16143" s="10" t="s">
        <v>344</v>
      </c>
      <c r="D16143" s="10" t="s">
        <v>920</v>
      </c>
      <c r="E16143" s="11"/>
      <c r="F16143" s="12">
        <f>ROUND(0.9*(1+G2/100),2)</f>
        <v>0.9</v>
      </c>
      <c r="G16143" s="11"/>
    </row>
    <row r="16144" ht="12.0" customHeight="1">
      <c r="A16144" s="11"/>
      <c r="B16144" s="11"/>
      <c r="C16144" s="11"/>
      <c r="D16144" s="10" t="s">
        <v>920</v>
      </c>
    </row>
    <row r="16145" ht="21.0" customHeight="1">
      <c r="A16145" s="13" t="s">
        <v>6983</v>
      </c>
      <c r="B16145" s="10" t="s">
        <v>42</v>
      </c>
      <c r="C16145" s="10" t="s">
        <v>344</v>
      </c>
      <c r="D16145" s="10" t="s">
        <v>6984</v>
      </c>
      <c r="E16145" s="11"/>
      <c r="F16145" s="12">
        <f>ROUND(1.29*(1+G2/100),2)</f>
        <v>1.29</v>
      </c>
      <c r="G16145" s="11"/>
    </row>
    <row r="16146" ht="12.0" customHeight="1">
      <c r="A16146" s="11"/>
      <c r="B16146" s="11"/>
      <c r="C16146" s="11"/>
      <c r="D16146" s="10" t="s">
        <v>6984</v>
      </c>
    </row>
    <row r="16147" ht="21.0" customHeight="1">
      <c r="A16147" s="13" t="s">
        <v>6985</v>
      </c>
      <c r="B16147" s="10" t="s">
        <v>42</v>
      </c>
      <c r="C16147" s="10" t="s">
        <v>344</v>
      </c>
      <c r="D16147" s="10" t="s">
        <v>6986</v>
      </c>
      <c r="E16147" s="11"/>
      <c r="F16147" s="12">
        <f>ROUND(0.65*(1+G2/100),2)</f>
        <v>0.65</v>
      </c>
      <c r="G16147" s="11"/>
    </row>
    <row r="16148" ht="12.0" customHeight="1">
      <c r="A16148" s="11"/>
      <c r="B16148" s="11"/>
      <c r="C16148" s="11"/>
      <c r="D16148" s="10" t="s">
        <v>6986</v>
      </c>
    </row>
    <row r="16149" ht="21.0" customHeight="1">
      <c r="A16149" s="13" t="s">
        <v>3573</v>
      </c>
      <c r="B16149" s="10" t="s">
        <v>42</v>
      </c>
      <c r="C16149" s="10" t="s">
        <v>226</v>
      </c>
      <c r="D16149" s="10" t="s">
        <v>3574</v>
      </c>
      <c r="E16149" s="11"/>
      <c r="F16149" s="12">
        <f>ROUND(3.99*(1+G2/100),2)</f>
        <v>3.99</v>
      </c>
      <c r="G16149" s="11"/>
    </row>
    <row r="16150" ht="21.0" customHeight="1">
      <c r="A16150" s="11"/>
      <c r="B16150" s="11"/>
      <c r="C16150" s="11"/>
      <c r="D16150" s="10" t="s">
        <v>6987</v>
      </c>
    </row>
    <row r="16151" ht="30.0" customHeight="1">
      <c r="A16151" s="13" t="s">
        <v>6988</v>
      </c>
      <c r="B16151" s="10" t="s">
        <v>42</v>
      </c>
      <c r="C16151" s="10" t="s">
        <v>344</v>
      </c>
      <c r="D16151" s="10" t="s">
        <v>6989</v>
      </c>
      <c r="E16151" s="11"/>
      <c r="F16151" s="12">
        <f>ROUND(20.45*(1+G2/100),2)</f>
        <v>20.45</v>
      </c>
      <c r="G16151" s="11"/>
    </row>
    <row r="16152" ht="21.0" customHeight="1">
      <c r="A16152" s="11"/>
      <c r="B16152" s="11"/>
      <c r="C16152" s="11"/>
      <c r="D16152" s="10" t="s">
        <v>6990</v>
      </c>
    </row>
    <row r="16153" ht="30.0" customHeight="1">
      <c r="A16153" s="13" t="s">
        <v>6991</v>
      </c>
      <c r="B16153" s="10" t="s">
        <v>42</v>
      </c>
      <c r="C16153" s="10" t="s">
        <v>226</v>
      </c>
      <c r="D16153" s="10" t="s">
        <v>6992</v>
      </c>
      <c r="E16153" s="11"/>
      <c r="F16153" s="12">
        <f>ROUND(22.56*(1+G2/100),2)</f>
        <v>22.56</v>
      </c>
      <c r="G16153" s="11"/>
    </row>
    <row r="16154" ht="30.0" customHeight="1">
      <c r="A16154" s="11"/>
      <c r="B16154" s="11"/>
      <c r="C16154" s="11"/>
      <c r="D16154" s="10" t="s">
        <v>6993</v>
      </c>
    </row>
    <row r="16155" ht="30.0" customHeight="1">
      <c r="A16155" s="13" t="s">
        <v>6994</v>
      </c>
      <c r="B16155" s="10" t="s">
        <v>42</v>
      </c>
      <c r="C16155" s="10" t="s">
        <v>226</v>
      </c>
      <c r="D16155" s="10" t="s">
        <v>6995</v>
      </c>
      <c r="E16155" s="11"/>
      <c r="F16155" s="12">
        <f>ROUND(23.24*(1+G2/100),2)</f>
        <v>23.24</v>
      </c>
      <c r="G16155" s="11"/>
    </row>
    <row r="16156" ht="30.0" customHeight="1">
      <c r="A16156" s="11"/>
      <c r="B16156" s="11"/>
      <c r="C16156" s="11"/>
      <c r="D16156" s="10" t="s">
        <v>6996</v>
      </c>
    </row>
    <row r="16157" ht="30.0" customHeight="1">
      <c r="A16157" s="13" t="s">
        <v>6997</v>
      </c>
      <c r="B16157" s="10" t="s">
        <v>42</v>
      </c>
      <c r="C16157" s="10" t="s">
        <v>226</v>
      </c>
      <c r="D16157" s="10" t="s">
        <v>6998</v>
      </c>
      <c r="E16157" s="11"/>
      <c r="F16157" s="12">
        <f>ROUND(24.88*(1+G2/100),2)</f>
        <v>24.88</v>
      </c>
      <c r="G16157" s="11"/>
    </row>
    <row r="16158" ht="21.0" customHeight="1">
      <c r="A16158" s="11"/>
      <c r="B16158" s="11"/>
      <c r="C16158" s="11"/>
      <c r="D16158" s="10" t="s">
        <v>6999</v>
      </c>
    </row>
    <row r="16159" ht="21.0" customHeight="1">
      <c r="A16159" s="13" t="s">
        <v>7000</v>
      </c>
      <c r="B16159" s="10" t="s">
        <v>42</v>
      </c>
      <c r="C16159" s="10" t="s">
        <v>344</v>
      </c>
      <c r="D16159" s="10" t="s">
        <v>7001</v>
      </c>
      <c r="E16159" s="11"/>
      <c r="F16159" s="12">
        <f>ROUND(1.92*(1+G2/100),2)</f>
        <v>1.92</v>
      </c>
      <c r="G16159" s="11"/>
    </row>
    <row r="16160" ht="21.0" customHeight="1">
      <c r="A16160" s="11"/>
      <c r="B16160" s="11"/>
      <c r="C16160" s="11"/>
      <c r="D16160" s="10" t="s">
        <v>7002</v>
      </c>
    </row>
    <row r="16161" ht="21.0" customHeight="1">
      <c r="A16161" s="13" t="s">
        <v>7003</v>
      </c>
      <c r="B16161" s="10" t="s">
        <v>42</v>
      </c>
      <c r="C16161" s="10" t="s">
        <v>344</v>
      </c>
      <c r="D16161" s="10" t="s">
        <v>7004</v>
      </c>
      <c r="E16161" s="11"/>
      <c r="F16161" s="12">
        <f>ROUND(2.35*(1+G2/100),2)</f>
        <v>2.35</v>
      </c>
      <c r="G16161" s="11"/>
    </row>
    <row r="16162" ht="21.0" customHeight="1">
      <c r="A16162" s="11"/>
      <c r="B16162" s="11"/>
      <c r="C16162" s="11"/>
      <c r="D16162" s="10" t="s">
        <v>7005</v>
      </c>
    </row>
    <row r="16163" ht="21.0" customHeight="1">
      <c r="A16163" s="13" t="s">
        <v>7006</v>
      </c>
      <c r="B16163" s="10" t="s">
        <v>42</v>
      </c>
      <c r="C16163" s="10" t="s">
        <v>344</v>
      </c>
      <c r="D16163" s="10" t="s">
        <v>7007</v>
      </c>
      <c r="E16163" s="11"/>
      <c r="F16163" s="12">
        <f>ROUND(3.25*(1+G2/100),2)</f>
        <v>3.25</v>
      </c>
      <c r="G16163" s="11"/>
    </row>
    <row r="16164" ht="21.0" customHeight="1">
      <c r="A16164" s="11"/>
      <c r="B16164" s="11"/>
      <c r="C16164" s="11"/>
      <c r="D16164" s="10" t="s">
        <v>7008</v>
      </c>
    </row>
    <row r="16165" ht="21.0" customHeight="1">
      <c r="A16165" s="13" t="s">
        <v>7009</v>
      </c>
      <c r="B16165" s="10" t="s">
        <v>42</v>
      </c>
      <c r="C16165" s="10" t="s">
        <v>344</v>
      </c>
      <c r="D16165" s="10" t="s">
        <v>7010</v>
      </c>
      <c r="E16165" s="11"/>
      <c r="F16165" s="12">
        <f>ROUND(5.34*(1+G2/100),2)</f>
        <v>5.34</v>
      </c>
      <c r="G16165" s="11"/>
    </row>
    <row r="16166" ht="21.0" customHeight="1">
      <c r="A16166" s="11"/>
      <c r="B16166" s="11"/>
      <c r="C16166" s="11"/>
      <c r="D16166" s="10" t="s">
        <v>7011</v>
      </c>
    </row>
    <row r="16167" ht="21.0" customHeight="1">
      <c r="A16167" s="13" t="s">
        <v>7012</v>
      </c>
      <c r="B16167" s="10" t="s">
        <v>42</v>
      </c>
      <c r="C16167" s="10" t="s">
        <v>344</v>
      </c>
      <c r="D16167" s="10" t="s">
        <v>7013</v>
      </c>
      <c r="E16167" s="11"/>
      <c r="F16167" s="12">
        <f>ROUND(8.18*(1+G2/100),2)</f>
        <v>8.18</v>
      </c>
      <c r="G16167" s="11"/>
    </row>
    <row r="16168" ht="12.0" customHeight="1">
      <c r="A16168" s="11"/>
      <c r="B16168" s="11"/>
      <c r="C16168" s="11"/>
      <c r="D16168" s="10" t="s">
        <v>7013</v>
      </c>
    </row>
    <row r="16169" ht="21.0" customHeight="1">
      <c r="A16169" s="13" t="s">
        <v>7014</v>
      </c>
      <c r="B16169" s="10" t="s">
        <v>42</v>
      </c>
      <c r="C16169" s="10" t="s">
        <v>344</v>
      </c>
      <c r="D16169" s="10" t="s">
        <v>7015</v>
      </c>
      <c r="E16169" s="11"/>
      <c r="F16169" s="12">
        <f>ROUND(9.23*(1+G2/100),2)</f>
        <v>9.23</v>
      </c>
      <c r="G16169" s="11"/>
    </row>
    <row r="16170" ht="12.0" customHeight="1">
      <c r="A16170" s="11"/>
      <c r="B16170" s="11"/>
      <c r="C16170" s="11"/>
      <c r="D16170" s="10" t="s">
        <v>7015</v>
      </c>
    </row>
    <row r="16171" ht="30.0" customHeight="1">
      <c r="A16171" s="13" t="s">
        <v>7016</v>
      </c>
      <c r="B16171" s="10" t="s">
        <v>42</v>
      </c>
      <c r="C16171" s="10" t="s">
        <v>7017</v>
      </c>
      <c r="D16171" s="10" t="s">
        <v>7018</v>
      </c>
      <c r="E16171" s="11"/>
      <c r="F16171" s="12">
        <f>ROUND(4.19*(1+G2/100),2)</f>
        <v>4.19</v>
      </c>
      <c r="G16171" s="11"/>
    </row>
    <row r="16172" ht="12.0" customHeight="1">
      <c r="A16172" s="11"/>
      <c r="B16172" s="11"/>
      <c r="C16172" s="11"/>
      <c r="D16172" s="10" t="s">
        <v>7018</v>
      </c>
    </row>
    <row r="16173" ht="39.75" customHeight="1">
      <c r="A16173" s="13" t="s">
        <v>4590</v>
      </c>
      <c r="B16173" s="10" t="s">
        <v>42</v>
      </c>
      <c r="C16173" s="10" t="s">
        <v>344</v>
      </c>
      <c r="D16173" s="10" t="s">
        <v>4591</v>
      </c>
      <c r="E16173" s="11"/>
      <c r="F16173" s="12">
        <f>ROUND(5.78*(1+G2/100),2)</f>
        <v>5.78</v>
      </c>
      <c r="G16173" s="11"/>
    </row>
    <row r="16174" ht="30.0" customHeight="1">
      <c r="A16174" s="11"/>
      <c r="B16174" s="11"/>
      <c r="C16174" s="11"/>
      <c r="D16174" s="10" t="s">
        <v>7019</v>
      </c>
    </row>
    <row r="16175" ht="30.0" customHeight="1">
      <c r="A16175" s="13" t="s">
        <v>4600</v>
      </c>
      <c r="B16175" s="10" t="s">
        <v>42</v>
      </c>
      <c r="C16175" s="10" t="s">
        <v>344</v>
      </c>
      <c r="D16175" s="10" t="s">
        <v>4601</v>
      </c>
      <c r="E16175" s="11"/>
      <c r="F16175" s="12">
        <f>ROUND(7.69*(1+G2/100),2)</f>
        <v>7.69</v>
      </c>
      <c r="G16175" s="11"/>
    </row>
    <row r="16176" ht="30.0" customHeight="1">
      <c r="A16176" s="11"/>
      <c r="B16176" s="11"/>
      <c r="C16176" s="11"/>
      <c r="D16176" s="10" t="s">
        <v>7020</v>
      </c>
    </row>
    <row r="16177" ht="30.0" customHeight="1">
      <c r="A16177" s="13" t="s">
        <v>7021</v>
      </c>
      <c r="B16177" s="10" t="s">
        <v>42</v>
      </c>
      <c r="C16177" s="10" t="s">
        <v>344</v>
      </c>
      <c r="D16177" s="10" t="s">
        <v>7022</v>
      </c>
      <c r="E16177" s="11"/>
      <c r="F16177" s="12">
        <f>ROUND(1.46*(1+G2/100),2)</f>
        <v>1.46</v>
      </c>
      <c r="G16177" s="11"/>
    </row>
    <row r="16178" ht="12.0" customHeight="1">
      <c r="A16178" s="11"/>
      <c r="B16178" s="11"/>
      <c r="C16178" s="11"/>
      <c r="D16178" s="10" t="s">
        <v>7022</v>
      </c>
    </row>
    <row r="16179" ht="30.0" customHeight="1">
      <c r="A16179" s="13" t="s">
        <v>346</v>
      </c>
      <c r="B16179" s="10" t="s">
        <v>42</v>
      </c>
      <c r="C16179" s="10" t="s">
        <v>344</v>
      </c>
      <c r="D16179" s="10" t="s">
        <v>347</v>
      </c>
      <c r="E16179" s="11"/>
      <c r="F16179" s="12">
        <f>ROUND(4.47*(1+G2/100),2)</f>
        <v>4.47</v>
      </c>
      <c r="G16179" s="11"/>
    </row>
    <row r="16180" ht="39.75" customHeight="1">
      <c r="A16180" s="11"/>
      <c r="B16180" s="11"/>
      <c r="C16180" s="11"/>
      <c r="D16180" s="10" t="s">
        <v>7023</v>
      </c>
    </row>
    <row r="16181" ht="39.75" customHeight="1">
      <c r="A16181" s="13" t="s">
        <v>4138</v>
      </c>
      <c r="B16181" s="10" t="s">
        <v>42</v>
      </c>
      <c r="C16181" s="10" t="s">
        <v>344</v>
      </c>
      <c r="D16181" s="10" t="s">
        <v>4139</v>
      </c>
      <c r="E16181" s="11"/>
      <c r="F16181" s="12">
        <f>ROUND(8.84*(1+G2/100),2)</f>
        <v>8.84</v>
      </c>
      <c r="G16181" s="11"/>
    </row>
    <row r="16182" ht="67.5" customHeight="1">
      <c r="A16182" s="11"/>
      <c r="B16182" s="11"/>
      <c r="C16182" s="11"/>
      <c r="D16182" s="10" t="s">
        <v>7024</v>
      </c>
    </row>
    <row r="16183" ht="30.0" customHeight="1">
      <c r="A16183" s="13" t="s">
        <v>459</v>
      </c>
      <c r="B16183" s="10" t="s">
        <v>42</v>
      </c>
      <c r="C16183" s="10" t="s">
        <v>344</v>
      </c>
      <c r="D16183" s="10" t="s">
        <v>460</v>
      </c>
      <c r="E16183" s="11"/>
      <c r="F16183" s="12">
        <f>ROUND(4.26*(1+G2/100),2)</f>
        <v>4.26</v>
      </c>
      <c r="G16183" s="11"/>
    </row>
    <row r="16184" ht="30.0" customHeight="1">
      <c r="A16184" s="11"/>
      <c r="B16184" s="11"/>
      <c r="C16184" s="11"/>
      <c r="D16184" s="10" t="s">
        <v>7025</v>
      </c>
    </row>
    <row r="16185" ht="21.0" customHeight="1">
      <c r="A16185" s="13" t="s">
        <v>7026</v>
      </c>
      <c r="B16185" s="10" t="s">
        <v>42</v>
      </c>
      <c r="C16185" s="10" t="s">
        <v>344</v>
      </c>
      <c r="D16185" s="10" t="s">
        <v>7027</v>
      </c>
      <c r="E16185" s="11"/>
      <c r="F16185" s="12">
        <f>ROUND(1.33*(1+G2/100),2)</f>
        <v>1.33</v>
      </c>
      <c r="G16185" s="11"/>
    </row>
    <row r="16186" ht="39.75" customHeight="1">
      <c r="A16186" s="11"/>
      <c r="B16186" s="11"/>
      <c r="C16186" s="11"/>
      <c r="D16186" s="10" t="s">
        <v>7028</v>
      </c>
    </row>
    <row r="16187" ht="21.0" customHeight="1">
      <c r="A16187" s="13" t="s">
        <v>7029</v>
      </c>
      <c r="B16187" s="10" t="s">
        <v>42</v>
      </c>
      <c r="C16187" s="10" t="s">
        <v>344</v>
      </c>
      <c r="D16187" s="10" t="s">
        <v>7030</v>
      </c>
      <c r="E16187" s="11"/>
      <c r="F16187" s="12">
        <f>ROUND(1.43*(1+G2/100),2)</f>
        <v>1.43</v>
      </c>
      <c r="G16187" s="11"/>
    </row>
    <row r="16188" ht="39.75" customHeight="1">
      <c r="A16188" s="11"/>
      <c r="B16188" s="11"/>
      <c r="C16188" s="11"/>
      <c r="D16188" s="10" t="s">
        <v>7031</v>
      </c>
    </row>
    <row r="16189" ht="21.0" customHeight="1">
      <c r="A16189" s="13" t="s">
        <v>7032</v>
      </c>
      <c r="B16189" s="10" t="s">
        <v>42</v>
      </c>
      <c r="C16189" s="10" t="s">
        <v>344</v>
      </c>
      <c r="D16189" s="10" t="s">
        <v>7033</v>
      </c>
      <c r="E16189" s="11"/>
      <c r="F16189" s="12">
        <f>ROUND(1.63*(1+G2/100),2)</f>
        <v>1.63</v>
      </c>
      <c r="G16189" s="11"/>
    </row>
    <row r="16190" ht="39.75" customHeight="1">
      <c r="A16190" s="11"/>
      <c r="B16190" s="11"/>
      <c r="C16190" s="11"/>
      <c r="D16190" s="10" t="s">
        <v>7034</v>
      </c>
    </row>
    <row r="16191" ht="30.0" customHeight="1">
      <c r="A16191" s="13" t="s">
        <v>7035</v>
      </c>
      <c r="B16191" s="10" t="s">
        <v>42</v>
      </c>
      <c r="C16191" s="10" t="s">
        <v>226</v>
      </c>
      <c r="D16191" s="10" t="s">
        <v>7036</v>
      </c>
      <c r="E16191" s="11"/>
      <c r="F16191" s="12">
        <f>ROUND(26.09*(1+G2/100),2)</f>
        <v>26.09</v>
      </c>
      <c r="G16191" s="11"/>
    </row>
    <row r="16192" ht="39.75" customHeight="1">
      <c r="A16192" s="11"/>
      <c r="B16192" s="11"/>
      <c r="C16192" s="11"/>
      <c r="D16192" s="10" t="s">
        <v>7037</v>
      </c>
    </row>
    <row r="16193" ht="21.0" customHeight="1">
      <c r="A16193" s="13" t="s">
        <v>338</v>
      </c>
      <c r="B16193" s="10" t="s">
        <v>42</v>
      </c>
      <c r="C16193" s="10" t="s">
        <v>226</v>
      </c>
      <c r="D16193" s="10" t="s">
        <v>339</v>
      </c>
      <c r="E16193" s="11"/>
      <c r="F16193" s="12">
        <f>ROUND(49.95*(1+G2/100),2)</f>
        <v>49.95</v>
      </c>
      <c r="G16193" s="11"/>
    </row>
    <row r="16194" ht="39.75" customHeight="1">
      <c r="A16194" s="11"/>
      <c r="B16194" s="11"/>
      <c r="C16194" s="11"/>
      <c r="D16194" s="10" t="s">
        <v>7038</v>
      </c>
    </row>
    <row r="16195" ht="30.0" customHeight="1">
      <c r="A16195" s="13" t="s">
        <v>7039</v>
      </c>
      <c r="B16195" s="10" t="s">
        <v>42</v>
      </c>
      <c r="C16195" s="10" t="s">
        <v>226</v>
      </c>
      <c r="D16195" s="10" t="s">
        <v>7040</v>
      </c>
      <c r="E16195" s="11"/>
      <c r="F16195" s="12">
        <f>ROUND(13.95*(1+G2/100),2)</f>
        <v>13.95</v>
      </c>
      <c r="G16195" s="11"/>
    </row>
    <row r="16196" ht="48.75" customHeight="1">
      <c r="A16196" s="11"/>
      <c r="B16196" s="11"/>
      <c r="C16196" s="11"/>
      <c r="D16196" s="10" t="s">
        <v>7041</v>
      </c>
    </row>
    <row r="16197" ht="30.0" customHeight="1">
      <c r="A16197" s="13" t="s">
        <v>343</v>
      </c>
      <c r="B16197" s="10" t="s">
        <v>42</v>
      </c>
      <c r="C16197" s="10" t="s">
        <v>344</v>
      </c>
      <c r="D16197" s="10" t="s">
        <v>345</v>
      </c>
      <c r="E16197" s="11"/>
      <c r="F16197" s="12">
        <f>ROUND(1.59*(1+G2/100),2)</f>
        <v>1.59</v>
      </c>
      <c r="G16197" s="11"/>
    </row>
    <row r="16198" ht="12.0" customHeight="1">
      <c r="A16198" s="11"/>
      <c r="B16198" s="11"/>
      <c r="C16198" s="11"/>
      <c r="D16198" s="10" t="s">
        <v>345</v>
      </c>
    </row>
    <row r="16199" ht="21.0" customHeight="1">
      <c r="A16199" s="13" t="s">
        <v>3646</v>
      </c>
      <c r="B16199" s="10" t="s">
        <v>42</v>
      </c>
      <c r="C16199" s="10" t="s">
        <v>344</v>
      </c>
      <c r="D16199" s="10" t="s">
        <v>3647</v>
      </c>
      <c r="E16199" s="11"/>
      <c r="F16199" s="12">
        <f>ROUND(9.09*(1+G2/100),2)</f>
        <v>9.09</v>
      </c>
      <c r="G16199" s="11"/>
    </row>
    <row r="16200" ht="39.75" customHeight="1">
      <c r="A16200" s="11"/>
      <c r="B16200" s="11"/>
      <c r="C16200" s="11"/>
      <c r="D16200" s="10" t="s">
        <v>7042</v>
      </c>
    </row>
    <row r="16201" ht="21.0" customHeight="1">
      <c r="A16201" s="13" t="s">
        <v>3648</v>
      </c>
      <c r="B16201" s="10" t="s">
        <v>42</v>
      </c>
      <c r="C16201" s="10" t="s">
        <v>344</v>
      </c>
      <c r="D16201" s="10" t="s">
        <v>3649</v>
      </c>
      <c r="E16201" s="11"/>
      <c r="F16201" s="12">
        <f>ROUND(1.53*(1+G2/100),2)</f>
        <v>1.53</v>
      </c>
      <c r="G16201" s="11"/>
    </row>
    <row r="16202" ht="12.0" customHeight="1">
      <c r="A16202" s="11"/>
      <c r="B16202" s="11"/>
      <c r="C16202" s="11"/>
      <c r="D16202" s="10" t="s">
        <v>7043</v>
      </c>
    </row>
    <row r="16203" ht="21.0" customHeight="1">
      <c r="A16203" s="13" t="s">
        <v>3652</v>
      </c>
      <c r="B16203" s="10" t="s">
        <v>42</v>
      </c>
      <c r="C16203" s="10" t="s">
        <v>344</v>
      </c>
      <c r="D16203" s="10" t="s">
        <v>3653</v>
      </c>
      <c r="E16203" s="11"/>
      <c r="F16203" s="12">
        <f>ROUND(2.93*(1+G2/100),2)</f>
        <v>2.93</v>
      </c>
      <c r="G16203" s="11"/>
    </row>
    <row r="16204" ht="12.0" customHeight="1">
      <c r="A16204" s="11"/>
      <c r="B16204" s="11"/>
      <c r="C16204" s="11"/>
      <c r="D16204" s="10" t="s">
        <v>7044</v>
      </c>
    </row>
    <row r="16205" ht="21.0" customHeight="1">
      <c r="A16205" s="13" t="s">
        <v>3654</v>
      </c>
      <c r="B16205" s="10" t="s">
        <v>42</v>
      </c>
      <c r="C16205" s="10" t="s">
        <v>344</v>
      </c>
      <c r="D16205" s="10" t="s">
        <v>3655</v>
      </c>
      <c r="E16205" s="11"/>
      <c r="F16205" s="12">
        <f>ROUND(1.12*(1+G2/100),2)</f>
        <v>1.12</v>
      </c>
      <c r="G16205" s="11"/>
    </row>
    <row r="16206" ht="30.0" customHeight="1">
      <c r="A16206" s="11"/>
      <c r="B16206" s="11"/>
      <c r="C16206" s="11"/>
      <c r="D16206" s="10" t="s">
        <v>7045</v>
      </c>
    </row>
    <row r="16207" ht="21.0" customHeight="1">
      <c r="A16207" s="13" t="s">
        <v>3650</v>
      </c>
      <c r="B16207" s="10" t="s">
        <v>42</v>
      </c>
      <c r="C16207" s="10" t="s">
        <v>344</v>
      </c>
      <c r="D16207" s="10" t="s">
        <v>3651</v>
      </c>
      <c r="E16207" s="11"/>
      <c r="F16207" s="12">
        <f>ROUND(1.03*(1+G2/100),2)</f>
        <v>1.03</v>
      </c>
      <c r="G16207" s="11"/>
    </row>
    <row r="16208" ht="12.0" customHeight="1">
      <c r="A16208" s="11"/>
      <c r="B16208" s="11"/>
      <c r="C16208" s="11"/>
      <c r="D16208" s="10" t="s">
        <v>7046</v>
      </c>
    </row>
    <row r="16209" ht="21.0" customHeight="1">
      <c r="A16209" s="13" t="s">
        <v>3656</v>
      </c>
      <c r="B16209" s="10" t="s">
        <v>42</v>
      </c>
      <c r="C16209" s="10" t="s">
        <v>344</v>
      </c>
      <c r="D16209" s="10" t="s">
        <v>3657</v>
      </c>
      <c r="E16209" s="11"/>
      <c r="F16209" s="12">
        <f>ROUND(3.43*(1+G2/100),2)</f>
        <v>3.43</v>
      </c>
      <c r="G16209" s="11"/>
    </row>
    <row r="16210" ht="12.0" customHeight="1">
      <c r="A16210" s="11"/>
      <c r="B16210" s="11"/>
      <c r="C16210" s="11"/>
      <c r="D16210" s="10" t="s">
        <v>7047</v>
      </c>
    </row>
    <row r="16211" ht="30.0" customHeight="1">
      <c r="A16211" s="13" t="s">
        <v>7048</v>
      </c>
      <c r="B16211" s="10" t="s">
        <v>42</v>
      </c>
      <c r="C16211" s="10" t="s">
        <v>344</v>
      </c>
      <c r="D16211" s="10" t="s">
        <v>7049</v>
      </c>
      <c r="E16211" s="11"/>
      <c r="F16211" s="12">
        <f>ROUND(23.93*(1+G2/100),2)</f>
        <v>23.93</v>
      </c>
      <c r="G16211" s="11"/>
    </row>
    <row r="16212" ht="30.0" customHeight="1">
      <c r="A16212" s="11"/>
      <c r="B16212" s="11"/>
      <c r="C16212" s="11"/>
      <c r="D16212" s="10" t="s">
        <v>7050</v>
      </c>
    </row>
    <row r="16213" ht="21.0" customHeight="1">
      <c r="A16213" s="13" t="s">
        <v>7051</v>
      </c>
      <c r="B16213" s="10" t="s">
        <v>42</v>
      </c>
      <c r="C16213" s="10" t="s">
        <v>344</v>
      </c>
      <c r="D16213" s="10" t="s">
        <v>7052</v>
      </c>
      <c r="E16213" s="11"/>
      <c r="F16213" s="12">
        <f>ROUND(13.84*(1+G2/100),2)</f>
        <v>13.84</v>
      </c>
      <c r="G16213" s="11"/>
    </row>
    <row r="16214" ht="21.0" customHeight="1">
      <c r="A16214" s="11"/>
      <c r="B16214" s="11"/>
      <c r="C16214" s="11"/>
      <c r="D16214" s="10" t="s">
        <v>7053</v>
      </c>
    </row>
    <row r="16215" ht="21.0" customHeight="1">
      <c r="A16215" s="13" t="s">
        <v>7054</v>
      </c>
      <c r="B16215" s="10" t="s">
        <v>42</v>
      </c>
      <c r="C16215" s="10" t="s">
        <v>7055</v>
      </c>
      <c r="D16215" s="10" t="s">
        <v>7056</v>
      </c>
      <c r="E16215" s="11"/>
      <c r="F16215" s="12">
        <f>ROUND(16.07*(1+G2/100),2)</f>
        <v>16.07</v>
      </c>
      <c r="G16215" s="11"/>
    </row>
    <row r="16216" ht="21.0" customHeight="1">
      <c r="A16216" s="11"/>
      <c r="B16216" s="11"/>
      <c r="C16216" s="11"/>
      <c r="D16216" s="10" t="s">
        <v>7057</v>
      </c>
    </row>
    <row r="16217" ht="30.0" customHeight="1">
      <c r="A16217" s="13" t="s">
        <v>7058</v>
      </c>
      <c r="B16217" s="10" t="s">
        <v>42</v>
      </c>
      <c r="C16217" s="10" t="s">
        <v>344</v>
      </c>
      <c r="D16217" s="10" t="s">
        <v>7059</v>
      </c>
      <c r="E16217" s="11"/>
      <c r="F16217" s="12">
        <f>ROUND(27.72*(1+G2/100),2)</f>
        <v>27.72</v>
      </c>
      <c r="G16217" s="11"/>
    </row>
    <row r="16218" ht="39.75" customHeight="1">
      <c r="A16218" s="11"/>
      <c r="B16218" s="11"/>
      <c r="C16218" s="11"/>
      <c r="D16218" s="10" t="s">
        <v>7060</v>
      </c>
    </row>
    <row r="16219" ht="30.0" customHeight="1">
      <c r="A16219" s="13" t="s">
        <v>7061</v>
      </c>
      <c r="B16219" s="10" t="s">
        <v>42</v>
      </c>
      <c r="C16219" s="10" t="s">
        <v>344</v>
      </c>
      <c r="D16219" s="10" t="s">
        <v>7062</v>
      </c>
      <c r="E16219" s="11"/>
      <c r="F16219" s="12">
        <f>ROUND(42.59*(1+G2/100),2)</f>
        <v>42.59</v>
      </c>
      <c r="G16219" s="11"/>
    </row>
    <row r="16220" ht="39.75" customHeight="1">
      <c r="A16220" s="11"/>
      <c r="B16220" s="11"/>
      <c r="C16220" s="11"/>
      <c r="D16220" s="10" t="s">
        <v>7063</v>
      </c>
    </row>
    <row r="16221" ht="30.0" customHeight="1">
      <c r="A16221" s="13" t="s">
        <v>7064</v>
      </c>
      <c r="B16221" s="10" t="s">
        <v>42</v>
      </c>
      <c r="C16221" s="10" t="s">
        <v>344</v>
      </c>
      <c r="D16221" s="10" t="s">
        <v>7065</v>
      </c>
      <c r="E16221" s="11"/>
      <c r="F16221" s="12">
        <f>ROUND(72.79*(1+G2/100),2)</f>
        <v>72.79</v>
      </c>
      <c r="G16221" s="11"/>
    </row>
    <row r="16222" ht="39.75" customHeight="1">
      <c r="A16222" s="11"/>
      <c r="B16222" s="11"/>
      <c r="C16222" s="11"/>
      <c r="D16222" s="10" t="s">
        <v>7066</v>
      </c>
    </row>
    <row r="16223" ht="30.0" customHeight="1">
      <c r="A16223" s="13" t="s">
        <v>7067</v>
      </c>
      <c r="B16223" s="10" t="s">
        <v>42</v>
      </c>
      <c r="C16223" s="10" t="s">
        <v>344</v>
      </c>
      <c r="D16223" s="10" t="s">
        <v>7068</v>
      </c>
      <c r="E16223" s="11"/>
      <c r="F16223" s="12">
        <f>ROUND(44.76*(1+G2/100),2)</f>
        <v>44.76</v>
      </c>
      <c r="G16223" s="11"/>
    </row>
    <row r="16224" ht="39.75" customHeight="1">
      <c r="A16224" s="11"/>
      <c r="B16224" s="11"/>
      <c r="C16224" s="11"/>
      <c r="D16224" s="10" t="s">
        <v>7069</v>
      </c>
    </row>
    <row r="16225" ht="30.0" customHeight="1">
      <c r="A16225" s="13" t="s">
        <v>7070</v>
      </c>
      <c r="B16225" s="10" t="s">
        <v>42</v>
      </c>
      <c r="C16225" s="10" t="s">
        <v>344</v>
      </c>
      <c r="D16225" s="10" t="s">
        <v>7071</v>
      </c>
      <c r="E16225" s="11"/>
      <c r="F16225" s="12">
        <f>ROUND(47.87*(1+G2/100),2)</f>
        <v>47.87</v>
      </c>
      <c r="G16225" s="11"/>
    </row>
    <row r="16226" ht="39.75" customHeight="1">
      <c r="A16226" s="11"/>
      <c r="B16226" s="11"/>
      <c r="C16226" s="11"/>
      <c r="D16226" s="10" t="s">
        <v>7072</v>
      </c>
    </row>
    <row r="16227" ht="30.0" customHeight="1">
      <c r="A16227" s="13" t="s">
        <v>7073</v>
      </c>
      <c r="B16227" s="10" t="s">
        <v>42</v>
      </c>
      <c r="C16227" s="10" t="s">
        <v>344</v>
      </c>
      <c r="D16227" s="10" t="s">
        <v>7074</v>
      </c>
      <c r="E16227" s="11"/>
      <c r="F16227" s="12">
        <f>ROUND(55.78*(1+G2/100),2)</f>
        <v>55.78</v>
      </c>
      <c r="G16227" s="11"/>
    </row>
    <row r="16228" ht="39.75" customHeight="1">
      <c r="A16228" s="11"/>
      <c r="B16228" s="11"/>
      <c r="C16228" s="11"/>
      <c r="D16228" s="10" t="s">
        <v>7075</v>
      </c>
    </row>
    <row r="16229" ht="30.0" customHeight="1">
      <c r="A16229" s="13" t="s">
        <v>7076</v>
      </c>
      <c r="B16229" s="10" t="s">
        <v>42</v>
      </c>
      <c r="C16229" s="10" t="s">
        <v>344</v>
      </c>
      <c r="D16229" s="10" t="s">
        <v>7077</v>
      </c>
      <c r="E16229" s="11"/>
      <c r="F16229" s="12">
        <f>ROUND(70.62*(1+G2/100),2)</f>
        <v>70.62</v>
      </c>
      <c r="G16229" s="11"/>
    </row>
    <row r="16230" ht="39.75" customHeight="1">
      <c r="A16230" s="11"/>
      <c r="B16230" s="11"/>
      <c r="C16230" s="11"/>
      <c r="D16230" s="10" t="s">
        <v>7078</v>
      </c>
    </row>
    <row r="16231" ht="21.0" customHeight="1">
      <c r="A16231" s="13" t="s">
        <v>3218</v>
      </c>
      <c r="B16231" s="10" t="s">
        <v>42</v>
      </c>
      <c r="C16231" s="10" t="s">
        <v>3219</v>
      </c>
      <c r="D16231" s="10" t="s">
        <v>3220</v>
      </c>
      <c r="E16231" s="11"/>
      <c r="F16231" s="12">
        <f>ROUND(66.1*(1+G2/100),2)</f>
        <v>66.1</v>
      </c>
      <c r="G16231" s="11"/>
    </row>
    <row r="16232" ht="12.0" customHeight="1">
      <c r="A16232" s="11"/>
      <c r="B16232" s="11"/>
      <c r="C16232" s="11"/>
      <c r="D16232" s="10" t="s">
        <v>3220</v>
      </c>
    </row>
    <row r="16233" ht="21.0" customHeight="1">
      <c r="A16233" s="13" t="s">
        <v>7079</v>
      </c>
      <c r="B16233" s="10" t="s">
        <v>42</v>
      </c>
      <c r="C16233" s="10" t="s">
        <v>3219</v>
      </c>
      <c r="D16233" s="10" t="s">
        <v>7080</v>
      </c>
      <c r="E16233" s="11"/>
      <c r="F16233" s="12">
        <f>ROUND(107.9*(1+G2/100),2)</f>
        <v>107.9</v>
      </c>
      <c r="G16233" s="11"/>
    </row>
    <row r="16234" ht="12.0" customHeight="1">
      <c r="A16234" s="11"/>
      <c r="B16234" s="11"/>
      <c r="C16234" s="11"/>
      <c r="D16234" s="10" t="s">
        <v>7080</v>
      </c>
    </row>
    <row r="16235" ht="21.0" customHeight="1">
      <c r="A16235" s="13" t="s">
        <v>7081</v>
      </c>
      <c r="B16235" s="10" t="s">
        <v>42</v>
      </c>
      <c r="C16235" s="10" t="s">
        <v>3219</v>
      </c>
      <c r="D16235" s="10" t="s">
        <v>7082</v>
      </c>
      <c r="E16235" s="11"/>
      <c r="F16235" s="12">
        <f>ROUND(134.83*(1+G2/100),2)</f>
        <v>134.83</v>
      </c>
      <c r="G16235" s="11"/>
    </row>
    <row r="16236" ht="12.0" customHeight="1">
      <c r="A16236" s="11"/>
      <c r="B16236" s="11"/>
      <c r="C16236" s="11"/>
      <c r="D16236" s="10" t="s">
        <v>7082</v>
      </c>
    </row>
    <row r="16237" ht="21.0" customHeight="1">
      <c r="A16237" s="13" t="s">
        <v>7083</v>
      </c>
      <c r="B16237" s="10" t="s">
        <v>42</v>
      </c>
      <c r="C16237" s="10" t="s">
        <v>344</v>
      </c>
      <c r="D16237" s="10" t="s">
        <v>7084</v>
      </c>
      <c r="E16237" s="11"/>
      <c r="F16237" s="12">
        <f>ROUND(212.28*(1+G2/100),2)</f>
        <v>212.28</v>
      </c>
      <c r="G16237" s="11"/>
    </row>
    <row r="16238" ht="85.5" customHeight="1">
      <c r="A16238" s="11"/>
      <c r="B16238" s="11"/>
      <c r="C16238" s="11"/>
      <c r="D16238" s="10" t="s">
        <v>7085</v>
      </c>
    </row>
    <row r="16239" ht="21.0" customHeight="1">
      <c r="A16239" s="13" t="s">
        <v>7086</v>
      </c>
      <c r="B16239" s="10" t="s">
        <v>42</v>
      </c>
      <c r="C16239" s="10" t="s">
        <v>344</v>
      </c>
      <c r="D16239" s="10" t="s">
        <v>7087</v>
      </c>
      <c r="E16239" s="11"/>
      <c r="F16239" s="12">
        <f>ROUND(1.74*(1+G2/100),2)</f>
        <v>1.74</v>
      </c>
      <c r="G16239" s="11"/>
    </row>
    <row r="16240" ht="12.0" customHeight="1">
      <c r="A16240" s="11"/>
      <c r="B16240" s="11"/>
      <c r="C16240" s="11"/>
      <c r="D16240" s="10" t="s">
        <v>7087</v>
      </c>
    </row>
    <row r="16241" ht="21.0" customHeight="1">
      <c r="A16241" s="13" t="s">
        <v>7088</v>
      </c>
      <c r="B16241" s="10" t="s">
        <v>42</v>
      </c>
      <c r="C16241" s="10" t="s">
        <v>344</v>
      </c>
      <c r="D16241" s="10" t="s">
        <v>7089</v>
      </c>
      <c r="E16241" s="11"/>
      <c r="F16241" s="12">
        <f>ROUND(1.55*(1+G2/100),2)</f>
        <v>1.55</v>
      </c>
      <c r="G16241" s="11"/>
    </row>
    <row r="16242" ht="12.0" customHeight="1">
      <c r="A16242" s="11"/>
      <c r="B16242" s="11"/>
      <c r="C16242" s="11"/>
      <c r="D16242" s="10" t="s">
        <v>7089</v>
      </c>
    </row>
    <row r="16243" ht="21.0" customHeight="1">
      <c r="A16243" s="13" t="s">
        <v>7090</v>
      </c>
      <c r="B16243" s="10" t="s">
        <v>42</v>
      </c>
      <c r="C16243" s="10" t="s">
        <v>344</v>
      </c>
      <c r="D16243" s="10" t="s">
        <v>7091</v>
      </c>
      <c r="E16243" s="11"/>
      <c r="F16243" s="12">
        <f>ROUND(2.36*(1+G2/100),2)</f>
        <v>2.36</v>
      </c>
      <c r="G16243" s="11"/>
    </row>
    <row r="16244" ht="12.0" customHeight="1">
      <c r="A16244" s="11"/>
      <c r="B16244" s="11"/>
      <c r="C16244" s="11"/>
      <c r="D16244" s="10" t="s">
        <v>7091</v>
      </c>
    </row>
    <row r="16245" ht="21.0" customHeight="1">
      <c r="A16245" s="13" t="s">
        <v>7092</v>
      </c>
      <c r="B16245" s="10" t="s">
        <v>42</v>
      </c>
      <c r="C16245" s="10" t="s">
        <v>344</v>
      </c>
      <c r="D16245" s="10" t="s">
        <v>7093</v>
      </c>
      <c r="E16245" s="11"/>
      <c r="F16245" s="12">
        <f>ROUND(1.94*(1+G2/100),2)</f>
        <v>1.94</v>
      </c>
      <c r="G16245" s="11"/>
    </row>
    <row r="16246" ht="12.0" customHeight="1">
      <c r="A16246" s="11"/>
      <c r="B16246" s="11"/>
      <c r="C16246" s="11"/>
      <c r="D16246" s="10" t="s">
        <v>7093</v>
      </c>
    </row>
    <row r="16247" ht="21.0" customHeight="1">
      <c r="A16247" s="13" t="s">
        <v>7094</v>
      </c>
      <c r="B16247" s="10" t="s">
        <v>42</v>
      </c>
      <c r="C16247" s="10" t="s">
        <v>344</v>
      </c>
      <c r="D16247" s="10" t="s">
        <v>7095</v>
      </c>
      <c r="E16247" s="11"/>
      <c r="F16247" s="12">
        <f>ROUND(8.37*(1+G2/100),2)</f>
        <v>8.37</v>
      </c>
      <c r="G16247" s="11"/>
    </row>
    <row r="16248" ht="12.0" customHeight="1">
      <c r="A16248" s="11"/>
      <c r="B16248" s="11"/>
      <c r="C16248" s="11"/>
      <c r="D16248" s="10" t="s">
        <v>7095</v>
      </c>
    </row>
    <row r="16249" ht="21.0" customHeight="1">
      <c r="A16249" s="13" t="s">
        <v>3223</v>
      </c>
      <c r="B16249" s="10" t="s">
        <v>42</v>
      </c>
      <c r="C16249" s="10" t="s">
        <v>344</v>
      </c>
      <c r="D16249" s="10" t="s">
        <v>3224</v>
      </c>
      <c r="E16249" s="11"/>
      <c r="F16249" s="12">
        <f>ROUND(2.93*(1+G2/100),2)</f>
        <v>2.93</v>
      </c>
      <c r="G16249" s="11"/>
    </row>
    <row r="16250" ht="12.0" customHeight="1">
      <c r="A16250" s="11"/>
      <c r="B16250" s="11"/>
      <c r="C16250" s="11"/>
      <c r="D16250" s="10" t="s">
        <v>3224</v>
      </c>
    </row>
    <row r="16251" ht="21.0" customHeight="1">
      <c r="A16251" s="13" t="s">
        <v>3221</v>
      </c>
      <c r="B16251" s="10" t="s">
        <v>42</v>
      </c>
      <c r="C16251" s="10" t="s">
        <v>344</v>
      </c>
      <c r="D16251" s="10" t="s">
        <v>3222</v>
      </c>
      <c r="E16251" s="11"/>
      <c r="F16251" s="12">
        <f>ROUND(3.51*(1+G2/100),2)</f>
        <v>3.51</v>
      </c>
      <c r="G16251" s="11"/>
    </row>
    <row r="16252" ht="12.0" customHeight="1">
      <c r="A16252" s="11"/>
      <c r="B16252" s="11"/>
      <c r="C16252" s="11"/>
      <c r="D16252" s="10" t="s">
        <v>3222</v>
      </c>
    </row>
    <row r="16253" ht="21.0" customHeight="1">
      <c r="A16253" s="13" t="s">
        <v>7096</v>
      </c>
      <c r="B16253" s="10" t="s">
        <v>42</v>
      </c>
      <c r="C16253" s="10" t="s">
        <v>344</v>
      </c>
      <c r="D16253" s="10" t="s">
        <v>7097</v>
      </c>
      <c r="E16253" s="11"/>
      <c r="F16253" s="12">
        <f>ROUND(5.96*(1+G2/100),2)</f>
        <v>5.96</v>
      </c>
      <c r="G16253" s="11"/>
    </row>
    <row r="16254" ht="12.0" customHeight="1">
      <c r="A16254" s="11"/>
      <c r="B16254" s="11"/>
      <c r="C16254" s="11"/>
      <c r="D16254" s="10" t="s">
        <v>7097</v>
      </c>
    </row>
    <row r="16255" ht="21.0" customHeight="1">
      <c r="A16255" s="13" t="s">
        <v>7098</v>
      </c>
      <c r="B16255" s="10" t="s">
        <v>42</v>
      </c>
      <c r="C16255" s="10" t="s">
        <v>344</v>
      </c>
      <c r="D16255" s="10" t="s">
        <v>7099</v>
      </c>
      <c r="E16255" s="11"/>
      <c r="F16255" s="12">
        <f>ROUND(11.55*(1+G2/100),2)</f>
        <v>11.55</v>
      </c>
      <c r="G16255" s="11"/>
    </row>
    <row r="16256" ht="12.0" customHeight="1">
      <c r="A16256" s="11"/>
      <c r="B16256" s="11"/>
      <c r="C16256" s="11"/>
      <c r="D16256" s="10" t="s">
        <v>7099</v>
      </c>
    </row>
    <row r="16257" ht="21.0" customHeight="1">
      <c r="A16257" s="13" t="s">
        <v>7100</v>
      </c>
      <c r="B16257" s="10" t="s">
        <v>42</v>
      </c>
      <c r="C16257" s="10" t="s">
        <v>344</v>
      </c>
      <c r="D16257" s="10" t="s">
        <v>7101</v>
      </c>
      <c r="E16257" s="11"/>
      <c r="F16257" s="12">
        <f>ROUND(9.43*(1+G2/100),2)</f>
        <v>9.43</v>
      </c>
      <c r="G16257" s="11"/>
    </row>
    <row r="16258" ht="12.0" customHeight="1">
      <c r="A16258" s="11"/>
      <c r="B16258" s="11"/>
      <c r="C16258" s="11"/>
      <c r="D16258" s="10" t="s">
        <v>7101</v>
      </c>
    </row>
    <row r="16259" ht="21.0" customHeight="1">
      <c r="A16259" s="13" t="s">
        <v>7102</v>
      </c>
      <c r="B16259" s="10" t="s">
        <v>42</v>
      </c>
      <c r="C16259" s="10" t="s">
        <v>344</v>
      </c>
      <c r="D16259" s="10" t="s">
        <v>7103</v>
      </c>
      <c r="E16259" s="11"/>
      <c r="F16259" s="12">
        <f>ROUND(40.36*(1+G2/100),2)</f>
        <v>40.36</v>
      </c>
      <c r="G16259" s="11"/>
    </row>
    <row r="16260" ht="12.0" customHeight="1">
      <c r="A16260" s="11"/>
      <c r="B16260" s="11"/>
      <c r="C16260" s="11"/>
      <c r="D16260" s="10" t="s">
        <v>7103</v>
      </c>
    </row>
    <row r="16261" ht="21.0" customHeight="1">
      <c r="A16261" s="13" t="s">
        <v>7104</v>
      </c>
      <c r="B16261" s="10" t="s">
        <v>42</v>
      </c>
      <c r="C16261" s="10" t="s">
        <v>344</v>
      </c>
      <c r="D16261" s="10" t="s">
        <v>7105</v>
      </c>
      <c r="E16261" s="11"/>
      <c r="F16261" s="12">
        <f>ROUND(6.3*(1+G2/100),2)</f>
        <v>6.3</v>
      </c>
      <c r="G16261" s="11"/>
    </row>
    <row r="16262" ht="12.0" customHeight="1">
      <c r="A16262" s="11"/>
      <c r="B16262" s="11"/>
      <c r="C16262" s="11"/>
      <c r="D16262" s="10" t="s">
        <v>7105</v>
      </c>
    </row>
    <row r="16263" ht="21.0" customHeight="1">
      <c r="A16263" s="13" t="s">
        <v>3571</v>
      </c>
      <c r="B16263" s="10" t="s">
        <v>42</v>
      </c>
      <c r="C16263" s="10" t="s">
        <v>344</v>
      </c>
      <c r="D16263" s="10" t="s">
        <v>3572</v>
      </c>
      <c r="E16263" s="11"/>
      <c r="F16263" s="12">
        <f>ROUND(6.6*(1+G2/100),2)</f>
        <v>6.6</v>
      </c>
      <c r="G16263" s="11"/>
    </row>
    <row r="16264" ht="12.0" customHeight="1">
      <c r="A16264" s="11"/>
      <c r="B16264" s="11"/>
      <c r="C16264" s="11"/>
      <c r="D16264" s="10" t="s">
        <v>3572</v>
      </c>
    </row>
    <row r="16265" ht="30.0" customHeight="1">
      <c r="A16265" s="13" t="s">
        <v>7106</v>
      </c>
      <c r="B16265" s="10" t="s">
        <v>42</v>
      </c>
      <c r="C16265" s="10" t="s">
        <v>344</v>
      </c>
      <c r="D16265" s="10" t="s">
        <v>7107</v>
      </c>
      <c r="E16265" s="11"/>
      <c r="F16265" s="12">
        <f>ROUND(42.93*(1+G2/100),2)</f>
        <v>42.93</v>
      </c>
      <c r="G16265" s="11"/>
    </row>
    <row r="16266" ht="39.75" customHeight="1">
      <c r="A16266" s="11"/>
      <c r="B16266" s="11"/>
      <c r="C16266" s="11"/>
      <c r="D16266" s="10" t="s">
        <v>7108</v>
      </c>
    </row>
    <row r="16267" ht="30.0" customHeight="1">
      <c r="A16267" s="13" t="s">
        <v>7109</v>
      </c>
      <c r="B16267" s="10" t="s">
        <v>42</v>
      </c>
      <c r="C16267" s="10" t="s">
        <v>344</v>
      </c>
      <c r="D16267" s="10" t="s">
        <v>7110</v>
      </c>
      <c r="E16267" s="11"/>
      <c r="F16267" s="12">
        <f>ROUND(49.11*(1+G2/100),2)</f>
        <v>49.11</v>
      </c>
      <c r="G16267" s="11"/>
    </row>
    <row r="16268" ht="39.75" customHeight="1">
      <c r="A16268" s="11"/>
      <c r="B16268" s="11"/>
      <c r="C16268" s="11"/>
      <c r="D16268" s="10" t="s">
        <v>7111</v>
      </c>
    </row>
    <row r="16269" ht="30.0" customHeight="1">
      <c r="A16269" s="13" t="s">
        <v>3205</v>
      </c>
      <c r="B16269" s="10" t="s">
        <v>42</v>
      </c>
      <c r="C16269" s="10" t="s">
        <v>344</v>
      </c>
      <c r="D16269" s="10" t="s">
        <v>3206</v>
      </c>
      <c r="E16269" s="11"/>
      <c r="F16269" s="12">
        <f>ROUND(65.96*(1+G2/100),2)</f>
        <v>65.96</v>
      </c>
      <c r="G16269" s="11"/>
    </row>
    <row r="16270" ht="39.75" customHeight="1">
      <c r="A16270" s="11"/>
      <c r="B16270" s="11"/>
      <c r="C16270" s="11"/>
      <c r="D16270" s="10" t="s">
        <v>7112</v>
      </c>
    </row>
    <row r="16271" ht="30.0" customHeight="1">
      <c r="A16271" s="13" t="s">
        <v>7113</v>
      </c>
      <c r="B16271" s="10" t="s">
        <v>42</v>
      </c>
      <c r="C16271" s="10" t="s">
        <v>344</v>
      </c>
      <c r="D16271" s="10" t="s">
        <v>7114</v>
      </c>
      <c r="E16271" s="11"/>
      <c r="F16271" s="12">
        <f>ROUND(112.72*(1+G2/100),2)</f>
        <v>112.72</v>
      </c>
      <c r="G16271" s="11"/>
    </row>
    <row r="16272" ht="39.75" customHeight="1">
      <c r="A16272" s="11"/>
      <c r="B16272" s="11"/>
      <c r="C16272" s="11"/>
      <c r="D16272" s="10" t="s">
        <v>7115</v>
      </c>
    </row>
    <row r="16273" ht="30.0" customHeight="1">
      <c r="A16273" s="13" t="s">
        <v>3460</v>
      </c>
      <c r="B16273" s="10" t="s">
        <v>42</v>
      </c>
      <c r="C16273" s="10" t="s">
        <v>344</v>
      </c>
      <c r="D16273" s="10" t="s">
        <v>3461</v>
      </c>
      <c r="E16273" s="11"/>
      <c r="F16273" s="12">
        <f>ROUND(45.35*(1+G2/100),2)</f>
        <v>45.35</v>
      </c>
      <c r="G16273" s="11"/>
    </row>
    <row r="16274" ht="12.0" customHeight="1">
      <c r="A16274" s="11"/>
      <c r="B16274" s="11"/>
      <c r="C16274" s="11"/>
      <c r="D16274" s="10" t="s">
        <v>3461</v>
      </c>
    </row>
    <row r="16275" ht="30.0" customHeight="1">
      <c r="A16275" s="13" t="s">
        <v>3482</v>
      </c>
      <c r="B16275" s="10" t="s">
        <v>42</v>
      </c>
      <c r="C16275" s="10" t="s">
        <v>344</v>
      </c>
      <c r="D16275" s="10" t="s">
        <v>3483</v>
      </c>
      <c r="E16275" s="11"/>
      <c r="F16275" s="12">
        <f>ROUND(115.26*(1+G2/100),2)</f>
        <v>115.26</v>
      </c>
      <c r="G16275" s="11"/>
    </row>
    <row r="16276" ht="12.0" customHeight="1">
      <c r="A16276" s="11"/>
      <c r="B16276" s="11"/>
      <c r="C16276" s="11"/>
      <c r="D16276" s="10" t="s">
        <v>3483</v>
      </c>
    </row>
    <row r="16277" ht="21.0" customHeight="1">
      <c r="A16277" s="13" t="s">
        <v>3466</v>
      </c>
      <c r="B16277" s="10" t="s">
        <v>42</v>
      </c>
      <c r="C16277" s="10" t="s">
        <v>344</v>
      </c>
      <c r="D16277" s="10" t="s">
        <v>3467</v>
      </c>
      <c r="E16277" s="11"/>
      <c r="F16277" s="12">
        <f>ROUND(8.84*(1+G2/100),2)</f>
        <v>8.84</v>
      </c>
      <c r="G16277" s="11"/>
    </row>
    <row r="16278" ht="12.0" customHeight="1">
      <c r="A16278" s="11"/>
      <c r="B16278" s="11"/>
      <c r="C16278" s="11"/>
      <c r="D16278" s="10" t="s">
        <v>3467</v>
      </c>
    </row>
    <row r="16279" ht="21.0" customHeight="1">
      <c r="A16279" s="13" t="s">
        <v>3464</v>
      </c>
      <c r="B16279" s="10" t="s">
        <v>42</v>
      </c>
      <c r="C16279" s="10" t="s">
        <v>344</v>
      </c>
      <c r="D16279" s="10" t="s">
        <v>3465</v>
      </c>
      <c r="E16279" s="11"/>
      <c r="F16279" s="12">
        <f>ROUND(8.58*(1+G2/100),2)</f>
        <v>8.58</v>
      </c>
      <c r="G16279" s="11"/>
    </row>
    <row r="16280" ht="12.0" customHeight="1">
      <c r="A16280" s="11"/>
      <c r="B16280" s="11"/>
      <c r="C16280" s="11"/>
      <c r="D16280" s="10" t="s">
        <v>3465</v>
      </c>
    </row>
    <row r="16281" ht="21.0" customHeight="1">
      <c r="A16281" s="13" t="s">
        <v>7116</v>
      </c>
      <c r="B16281" s="10" t="s">
        <v>42</v>
      </c>
      <c r="C16281" s="10" t="s">
        <v>344</v>
      </c>
      <c r="D16281" s="10" t="s">
        <v>7117</v>
      </c>
      <c r="E16281" s="11"/>
      <c r="F16281" s="12">
        <f>ROUND(20.76*(1+G2/100),2)</f>
        <v>20.76</v>
      </c>
      <c r="G16281" s="11"/>
    </row>
    <row r="16282" ht="12.0" customHeight="1">
      <c r="A16282" s="11"/>
      <c r="B16282" s="11"/>
      <c r="C16282" s="11"/>
      <c r="D16282" s="10" t="s">
        <v>7117</v>
      </c>
    </row>
    <row r="16283" ht="21.0" customHeight="1">
      <c r="A16283" s="13" t="s">
        <v>3468</v>
      </c>
      <c r="B16283" s="10" t="s">
        <v>42</v>
      </c>
      <c r="C16283" s="10" t="s">
        <v>344</v>
      </c>
      <c r="D16283" s="10" t="s">
        <v>3469</v>
      </c>
      <c r="E16283" s="11"/>
      <c r="F16283" s="12">
        <f>ROUND(16.74*(1+G2/100),2)</f>
        <v>16.74</v>
      </c>
      <c r="G16283" s="11"/>
    </row>
    <row r="16284" ht="12.0" customHeight="1">
      <c r="A16284" s="11"/>
      <c r="B16284" s="11"/>
      <c r="C16284" s="11"/>
      <c r="D16284" s="10" t="s">
        <v>3469</v>
      </c>
    </row>
    <row r="16285" ht="21.0" customHeight="1">
      <c r="A16285" s="13" t="s">
        <v>3462</v>
      </c>
      <c r="B16285" s="10" t="s">
        <v>42</v>
      </c>
      <c r="C16285" s="10" t="s">
        <v>344</v>
      </c>
      <c r="D16285" s="10" t="s">
        <v>3463</v>
      </c>
      <c r="E16285" s="11"/>
      <c r="F16285" s="12">
        <f>ROUND(42.79*(1+G2/100),2)</f>
        <v>42.79</v>
      </c>
      <c r="G16285" s="11"/>
    </row>
    <row r="16286" ht="12.0" customHeight="1">
      <c r="A16286" s="11"/>
      <c r="B16286" s="11"/>
      <c r="C16286" s="11"/>
      <c r="D16286" s="10" t="s">
        <v>3463</v>
      </c>
    </row>
    <row r="16287" ht="21.0" customHeight="1">
      <c r="A16287" s="13" t="s">
        <v>3486</v>
      </c>
      <c r="B16287" s="10" t="s">
        <v>42</v>
      </c>
      <c r="C16287" s="10" t="s">
        <v>344</v>
      </c>
      <c r="D16287" s="10" t="s">
        <v>3487</v>
      </c>
      <c r="E16287" s="11"/>
      <c r="F16287" s="12">
        <f>ROUND(29.95*(1+G2/100),2)</f>
        <v>29.95</v>
      </c>
      <c r="G16287" s="11"/>
    </row>
    <row r="16288" ht="12.0" customHeight="1">
      <c r="A16288" s="11"/>
      <c r="B16288" s="11"/>
      <c r="C16288" s="11"/>
      <c r="D16288" s="10" t="s">
        <v>3487</v>
      </c>
    </row>
    <row r="16289" ht="21.0" customHeight="1">
      <c r="A16289" s="13" t="s">
        <v>3488</v>
      </c>
      <c r="B16289" s="10" t="s">
        <v>42</v>
      </c>
      <c r="C16289" s="10" t="s">
        <v>344</v>
      </c>
      <c r="D16289" s="10" t="s">
        <v>3489</v>
      </c>
      <c r="E16289" s="11"/>
      <c r="F16289" s="12">
        <f>ROUND(42.08*(1+G2/100),2)</f>
        <v>42.08</v>
      </c>
      <c r="G16289" s="11"/>
    </row>
    <row r="16290" ht="12.0" customHeight="1">
      <c r="A16290" s="11"/>
      <c r="B16290" s="11"/>
      <c r="C16290" s="11"/>
      <c r="D16290" s="10" t="s">
        <v>3489</v>
      </c>
    </row>
    <row r="16291" ht="21.0" customHeight="1">
      <c r="A16291" s="13" t="s">
        <v>3484</v>
      </c>
      <c r="B16291" s="10" t="s">
        <v>42</v>
      </c>
      <c r="C16291" s="10" t="s">
        <v>344</v>
      </c>
      <c r="D16291" s="10" t="s">
        <v>3485</v>
      </c>
      <c r="E16291" s="11"/>
      <c r="F16291" s="12">
        <f>ROUND(270.87*(1+G2/100),2)</f>
        <v>270.87</v>
      </c>
      <c r="G16291" s="11"/>
    </row>
    <row r="16292" ht="12.0" customHeight="1">
      <c r="A16292" s="11"/>
      <c r="B16292" s="11"/>
      <c r="C16292" s="11"/>
      <c r="D16292" s="10" t="s">
        <v>3485</v>
      </c>
    </row>
    <row r="16293" ht="21.0" customHeight="1">
      <c r="A16293" s="13" t="s">
        <v>7118</v>
      </c>
      <c r="B16293" s="10" t="s">
        <v>42</v>
      </c>
      <c r="C16293" s="10" t="s">
        <v>344</v>
      </c>
      <c r="D16293" s="10" t="s">
        <v>7119</v>
      </c>
      <c r="E16293" s="11"/>
      <c r="F16293" s="12">
        <f>ROUND(45.62*(1+G2/100),2)</f>
        <v>45.62</v>
      </c>
      <c r="G16293" s="11"/>
    </row>
    <row r="16294" ht="12.0" customHeight="1">
      <c r="A16294" s="11"/>
      <c r="B16294" s="11"/>
      <c r="C16294" s="11"/>
      <c r="D16294" s="10" t="s">
        <v>7119</v>
      </c>
    </row>
    <row r="16295" ht="21.0" customHeight="1">
      <c r="A16295" s="13" t="s">
        <v>3490</v>
      </c>
      <c r="B16295" s="10" t="s">
        <v>42</v>
      </c>
      <c r="C16295" s="10" t="s">
        <v>344</v>
      </c>
      <c r="D16295" s="10" t="s">
        <v>3491</v>
      </c>
      <c r="E16295" s="11"/>
      <c r="F16295" s="12">
        <f>ROUND(36.78*(1+G2/100),2)</f>
        <v>36.78</v>
      </c>
      <c r="G16295" s="11"/>
    </row>
    <row r="16296" ht="12.0" customHeight="1">
      <c r="A16296" s="11"/>
      <c r="B16296" s="11"/>
      <c r="C16296" s="11"/>
      <c r="D16296" s="10" t="s">
        <v>3491</v>
      </c>
    </row>
    <row r="16297" ht="39.75" customHeight="1">
      <c r="A16297" s="13" t="s">
        <v>7120</v>
      </c>
      <c r="B16297" s="10" t="s">
        <v>42</v>
      </c>
      <c r="C16297" s="10" t="s">
        <v>344</v>
      </c>
      <c r="D16297" s="10" t="s">
        <v>7121</v>
      </c>
      <c r="E16297" s="11"/>
      <c r="F16297" s="12">
        <f>ROUND(10.8*(1+G2/100),2)</f>
        <v>10.8</v>
      </c>
      <c r="G16297" s="11"/>
    </row>
    <row r="16298" ht="21.0" customHeight="1">
      <c r="A16298" s="11"/>
      <c r="B16298" s="11"/>
      <c r="C16298" s="11"/>
      <c r="D16298" s="10" t="s">
        <v>7121</v>
      </c>
    </row>
    <row r="16299" ht="39.75" customHeight="1">
      <c r="A16299" s="13" t="s">
        <v>3565</v>
      </c>
      <c r="B16299" s="10" t="s">
        <v>42</v>
      </c>
      <c r="C16299" s="10" t="s">
        <v>344</v>
      </c>
      <c r="D16299" s="10" t="s">
        <v>3566</v>
      </c>
      <c r="E16299" s="11"/>
      <c r="F16299" s="12">
        <f>ROUND(15.93*(1+G2/100),2)</f>
        <v>15.93</v>
      </c>
      <c r="G16299" s="11"/>
    </row>
    <row r="16300" ht="21.0" customHeight="1">
      <c r="A16300" s="11"/>
      <c r="B16300" s="11"/>
      <c r="C16300" s="11"/>
      <c r="D16300" s="10" t="s">
        <v>3566</v>
      </c>
    </row>
    <row r="16301" ht="39.75" customHeight="1">
      <c r="A16301" s="13" t="s">
        <v>7122</v>
      </c>
      <c r="B16301" s="10" t="s">
        <v>42</v>
      </c>
      <c r="C16301" s="10" t="s">
        <v>344</v>
      </c>
      <c r="D16301" s="10" t="s">
        <v>7123</v>
      </c>
      <c r="E16301" s="11"/>
      <c r="F16301" s="12">
        <f>ROUND(22.95*(1+G2/100),2)</f>
        <v>22.95</v>
      </c>
      <c r="G16301" s="11"/>
    </row>
    <row r="16302" ht="21.0" customHeight="1">
      <c r="A16302" s="11"/>
      <c r="B16302" s="11"/>
      <c r="C16302" s="11"/>
      <c r="D16302" s="10" t="s">
        <v>7123</v>
      </c>
    </row>
    <row r="16303" ht="39.75" customHeight="1">
      <c r="A16303" s="13" t="s">
        <v>7124</v>
      </c>
      <c r="B16303" s="10" t="s">
        <v>42</v>
      </c>
      <c r="C16303" s="10" t="s">
        <v>344</v>
      </c>
      <c r="D16303" s="10" t="s">
        <v>7125</v>
      </c>
      <c r="E16303" s="11"/>
      <c r="F16303" s="12">
        <f>ROUND(20*(1+G2/100),2)</f>
        <v>20</v>
      </c>
      <c r="G16303" s="11"/>
    </row>
    <row r="16304" ht="21.0" customHeight="1">
      <c r="A16304" s="11"/>
      <c r="B16304" s="11"/>
      <c r="C16304" s="11"/>
      <c r="D16304" s="10" t="s">
        <v>7125</v>
      </c>
    </row>
    <row r="16305" ht="39.75" customHeight="1">
      <c r="A16305" s="13" t="s">
        <v>3567</v>
      </c>
      <c r="B16305" s="10" t="s">
        <v>42</v>
      </c>
      <c r="C16305" s="10" t="s">
        <v>344</v>
      </c>
      <c r="D16305" s="10" t="s">
        <v>3568</v>
      </c>
      <c r="E16305" s="11"/>
      <c r="F16305" s="12">
        <f>ROUND(32*(1+G2/100),2)</f>
        <v>32</v>
      </c>
      <c r="G16305" s="11"/>
    </row>
    <row r="16306" ht="21.0" customHeight="1">
      <c r="A16306" s="11"/>
      <c r="B16306" s="11"/>
      <c r="C16306" s="11"/>
      <c r="D16306" s="10" t="s">
        <v>7126</v>
      </c>
    </row>
    <row r="16307" ht="30.0" customHeight="1">
      <c r="A16307" s="13" t="s">
        <v>3549</v>
      </c>
      <c r="B16307" s="10" t="s">
        <v>42</v>
      </c>
      <c r="C16307" s="10" t="s">
        <v>231</v>
      </c>
      <c r="D16307" s="10" t="s">
        <v>3550</v>
      </c>
      <c r="E16307" s="11"/>
      <c r="F16307" s="12">
        <f>ROUND(322.99*(1+G2/100),2)</f>
        <v>322.99</v>
      </c>
      <c r="G16307" s="11"/>
    </row>
    <row r="16308" ht="21.0" customHeight="1">
      <c r="A16308" s="11"/>
      <c r="B16308" s="11"/>
      <c r="C16308" s="11"/>
      <c r="D16308" s="10" t="s">
        <v>3550</v>
      </c>
    </row>
    <row r="16309" ht="30.0" customHeight="1">
      <c r="A16309" s="13" t="s">
        <v>3578</v>
      </c>
      <c r="B16309" s="10" t="s">
        <v>42</v>
      </c>
      <c r="C16309" s="10" t="s">
        <v>231</v>
      </c>
      <c r="D16309" s="10" t="s">
        <v>3579</v>
      </c>
      <c r="E16309" s="11"/>
      <c r="F16309" s="12">
        <f>ROUND(378.22*(1+G2/100),2)</f>
        <v>378.22</v>
      </c>
      <c r="G16309" s="11"/>
    </row>
    <row r="16310" ht="21.0" customHeight="1">
      <c r="A16310" s="11"/>
      <c r="B16310" s="11"/>
      <c r="C16310" s="11"/>
      <c r="D16310" s="10" t="s">
        <v>3579</v>
      </c>
    </row>
    <row r="16311" ht="30.0" customHeight="1">
      <c r="A16311" s="13" t="s">
        <v>3553</v>
      </c>
      <c r="B16311" s="10" t="s">
        <v>42</v>
      </c>
      <c r="C16311" s="10" t="s">
        <v>344</v>
      </c>
      <c r="D16311" s="10" t="s">
        <v>3554</v>
      </c>
      <c r="E16311" s="11"/>
      <c r="F16311" s="12">
        <f>ROUND(4.82*(1+G2/100),2)</f>
        <v>4.82</v>
      </c>
      <c r="G16311" s="11"/>
    </row>
    <row r="16312" ht="12.0" customHeight="1">
      <c r="A16312" s="11"/>
      <c r="B16312" s="11"/>
      <c r="C16312" s="11"/>
      <c r="D16312" s="10" t="s">
        <v>3554</v>
      </c>
    </row>
    <row r="16313" ht="30.0" customHeight="1">
      <c r="A16313" s="13" t="s">
        <v>3551</v>
      </c>
      <c r="B16313" s="10" t="s">
        <v>42</v>
      </c>
      <c r="C16313" s="10" t="s">
        <v>344</v>
      </c>
      <c r="D16313" s="10" t="s">
        <v>3552</v>
      </c>
      <c r="E16313" s="11"/>
      <c r="F16313" s="12">
        <f>ROUND(11.78*(1+G2/100),2)</f>
        <v>11.78</v>
      </c>
      <c r="G16313" s="11"/>
    </row>
    <row r="16314" ht="21.0" customHeight="1">
      <c r="A16314" s="11"/>
      <c r="B16314" s="11"/>
      <c r="C16314" s="11"/>
      <c r="D16314" s="10" t="s">
        <v>3552</v>
      </c>
    </row>
    <row r="16315" ht="30.0" customHeight="1">
      <c r="A16315" s="13" t="s">
        <v>3555</v>
      </c>
      <c r="B16315" s="10" t="s">
        <v>42</v>
      </c>
      <c r="C16315" s="10" t="s">
        <v>344</v>
      </c>
      <c r="D16315" s="10" t="s">
        <v>3556</v>
      </c>
      <c r="E16315" s="11"/>
      <c r="F16315" s="12">
        <f>ROUND(0.8*(1+G2/100),2)</f>
        <v>0.8</v>
      </c>
      <c r="G16315" s="11"/>
    </row>
    <row r="16316" ht="12.0" customHeight="1">
      <c r="A16316" s="11"/>
      <c r="B16316" s="11"/>
      <c r="C16316" s="11"/>
      <c r="D16316" s="10" t="s">
        <v>3556</v>
      </c>
    </row>
    <row r="16317" ht="48.75" customHeight="1">
      <c r="A16317" s="13" t="s">
        <v>3559</v>
      </c>
      <c r="B16317" s="10" t="s">
        <v>42</v>
      </c>
      <c r="C16317" s="10" t="s">
        <v>344</v>
      </c>
      <c r="D16317" s="10" t="s">
        <v>3560</v>
      </c>
      <c r="E16317" s="11"/>
      <c r="F16317" s="12">
        <f>ROUND(25.89*(1+G2/100),2)</f>
        <v>25.89</v>
      </c>
      <c r="G16317" s="11"/>
    </row>
    <row r="16318" ht="21.0" customHeight="1">
      <c r="A16318" s="11"/>
      <c r="B16318" s="11"/>
      <c r="C16318" s="11"/>
      <c r="D16318" s="10" t="s">
        <v>3560</v>
      </c>
    </row>
    <row r="16319" ht="30.0" customHeight="1">
      <c r="A16319" s="13" t="s">
        <v>3563</v>
      </c>
      <c r="B16319" s="10" t="s">
        <v>42</v>
      </c>
      <c r="C16319" s="10" t="s">
        <v>344</v>
      </c>
      <c r="D16319" s="10" t="s">
        <v>3564</v>
      </c>
      <c r="E16319" s="11"/>
      <c r="F16319" s="12">
        <f>ROUND(15.09*(1+G2/100),2)</f>
        <v>15.09</v>
      </c>
      <c r="G16319" s="11"/>
    </row>
    <row r="16320" ht="30.0" customHeight="1">
      <c r="A16320" s="11"/>
      <c r="B16320" s="11"/>
      <c r="C16320" s="11"/>
      <c r="D16320" s="10" t="s">
        <v>7127</v>
      </c>
    </row>
    <row r="16321" ht="48.75" customHeight="1">
      <c r="A16321" s="13" t="s">
        <v>3561</v>
      </c>
      <c r="B16321" s="10" t="s">
        <v>42</v>
      </c>
      <c r="C16321" s="10" t="s">
        <v>344</v>
      </c>
      <c r="D16321" s="10" t="s">
        <v>3562</v>
      </c>
      <c r="E16321" s="11"/>
      <c r="F16321" s="12">
        <f>ROUND(17.44*(1+G2/100),2)</f>
        <v>17.44</v>
      </c>
      <c r="G16321" s="11"/>
    </row>
    <row r="16322" ht="21.0" customHeight="1">
      <c r="A16322" s="11"/>
      <c r="B16322" s="11"/>
      <c r="C16322" s="11"/>
      <c r="D16322" s="10" t="s">
        <v>3562</v>
      </c>
    </row>
    <row r="16323" ht="30.0" customHeight="1">
      <c r="A16323" s="13" t="s">
        <v>3470</v>
      </c>
      <c r="B16323" s="10" t="s">
        <v>42</v>
      </c>
      <c r="C16323" s="10" t="s">
        <v>344</v>
      </c>
      <c r="D16323" s="10" t="s">
        <v>3471</v>
      </c>
      <c r="E16323" s="11"/>
      <c r="F16323" s="12">
        <f>ROUND(3.49*(1+G2/100),2)</f>
        <v>3.49</v>
      </c>
      <c r="G16323" s="11"/>
    </row>
    <row r="16324" ht="21.0" customHeight="1">
      <c r="A16324" s="11"/>
      <c r="B16324" s="11"/>
      <c r="C16324" s="11"/>
      <c r="D16324" s="10" t="s">
        <v>3471</v>
      </c>
    </row>
    <row r="16325" ht="30.0" customHeight="1">
      <c r="A16325" s="13" t="s">
        <v>3492</v>
      </c>
      <c r="B16325" s="10" t="s">
        <v>42</v>
      </c>
      <c r="C16325" s="10" t="s">
        <v>344</v>
      </c>
      <c r="D16325" s="10" t="s">
        <v>3493</v>
      </c>
      <c r="E16325" s="11"/>
      <c r="F16325" s="12">
        <f>ROUND(4.84*(1+G2/100),2)</f>
        <v>4.84</v>
      </c>
      <c r="G16325" s="11"/>
    </row>
    <row r="16326" ht="21.0" customHeight="1">
      <c r="A16326" s="11"/>
      <c r="B16326" s="11"/>
      <c r="C16326" s="11"/>
      <c r="D16326" s="10" t="s">
        <v>3493</v>
      </c>
    </row>
    <row r="16327" ht="39.75" customHeight="1">
      <c r="A16327" s="13" t="s">
        <v>3472</v>
      </c>
      <c r="B16327" s="10" t="s">
        <v>42</v>
      </c>
      <c r="C16327" s="10" t="s">
        <v>344</v>
      </c>
      <c r="D16327" s="10" t="s">
        <v>3473</v>
      </c>
      <c r="E16327" s="11"/>
      <c r="F16327" s="12">
        <f>ROUND(19.71*(1+G2/100),2)</f>
        <v>19.71</v>
      </c>
      <c r="G16327" s="11"/>
    </row>
    <row r="16328" ht="21.0" customHeight="1">
      <c r="A16328" s="11"/>
      <c r="B16328" s="11"/>
      <c r="C16328" s="11"/>
      <c r="D16328" s="10" t="s">
        <v>3473</v>
      </c>
    </row>
    <row r="16329" ht="30.0" customHeight="1">
      <c r="A16329" s="13" t="s">
        <v>3474</v>
      </c>
      <c r="B16329" s="10" t="s">
        <v>42</v>
      </c>
      <c r="C16329" s="10" t="s">
        <v>344</v>
      </c>
      <c r="D16329" s="10" t="s">
        <v>3475</v>
      </c>
      <c r="E16329" s="11"/>
      <c r="F16329" s="12">
        <f>ROUND(3.27*(1+G2/100),2)</f>
        <v>3.27</v>
      </c>
      <c r="G16329" s="11"/>
    </row>
    <row r="16330" ht="21.0" customHeight="1">
      <c r="A16330" s="11"/>
      <c r="B16330" s="11"/>
      <c r="C16330" s="11"/>
      <c r="D16330" s="10" t="s">
        <v>3475</v>
      </c>
    </row>
    <row r="16331" ht="30.0" customHeight="1">
      <c r="A16331" s="13" t="s">
        <v>7128</v>
      </c>
      <c r="B16331" s="10" t="s">
        <v>42</v>
      </c>
      <c r="C16331" s="10" t="s">
        <v>231</v>
      </c>
      <c r="D16331" s="10" t="s">
        <v>7129</v>
      </c>
      <c r="E16331" s="11"/>
      <c r="F16331" s="12">
        <f>ROUND(367.37*(1+G2/100),2)</f>
        <v>367.37</v>
      </c>
      <c r="G16331" s="11"/>
    </row>
    <row r="16332" ht="57.75" customHeight="1">
      <c r="A16332" s="11"/>
      <c r="B16332" s="11"/>
      <c r="C16332" s="11"/>
      <c r="D16332" s="10" t="s">
        <v>7130</v>
      </c>
    </row>
    <row r="16333" ht="30.0" customHeight="1">
      <c r="A16333" s="13" t="s">
        <v>4616</v>
      </c>
      <c r="B16333" s="10" t="s">
        <v>42</v>
      </c>
      <c r="C16333" s="10" t="s">
        <v>344</v>
      </c>
      <c r="D16333" s="10" t="s">
        <v>4617</v>
      </c>
      <c r="E16333" s="11"/>
      <c r="F16333" s="12">
        <f>ROUND(14.25*(1+G2/100),2)</f>
        <v>14.25</v>
      </c>
      <c r="G16333" s="11"/>
    </row>
    <row r="16334" ht="21.0" customHeight="1">
      <c r="A16334" s="11"/>
      <c r="B16334" s="11"/>
      <c r="C16334" s="11"/>
      <c r="D16334" s="10" t="s">
        <v>7131</v>
      </c>
    </row>
    <row r="16335" ht="15.0" customHeight="1">
      <c r="A16335" s="16"/>
      <c r="B16335" s="16"/>
      <c r="C16335" s="16"/>
      <c r="D16335" s="61" t="s">
        <v>6815</v>
      </c>
      <c r="E16335" s="62"/>
      <c r="F16335" s="62"/>
      <c r="G16335" s="62"/>
    </row>
    <row r="16336" ht="31.5" customHeight="1">
      <c r="A16336" s="34" t="s">
        <v>7132</v>
      </c>
      <c r="B16336" s="34" t="s">
        <v>10</v>
      </c>
      <c r="C16336" s="35"/>
      <c r="D16336" s="34" t="s">
        <v>7133</v>
      </c>
      <c r="E16336" s="35"/>
      <c r="F16336" s="35"/>
      <c r="G16336" s="35"/>
    </row>
    <row r="16337" ht="21.75" customHeight="1">
      <c r="A16337" s="42" t="s">
        <v>7134</v>
      </c>
      <c r="B16337" s="42" t="s">
        <v>10</v>
      </c>
      <c r="C16337" s="43"/>
      <c r="D16337" s="42" t="s">
        <v>7135</v>
      </c>
      <c r="E16337" s="43"/>
      <c r="F16337" s="43"/>
      <c r="G16337" s="43"/>
    </row>
    <row r="16338" ht="48.75" customHeight="1">
      <c r="A16338" s="13" t="s">
        <v>7136</v>
      </c>
      <c r="B16338" s="10" t="s">
        <v>42</v>
      </c>
      <c r="C16338" s="10" t="s">
        <v>19</v>
      </c>
      <c r="D16338" s="10" t="s">
        <v>7137</v>
      </c>
      <c r="E16338" s="11"/>
      <c r="F16338" s="12">
        <f>ROUND(3.79*(1+G2/100),2)</f>
        <v>3.79</v>
      </c>
      <c r="G16338" s="11"/>
    </row>
    <row r="16339" ht="76.5" customHeight="1">
      <c r="A16339" s="11"/>
      <c r="B16339" s="11"/>
      <c r="C16339" s="11"/>
      <c r="D16339" s="10" t="s">
        <v>7138</v>
      </c>
    </row>
    <row r="16340" ht="39.75" customHeight="1">
      <c r="A16340" s="13" t="s">
        <v>7139</v>
      </c>
      <c r="B16340" s="10" t="s">
        <v>42</v>
      </c>
      <c r="C16340" s="10" t="s">
        <v>276</v>
      </c>
      <c r="D16340" s="10" t="s">
        <v>7140</v>
      </c>
      <c r="E16340" s="11"/>
      <c r="F16340" s="12">
        <f>ROUND(35*(1+G2/100),2)</f>
        <v>35</v>
      </c>
      <c r="G16340" s="11"/>
    </row>
    <row r="16341" ht="177.75" customHeight="1">
      <c r="A16341" s="11"/>
      <c r="B16341" s="11"/>
      <c r="C16341" s="11"/>
      <c r="D16341" s="10" t="s">
        <v>7141</v>
      </c>
    </row>
    <row r="16342" ht="48.75" customHeight="1">
      <c r="A16342" s="13" t="s">
        <v>7142</v>
      </c>
      <c r="B16342" s="10" t="s">
        <v>42</v>
      </c>
      <c r="C16342" s="10" t="s">
        <v>19</v>
      </c>
      <c r="D16342" s="10" t="s">
        <v>7143</v>
      </c>
      <c r="E16342" s="11"/>
      <c r="F16342" s="12">
        <f>ROUND(3.79*(1+G2/100),2)</f>
        <v>3.79</v>
      </c>
      <c r="G16342" s="11"/>
    </row>
    <row r="16343" ht="67.5" customHeight="1">
      <c r="A16343" s="11"/>
      <c r="B16343" s="11"/>
      <c r="C16343" s="11"/>
      <c r="D16343" s="10" t="s">
        <v>7144</v>
      </c>
    </row>
    <row r="16344" ht="57.75" customHeight="1">
      <c r="A16344" s="13" t="s">
        <v>7145</v>
      </c>
      <c r="B16344" s="10" t="s">
        <v>42</v>
      </c>
      <c r="C16344" s="10" t="s">
        <v>19</v>
      </c>
      <c r="D16344" s="10" t="s">
        <v>7146</v>
      </c>
      <c r="E16344" s="11"/>
      <c r="F16344" s="12">
        <f>ROUND(12.25*(1+G2/100),2)</f>
        <v>12.25</v>
      </c>
      <c r="G16344" s="11"/>
    </row>
    <row r="16345" ht="21.0" customHeight="1">
      <c r="A16345" s="11"/>
      <c r="B16345" s="11"/>
      <c r="C16345" s="11"/>
      <c r="D16345" s="10" t="s">
        <v>7146</v>
      </c>
    </row>
    <row r="16346" ht="57.75" customHeight="1">
      <c r="A16346" s="13" t="s">
        <v>4262</v>
      </c>
      <c r="B16346" s="10" t="s">
        <v>42</v>
      </c>
      <c r="C16346" s="10" t="s">
        <v>19</v>
      </c>
      <c r="D16346" s="10" t="s">
        <v>4263</v>
      </c>
      <c r="E16346" s="11"/>
      <c r="F16346" s="12">
        <f>ROUND(15.25*(1+G2/100),2)</f>
        <v>15.25</v>
      </c>
      <c r="G16346" s="11"/>
    </row>
    <row r="16347" ht="95.25" customHeight="1">
      <c r="A16347" s="11"/>
      <c r="B16347" s="11"/>
      <c r="C16347" s="11"/>
      <c r="D16347" s="10" t="s">
        <v>7147</v>
      </c>
    </row>
    <row r="16348" ht="39.75" customHeight="1">
      <c r="A16348" s="13" t="s">
        <v>4269</v>
      </c>
      <c r="B16348" s="10" t="s">
        <v>42</v>
      </c>
      <c r="C16348" s="10" t="s">
        <v>19</v>
      </c>
      <c r="D16348" s="10" t="s">
        <v>4270</v>
      </c>
      <c r="E16348" s="11"/>
      <c r="F16348" s="12">
        <f>ROUND(1.66*(1+G2/100),2)</f>
        <v>1.66</v>
      </c>
      <c r="G16348" s="11"/>
    </row>
    <row r="16349" ht="48.75" customHeight="1">
      <c r="A16349" s="11"/>
      <c r="B16349" s="11"/>
      <c r="C16349" s="11"/>
      <c r="D16349" s="10" t="s">
        <v>7148</v>
      </c>
    </row>
    <row r="16350" ht="57.75" customHeight="1">
      <c r="A16350" s="13" t="s">
        <v>7149</v>
      </c>
      <c r="B16350" s="10" t="s">
        <v>42</v>
      </c>
      <c r="C16350" s="10" t="s">
        <v>19</v>
      </c>
      <c r="D16350" s="10" t="s">
        <v>7150</v>
      </c>
      <c r="E16350" s="11"/>
      <c r="F16350" s="12">
        <f>ROUND(5.41*(1+G2/100),2)</f>
        <v>5.41</v>
      </c>
      <c r="G16350" s="11"/>
    </row>
    <row r="16351" ht="168.75" customHeight="1">
      <c r="A16351" s="11"/>
      <c r="B16351" s="11"/>
      <c r="C16351" s="11"/>
      <c r="D16351" s="10" t="s">
        <v>7151</v>
      </c>
    </row>
    <row r="16352" ht="48.75" customHeight="1">
      <c r="A16352" s="13" t="s">
        <v>4275</v>
      </c>
      <c r="B16352" s="10" t="s">
        <v>42</v>
      </c>
      <c r="C16352" s="10" t="s">
        <v>19</v>
      </c>
      <c r="D16352" s="10" t="s">
        <v>4276</v>
      </c>
      <c r="E16352" s="11"/>
      <c r="F16352" s="12">
        <f>ROUND(4.61*(1+G2/100),2)</f>
        <v>4.61</v>
      </c>
      <c r="G16352" s="11"/>
    </row>
    <row r="16353" ht="168.75" customHeight="1">
      <c r="A16353" s="11"/>
      <c r="B16353" s="11"/>
      <c r="C16353" s="11"/>
      <c r="D16353" s="10" t="s">
        <v>7152</v>
      </c>
    </row>
    <row r="16354" ht="39.75" customHeight="1">
      <c r="A16354" s="13" t="s">
        <v>4267</v>
      </c>
      <c r="B16354" s="10" t="s">
        <v>42</v>
      </c>
      <c r="C16354" s="10" t="s">
        <v>19</v>
      </c>
      <c r="D16354" s="10" t="s">
        <v>4268</v>
      </c>
      <c r="E16354" s="11"/>
      <c r="F16354" s="12">
        <f>ROUND(3.35*(1+G2/100),2)</f>
        <v>3.35</v>
      </c>
      <c r="G16354" s="11"/>
    </row>
    <row r="16355" ht="76.5" customHeight="1">
      <c r="A16355" s="11"/>
      <c r="B16355" s="11"/>
      <c r="C16355" s="11"/>
      <c r="D16355" s="10" t="s">
        <v>7153</v>
      </c>
    </row>
    <row r="16356" ht="39.75" customHeight="1">
      <c r="A16356" s="13" t="s">
        <v>4271</v>
      </c>
      <c r="B16356" s="10" t="s">
        <v>42</v>
      </c>
      <c r="C16356" s="10" t="s">
        <v>19</v>
      </c>
      <c r="D16356" s="10" t="s">
        <v>4272</v>
      </c>
      <c r="E16356" s="11"/>
      <c r="F16356" s="12">
        <f>ROUND(4.16*(1+G2/100),2)</f>
        <v>4.16</v>
      </c>
      <c r="G16356" s="11"/>
    </row>
    <row r="16357" ht="76.5" customHeight="1">
      <c r="A16357" s="11"/>
      <c r="B16357" s="11"/>
      <c r="C16357" s="11"/>
      <c r="D16357" s="10" t="s">
        <v>7154</v>
      </c>
    </row>
    <row r="16358" ht="39.75" customHeight="1">
      <c r="A16358" s="13" t="s">
        <v>4277</v>
      </c>
      <c r="B16358" s="10" t="s">
        <v>42</v>
      </c>
      <c r="C16358" s="10" t="s">
        <v>351</v>
      </c>
      <c r="D16358" s="10" t="s">
        <v>4278</v>
      </c>
      <c r="E16358" s="11"/>
      <c r="F16358" s="12">
        <f>ROUND(3.33*(1+G2/100),2)</f>
        <v>3.33</v>
      </c>
      <c r="G16358" s="11"/>
    </row>
    <row r="16359" ht="113.25" customHeight="1">
      <c r="A16359" s="11"/>
      <c r="B16359" s="11"/>
      <c r="C16359" s="11"/>
      <c r="D16359" s="10" t="s">
        <v>7155</v>
      </c>
    </row>
    <row r="16360" ht="30.0" customHeight="1">
      <c r="A16360" s="13" t="s">
        <v>4273</v>
      </c>
      <c r="B16360" s="10" t="s">
        <v>42</v>
      </c>
      <c r="C16360" s="10" t="s">
        <v>351</v>
      </c>
      <c r="D16360" s="10" t="s">
        <v>4274</v>
      </c>
      <c r="E16360" s="11"/>
      <c r="F16360" s="12">
        <f>ROUND(2.6*(1+G2/100),2)</f>
        <v>2.6</v>
      </c>
      <c r="G16360" s="11"/>
    </row>
    <row r="16361" ht="30.0" customHeight="1">
      <c r="A16361" s="11"/>
      <c r="B16361" s="11"/>
      <c r="C16361" s="11"/>
      <c r="D16361" s="10" t="s">
        <v>7156</v>
      </c>
    </row>
    <row r="16362" ht="39.75" customHeight="1">
      <c r="A16362" s="13" t="s">
        <v>4264</v>
      </c>
      <c r="B16362" s="10" t="s">
        <v>42</v>
      </c>
      <c r="C16362" s="10" t="s">
        <v>4265</v>
      </c>
      <c r="D16362" s="10" t="s">
        <v>4266</v>
      </c>
      <c r="E16362" s="11"/>
      <c r="F16362" s="12">
        <f>ROUND(213.56*(1+G2/100),2)</f>
        <v>213.56</v>
      </c>
      <c r="G16362" s="11"/>
    </row>
    <row r="16363" ht="215.25" customHeight="1">
      <c r="A16363" s="11"/>
      <c r="B16363" s="11"/>
      <c r="C16363" s="11"/>
      <c r="D16363" s="10" t="s">
        <v>7157</v>
      </c>
    </row>
    <row r="16364" ht="15.0" customHeight="1">
      <c r="A16364" s="16"/>
      <c r="B16364" s="16"/>
      <c r="C16364" s="16"/>
      <c r="D16364" s="45" t="s">
        <v>7134</v>
      </c>
      <c r="E16364" s="46"/>
      <c r="F16364" s="46"/>
      <c r="G16364" s="46"/>
    </row>
    <row r="16365" ht="39.75" customHeight="1">
      <c r="A16365" s="19" t="s">
        <v>4199</v>
      </c>
      <c r="B16365" s="20" t="s">
        <v>42</v>
      </c>
      <c r="C16365" s="20" t="s">
        <v>226</v>
      </c>
      <c r="D16365" s="20" t="s">
        <v>4200</v>
      </c>
      <c r="E16365" s="21"/>
      <c r="F16365" s="22">
        <f>ROUND(125.46*(1+G2/100),2)</f>
        <v>125.46</v>
      </c>
      <c r="G16365" s="21"/>
    </row>
    <row r="16366" ht="85.5" customHeight="1">
      <c r="A16366" s="11"/>
      <c r="B16366" s="11"/>
      <c r="C16366" s="11"/>
      <c r="D16366" s="10" t="s">
        <v>7158</v>
      </c>
    </row>
    <row r="16367" ht="39.75" customHeight="1">
      <c r="A16367" s="13" t="s">
        <v>7159</v>
      </c>
      <c r="B16367" s="10" t="s">
        <v>42</v>
      </c>
      <c r="C16367" s="10" t="s">
        <v>43</v>
      </c>
      <c r="D16367" s="10" t="s">
        <v>7160</v>
      </c>
      <c r="E16367" s="11"/>
      <c r="F16367" s="12">
        <f>ROUND(48*(1+G2/100),2)</f>
        <v>48</v>
      </c>
      <c r="G16367" s="11"/>
    </row>
    <row r="16368" ht="67.5" customHeight="1">
      <c r="A16368" s="11"/>
      <c r="B16368" s="11"/>
      <c r="C16368" s="11"/>
      <c r="D16368" s="10" t="s">
        <v>7161</v>
      </c>
    </row>
    <row r="16369" ht="39.75" customHeight="1">
      <c r="A16369" s="13" t="s">
        <v>7162</v>
      </c>
      <c r="B16369" s="10" t="s">
        <v>42</v>
      </c>
      <c r="C16369" s="10" t="s">
        <v>276</v>
      </c>
      <c r="D16369" s="10" t="s">
        <v>7163</v>
      </c>
      <c r="E16369" s="11"/>
      <c r="F16369" s="12">
        <f>ROUND(298.54*(1+G2/100),2)</f>
        <v>298.54</v>
      </c>
      <c r="G16369" s="11"/>
    </row>
    <row r="16370" ht="76.5" customHeight="1">
      <c r="A16370" s="11"/>
      <c r="B16370" s="11"/>
      <c r="C16370" s="11"/>
      <c r="D16370" s="10" t="s">
        <v>7164</v>
      </c>
    </row>
    <row r="16371" ht="39.75" customHeight="1">
      <c r="A16371" s="13" t="s">
        <v>7165</v>
      </c>
      <c r="B16371" s="10" t="s">
        <v>42</v>
      </c>
      <c r="C16371" s="10" t="s">
        <v>43</v>
      </c>
      <c r="D16371" s="10" t="s">
        <v>7166</v>
      </c>
      <c r="E16371" s="11"/>
      <c r="F16371" s="12">
        <f>ROUND(39.59*(1+G2/100),2)</f>
        <v>39.59</v>
      </c>
      <c r="G16371" s="11"/>
    </row>
    <row r="16372" ht="85.5" customHeight="1">
      <c r="A16372" s="11"/>
      <c r="B16372" s="11"/>
      <c r="C16372" s="11"/>
      <c r="D16372" s="10" t="s">
        <v>7167</v>
      </c>
    </row>
    <row r="16373" ht="39.75" customHeight="1">
      <c r="A16373" s="13" t="s">
        <v>7168</v>
      </c>
      <c r="B16373" s="10" t="s">
        <v>42</v>
      </c>
      <c r="C16373" s="10" t="s">
        <v>43</v>
      </c>
      <c r="D16373" s="10" t="s">
        <v>7169</v>
      </c>
      <c r="E16373" s="11"/>
      <c r="F16373" s="12">
        <f>ROUND(199.05*(1+G2/100),2)</f>
        <v>199.05</v>
      </c>
      <c r="G16373" s="11"/>
    </row>
    <row r="16374" ht="113.25" customHeight="1">
      <c r="A16374" s="11"/>
      <c r="B16374" s="11"/>
      <c r="C16374" s="11"/>
      <c r="D16374" s="10" t="s">
        <v>7170</v>
      </c>
    </row>
    <row r="16375" ht="30.0" customHeight="1">
      <c r="A16375" s="13" t="s">
        <v>7171</v>
      </c>
      <c r="B16375" s="10" t="s">
        <v>42</v>
      </c>
      <c r="C16375" s="10" t="s">
        <v>226</v>
      </c>
      <c r="D16375" s="10" t="s">
        <v>7172</v>
      </c>
      <c r="E16375" s="11"/>
      <c r="F16375" s="12">
        <f>ROUND(187.5*(1+G2/100),2)</f>
        <v>187.5</v>
      </c>
      <c r="G16375" s="11"/>
    </row>
    <row r="16376" ht="76.5" customHeight="1">
      <c r="A16376" s="11"/>
      <c r="B16376" s="11"/>
      <c r="C16376" s="11"/>
      <c r="D16376" s="10" t="s">
        <v>7173</v>
      </c>
    </row>
    <row r="16377" ht="48.75" customHeight="1">
      <c r="A16377" s="13" t="s">
        <v>4208</v>
      </c>
      <c r="B16377" s="10" t="s">
        <v>42</v>
      </c>
      <c r="C16377" s="10" t="s">
        <v>226</v>
      </c>
      <c r="D16377" s="10" t="s">
        <v>4209</v>
      </c>
      <c r="E16377" s="11"/>
      <c r="F16377" s="12">
        <f>ROUND(115.66*(1+G2/100),2)</f>
        <v>115.66</v>
      </c>
      <c r="G16377" s="11"/>
    </row>
    <row r="16378" ht="48.75" customHeight="1">
      <c r="A16378" s="11"/>
      <c r="B16378" s="11"/>
      <c r="C16378" s="11"/>
      <c r="D16378" s="10" t="s">
        <v>7174</v>
      </c>
    </row>
    <row r="16379" ht="30.0" customHeight="1">
      <c r="A16379" s="13" t="s">
        <v>7175</v>
      </c>
      <c r="B16379" s="10" t="s">
        <v>42</v>
      </c>
      <c r="C16379" s="10" t="s">
        <v>43</v>
      </c>
      <c r="D16379" s="10" t="s">
        <v>7176</v>
      </c>
      <c r="E16379" s="11"/>
      <c r="F16379" s="12">
        <f>ROUND(36.36*(1+G2/100),2)</f>
        <v>36.36</v>
      </c>
      <c r="G16379" s="11"/>
    </row>
    <row r="16380" ht="85.5" customHeight="1">
      <c r="A16380" s="11"/>
      <c r="B16380" s="11"/>
      <c r="C16380" s="11"/>
      <c r="D16380" s="10" t="s">
        <v>7177</v>
      </c>
    </row>
    <row r="16381" ht="39.75" customHeight="1">
      <c r="A16381" s="13" t="s">
        <v>7178</v>
      </c>
      <c r="B16381" s="10" t="s">
        <v>42</v>
      </c>
      <c r="C16381" s="10" t="s">
        <v>276</v>
      </c>
      <c r="D16381" s="10" t="s">
        <v>7179</v>
      </c>
      <c r="E16381" s="11"/>
      <c r="F16381" s="12">
        <f>ROUND(146.24*(1+G2/100),2)</f>
        <v>146.24</v>
      </c>
      <c r="G16381" s="11"/>
    </row>
    <row r="16382" ht="123.0" customHeight="1">
      <c r="A16382" s="11"/>
      <c r="B16382" s="11"/>
      <c r="C16382" s="11"/>
      <c r="D16382" s="10" t="s">
        <v>7180</v>
      </c>
    </row>
    <row r="16383" ht="39.75" customHeight="1">
      <c r="A16383" s="13" t="s">
        <v>7181</v>
      </c>
      <c r="B16383" s="10" t="s">
        <v>42</v>
      </c>
      <c r="C16383" s="10" t="s">
        <v>43</v>
      </c>
      <c r="D16383" s="10" t="s">
        <v>7182</v>
      </c>
      <c r="E16383" s="11"/>
      <c r="F16383" s="12">
        <f>ROUND(49.68*(1+G2/100),2)</f>
        <v>49.68</v>
      </c>
      <c r="G16383" s="11"/>
    </row>
    <row r="16384" ht="48.75" customHeight="1">
      <c r="A16384" s="11"/>
      <c r="B16384" s="11"/>
      <c r="C16384" s="11"/>
      <c r="D16384" s="10" t="s">
        <v>7183</v>
      </c>
    </row>
    <row r="16385" ht="39.75" customHeight="1">
      <c r="A16385" s="13" t="s">
        <v>4169</v>
      </c>
      <c r="B16385" s="10" t="s">
        <v>42</v>
      </c>
      <c r="C16385" s="10" t="s">
        <v>276</v>
      </c>
      <c r="D16385" s="10" t="s">
        <v>4170</v>
      </c>
      <c r="E16385" s="11"/>
      <c r="F16385" s="12">
        <f>ROUND(123.14*(1+G2/100),2)</f>
        <v>123.14</v>
      </c>
      <c r="G16385" s="11"/>
    </row>
    <row r="16386" ht="141.0" customHeight="1">
      <c r="A16386" s="11"/>
      <c r="B16386" s="11"/>
      <c r="C16386" s="11"/>
      <c r="D16386" s="10" t="s">
        <v>7184</v>
      </c>
    </row>
    <row r="16387" ht="39.75" customHeight="1">
      <c r="A16387" s="13" t="s">
        <v>4574</v>
      </c>
      <c r="B16387" s="10" t="s">
        <v>42</v>
      </c>
      <c r="C16387" s="10" t="s">
        <v>351</v>
      </c>
      <c r="D16387" s="10" t="s">
        <v>4575</v>
      </c>
      <c r="E16387" s="11"/>
      <c r="F16387" s="12">
        <f>ROUND(23.25*(1+G2/100),2)</f>
        <v>23.25</v>
      </c>
      <c r="G16387" s="11"/>
    </row>
    <row r="16388" ht="67.5" customHeight="1">
      <c r="A16388" s="11"/>
      <c r="B16388" s="11"/>
      <c r="C16388" s="11"/>
      <c r="D16388" s="10" t="s">
        <v>7185</v>
      </c>
    </row>
    <row r="16389" ht="39.75" customHeight="1">
      <c r="A16389" s="13" t="s">
        <v>7186</v>
      </c>
      <c r="B16389" s="10" t="s">
        <v>42</v>
      </c>
      <c r="C16389" s="10" t="s">
        <v>351</v>
      </c>
      <c r="D16389" s="10" t="s">
        <v>7187</v>
      </c>
      <c r="E16389" s="11"/>
      <c r="F16389" s="12">
        <f>ROUND(46.5*(1+G2/100),2)</f>
        <v>46.5</v>
      </c>
      <c r="G16389" s="11"/>
    </row>
    <row r="16390" ht="67.5" customHeight="1">
      <c r="A16390" s="11"/>
      <c r="B16390" s="11"/>
      <c r="C16390" s="11"/>
      <c r="D16390" s="10" t="s">
        <v>7188</v>
      </c>
    </row>
    <row r="16391" ht="39.75" customHeight="1">
      <c r="A16391" s="13" t="s">
        <v>7189</v>
      </c>
      <c r="B16391" s="10" t="s">
        <v>42</v>
      </c>
      <c r="C16391" s="10" t="s">
        <v>351</v>
      </c>
      <c r="D16391" s="10" t="s">
        <v>7190</v>
      </c>
      <c r="E16391" s="11"/>
      <c r="F16391" s="12">
        <f>ROUND(69.75*(1+G2/100),2)</f>
        <v>69.75</v>
      </c>
      <c r="G16391" s="11"/>
    </row>
    <row r="16392" ht="67.5" customHeight="1">
      <c r="A16392" s="11"/>
      <c r="B16392" s="11"/>
      <c r="C16392" s="11"/>
      <c r="D16392" s="10" t="s">
        <v>7191</v>
      </c>
    </row>
    <row r="16393" ht="48.75" customHeight="1">
      <c r="A16393" s="13" t="s">
        <v>7192</v>
      </c>
      <c r="B16393" s="10" t="s">
        <v>42</v>
      </c>
      <c r="C16393" s="10" t="s">
        <v>43</v>
      </c>
      <c r="D16393" s="10" t="s">
        <v>7193</v>
      </c>
      <c r="E16393" s="11"/>
      <c r="F16393" s="12">
        <f>ROUND(9.2*(1+G2/100),2)</f>
        <v>9.2</v>
      </c>
      <c r="G16393" s="11"/>
    </row>
    <row r="16394" ht="48.75" customHeight="1">
      <c r="A16394" s="11"/>
      <c r="B16394" s="11"/>
      <c r="C16394" s="11"/>
      <c r="D16394" s="10" t="s">
        <v>7194</v>
      </c>
    </row>
    <row r="16395" ht="48.75" customHeight="1">
      <c r="A16395" s="13" t="s">
        <v>3679</v>
      </c>
      <c r="B16395" s="10" t="s">
        <v>42</v>
      </c>
      <c r="C16395" s="10" t="s">
        <v>43</v>
      </c>
      <c r="D16395" s="10" t="s">
        <v>3680</v>
      </c>
      <c r="E16395" s="11"/>
      <c r="F16395" s="12">
        <f>ROUND(37.92*(1+G2/100),2)</f>
        <v>37.92</v>
      </c>
      <c r="G16395" s="11"/>
    </row>
    <row r="16396" ht="48.75" customHeight="1">
      <c r="A16396" s="11"/>
      <c r="B16396" s="11"/>
      <c r="C16396" s="11"/>
      <c r="D16396" s="10" t="s">
        <v>7195</v>
      </c>
    </row>
    <row r="16397" ht="30.0" customHeight="1">
      <c r="A16397" s="13" t="s">
        <v>7196</v>
      </c>
      <c r="B16397" s="10" t="s">
        <v>42</v>
      </c>
      <c r="C16397" s="10" t="s">
        <v>226</v>
      </c>
      <c r="D16397" s="10" t="s">
        <v>7197</v>
      </c>
      <c r="E16397" s="11"/>
      <c r="F16397" s="12">
        <f>ROUND(223.5*(1+G2/100),2)</f>
        <v>223.5</v>
      </c>
      <c r="G16397" s="11"/>
    </row>
    <row r="16398" ht="132.0" customHeight="1">
      <c r="A16398" s="11"/>
      <c r="B16398" s="11"/>
      <c r="C16398" s="11"/>
      <c r="D16398" s="10" t="s">
        <v>7198</v>
      </c>
    </row>
    <row r="16399" ht="30.0" customHeight="1">
      <c r="A16399" s="13" t="s">
        <v>7199</v>
      </c>
      <c r="B16399" s="10" t="s">
        <v>42</v>
      </c>
      <c r="C16399" s="10" t="s">
        <v>43</v>
      </c>
      <c r="D16399" s="10" t="s">
        <v>7200</v>
      </c>
      <c r="E16399" s="11"/>
      <c r="F16399" s="12">
        <f>ROUND(85.75*(1+G2/100),2)</f>
        <v>85.75</v>
      </c>
      <c r="G16399" s="11"/>
    </row>
    <row r="16400" ht="113.25" customHeight="1">
      <c r="A16400" s="11"/>
      <c r="B16400" s="11"/>
      <c r="C16400" s="11"/>
      <c r="D16400" s="10" t="s">
        <v>7201</v>
      </c>
    </row>
    <row r="16401" ht="48.75" customHeight="1">
      <c r="A16401" s="13" t="s">
        <v>4118</v>
      </c>
      <c r="B16401" s="10" t="s">
        <v>42</v>
      </c>
      <c r="C16401" s="10" t="s">
        <v>226</v>
      </c>
      <c r="D16401" s="10" t="s">
        <v>4119</v>
      </c>
      <c r="E16401" s="11"/>
      <c r="F16401" s="12">
        <f>ROUND(28.4*(1+G2/100),2)</f>
        <v>28.4</v>
      </c>
      <c r="G16401" s="11"/>
    </row>
    <row r="16402" ht="39.75" customHeight="1">
      <c r="A16402" s="11"/>
      <c r="B16402" s="11"/>
      <c r="C16402" s="11"/>
      <c r="D16402" s="10" t="s">
        <v>7202</v>
      </c>
    </row>
    <row r="16403" ht="39.75" customHeight="1">
      <c r="A16403" s="13" t="s">
        <v>4116</v>
      </c>
      <c r="B16403" s="10" t="s">
        <v>42</v>
      </c>
      <c r="C16403" s="10" t="s">
        <v>1939</v>
      </c>
      <c r="D16403" s="10" t="s">
        <v>4117</v>
      </c>
      <c r="E16403" s="11"/>
      <c r="F16403" s="12">
        <f>ROUND(44.84*(1+G2/100),2)</f>
        <v>44.84</v>
      </c>
      <c r="G16403" s="11"/>
    </row>
    <row r="16404" ht="67.5" customHeight="1">
      <c r="A16404" s="11"/>
      <c r="B16404" s="11"/>
      <c r="C16404" s="11"/>
      <c r="D16404" s="10" t="s">
        <v>7203</v>
      </c>
    </row>
    <row r="16405" ht="57.75" customHeight="1">
      <c r="A16405" s="13" t="s">
        <v>4249</v>
      </c>
      <c r="B16405" s="10" t="s">
        <v>42</v>
      </c>
      <c r="C16405" s="10" t="s">
        <v>226</v>
      </c>
      <c r="D16405" s="10" t="s">
        <v>4250</v>
      </c>
      <c r="E16405" s="11"/>
      <c r="F16405" s="12">
        <f>ROUND(39.9*(1+G2/100),2)</f>
        <v>39.9</v>
      </c>
      <c r="G16405" s="11"/>
    </row>
    <row r="16406" ht="76.5" customHeight="1">
      <c r="A16406" s="11"/>
      <c r="B16406" s="11"/>
      <c r="C16406" s="11"/>
      <c r="D16406" s="10" t="s">
        <v>7204</v>
      </c>
    </row>
    <row r="16407" ht="39.75" customHeight="1">
      <c r="A16407" s="13" t="s">
        <v>7205</v>
      </c>
      <c r="B16407" s="10" t="s">
        <v>42</v>
      </c>
      <c r="C16407" s="10" t="s">
        <v>351</v>
      </c>
      <c r="D16407" s="10" t="s">
        <v>7206</v>
      </c>
      <c r="E16407" s="11"/>
      <c r="F16407" s="12">
        <f>ROUND(34.88*(1+G2/100),2)</f>
        <v>34.88</v>
      </c>
      <c r="G16407" s="11"/>
    </row>
    <row r="16408" ht="76.5" customHeight="1">
      <c r="A16408" s="11"/>
      <c r="B16408" s="11"/>
      <c r="C16408" s="11"/>
      <c r="D16408" s="10" t="s">
        <v>7207</v>
      </c>
    </row>
    <row r="16409" ht="39.75" customHeight="1">
      <c r="A16409" s="13" t="s">
        <v>7208</v>
      </c>
      <c r="B16409" s="10" t="s">
        <v>42</v>
      </c>
      <c r="C16409" s="10" t="s">
        <v>351</v>
      </c>
      <c r="D16409" s="10" t="s">
        <v>7209</v>
      </c>
      <c r="E16409" s="11"/>
      <c r="F16409" s="12">
        <f>ROUND(58.13*(1+G2/100),2)</f>
        <v>58.13</v>
      </c>
      <c r="G16409" s="11"/>
    </row>
    <row r="16410" ht="76.5" customHeight="1">
      <c r="A16410" s="11"/>
      <c r="B16410" s="11"/>
      <c r="C16410" s="11"/>
      <c r="D16410" s="10" t="s">
        <v>7210</v>
      </c>
    </row>
    <row r="16411" ht="39.75" customHeight="1">
      <c r="A16411" s="13" t="s">
        <v>3681</v>
      </c>
      <c r="B16411" s="10" t="s">
        <v>42</v>
      </c>
      <c r="C16411" s="10" t="s">
        <v>19</v>
      </c>
      <c r="D16411" s="10" t="s">
        <v>3682</v>
      </c>
      <c r="E16411" s="11"/>
      <c r="F16411" s="12">
        <f>ROUND(28.95*(1+G2/100),2)</f>
        <v>28.95</v>
      </c>
      <c r="G16411" s="11"/>
    </row>
    <row r="16412" ht="76.5" customHeight="1">
      <c r="A16412" s="11"/>
      <c r="B16412" s="11"/>
      <c r="C16412" s="11"/>
      <c r="D16412" s="10" t="s">
        <v>7211</v>
      </c>
    </row>
    <row r="16413" ht="30.0" customHeight="1">
      <c r="A16413" s="13" t="s">
        <v>7212</v>
      </c>
      <c r="B16413" s="10" t="s">
        <v>42</v>
      </c>
      <c r="C16413" s="10" t="s">
        <v>43</v>
      </c>
      <c r="D16413" s="10" t="s">
        <v>7213</v>
      </c>
      <c r="E16413" s="11"/>
      <c r="F16413" s="12">
        <f>ROUND(44.28*(1+G2/100),2)</f>
        <v>44.28</v>
      </c>
      <c r="G16413" s="11"/>
    </row>
    <row r="16414" ht="57.75" customHeight="1">
      <c r="A16414" s="11"/>
      <c r="B16414" s="11"/>
      <c r="C16414" s="11"/>
      <c r="D16414" s="10" t="s">
        <v>7214</v>
      </c>
    </row>
    <row r="16415" ht="30.0" customHeight="1">
      <c r="A16415" s="13" t="s">
        <v>4230</v>
      </c>
      <c r="B16415" s="10" t="s">
        <v>42</v>
      </c>
      <c r="C16415" s="10" t="s">
        <v>276</v>
      </c>
      <c r="D16415" s="10" t="s">
        <v>4231</v>
      </c>
      <c r="E16415" s="11"/>
      <c r="F16415" s="12">
        <f>ROUND(151.08*(1+G2/100),2)</f>
        <v>151.08</v>
      </c>
      <c r="G16415" s="11"/>
    </row>
    <row r="16416" ht="57.75" customHeight="1">
      <c r="A16416" s="11"/>
      <c r="B16416" s="11"/>
      <c r="C16416" s="11"/>
      <c r="D16416" s="10" t="s">
        <v>7215</v>
      </c>
    </row>
    <row r="16417" ht="48.75" customHeight="1">
      <c r="A16417" s="13" t="s">
        <v>4228</v>
      </c>
      <c r="B16417" s="10" t="s">
        <v>42</v>
      </c>
      <c r="C16417" s="10" t="s">
        <v>276</v>
      </c>
      <c r="D16417" s="10" t="s">
        <v>4229</v>
      </c>
      <c r="E16417" s="11"/>
      <c r="F16417" s="12">
        <f>ROUND(42.95*(1+G2/100),2)</f>
        <v>42.95</v>
      </c>
      <c r="G16417" s="11"/>
    </row>
    <row r="16418" ht="67.5" customHeight="1">
      <c r="A16418" s="11"/>
      <c r="B16418" s="11"/>
      <c r="C16418" s="11"/>
      <c r="D16418" s="10" t="s">
        <v>7216</v>
      </c>
    </row>
    <row r="16419" ht="39.75" customHeight="1">
      <c r="A16419" s="13" t="s">
        <v>7217</v>
      </c>
      <c r="B16419" s="10" t="s">
        <v>42</v>
      </c>
      <c r="C16419" s="10" t="s">
        <v>1881</v>
      </c>
      <c r="D16419" s="10" t="s">
        <v>7218</v>
      </c>
      <c r="E16419" s="11"/>
      <c r="F16419" s="12">
        <f>ROUND(17.95*(1+G2/100),2)</f>
        <v>17.95</v>
      </c>
      <c r="G16419" s="11"/>
    </row>
    <row r="16420" ht="39.75" customHeight="1">
      <c r="A16420" s="11"/>
      <c r="B16420" s="11"/>
      <c r="C16420" s="11"/>
      <c r="D16420" s="10" t="s">
        <v>7219</v>
      </c>
    </row>
    <row r="16421" ht="48.75" customHeight="1">
      <c r="A16421" s="13" t="s">
        <v>4244</v>
      </c>
      <c r="B16421" s="10" t="s">
        <v>42</v>
      </c>
      <c r="C16421" s="10" t="s">
        <v>226</v>
      </c>
      <c r="D16421" s="10" t="s">
        <v>4245</v>
      </c>
      <c r="E16421" s="11"/>
      <c r="F16421" s="12">
        <f>ROUND(52.5*(1+G2/100),2)</f>
        <v>52.5</v>
      </c>
      <c r="G16421" s="11"/>
    </row>
    <row r="16422" ht="205.5" customHeight="1">
      <c r="A16422" s="11"/>
      <c r="B16422" s="11"/>
      <c r="C16422" s="11"/>
      <c r="D16422" s="10" t="s">
        <v>7220</v>
      </c>
    </row>
    <row r="16423" ht="30.0" customHeight="1">
      <c r="A16423" s="13" t="s">
        <v>4051</v>
      </c>
      <c r="B16423" s="10" t="s">
        <v>42</v>
      </c>
      <c r="C16423" s="10" t="s">
        <v>276</v>
      </c>
      <c r="D16423" s="10" t="s">
        <v>4052</v>
      </c>
      <c r="E16423" s="11"/>
      <c r="F16423" s="12">
        <f>ROUND(63.95*(1+G2/100),2)</f>
        <v>63.95</v>
      </c>
      <c r="G16423" s="11"/>
    </row>
    <row r="16424" ht="243.0" customHeight="1">
      <c r="A16424" s="11"/>
      <c r="B16424" s="11"/>
      <c r="C16424" s="11"/>
      <c r="D16424" s="10" t="s">
        <v>7221</v>
      </c>
    </row>
    <row r="16425" ht="39.75" customHeight="1">
      <c r="A16425" s="13" t="s">
        <v>4206</v>
      </c>
      <c r="B16425" s="10" t="s">
        <v>42</v>
      </c>
      <c r="C16425" s="10" t="s">
        <v>1939</v>
      </c>
      <c r="D16425" s="10" t="s">
        <v>4207</v>
      </c>
      <c r="E16425" s="11"/>
      <c r="F16425" s="12">
        <f>ROUND(67.59*(1+G2/100),2)</f>
        <v>67.59</v>
      </c>
      <c r="G16425" s="11"/>
    </row>
    <row r="16426" ht="76.5" customHeight="1">
      <c r="A16426" s="11"/>
      <c r="B16426" s="11"/>
      <c r="C16426" s="11"/>
      <c r="D16426" s="10" t="s">
        <v>7222</v>
      </c>
    </row>
    <row r="16427" ht="39.75" customHeight="1">
      <c r="A16427" s="13" t="s">
        <v>4201</v>
      </c>
      <c r="B16427" s="10" t="s">
        <v>42</v>
      </c>
      <c r="C16427" s="10" t="s">
        <v>584</v>
      </c>
      <c r="D16427" s="10" t="s">
        <v>4202</v>
      </c>
      <c r="E16427" s="11"/>
      <c r="F16427" s="12">
        <f>ROUND(176.32*(1+G2/100),2)</f>
        <v>176.32</v>
      </c>
      <c r="G16427" s="11"/>
    </row>
    <row r="16428" ht="261.0" customHeight="1">
      <c r="A16428" s="11"/>
      <c r="B16428" s="11"/>
      <c r="C16428" s="11"/>
      <c r="D16428" s="10" t="s">
        <v>7223</v>
      </c>
    </row>
    <row r="16429" ht="30.0" customHeight="1">
      <c r="A16429" s="13" t="s">
        <v>7224</v>
      </c>
      <c r="B16429" s="10" t="s">
        <v>42</v>
      </c>
      <c r="C16429" s="10" t="s">
        <v>276</v>
      </c>
      <c r="D16429" s="10" t="s">
        <v>7225</v>
      </c>
      <c r="E16429" s="11"/>
      <c r="F16429" s="12">
        <f>ROUND(102.25*(1+G2/100),2)</f>
        <v>102.25</v>
      </c>
      <c r="G16429" s="11"/>
    </row>
    <row r="16430" ht="141.0" customHeight="1">
      <c r="A16430" s="11"/>
      <c r="B16430" s="11"/>
      <c r="C16430" s="11"/>
      <c r="D16430" s="10" t="s">
        <v>7226</v>
      </c>
    </row>
    <row r="16431" ht="39.75" customHeight="1">
      <c r="A16431" s="13" t="s">
        <v>4097</v>
      </c>
      <c r="B16431" s="10" t="s">
        <v>42</v>
      </c>
      <c r="C16431" s="10" t="s">
        <v>184</v>
      </c>
      <c r="D16431" s="10" t="s">
        <v>4098</v>
      </c>
      <c r="E16431" s="11"/>
      <c r="F16431" s="12">
        <f>ROUND(46.88*(1+G2/100),2)</f>
        <v>46.88</v>
      </c>
      <c r="G16431" s="11"/>
    </row>
    <row r="16432" ht="48.75" customHeight="1">
      <c r="A16432" s="11"/>
      <c r="B16432" s="11"/>
      <c r="C16432" s="11"/>
      <c r="D16432" s="10" t="s">
        <v>7227</v>
      </c>
    </row>
    <row r="16433" ht="48.75" customHeight="1">
      <c r="A16433" s="13" t="s">
        <v>4522</v>
      </c>
      <c r="B16433" s="10" t="s">
        <v>42</v>
      </c>
      <c r="C16433" s="10" t="s">
        <v>43</v>
      </c>
      <c r="D16433" s="10" t="s">
        <v>4523</v>
      </c>
      <c r="E16433" s="11"/>
      <c r="F16433" s="12">
        <f>ROUND(75.08*(1+G2/100),2)</f>
        <v>75.08</v>
      </c>
      <c r="G16433" s="11"/>
    </row>
    <row r="16434" ht="113.25" customHeight="1">
      <c r="A16434" s="11"/>
      <c r="B16434" s="11"/>
      <c r="C16434" s="11"/>
      <c r="D16434" s="10" t="s">
        <v>7228</v>
      </c>
    </row>
    <row r="16435" ht="48.75" customHeight="1">
      <c r="A16435" s="13" t="s">
        <v>4185</v>
      </c>
      <c r="B16435" s="10" t="s">
        <v>42</v>
      </c>
      <c r="C16435" s="10" t="s">
        <v>584</v>
      </c>
      <c r="D16435" s="10" t="s">
        <v>4186</v>
      </c>
      <c r="E16435" s="11"/>
      <c r="F16435" s="12">
        <f>ROUND(330.54*(1+G2/100),2)</f>
        <v>330.54</v>
      </c>
      <c r="G16435" s="11"/>
    </row>
    <row r="16436" ht="85.5" customHeight="1">
      <c r="A16436" s="11"/>
      <c r="B16436" s="11"/>
      <c r="C16436" s="11"/>
      <c r="D16436" s="10" t="s">
        <v>7229</v>
      </c>
    </row>
    <row r="16437" ht="30.0" customHeight="1">
      <c r="A16437" s="13" t="s">
        <v>4171</v>
      </c>
      <c r="B16437" s="10" t="s">
        <v>42</v>
      </c>
      <c r="C16437" s="10" t="s">
        <v>226</v>
      </c>
      <c r="D16437" s="10" t="s">
        <v>4172</v>
      </c>
      <c r="E16437" s="11"/>
      <c r="F16437" s="12">
        <f>ROUND(167.87*(1+G2/100),2)</f>
        <v>167.87</v>
      </c>
      <c r="G16437" s="11"/>
    </row>
    <row r="16438" ht="67.5" customHeight="1">
      <c r="A16438" s="11"/>
      <c r="B16438" s="11"/>
      <c r="C16438" s="11"/>
      <c r="D16438" s="10" t="s">
        <v>7230</v>
      </c>
    </row>
    <row r="16439" ht="24.75" customHeight="1">
      <c r="A16439" s="16"/>
      <c r="B16439" s="16"/>
      <c r="C16439" s="16"/>
      <c r="D16439" s="61" t="s">
        <v>7132</v>
      </c>
      <c r="E16439" s="62"/>
      <c r="F16439" s="62"/>
      <c r="G16439" s="62"/>
    </row>
    <row r="16440" ht="15.0" customHeight="1">
      <c r="A16440" s="34" t="s">
        <v>7231</v>
      </c>
      <c r="B16440" s="34" t="s">
        <v>10</v>
      </c>
      <c r="C16440" s="35"/>
      <c r="D16440" s="34" t="s">
        <v>7231</v>
      </c>
      <c r="E16440" s="35"/>
      <c r="F16440" s="35"/>
      <c r="G16440" s="35"/>
    </row>
    <row r="16441" ht="39.75" customHeight="1">
      <c r="A16441" s="13" t="s">
        <v>7232</v>
      </c>
      <c r="B16441" s="10" t="s">
        <v>42</v>
      </c>
      <c r="C16441" s="10" t="s">
        <v>276</v>
      </c>
      <c r="D16441" s="10" t="s">
        <v>7233</v>
      </c>
      <c r="E16441" s="11"/>
      <c r="F16441" s="12">
        <f>ROUND(80*(1+G2/100),2)</f>
        <v>80</v>
      </c>
      <c r="G16441" s="11"/>
    </row>
    <row r="16442" ht="48.75" customHeight="1">
      <c r="A16442" s="11"/>
      <c r="B16442" s="11"/>
      <c r="C16442" s="11"/>
      <c r="D16442" s="10" t="s">
        <v>7234</v>
      </c>
    </row>
    <row r="16443" ht="24.0" customHeight="1">
      <c r="A16443" s="13" t="s">
        <v>2437</v>
      </c>
      <c r="B16443" s="10" t="s">
        <v>42</v>
      </c>
      <c r="C16443" s="10" t="s">
        <v>43</v>
      </c>
      <c r="D16443" s="10" t="s">
        <v>2438</v>
      </c>
      <c r="E16443" s="11"/>
      <c r="F16443" s="12">
        <f>ROUND(35.3*(1+G2/100),2)</f>
        <v>35.3</v>
      </c>
      <c r="G16443" s="11"/>
    </row>
    <row r="16444" ht="30.0" customHeight="1">
      <c r="A16444" s="11"/>
      <c r="B16444" s="11"/>
      <c r="C16444" s="11"/>
      <c r="D16444" s="10" t="s">
        <v>7235</v>
      </c>
    </row>
    <row r="16445" ht="39.75" customHeight="1">
      <c r="A16445" s="13" t="s">
        <v>4297</v>
      </c>
      <c r="B16445" s="10" t="s">
        <v>42</v>
      </c>
      <c r="C16445" s="10" t="s">
        <v>1939</v>
      </c>
      <c r="D16445" s="10" t="s">
        <v>4298</v>
      </c>
      <c r="E16445" s="11"/>
      <c r="F16445" s="12">
        <f>ROUND(36.06*(1+G2/100),2)</f>
        <v>36.06</v>
      </c>
      <c r="G16445" s="11"/>
    </row>
    <row r="16446" ht="113.25" customHeight="1">
      <c r="A16446" s="11"/>
      <c r="B16446" s="11"/>
      <c r="C16446" s="11"/>
      <c r="D16446" s="10" t="s">
        <v>7236</v>
      </c>
    </row>
    <row r="16447" ht="30.0" customHeight="1">
      <c r="A16447" s="13" t="s">
        <v>1938</v>
      </c>
      <c r="B16447" s="10" t="s">
        <v>42</v>
      </c>
      <c r="C16447" s="10" t="s">
        <v>1939</v>
      </c>
      <c r="D16447" s="10" t="s">
        <v>1940</v>
      </c>
      <c r="E16447" s="11"/>
      <c r="F16447" s="12">
        <f>ROUND(29.17*(1+G2/100),2)</f>
        <v>29.17</v>
      </c>
      <c r="G16447" s="11"/>
    </row>
    <row r="16448" ht="132.0" customHeight="1">
      <c r="A16448" s="11"/>
      <c r="B16448" s="11"/>
      <c r="C16448" s="11"/>
      <c r="D16448" s="10" t="s">
        <v>7237</v>
      </c>
    </row>
    <row r="16449" ht="39.75" customHeight="1">
      <c r="A16449" s="13" t="s">
        <v>7238</v>
      </c>
      <c r="B16449" s="10" t="s">
        <v>42</v>
      </c>
      <c r="C16449" s="10" t="s">
        <v>43</v>
      </c>
      <c r="D16449" s="10" t="s">
        <v>7239</v>
      </c>
      <c r="E16449" s="11"/>
      <c r="F16449" s="12">
        <f>ROUND(42.19*(1+G2/100),2)</f>
        <v>42.19</v>
      </c>
      <c r="G16449" s="11"/>
    </row>
    <row r="16450" ht="104.25" customHeight="1">
      <c r="A16450" s="11"/>
      <c r="B16450" s="11"/>
      <c r="C16450" s="11"/>
      <c r="D16450" s="10" t="s">
        <v>7240</v>
      </c>
    </row>
    <row r="16451" ht="39.75" customHeight="1">
      <c r="A16451" s="13" t="s">
        <v>5274</v>
      </c>
      <c r="B16451" s="10" t="s">
        <v>42</v>
      </c>
      <c r="C16451" s="10" t="s">
        <v>43</v>
      </c>
      <c r="D16451" s="10" t="s">
        <v>5275</v>
      </c>
      <c r="E16451" s="11"/>
      <c r="F16451" s="12">
        <f>ROUND(46.14*(1+G2/100),2)</f>
        <v>46.14</v>
      </c>
      <c r="G16451" s="11"/>
    </row>
    <row r="16452" ht="67.5" customHeight="1">
      <c r="A16452" s="11"/>
      <c r="B16452" s="11"/>
      <c r="C16452" s="11"/>
      <c r="D16452" s="10" t="s">
        <v>7241</v>
      </c>
    </row>
    <row r="16453" ht="39.75" customHeight="1">
      <c r="A16453" s="13" t="s">
        <v>5034</v>
      </c>
      <c r="B16453" s="10" t="s">
        <v>42</v>
      </c>
      <c r="C16453" s="10" t="s">
        <v>276</v>
      </c>
      <c r="D16453" s="10" t="s">
        <v>5035</v>
      </c>
      <c r="E16453" s="11"/>
      <c r="F16453" s="12">
        <f>ROUND(138.04*(1+G2/100),2)</f>
        <v>138.04</v>
      </c>
      <c r="G16453" s="11"/>
    </row>
    <row r="16454" ht="159.75" customHeight="1">
      <c r="A16454" s="11"/>
      <c r="B16454" s="11"/>
      <c r="C16454" s="11"/>
      <c r="D16454" s="10" t="s">
        <v>7242</v>
      </c>
    </row>
    <row r="16455" ht="39.75" customHeight="1">
      <c r="A16455" s="13" t="s">
        <v>5697</v>
      </c>
      <c r="B16455" s="10" t="s">
        <v>42</v>
      </c>
      <c r="C16455" s="10" t="s">
        <v>43</v>
      </c>
      <c r="D16455" s="10" t="s">
        <v>5698</v>
      </c>
      <c r="E16455" s="11"/>
      <c r="F16455" s="12">
        <f>ROUND(33.52*(1+G2/100),2)</f>
        <v>33.52</v>
      </c>
      <c r="G16455" s="11"/>
    </row>
    <row r="16456" ht="159.75" customHeight="1">
      <c r="A16456" s="11"/>
      <c r="B16456" s="11"/>
      <c r="C16456" s="11"/>
      <c r="D16456" s="10" t="s">
        <v>7243</v>
      </c>
    </row>
    <row r="16457" ht="15.0" customHeight="1">
      <c r="A16457" s="16"/>
      <c r="B16457" s="16"/>
      <c r="C16457" s="16"/>
      <c r="D16457" s="61" t="s">
        <v>7231</v>
      </c>
      <c r="E16457" s="62"/>
      <c r="F16457" s="62"/>
      <c r="G16457" s="62"/>
    </row>
    <row r="16458" ht="15.0" customHeight="1">
      <c r="A16458" s="19" t="s">
        <v>7244</v>
      </c>
      <c r="B16458" s="20" t="s">
        <v>42</v>
      </c>
      <c r="C16458" s="20" t="s">
        <v>1181</v>
      </c>
      <c r="D16458" s="20" t="s">
        <v>7245</v>
      </c>
      <c r="E16458" s="21"/>
      <c r="F16458" s="22">
        <f>ROUND(0*(1+G2/100),2)</f>
        <v>0</v>
      </c>
      <c r="G16458" s="21"/>
    </row>
    <row r="16459" ht="141.0" customHeight="1">
      <c r="A16459" s="11"/>
      <c r="B16459" s="11"/>
      <c r="C16459" s="11"/>
      <c r="D16459" s="10" t="s">
        <v>7246</v>
      </c>
    </row>
    <row r="16460" ht="24.75" customHeight="1">
      <c r="A16460" s="40" t="s">
        <v>7247</v>
      </c>
      <c r="B16460" s="40" t="s">
        <v>10</v>
      </c>
      <c r="C16460" s="41"/>
      <c r="D16460" s="40" t="s">
        <v>7248</v>
      </c>
      <c r="E16460" s="41"/>
      <c r="F16460" s="41"/>
      <c r="G16460" s="41"/>
    </row>
    <row r="16461" ht="30.0" customHeight="1">
      <c r="A16461" s="13" t="s">
        <v>7249</v>
      </c>
      <c r="B16461" s="10" t="s">
        <v>42</v>
      </c>
      <c r="C16461" s="10" t="s">
        <v>344</v>
      </c>
      <c r="D16461" s="10" t="s">
        <v>7250</v>
      </c>
      <c r="E16461" s="11"/>
      <c r="F16461" s="12">
        <f>ROUND(17.02*(1+G2/100),2)</f>
        <v>17.02</v>
      </c>
      <c r="G16461" s="11"/>
    </row>
    <row r="16462" ht="12.0" customHeight="1">
      <c r="A16462" s="11"/>
      <c r="B16462" s="11"/>
      <c r="C16462" s="11"/>
      <c r="D16462" s="10" t="s">
        <v>7250</v>
      </c>
    </row>
    <row r="16463" ht="21.0" customHeight="1">
      <c r="A16463" s="13" t="s">
        <v>6193</v>
      </c>
      <c r="B16463" s="10" t="s">
        <v>42</v>
      </c>
      <c r="C16463" s="10" t="s">
        <v>231</v>
      </c>
      <c r="D16463" s="10" t="s">
        <v>6194</v>
      </c>
      <c r="E16463" s="11"/>
      <c r="F16463" s="12">
        <f>ROUND(76.03*(1+G2/100),2)</f>
        <v>76.03</v>
      </c>
      <c r="G16463" s="11"/>
    </row>
    <row r="16464" ht="21.0" customHeight="1">
      <c r="A16464" s="11"/>
      <c r="B16464" s="11"/>
      <c r="C16464" s="11"/>
      <c r="D16464" s="10" t="s">
        <v>7251</v>
      </c>
    </row>
    <row r="16465" ht="30.0" customHeight="1">
      <c r="A16465" s="13" t="s">
        <v>7252</v>
      </c>
      <c r="B16465" s="10" t="s">
        <v>42</v>
      </c>
      <c r="C16465" s="10" t="s">
        <v>1207</v>
      </c>
      <c r="D16465" s="10" t="s">
        <v>7253</v>
      </c>
      <c r="E16465" s="11"/>
      <c r="F16465" s="12">
        <f>ROUND(1.4*(1+G2/100),2)</f>
        <v>1.4</v>
      </c>
      <c r="G16465" s="11"/>
    </row>
    <row r="16466" ht="21.0" customHeight="1">
      <c r="A16466" s="11"/>
      <c r="B16466" s="11"/>
      <c r="C16466" s="11"/>
      <c r="D16466" s="10" t="s">
        <v>7253</v>
      </c>
    </row>
    <row r="16467" ht="30.0" customHeight="1">
      <c r="A16467" s="13" t="s">
        <v>7254</v>
      </c>
      <c r="B16467" s="10" t="s">
        <v>42</v>
      </c>
      <c r="C16467" s="10" t="s">
        <v>1207</v>
      </c>
      <c r="D16467" s="10" t="s">
        <v>7255</v>
      </c>
      <c r="E16467" s="11"/>
      <c r="F16467" s="12">
        <f>ROUND(1.3*(1+G2/100),2)</f>
        <v>1.3</v>
      </c>
      <c r="G16467" s="11"/>
    </row>
    <row r="16468" ht="21.0" customHeight="1">
      <c r="A16468" s="11"/>
      <c r="B16468" s="11"/>
      <c r="C16468" s="11"/>
      <c r="D16468" s="10" t="s">
        <v>7255</v>
      </c>
    </row>
    <row r="16469" ht="30.0" customHeight="1">
      <c r="A16469" s="13" t="s">
        <v>7256</v>
      </c>
      <c r="B16469" s="10" t="s">
        <v>42</v>
      </c>
      <c r="C16469" s="10" t="s">
        <v>1207</v>
      </c>
      <c r="D16469" s="10" t="s">
        <v>7257</v>
      </c>
      <c r="E16469" s="11"/>
      <c r="F16469" s="12">
        <f>ROUND(1.5*(1+G2/100),2)</f>
        <v>1.5</v>
      </c>
      <c r="G16469" s="11"/>
    </row>
    <row r="16470" ht="12.0" customHeight="1">
      <c r="A16470" s="11"/>
      <c r="B16470" s="11"/>
      <c r="C16470" s="11"/>
      <c r="D16470" s="10" t="s">
        <v>7257</v>
      </c>
    </row>
    <row r="16471" ht="30.0" customHeight="1">
      <c r="A16471" s="13" t="s">
        <v>7258</v>
      </c>
      <c r="B16471" s="10" t="s">
        <v>42</v>
      </c>
      <c r="C16471" s="10" t="s">
        <v>1207</v>
      </c>
      <c r="D16471" s="10" t="s">
        <v>7259</v>
      </c>
      <c r="E16471" s="11"/>
      <c r="F16471" s="12">
        <f>ROUND(1.5*(1+G2/100),2)</f>
        <v>1.5</v>
      </c>
      <c r="G16471" s="11"/>
    </row>
    <row r="16472" ht="12.0" customHeight="1">
      <c r="A16472" s="11"/>
      <c r="B16472" s="11"/>
      <c r="C16472" s="11"/>
      <c r="D16472" s="10" t="s">
        <v>7259</v>
      </c>
    </row>
    <row r="16473" ht="30.0" customHeight="1">
      <c r="A16473" s="13" t="s">
        <v>7260</v>
      </c>
      <c r="B16473" s="10" t="s">
        <v>42</v>
      </c>
      <c r="C16473" s="10" t="s">
        <v>1207</v>
      </c>
      <c r="D16473" s="10" t="s">
        <v>7261</v>
      </c>
      <c r="E16473" s="11"/>
      <c r="F16473" s="12">
        <f>ROUND(1.5*(1+G2/100),2)</f>
        <v>1.5</v>
      </c>
      <c r="G16473" s="11"/>
    </row>
    <row r="16474" ht="12.0" customHeight="1">
      <c r="A16474" s="11"/>
      <c r="B16474" s="11"/>
      <c r="C16474" s="11"/>
      <c r="D16474" s="10" t="s">
        <v>7261</v>
      </c>
    </row>
    <row r="16475" ht="30.0" customHeight="1">
      <c r="A16475" s="13" t="s">
        <v>7262</v>
      </c>
      <c r="B16475" s="10" t="s">
        <v>42</v>
      </c>
      <c r="C16475" s="10" t="s">
        <v>1207</v>
      </c>
      <c r="D16475" s="10" t="s">
        <v>7263</v>
      </c>
      <c r="E16475" s="11"/>
      <c r="F16475" s="12">
        <f>ROUND(1.5*(1+G2/100),2)</f>
        <v>1.5</v>
      </c>
      <c r="G16475" s="11"/>
    </row>
    <row r="16476" ht="12.0" customHeight="1">
      <c r="A16476" s="11"/>
      <c r="B16476" s="11"/>
      <c r="C16476" s="11"/>
      <c r="D16476" s="10" t="s">
        <v>7263</v>
      </c>
    </row>
    <row r="16477" ht="30.0" customHeight="1">
      <c r="A16477" s="13" t="s">
        <v>7264</v>
      </c>
      <c r="B16477" s="10" t="s">
        <v>42</v>
      </c>
      <c r="C16477" s="10" t="s">
        <v>1207</v>
      </c>
      <c r="D16477" s="10" t="s">
        <v>7265</v>
      </c>
      <c r="E16477" s="11"/>
      <c r="F16477" s="12">
        <f>ROUND(1.5*(1+G2/100),2)</f>
        <v>1.5</v>
      </c>
      <c r="G16477" s="11"/>
    </row>
    <row r="16478" ht="12.0" customHeight="1">
      <c r="A16478" s="11"/>
      <c r="B16478" s="11"/>
      <c r="C16478" s="11"/>
      <c r="D16478" s="10" t="s">
        <v>7265</v>
      </c>
    </row>
    <row r="16479" ht="30.0" customHeight="1">
      <c r="A16479" s="13" t="s">
        <v>7266</v>
      </c>
      <c r="B16479" s="10" t="s">
        <v>42</v>
      </c>
      <c r="C16479" s="10" t="s">
        <v>1207</v>
      </c>
      <c r="D16479" s="10" t="s">
        <v>7267</v>
      </c>
      <c r="E16479" s="11"/>
      <c r="F16479" s="12">
        <f>ROUND(1.6*(1+G2/100),2)</f>
        <v>1.6</v>
      </c>
      <c r="G16479" s="11"/>
    </row>
    <row r="16480" ht="12.0" customHeight="1">
      <c r="A16480" s="11"/>
      <c r="B16480" s="11"/>
      <c r="C16480" s="11"/>
      <c r="D16480" s="10" t="s">
        <v>7267</v>
      </c>
    </row>
    <row r="16481" ht="30.0" customHeight="1">
      <c r="A16481" s="13" t="s">
        <v>7268</v>
      </c>
      <c r="B16481" s="10" t="s">
        <v>42</v>
      </c>
      <c r="C16481" s="10" t="s">
        <v>231</v>
      </c>
      <c r="D16481" s="10" t="s">
        <v>7269</v>
      </c>
      <c r="E16481" s="11"/>
      <c r="F16481" s="12">
        <f>ROUND(3.55*(1+G2/100),2)</f>
        <v>3.55</v>
      </c>
      <c r="G16481" s="11"/>
    </row>
    <row r="16482" ht="21.0" customHeight="1">
      <c r="A16482" s="11"/>
      <c r="B16482" s="11"/>
      <c r="C16482" s="11"/>
      <c r="D16482" s="10" t="s">
        <v>7269</v>
      </c>
    </row>
    <row r="16483" ht="30.0" customHeight="1">
      <c r="A16483" s="13" t="s">
        <v>7270</v>
      </c>
      <c r="B16483" s="10" t="s">
        <v>42</v>
      </c>
      <c r="C16483" s="10" t="s">
        <v>231</v>
      </c>
      <c r="D16483" s="10" t="s">
        <v>7271</v>
      </c>
      <c r="E16483" s="11"/>
      <c r="F16483" s="12">
        <f>ROUND(11.2*(1+G2/100),2)</f>
        <v>11.2</v>
      </c>
      <c r="G16483" s="11"/>
    </row>
    <row r="16484" ht="21.0" customHeight="1">
      <c r="A16484" s="11"/>
      <c r="B16484" s="11"/>
      <c r="C16484" s="11"/>
      <c r="D16484" s="10" t="s">
        <v>7271</v>
      </c>
    </row>
    <row r="16485" ht="30.0" customHeight="1">
      <c r="A16485" s="13" t="s">
        <v>7272</v>
      </c>
      <c r="B16485" s="10" t="s">
        <v>42</v>
      </c>
      <c r="C16485" s="10" t="s">
        <v>231</v>
      </c>
      <c r="D16485" s="10" t="s">
        <v>7273</v>
      </c>
      <c r="E16485" s="11"/>
      <c r="F16485" s="12">
        <f>ROUND(13.44*(1+G2/100),2)</f>
        <v>13.44</v>
      </c>
      <c r="G16485" s="11"/>
    </row>
    <row r="16486" ht="21.0" customHeight="1">
      <c r="A16486" s="11"/>
      <c r="B16486" s="11"/>
      <c r="C16486" s="11"/>
      <c r="D16486" s="10" t="s">
        <v>7274</v>
      </c>
    </row>
    <row r="16487" ht="30.0" customHeight="1">
      <c r="A16487" s="13" t="s">
        <v>7275</v>
      </c>
      <c r="B16487" s="10" t="s">
        <v>42</v>
      </c>
      <c r="C16487" s="10" t="s">
        <v>231</v>
      </c>
      <c r="D16487" s="10" t="s">
        <v>7276</v>
      </c>
      <c r="E16487" s="11"/>
      <c r="F16487" s="12">
        <f>ROUND(15.4*(1+G2/100),2)</f>
        <v>15.4</v>
      </c>
      <c r="G16487" s="11"/>
    </row>
    <row r="16488" ht="21.0" customHeight="1">
      <c r="A16488" s="11"/>
      <c r="B16488" s="11"/>
      <c r="C16488" s="11"/>
      <c r="D16488" s="10" t="s">
        <v>7277</v>
      </c>
    </row>
    <row r="16489" ht="21.0" customHeight="1">
      <c r="A16489" s="13" t="s">
        <v>7278</v>
      </c>
      <c r="B16489" s="10" t="s">
        <v>42</v>
      </c>
      <c r="C16489" s="10" t="s">
        <v>351</v>
      </c>
      <c r="D16489" s="10" t="s">
        <v>7279</v>
      </c>
      <c r="E16489" s="11"/>
      <c r="F16489" s="12">
        <f>ROUND(5*(1+G2/100),2)</f>
        <v>5</v>
      </c>
      <c r="G16489" s="11"/>
    </row>
    <row r="16490" ht="12.0" customHeight="1">
      <c r="A16490" s="11"/>
      <c r="B16490" s="11"/>
      <c r="C16490" s="11"/>
      <c r="D16490" s="10" t="s">
        <v>7279</v>
      </c>
    </row>
    <row r="16491" ht="21.0" customHeight="1">
      <c r="A16491" s="13" t="s">
        <v>7280</v>
      </c>
      <c r="B16491" s="10" t="s">
        <v>42</v>
      </c>
      <c r="C16491" s="10" t="s">
        <v>344</v>
      </c>
      <c r="D16491" s="10" t="s">
        <v>7281</v>
      </c>
      <c r="E16491" s="11"/>
      <c r="F16491" s="12">
        <f>ROUND(8.66*(1+G2/100),2)</f>
        <v>8.66</v>
      </c>
      <c r="G16491" s="11"/>
    </row>
    <row r="16492" ht="12.0" customHeight="1">
      <c r="A16492" s="11"/>
      <c r="B16492" s="11"/>
      <c r="C16492" s="11"/>
      <c r="D16492" s="10" t="s">
        <v>7281</v>
      </c>
    </row>
    <row r="16493" ht="24.75" customHeight="1">
      <c r="A16493" s="13" t="s">
        <v>7282</v>
      </c>
      <c r="B16493" s="10" t="s">
        <v>42</v>
      </c>
      <c r="C16493" s="10" t="s">
        <v>344</v>
      </c>
      <c r="D16493" s="10" t="s">
        <v>7283</v>
      </c>
      <c r="E16493" s="11"/>
      <c r="F16493" s="12">
        <f>ROUND(5.35*(1+G2/100),2)</f>
        <v>5.35</v>
      </c>
      <c r="G16493" s="11"/>
    </row>
    <row r="16494" ht="12.0" customHeight="1">
      <c r="A16494" s="11"/>
      <c r="B16494" s="11"/>
      <c r="C16494" s="11"/>
      <c r="D16494" s="10" t="s">
        <v>7283</v>
      </c>
    </row>
    <row r="16495" ht="21.0" customHeight="1">
      <c r="A16495" s="13" t="s">
        <v>7284</v>
      </c>
      <c r="B16495" s="10" t="s">
        <v>42</v>
      </c>
      <c r="C16495" s="10" t="s">
        <v>344</v>
      </c>
      <c r="D16495" s="10" t="s">
        <v>7285</v>
      </c>
      <c r="E16495" s="11"/>
      <c r="F16495" s="12">
        <f>ROUND(5.35*(1+G2/100),2)</f>
        <v>5.35</v>
      </c>
      <c r="G16495" s="11"/>
    </row>
    <row r="16496" ht="12.0" customHeight="1">
      <c r="A16496" s="11"/>
      <c r="B16496" s="11"/>
      <c r="C16496" s="11"/>
      <c r="D16496" s="10" t="s">
        <v>7285</v>
      </c>
    </row>
    <row r="16497" ht="30.0" customHeight="1">
      <c r="A16497" s="13" t="s">
        <v>7286</v>
      </c>
      <c r="B16497" s="10" t="s">
        <v>42</v>
      </c>
      <c r="C16497" s="10" t="s">
        <v>1207</v>
      </c>
      <c r="D16497" s="10" t="s">
        <v>7287</v>
      </c>
      <c r="E16497" s="11"/>
      <c r="F16497" s="12">
        <f>ROUND(1.7*(1+G2/100),2)</f>
        <v>1.7</v>
      </c>
      <c r="G16497" s="11"/>
    </row>
    <row r="16498" ht="12.0" customHeight="1">
      <c r="A16498" s="11"/>
      <c r="B16498" s="11"/>
      <c r="C16498" s="11"/>
      <c r="D16498" s="10" t="s">
        <v>7287</v>
      </c>
    </row>
    <row r="16499" ht="39.75" customHeight="1">
      <c r="A16499" s="13" t="s">
        <v>7288</v>
      </c>
      <c r="B16499" s="10" t="s">
        <v>42</v>
      </c>
      <c r="C16499" s="10" t="s">
        <v>1207</v>
      </c>
      <c r="D16499" s="10" t="s">
        <v>7289</v>
      </c>
      <c r="E16499" s="11"/>
      <c r="F16499" s="12">
        <f>ROUND(1.82*(1+G2/100),2)</f>
        <v>1.82</v>
      </c>
      <c r="G16499" s="11"/>
    </row>
    <row r="16500" ht="21.0" customHeight="1">
      <c r="A16500" s="11"/>
      <c r="B16500" s="11"/>
      <c r="C16500" s="11"/>
      <c r="D16500" s="10" t="s">
        <v>7290</v>
      </c>
    </row>
    <row r="16501" ht="30.0" customHeight="1">
      <c r="A16501" s="13" t="s">
        <v>7291</v>
      </c>
      <c r="B16501" s="10" t="s">
        <v>42</v>
      </c>
      <c r="C16501" s="10" t="s">
        <v>231</v>
      </c>
      <c r="D16501" s="10" t="s">
        <v>7292</v>
      </c>
      <c r="E16501" s="11"/>
      <c r="F16501" s="12">
        <f>ROUND(18.8*(1+G2/100),2)</f>
        <v>18.8</v>
      </c>
      <c r="G16501" s="11"/>
    </row>
    <row r="16502" ht="21.0" customHeight="1">
      <c r="A16502" s="11"/>
      <c r="B16502" s="11"/>
      <c r="C16502" s="11"/>
      <c r="D16502" s="10" t="s">
        <v>7292</v>
      </c>
    </row>
    <row r="16503" ht="39.75" customHeight="1">
      <c r="A16503" s="13" t="s">
        <v>7293</v>
      </c>
      <c r="B16503" s="10" t="s">
        <v>42</v>
      </c>
      <c r="C16503" s="10" t="s">
        <v>1881</v>
      </c>
      <c r="D16503" s="10" t="s">
        <v>7294</v>
      </c>
      <c r="E16503" s="11"/>
      <c r="F16503" s="12">
        <f>ROUND(172.8*(1+G2/100),2)</f>
        <v>172.8</v>
      </c>
      <c r="G16503" s="11"/>
    </row>
    <row r="16504" ht="21.0" customHeight="1">
      <c r="A16504" s="11"/>
      <c r="B16504" s="11"/>
      <c r="C16504" s="11"/>
      <c r="D16504" s="10" t="s">
        <v>7294</v>
      </c>
    </row>
    <row r="16505" ht="30.0" customHeight="1">
      <c r="A16505" s="13" t="s">
        <v>6214</v>
      </c>
      <c r="B16505" s="10" t="s">
        <v>42</v>
      </c>
      <c r="C16505" s="10" t="s">
        <v>231</v>
      </c>
      <c r="D16505" s="10" t="s">
        <v>6215</v>
      </c>
      <c r="E16505" s="11"/>
      <c r="F16505" s="12">
        <f>ROUND(14.4*(1+G2/100),2)</f>
        <v>14.4</v>
      </c>
      <c r="G16505" s="11"/>
    </row>
    <row r="16506" ht="21.0" customHeight="1">
      <c r="A16506" s="11"/>
      <c r="B16506" s="11"/>
      <c r="C16506" s="11"/>
      <c r="D16506" s="10" t="s">
        <v>7295</v>
      </c>
    </row>
    <row r="16507" ht="30.0" customHeight="1">
      <c r="A16507" s="13" t="s">
        <v>7296</v>
      </c>
      <c r="B16507" s="10" t="s">
        <v>42</v>
      </c>
      <c r="C16507" s="10" t="s">
        <v>231</v>
      </c>
      <c r="D16507" s="10" t="s">
        <v>7297</v>
      </c>
      <c r="E16507" s="11"/>
      <c r="F16507" s="12">
        <f>ROUND(5.4*(1+G2/100),2)</f>
        <v>5.4</v>
      </c>
      <c r="G16507" s="11"/>
    </row>
    <row r="16508" ht="21.0" customHeight="1">
      <c r="A16508" s="11"/>
      <c r="B16508" s="11"/>
      <c r="C16508" s="11"/>
      <c r="D16508" s="10" t="s">
        <v>7298</v>
      </c>
    </row>
    <row r="16509" ht="30.0" customHeight="1">
      <c r="A16509" s="13" t="s">
        <v>7299</v>
      </c>
      <c r="B16509" s="10" t="s">
        <v>42</v>
      </c>
      <c r="C16509" s="10" t="s">
        <v>231</v>
      </c>
      <c r="D16509" s="10" t="s">
        <v>7300</v>
      </c>
      <c r="E16509" s="11"/>
      <c r="F16509" s="12">
        <f>ROUND(15*(1+G2/100),2)</f>
        <v>15</v>
      </c>
      <c r="G16509" s="11"/>
    </row>
    <row r="16510" ht="21.0" customHeight="1">
      <c r="A16510" s="11"/>
      <c r="B16510" s="11"/>
      <c r="C16510" s="11"/>
      <c r="D16510" s="10" t="s">
        <v>7300</v>
      </c>
    </row>
    <row r="16511" ht="30.0" customHeight="1">
      <c r="A16511" s="13" t="s">
        <v>7301</v>
      </c>
      <c r="B16511" s="10" t="s">
        <v>42</v>
      </c>
      <c r="C16511" s="10" t="s">
        <v>231</v>
      </c>
      <c r="D16511" s="10" t="s">
        <v>7302</v>
      </c>
      <c r="E16511" s="11"/>
      <c r="F16511" s="12">
        <f>ROUND(18*(1+G2/100),2)</f>
        <v>18</v>
      </c>
      <c r="G16511" s="11"/>
    </row>
    <row r="16512" ht="21.0" customHeight="1">
      <c r="A16512" s="11"/>
      <c r="B16512" s="11"/>
      <c r="C16512" s="11"/>
      <c r="D16512" s="10" t="s">
        <v>7302</v>
      </c>
    </row>
    <row r="16513" ht="30.0" customHeight="1">
      <c r="A16513" s="13" t="s">
        <v>7303</v>
      </c>
      <c r="B16513" s="10" t="s">
        <v>42</v>
      </c>
      <c r="C16513" s="10" t="s">
        <v>231</v>
      </c>
      <c r="D16513" s="10" t="s">
        <v>7304</v>
      </c>
      <c r="E16513" s="11"/>
      <c r="F16513" s="12">
        <f>ROUND(17.28*(1+G2/100),2)</f>
        <v>17.28</v>
      </c>
      <c r="G16513" s="11"/>
    </row>
    <row r="16514" ht="21.0" customHeight="1">
      <c r="A16514" s="11"/>
      <c r="B16514" s="11"/>
      <c r="C16514" s="11"/>
      <c r="D16514" s="10" t="s">
        <v>7304</v>
      </c>
    </row>
    <row r="16515" ht="30.0" customHeight="1">
      <c r="A16515" s="13" t="s">
        <v>7305</v>
      </c>
      <c r="B16515" s="10" t="s">
        <v>42</v>
      </c>
      <c r="C16515" s="10" t="s">
        <v>231</v>
      </c>
      <c r="D16515" s="10" t="s">
        <v>7306</v>
      </c>
      <c r="E16515" s="11"/>
      <c r="F16515" s="12">
        <f>ROUND(25.92*(1+G2/100),2)</f>
        <v>25.92</v>
      </c>
      <c r="G16515" s="11"/>
    </row>
    <row r="16516" ht="30.0" customHeight="1">
      <c r="A16516" s="11"/>
      <c r="B16516" s="11"/>
      <c r="C16516" s="11"/>
      <c r="D16516" s="10" t="s">
        <v>7307</v>
      </c>
    </row>
    <row r="16517" ht="30.0" customHeight="1">
      <c r="A16517" s="13" t="s">
        <v>7308</v>
      </c>
      <c r="B16517" s="10" t="s">
        <v>42</v>
      </c>
      <c r="C16517" s="10" t="s">
        <v>231</v>
      </c>
      <c r="D16517" s="10" t="s">
        <v>7309</v>
      </c>
      <c r="E16517" s="11"/>
      <c r="F16517" s="12">
        <f>ROUND(16.8*(1+G2/100),2)</f>
        <v>16.8</v>
      </c>
      <c r="G16517" s="11"/>
    </row>
    <row r="16518" ht="21.0" customHeight="1">
      <c r="A16518" s="11"/>
      <c r="B16518" s="11"/>
      <c r="C16518" s="11"/>
      <c r="D16518" s="10" t="s">
        <v>7310</v>
      </c>
    </row>
    <row r="16519" ht="39.75" customHeight="1">
      <c r="A16519" s="13" t="s">
        <v>7311</v>
      </c>
      <c r="B16519" s="10" t="s">
        <v>42</v>
      </c>
      <c r="C16519" s="10" t="s">
        <v>231</v>
      </c>
      <c r="D16519" s="10" t="s">
        <v>7312</v>
      </c>
      <c r="E16519" s="11"/>
      <c r="F16519" s="12">
        <f>ROUND(50*(1+G2/100),2)</f>
        <v>50</v>
      </c>
      <c r="G16519" s="11"/>
    </row>
    <row r="16520" ht="21.0" customHeight="1">
      <c r="A16520" s="11"/>
      <c r="B16520" s="11"/>
      <c r="C16520" s="11"/>
      <c r="D16520" s="10" t="s">
        <v>7312</v>
      </c>
    </row>
    <row r="16521" ht="30.0" customHeight="1">
      <c r="A16521" s="13" t="s">
        <v>2488</v>
      </c>
      <c r="B16521" s="10" t="s">
        <v>42</v>
      </c>
      <c r="C16521" s="10" t="s">
        <v>351</v>
      </c>
      <c r="D16521" s="10" t="s">
        <v>2489</v>
      </c>
      <c r="E16521" s="11"/>
      <c r="F16521" s="12">
        <f>ROUND(6.92*(1+G2/100),2)</f>
        <v>6.92</v>
      </c>
      <c r="G16521" s="11"/>
    </row>
    <row r="16522" ht="21.0" customHeight="1">
      <c r="A16522" s="11"/>
      <c r="B16522" s="11"/>
      <c r="C16522" s="11"/>
      <c r="D16522" s="10" t="s">
        <v>2489</v>
      </c>
    </row>
    <row r="16523" ht="30.0" customHeight="1">
      <c r="A16523" s="13" t="s">
        <v>7313</v>
      </c>
      <c r="B16523" s="10" t="s">
        <v>42</v>
      </c>
      <c r="C16523" s="10" t="s">
        <v>344</v>
      </c>
      <c r="D16523" s="10" t="s">
        <v>7314</v>
      </c>
      <c r="E16523" s="11"/>
      <c r="F16523" s="12">
        <f>ROUND(74.83*(1+G2/100),2)</f>
        <v>74.83</v>
      </c>
      <c r="G16523" s="11"/>
    </row>
    <row r="16524" ht="12.0" customHeight="1">
      <c r="A16524" s="11"/>
      <c r="B16524" s="11"/>
      <c r="C16524" s="11"/>
      <c r="D16524" s="10" t="s">
        <v>7314</v>
      </c>
    </row>
    <row r="16525" ht="30.0" customHeight="1">
      <c r="A16525" s="13" t="s">
        <v>1371</v>
      </c>
      <c r="B16525" s="10" t="s">
        <v>42</v>
      </c>
      <c r="C16525" s="10" t="s">
        <v>1207</v>
      </c>
      <c r="D16525" s="10" t="s">
        <v>1372</v>
      </c>
      <c r="E16525" s="11"/>
      <c r="F16525" s="12">
        <f>ROUND(1.7*(1+G2/100),2)</f>
        <v>1.7</v>
      </c>
      <c r="G16525" s="11"/>
    </row>
    <row r="16526" ht="21.0" customHeight="1">
      <c r="A16526" s="11"/>
      <c r="B16526" s="11"/>
      <c r="C16526" s="11"/>
      <c r="D16526" s="10" t="s">
        <v>7315</v>
      </c>
    </row>
    <row r="16527" ht="30.0" customHeight="1">
      <c r="A16527" s="13" t="s">
        <v>7316</v>
      </c>
      <c r="B16527" s="10" t="s">
        <v>42</v>
      </c>
      <c r="C16527" s="10" t="s">
        <v>1207</v>
      </c>
      <c r="D16527" s="10" t="s">
        <v>7317</v>
      </c>
      <c r="E16527" s="11"/>
      <c r="F16527" s="12">
        <f>ROUND(1.7*(1+G2/100),2)</f>
        <v>1.7</v>
      </c>
      <c r="G16527" s="11"/>
    </row>
    <row r="16528" ht="21.0" customHeight="1">
      <c r="A16528" s="11"/>
      <c r="B16528" s="11"/>
      <c r="C16528" s="11"/>
      <c r="D16528" s="10" t="s">
        <v>7318</v>
      </c>
    </row>
    <row r="16529" ht="30.0" customHeight="1">
      <c r="A16529" s="13" t="s">
        <v>7319</v>
      </c>
      <c r="B16529" s="10" t="s">
        <v>42</v>
      </c>
      <c r="C16529" s="10" t="s">
        <v>1207</v>
      </c>
      <c r="D16529" s="10" t="s">
        <v>7320</v>
      </c>
      <c r="E16529" s="11"/>
      <c r="F16529" s="12">
        <f>ROUND(1.71*(1+G2/100),2)</f>
        <v>1.71</v>
      </c>
      <c r="G16529" s="11"/>
    </row>
    <row r="16530" ht="12.0" customHeight="1">
      <c r="A16530" s="11"/>
      <c r="B16530" s="11"/>
      <c r="C16530" s="11"/>
      <c r="D16530" s="10" t="s">
        <v>7320</v>
      </c>
    </row>
    <row r="16531" ht="30.0" customHeight="1">
      <c r="A16531" s="13" t="s">
        <v>7321</v>
      </c>
      <c r="B16531" s="10" t="s">
        <v>42</v>
      </c>
      <c r="C16531" s="10" t="s">
        <v>351</v>
      </c>
      <c r="D16531" s="10" t="s">
        <v>7322</v>
      </c>
      <c r="E16531" s="11"/>
      <c r="F16531" s="12">
        <f>ROUND(3.64*(1+G2/100),2)</f>
        <v>3.64</v>
      </c>
      <c r="G16531" s="11"/>
    </row>
    <row r="16532" ht="21.0" customHeight="1">
      <c r="A16532" s="11"/>
      <c r="B16532" s="11"/>
      <c r="C16532" s="11"/>
      <c r="D16532" s="10" t="s">
        <v>7322</v>
      </c>
    </row>
    <row r="16533" ht="21.0" customHeight="1">
      <c r="A16533" s="13" t="s">
        <v>7323</v>
      </c>
      <c r="B16533" s="10" t="s">
        <v>42</v>
      </c>
      <c r="C16533" s="10" t="s">
        <v>344</v>
      </c>
      <c r="D16533" s="10" t="s">
        <v>7324</v>
      </c>
      <c r="E16533" s="11"/>
      <c r="F16533" s="12">
        <f>ROUND(3.71*(1+G2/100),2)</f>
        <v>3.71</v>
      </c>
      <c r="G16533" s="11"/>
    </row>
    <row r="16534" ht="67.5" customHeight="1">
      <c r="A16534" s="11"/>
      <c r="B16534" s="11"/>
      <c r="C16534" s="11"/>
      <c r="D16534" s="10" t="s">
        <v>7325</v>
      </c>
    </row>
    <row r="16535" ht="21.0" customHeight="1">
      <c r="A16535" s="13" t="s">
        <v>7326</v>
      </c>
      <c r="B16535" s="10" t="s">
        <v>42</v>
      </c>
      <c r="C16535" s="10" t="s">
        <v>344</v>
      </c>
      <c r="D16535" s="10" t="s">
        <v>7327</v>
      </c>
      <c r="E16535" s="11"/>
      <c r="F16535" s="12">
        <f>ROUND(4.12*(1+G2/100),2)</f>
        <v>4.12</v>
      </c>
      <c r="G16535" s="11"/>
    </row>
    <row r="16536" ht="67.5" customHeight="1">
      <c r="A16536" s="11"/>
      <c r="B16536" s="11"/>
      <c r="C16536" s="11"/>
      <c r="D16536" s="10" t="s">
        <v>7328</v>
      </c>
    </row>
    <row r="16537" ht="30.0" customHeight="1">
      <c r="A16537" s="13" t="s">
        <v>7329</v>
      </c>
      <c r="B16537" s="10" t="s">
        <v>42</v>
      </c>
      <c r="C16537" s="10" t="s">
        <v>226</v>
      </c>
      <c r="D16537" s="10" t="s">
        <v>7330</v>
      </c>
      <c r="E16537" s="11"/>
      <c r="F16537" s="12">
        <f>ROUND(19.47*(1+G2/100),2)</f>
        <v>19.47</v>
      </c>
      <c r="G16537" s="11"/>
    </row>
    <row r="16538" ht="21.0" customHeight="1">
      <c r="A16538" s="11"/>
      <c r="B16538" s="11"/>
      <c r="C16538" s="11"/>
      <c r="D16538" s="10" t="s">
        <v>7331</v>
      </c>
    </row>
    <row r="16539" ht="39.75" customHeight="1">
      <c r="A16539" s="13" t="s">
        <v>1380</v>
      </c>
      <c r="B16539" s="10" t="s">
        <v>42</v>
      </c>
      <c r="C16539" s="10" t="s">
        <v>344</v>
      </c>
      <c r="D16539" s="10" t="s">
        <v>1381</v>
      </c>
      <c r="E16539" s="11"/>
      <c r="F16539" s="12">
        <f>ROUND(20.13*(1+G2/100),2)</f>
        <v>20.13</v>
      </c>
      <c r="G16539" s="11"/>
    </row>
    <row r="16540" ht="48.75" customHeight="1">
      <c r="A16540" s="11"/>
      <c r="B16540" s="11"/>
      <c r="C16540" s="11"/>
      <c r="D16540" s="10" t="s">
        <v>7332</v>
      </c>
    </row>
    <row r="16541" ht="30.0" customHeight="1">
      <c r="A16541" s="13" t="s">
        <v>2451</v>
      </c>
      <c r="B16541" s="10" t="s">
        <v>42</v>
      </c>
      <c r="C16541" s="10" t="s">
        <v>344</v>
      </c>
      <c r="D16541" s="10" t="s">
        <v>2452</v>
      </c>
      <c r="E16541" s="11"/>
      <c r="F16541" s="12">
        <f>ROUND(10.75*(1+G2/100),2)</f>
        <v>10.75</v>
      </c>
      <c r="G16541" s="11"/>
    </row>
    <row r="16542" ht="21.0" customHeight="1">
      <c r="A16542" s="11"/>
      <c r="B16542" s="11"/>
      <c r="C16542" s="11"/>
      <c r="D16542" s="10" t="s">
        <v>7333</v>
      </c>
    </row>
    <row r="16543" ht="39.75" customHeight="1">
      <c r="A16543" s="13" t="s">
        <v>3075</v>
      </c>
      <c r="B16543" s="10" t="s">
        <v>42</v>
      </c>
      <c r="C16543" s="10" t="s">
        <v>344</v>
      </c>
      <c r="D16543" s="10" t="s">
        <v>3076</v>
      </c>
      <c r="E16543" s="11"/>
      <c r="F16543" s="12">
        <f>ROUND(21.49*(1+G2/100),2)</f>
        <v>21.49</v>
      </c>
      <c r="G16543" s="11"/>
    </row>
    <row r="16544" ht="30.0" customHeight="1">
      <c r="A16544" s="11"/>
      <c r="B16544" s="11"/>
      <c r="C16544" s="11"/>
      <c r="D16544" s="10" t="s">
        <v>7334</v>
      </c>
    </row>
    <row r="16545" ht="30.0" customHeight="1">
      <c r="A16545" s="13" t="s">
        <v>7335</v>
      </c>
      <c r="B16545" s="10" t="s">
        <v>42</v>
      </c>
      <c r="C16545" s="10" t="s">
        <v>344</v>
      </c>
      <c r="D16545" s="10" t="s">
        <v>7336</v>
      </c>
      <c r="E16545" s="11"/>
      <c r="F16545" s="12">
        <f>ROUND(9.06*(1+G2/100),2)</f>
        <v>9.06</v>
      </c>
      <c r="G16545" s="11"/>
    </row>
    <row r="16546" ht="12.0" customHeight="1">
      <c r="A16546" s="11"/>
      <c r="B16546" s="11"/>
      <c r="C16546" s="11"/>
      <c r="D16546" s="10" t="s">
        <v>7336</v>
      </c>
    </row>
    <row r="16547" ht="30.0" customHeight="1">
      <c r="A16547" s="13" t="s">
        <v>2470</v>
      </c>
      <c r="B16547" s="10" t="s">
        <v>42</v>
      </c>
      <c r="C16547" s="10" t="s">
        <v>344</v>
      </c>
      <c r="D16547" s="10" t="s">
        <v>2471</v>
      </c>
      <c r="E16547" s="11"/>
      <c r="F16547" s="12">
        <f>ROUND(11.04*(1+G2/100),2)</f>
        <v>11.04</v>
      </c>
      <c r="G16547" s="11"/>
    </row>
    <row r="16548" ht="12.0" customHeight="1">
      <c r="A16548" s="11"/>
      <c r="B16548" s="11"/>
      <c r="C16548" s="11"/>
      <c r="D16548" s="10" t="s">
        <v>2471</v>
      </c>
    </row>
    <row r="16549" ht="21.0" customHeight="1">
      <c r="A16549" s="13" t="s">
        <v>1239</v>
      </c>
      <c r="B16549" s="10" t="s">
        <v>42</v>
      </c>
      <c r="C16549" s="10" t="s">
        <v>344</v>
      </c>
      <c r="D16549" s="10" t="s">
        <v>1240</v>
      </c>
      <c r="E16549" s="11"/>
      <c r="F16549" s="12">
        <f>ROUND(3.54*(1+G2/100),2)</f>
        <v>3.54</v>
      </c>
      <c r="G16549" s="11"/>
    </row>
    <row r="16550" ht="21.0" customHeight="1">
      <c r="A16550" s="11"/>
      <c r="B16550" s="11"/>
      <c r="C16550" s="11"/>
      <c r="D16550" s="10" t="s">
        <v>7337</v>
      </c>
    </row>
    <row r="16551" ht="21.0" customHeight="1">
      <c r="A16551" s="13" t="s">
        <v>1376</v>
      </c>
      <c r="B16551" s="10" t="s">
        <v>42</v>
      </c>
      <c r="C16551" s="10" t="s">
        <v>344</v>
      </c>
      <c r="D16551" s="10" t="s">
        <v>1377</v>
      </c>
      <c r="E16551" s="11"/>
      <c r="F16551" s="12">
        <f>ROUND(4.98*(1+G2/100),2)</f>
        <v>4.98</v>
      </c>
      <c r="G16551" s="11"/>
    </row>
    <row r="16552" ht="21.0" customHeight="1">
      <c r="A16552" s="11"/>
      <c r="B16552" s="11"/>
      <c r="C16552" s="11"/>
      <c r="D16552" s="10" t="s">
        <v>7338</v>
      </c>
    </row>
    <row r="16553" ht="21.0" customHeight="1">
      <c r="A16553" s="13" t="s">
        <v>7339</v>
      </c>
      <c r="B16553" s="10" t="s">
        <v>42</v>
      </c>
      <c r="C16553" s="10" t="s">
        <v>344</v>
      </c>
      <c r="D16553" s="10" t="s">
        <v>7340</v>
      </c>
      <c r="E16553" s="11"/>
      <c r="F16553" s="12">
        <f>ROUND(8.97*(1+G2/100),2)</f>
        <v>8.97</v>
      </c>
      <c r="G16553" s="11"/>
    </row>
    <row r="16554" ht="21.0" customHeight="1">
      <c r="A16554" s="11"/>
      <c r="B16554" s="11"/>
      <c r="C16554" s="11"/>
      <c r="D16554" s="10" t="s">
        <v>7341</v>
      </c>
    </row>
    <row r="16555" ht="21.0" customHeight="1">
      <c r="A16555" s="13" t="s">
        <v>7342</v>
      </c>
      <c r="B16555" s="10" t="s">
        <v>42</v>
      </c>
      <c r="C16555" s="10" t="s">
        <v>344</v>
      </c>
      <c r="D16555" s="10" t="s">
        <v>7343</v>
      </c>
      <c r="E16555" s="11"/>
      <c r="F16555" s="12">
        <f>ROUND(1.35*(1+G2/100),2)</f>
        <v>1.35</v>
      </c>
      <c r="G16555" s="11"/>
    </row>
    <row r="16556" ht="21.0" customHeight="1">
      <c r="A16556" s="11"/>
      <c r="B16556" s="11"/>
      <c r="C16556" s="11"/>
      <c r="D16556" s="10" t="s">
        <v>7344</v>
      </c>
    </row>
    <row r="16557" ht="21.0" customHeight="1">
      <c r="A16557" s="13" t="s">
        <v>7345</v>
      </c>
      <c r="B16557" s="10" t="s">
        <v>42</v>
      </c>
      <c r="C16557" s="10" t="s">
        <v>344</v>
      </c>
      <c r="D16557" s="10" t="s">
        <v>7346</v>
      </c>
      <c r="E16557" s="11"/>
      <c r="F16557" s="12">
        <f>ROUND(2.33*(1+G2/100),2)</f>
        <v>2.33</v>
      </c>
      <c r="G16557" s="11"/>
    </row>
    <row r="16558" ht="21.0" customHeight="1">
      <c r="A16558" s="11"/>
      <c r="B16558" s="11"/>
      <c r="C16558" s="11"/>
      <c r="D16558" s="10" t="s">
        <v>7347</v>
      </c>
    </row>
    <row r="16559" ht="30.0" customHeight="1">
      <c r="A16559" s="13" t="s">
        <v>7348</v>
      </c>
      <c r="B16559" s="10" t="s">
        <v>42</v>
      </c>
      <c r="C16559" s="10" t="s">
        <v>344</v>
      </c>
      <c r="D16559" s="10" t="s">
        <v>7349</v>
      </c>
      <c r="E16559" s="11"/>
      <c r="F16559" s="12">
        <f>ROUND(5.56*(1+G2/100),2)</f>
        <v>5.56</v>
      </c>
      <c r="G16559" s="11"/>
    </row>
    <row r="16560" ht="12.0" customHeight="1">
      <c r="A16560" s="11"/>
      <c r="B16560" s="11"/>
      <c r="C16560" s="11"/>
      <c r="D16560" s="10" t="s">
        <v>7349</v>
      </c>
    </row>
    <row r="16561" ht="30.0" customHeight="1">
      <c r="A16561" s="13" t="s">
        <v>7350</v>
      </c>
      <c r="B16561" s="10" t="s">
        <v>42</v>
      </c>
      <c r="C16561" s="10" t="s">
        <v>344</v>
      </c>
      <c r="D16561" s="10" t="s">
        <v>7351</v>
      </c>
      <c r="E16561" s="11"/>
      <c r="F16561" s="12">
        <f>ROUND(6.4*(1+G2/100),2)</f>
        <v>6.4</v>
      </c>
      <c r="G16561" s="11"/>
    </row>
    <row r="16562" ht="12.0" customHeight="1">
      <c r="A16562" s="11"/>
      <c r="B16562" s="11"/>
      <c r="C16562" s="11"/>
      <c r="D16562" s="10" t="s">
        <v>7351</v>
      </c>
    </row>
    <row r="16563" ht="30.0" customHeight="1">
      <c r="A16563" s="13" t="s">
        <v>2486</v>
      </c>
      <c r="B16563" s="10" t="s">
        <v>42</v>
      </c>
      <c r="C16563" s="10" t="s">
        <v>344</v>
      </c>
      <c r="D16563" s="10" t="s">
        <v>2487</v>
      </c>
      <c r="E16563" s="11"/>
      <c r="F16563" s="12">
        <f>ROUND(11.67*(1+G2/100),2)</f>
        <v>11.67</v>
      </c>
      <c r="G16563" s="11"/>
    </row>
    <row r="16564" ht="12.0" customHeight="1">
      <c r="A16564" s="11"/>
      <c r="B16564" s="11"/>
      <c r="C16564" s="11"/>
      <c r="D16564" s="10" t="s">
        <v>2487</v>
      </c>
    </row>
    <row r="16565" ht="30.0" customHeight="1">
      <c r="A16565" s="13" t="s">
        <v>7352</v>
      </c>
      <c r="B16565" s="10" t="s">
        <v>42</v>
      </c>
      <c r="C16565" s="10" t="s">
        <v>344</v>
      </c>
      <c r="D16565" s="10" t="s">
        <v>7353</v>
      </c>
      <c r="E16565" s="11"/>
      <c r="F16565" s="12">
        <f>ROUND(7.69*(1+G2/100),2)</f>
        <v>7.69</v>
      </c>
      <c r="G16565" s="11"/>
    </row>
    <row r="16566" ht="12.0" customHeight="1">
      <c r="A16566" s="11"/>
      <c r="B16566" s="11"/>
      <c r="C16566" s="11"/>
      <c r="D16566" s="10" t="s">
        <v>7353</v>
      </c>
    </row>
    <row r="16567" ht="30.0" customHeight="1">
      <c r="A16567" s="13" t="s">
        <v>7354</v>
      </c>
      <c r="B16567" s="10" t="s">
        <v>42</v>
      </c>
      <c r="C16567" s="10" t="s">
        <v>344</v>
      </c>
      <c r="D16567" s="10" t="s">
        <v>7355</v>
      </c>
      <c r="E16567" s="11"/>
      <c r="F16567" s="12">
        <f>ROUND(9.75*(1+G2/100),2)</f>
        <v>9.75</v>
      </c>
      <c r="G16567" s="11"/>
    </row>
    <row r="16568" ht="12.0" customHeight="1">
      <c r="A16568" s="11"/>
      <c r="B16568" s="11"/>
      <c r="C16568" s="11"/>
      <c r="D16568" s="10" t="s">
        <v>7355</v>
      </c>
    </row>
    <row r="16569" ht="30.0" customHeight="1">
      <c r="A16569" s="13" t="s">
        <v>2472</v>
      </c>
      <c r="B16569" s="10" t="s">
        <v>42</v>
      </c>
      <c r="C16569" s="10" t="s">
        <v>344</v>
      </c>
      <c r="D16569" s="10" t="s">
        <v>2473</v>
      </c>
      <c r="E16569" s="11"/>
      <c r="F16569" s="12">
        <f>ROUND(13.14*(1+G2/100),2)</f>
        <v>13.14</v>
      </c>
      <c r="G16569" s="11"/>
    </row>
    <row r="16570" ht="12.0" customHeight="1">
      <c r="A16570" s="11"/>
      <c r="B16570" s="11"/>
      <c r="C16570" s="11"/>
      <c r="D16570" s="10" t="s">
        <v>2473</v>
      </c>
    </row>
    <row r="16571" ht="21.0" customHeight="1">
      <c r="A16571" s="13" t="s">
        <v>1333</v>
      </c>
      <c r="B16571" s="10" t="s">
        <v>42</v>
      </c>
      <c r="C16571" s="10" t="s">
        <v>226</v>
      </c>
      <c r="D16571" s="10" t="s">
        <v>1334</v>
      </c>
      <c r="E16571" s="11"/>
      <c r="F16571" s="12">
        <f>ROUND(60.94*(1+G2/100),2)</f>
        <v>60.94</v>
      </c>
      <c r="G16571" s="11"/>
    </row>
    <row r="16572" ht="30.0" customHeight="1">
      <c r="A16572" s="11"/>
      <c r="B16572" s="11"/>
      <c r="C16572" s="11"/>
      <c r="D16572" s="10" t="s">
        <v>7356</v>
      </c>
    </row>
    <row r="16573" ht="21.0" customHeight="1">
      <c r="A16573" s="13" t="s">
        <v>6186</v>
      </c>
      <c r="B16573" s="10" t="s">
        <v>42</v>
      </c>
      <c r="C16573" s="10" t="s">
        <v>231</v>
      </c>
      <c r="D16573" s="10" t="s">
        <v>6187</v>
      </c>
      <c r="E16573" s="11"/>
      <c r="F16573" s="12">
        <f>ROUND(49.8*(1+G2/100),2)</f>
        <v>49.8</v>
      </c>
      <c r="G16573" s="11"/>
    </row>
    <row r="16574" ht="30.0" customHeight="1">
      <c r="A16574" s="11"/>
      <c r="B16574" s="11"/>
      <c r="C16574" s="11"/>
      <c r="D16574" s="10" t="s">
        <v>7357</v>
      </c>
    </row>
    <row r="16575" ht="30.0" customHeight="1">
      <c r="A16575" s="13" t="s">
        <v>6200</v>
      </c>
      <c r="B16575" s="10" t="s">
        <v>42</v>
      </c>
      <c r="C16575" s="10" t="s">
        <v>231</v>
      </c>
      <c r="D16575" s="10" t="s">
        <v>6201</v>
      </c>
      <c r="E16575" s="11"/>
      <c r="F16575" s="12">
        <f>ROUND(10.51*(1+G2/100),2)</f>
        <v>10.51</v>
      </c>
      <c r="G16575" s="11"/>
    </row>
    <row r="16576" ht="30.0" customHeight="1">
      <c r="A16576" s="11"/>
      <c r="B16576" s="11"/>
      <c r="C16576" s="11"/>
      <c r="D16576" s="10" t="s">
        <v>7358</v>
      </c>
    </row>
    <row r="16577" ht="21.0" customHeight="1">
      <c r="A16577" s="13" t="s">
        <v>7359</v>
      </c>
      <c r="B16577" s="10" t="s">
        <v>42</v>
      </c>
      <c r="C16577" s="10" t="s">
        <v>344</v>
      </c>
      <c r="D16577" s="10" t="s">
        <v>7360</v>
      </c>
      <c r="E16577" s="11"/>
      <c r="F16577" s="12">
        <f>ROUND(0.94*(1+G2/100),2)</f>
        <v>0.94</v>
      </c>
      <c r="G16577" s="11"/>
    </row>
    <row r="16578" ht="21.0" customHeight="1">
      <c r="A16578" s="11"/>
      <c r="B16578" s="11"/>
      <c r="C16578" s="11"/>
      <c r="D16578" s="10" t="s">
        <v>7361</v>
      </c>
    </row>
    <row r="16579" ht="21.0" customHeight="1">
      <c r="A16579" s="13" t="s">
        <v>7362</v>
      </c>
      <c r="B16579" s="10" t="s">
        <v>42</v>
      </c>
      <c r="C16579" s="10" t="s">
        <v>344</v>
      </c>
      <c r="D16579" s="10" t="s">
        <v>7363</v>
      </c>
      <c r="E16579" s="11"/>
      <c r="F16579" s="12">
        <f>ROUND(1.95*(1+G2/100),2)</f>
        <v>1.95</v>
      </c>
      <c r="G16579" s="11"/>
    </row>
    <row r="16580" ht="21.0" customHeight="1">
      <c r="A16580" s="11"/>
      <c r="B16580" s="11"/>
      <c r="C16580" s="11"/>
      <c r="D16580" s="10" t="s">
        <v>7364</v>
      </c>
    </row>
    <row r="16581" ht="21.0" customHeight="1">
      <c r="A16581" s="13" t="s">
        <v>1204</v>
      </c>
      <c r="B16581" s="10" t="s">
        <v>42</v>
      </c>
      <c r="C16581" s="10" t="s">
        <v>344</v>
      </c>
      <c r="D16581" s="10" t="s">
        <v>1205</v>
      </c>
      <c r="E16581" s="11"/>
      <c r="F16581" s="12">
        <f>ROUND(2.29*(1+G2/100),2)</f>
        <v>2.29</v>
      </c>
      <c r="G16581" s="11"/>
    </row>
    <row r="16582" ht="21.0" customHeight="1">
      <c r="A16582" s="11"/>
      <c r="B16582" s="11"/>
      <c r="C16582" s="11"/>
      <c r="D16582" s="10" t="s">
        <v>7365</v>
      </c>
    </row>
    <row r="16583" ht="15.0" customHeight="1">
      <c r="A16583" s="16"/>
      <c r="B16583" s="16"/>
      <c r="C16583" s="16"/>
      <c r="D16583" s="61" t="s">
        <v>7247</v>
      </c>
      <c r="E16583" s="62"/>
      <c r="F16583" s="62"/>
      <c r="G16583" s="62"/>
    </row>
    <row r="16584" ht="24.75" customHeight="1">
      <c r="A16584" s="34" t="s">
        <v>7366</v>
      </c>
      <c r="B16584" s="34" t="s">
        <v>10</v>
      </c>
      <c r="C16584" s="35"/>
      <c r="D16584" s="34" t="s">
        <v>7367</v>
      </c>
      <c r="E16584" s="35"/>
      <c r="F16584" s="35"/>
      <c r="G16584" s="35"/>
    </row>
    <row r="16585" ht="30.0" customHeight="1">
      <c r="A16585" s="13" t="s">
        <v>7368</v>
      </c>
      <c r="B16585" s="10" t="s">
        <v>42</v>
      </c>
      <c r="C16585" s="10" t="s">
        <v>344</v>
      </c>
      <c r="D16585" s="10" t="s">
        <v>7369</v>
      </c>
      <c r="E16585" s="11"/>
      <c r="F16585" s="12">
        <f>ROUND(141.79*(1+G2/100),2)</f>
        <v>141.79</v>
      </c>
      <c r="G16585" s="11"/>
    </row>
    <row r="16586" ht="159.75" customHeight="1">
      <c r="A16586" s="11"/>
      <c r="B16586" s="11"/>
      <c r="C16586" s="11"/>
      <c r="D16586" s="10" t="s">
        <v>7370</v>
      </c>
    </row>
    <row r="16587" ht="39.75" customHeight="1">
      <c r="A16587" s="13" t="s">
        <v>7371</v>
      </c>
      <c r="B16587" s="10" t="s">
        <v>42</v>
      </c>
      <c r="C16587" s="10" t="s">
        <v>344</v>
      </c>
      <c r="D16587" s="10" t="s">
        <v>7372</v>
      </c>
      <c r="E16587" s="11"/>
      <c r="F16587" s="12">
        <f>ROUND(113.29*(1+G2/100),2)</f>
        <v>113.29</v>
      </c>
      <c r="G16587" s="11"/>
    </row>
    <row r="16588" ht="177.75" customHeight="1">
      <c r="A16588" s="11"/>
      <c r="B16588" s="11"/>
      <c r="C16588" s="11"/>
      <c r="D16588" s="10" t="s">
        <v>7373</v>
      </c>
    </row>
    <row r="16589" ht="48.75" customHeight="1">
      <c r="A16589" s="13" t="s">
        <v>7374</v>
      </c>
      <c r="B16589" s="10" t="s">
        <v>42</v>
      </c>
      <c r="C16589" s="10" t="s">
        <v>344</v>
      </c>
      <c r="D16589" s="10" t="s">
        <v>7375</v>
      </c>
      <c r="E16589" s="11"/>
      <c r="F16589" s="12">
        <f>ROUND(21.96*(1+G2/100),2)</f>
        <v>21.96</v>
      </c>
      <c r="G16589" s="11"/>
    </row>
    <row r="16590" ht="57.75" customHeight="1">
      <c r="A16590" s="11"/>
      <c r="B16590" s="11"/>
      <c r="C16590" s="11"/>
      <c r="D16590" s="10" t="s">
        <v>7376</v>
      </c>
    </row>
    <row r="16591" ht="48.75" customHeight="1">
      <c r="A16591" s="13" t="s">
        <v>7377</v>
      </c>
      <c r="B16591" s="10" t="s">
        <v>42</v>
      </c>
      <c r="C16591" s="10" t="s">
        <v>344</v>
      </c>
      <c r="D16591" s="10" t="s">
        <v>7378</v>
      </c>
      <c r="E16591" s="11"/>
      <c r="F16591" s="12">
        <f>ROUND(24.44*(1+G2/100),2)</f>
        <v>24.44</v>
      </c>
      <c r="G16591" s="11"/>
    </row>
    <row r="16592" ht="57.75" customHeight="1">
      <c r="A16592" s="11"/>
      <c r="B16592" s="11"/>
      <c r="C16592" s="11"/>
      <c r="D16592" s="10" t="s">
        <v>7379</v>
      </c>
    </row>
    <row r="16593" ht="30.0" customHeight="1">
      <c r="A16593" s="13" t="s">
        <v>7380</v>
      </c>
      <c r="B16593" s="10" t="s">
        <v>42</v>
      </c>
      <c r="C16593" s="10" t="s">
        <v>351</v>
      </c>
      <c r="D16593" s="10" t="s">
        <v>7381</v>
      </c>
      <c r="E16593" s="11"/>
      <c r="F16593" s="12">
        <f>ROUND(37.14*(1+G2/100),2)</f>
        <v>37.14</v>
      </c>
      <c r="G16593" s="11"/>
    </row>
    <row r="16594" ht="76.5" customHeight="1">
      <c r="A16594" s="11"/>
      <c r="B16594" s="11"/>
      <c r="C16594" s="11"/>
      <c r="D16594" s="10" t="s">
        <v>7382</v>
      </c>
    </row>
    <row r="16595" ht="39.75" customHeight="1">
      <c r="A16595" s="13" t="s">
        <v>7383</v>
      </c>
      <c r="B16595" s="10" t="s">
        <v>42</v>
      </c>
      <c r="C16595" s="10" t="s">
        <v>344</v>
      </c>
      <c r="D16595" s="10" t="s">
        <v>7384</v>
      </c>
      <c r="E16595" s="11"/>
      <c r="F16595" s="12">
        <f>ROUND(11.92*(1+G2/100),2)</f>
        <v>11.92</v>
      </c>
      <c r="G16595" s="11"/>
    </row>
    <row r="16596" ht="21.0" customHeight="1">
      <c r="A16596" s="11"/>
      <c r="B16596" s="11"/>
      <c r="C16596" s="11"/>
      <c r="D16596" s="10" t="s">
        <v>7385</v>
      </c>
    </row>
    <row r="16597" ht="30.0" customHeight="1">
      <c r="A16597" s="13" t="s">
        <v>2777</v>
      </c>
      <c r="B16597" s="10" t="s">
        <v>42</v>
      </c>
      <c r="C16597" s="10" t="s">
        <v>344</v>
      </c>
      <c r="D16597" s="10" t="s">
        <v>2778</v>
      </c>
      <c r="E16597" s="11"/>
      <c r="F16597" s="12">
        <f>ROUND(38*(1+G2/100),2)</f>
        <v>38</v>
      </c>
      <c r="G16597" s="11"/>
    </row>
    <row r="16598" ht="57.75" customHeight="1">
      <c r="A16598" s="11"/>
      <c r="B16598" s="11"/>
      <c r="C16598" s="11"/>
      <c r="D16598" s="10" t="s">
        <v>7386</v>
      </c>
    </row>
    <row r="16599" ht="30.0" customHeight="1">
      <c r="A16599" s="13" t="s">
        <v>2731</v>
      </c>
      <c r="B16599" s="10" t="s">
        <v>42</v>
      </c>
      <c r="C16599" s="10" t="s">
        <v>344</v>
      </c>
      <c r="D16599" s="10" t="s">
        <v>2732</v>
      </c>
      <c r="E16599" s="11"/>
      <c r="F16599" s="12">
        <f>ROUND(60*(1+G2/100),2)</f>
        <v>60</v>
      </c>
      <c r="G16599" s="11"/>
    </row>
    <row r="16600" ht="21.0" customHeight="1">
      <c r="A16600" s="11"/>
      <c r="B16600" s="11"/>
      <c r="C16600" s="11"/>
      <c r="D16600" s="10" t="s">
        <v>2732</v>
      </c>
    </row>
    <row r="16601" ht="30.0" customHeight="1">
      <c r="A16601" s="13" t="s">
        <v>2735</v>
      </c>
      <c r="B16601" s="10" t="s">
        <v>42</v>
      </c>
      <c r="C16601" s="10" t="s">
        <v>344</v>
      </c>
      <c r="D16601" s="10" t="s">
        <v>2736</v>
      </c>
      <c r="E16601" s="11"/>
      <c r="F16601" s="12">
        <f>ROUND(18.2*(1+G2/100),2)</f>
        <v>18.2</v>
      </c>
      <c r="G16601" s="11"/>
    </row>
    <row r="16602" ht="21.0" customHeight="1">
      <c r="A16602" s="11"/>
      <c r="B16602" s="11"/>
      <c r="C16602" s="11"/>
      <c r="D16602" s="10" t="s">
        <v>2736</v>
      </c>
    </row>
    <row r="16603" ht="30.0" customHeight="1">
      <c r="A16603" s="13" t="s">
        <v>2733</v>
      </c>
      <c r="B16603" s="10" t="s">
        <v>42</v>
      </c>
      <c r="C16603" s="10" t="s">
        <v>344</v>
      </c>
      <c r="D16603" s="10" t="s">
        <v>2734</v>
      </c>
      <c r="E16603" s="11"/>
      <c r="F16603" s="12">
        <f>ROUND(4.1*(1+G2/100),2)</f>
        <v>4.1</v>
      </c>
      <c r="G16603" s="11"/>
    </row>
    <row r="16604" ht="21.0" customHeight="1">
      <c r="A16604" s="11"/>
      <c r="B16604" s="11"/>
      <c r="C16604" s="11"/>
      <c r="D16604" s="10" t="s">
        <v>2734</v>
      </c>
    </row>
    <row r="16605" ht="30.0" customHeight="1">
      <c r="A16605" s="13" t="s">
        <v>7387</v>
      </c>
      <c r="B16605" s="10" t="s">
        <v>42</v>
      </c>
      <c r="C16605" s="10" t="s">
        <v>344</v>
      </c>
      <c r="D16605" s="10" t="s">
        <v>7388</v>
      </c>
      <c r="E16605" s="11"/>
      <c r="F16605" s="12">
        <f>ROUND(74*(1+G2/100),2)</f>
        <v>74</v>
      </c>
      <c r="G16605" s="11"/>
    </row>
    <row r="16606" ht="21.0" customHeight="1">
      <c r="A16606" s="11"/>
      <c r="B16606" s="11"/>
      <c r="C16606" s="11"/>
      <c r="D16606" s="10" t="s">
        <v>7388</v>
      </c>
    </row>
    <row r="16607" ht="21.0" customHeight="1">
      <c r="A16607" s="13" t="s">
        <v>7389</v>
      </c>
      <c r="B16607" s="10" t="s">
        <v>42</v>
      </c>
      <c r="C16607" s="10" t="s">
        <v>344</v>
      </c>
      <c r="D16607" s="10" t="s">
        <v>7390</v>
      </c>
      <c r="E16607" s="11"/>
      <c r="F16607" s="12">
        <f>ROUND(40.9*(1+G2/100),2)</f>
        <v>40.9</v>
      </c>
      <c r="G16607" s="11"/>
    </row>
    <row r="16608" ht="12.0" customHeight="1">
      <c r="A16608" s="11"/>
      <c r="B16608" s="11"/>
      <c r="C16608" s="11"/>
      <c r="D16608" s="10" t="s">
        <v>7390</v>
      </c>
    </row>
    <row r="16609" ht="30.0" customHeight="1">
      <c r="A16609" s="13" t="s">
        <v>7391</v>
      </c>
      <c r="B16609" s="10" t="s">
        <v>42</v>
      </c>
      <c r="C16609" s="10" t="s">
        <v>344</v>
      </c>
      <c r="D16609" s="10" t="s">
        <v>7392</v>
      </c>
      <c r="E16609" s="11"/>
      <c r="F16609" s="12">
        <f>ROUND(20.16*(1+G2/100),2)</f>
        <v>20.16</v>
      </c>
      <c r="G16609" s="11"/>
    </row>
    <row r="16610" ht="21.0" customHeight="1">
      <c r="A16610" s="11"/>
      <c r="B16610" s="11"/>
      <c r="C16610" s="11"/>
      <c r="D16610" s="10" t="s">
        <v>7392</v>
      </c>
    </row>
    <row r="16611" ht="30.0" customHeight="1">
      <c r="A16611" s="13" t="s">
        <v>2650</v>
      </c>
      <c r="B16611" s="10" t="s">
        <v>42</v>
      </c>
      <c r="C16611" s="10" t="s">
        <v>344</v>
      </c>
      <c r="D16611" s="10" t="s">
        <v>2651</v>
      </c>
      <c r="E16611" s="11"/>
      <c r="F16611" s="12">
        <f>ROUND(2.99*(1+G2/100),2)</f>
        <v>2.99</v>
      </c>
      <c r="G16611" s="11"/>
    </row>
    <row r="16612" ht="67.5" customHeight="1">
      <c r="A16612" s="11"/>
      <c r="B16612" s="11"/>
      <c r="C16612" s="11"/>
      <c r="D16612" s="10" t="s">
        <v>7393</v>
      </c>
    </row>
    <row r="16613" ht="30.0" customHeight="1">
      <c r="A16613" s="13" t="s">
        <v>7394</v>
      </c>
      <c r="B16613" s="10" t="s">
        <v>42</v>
      </c>
      <c r="C16613" s="10" t="s">
        <v>344</v>
      </c>
      <c r="D16613" s="10" t="s">
        <v>7395</v>
      </c>
      <c r="E16613" s="11"/>
      <c r="F16613" s="12">
        <f>ROUND(14.95*(1+G2/100),2)</f>
        <v>14.95</v>
      </c>
      <c r="G16613" s="11"/>
    </row>
    <row r="16614" ht="21.0" customHeight="1">
      <c r="A16614" s="11"/>
      <c r="B16614" s="11"/>
      <c r="C16614" s="11"/>
      <c r="D16614" s="10" t="s">
        <v>7396</v>
      </c>
    </row>
    <row r="16615" ht="30.0" customHeight="1">
      <c r="A16615" s="13" t="s">
        <v>7397</v>
      </c>
      <c r="B16615" s="10" t="s">
        <v>42</v>
      </c>
      <c r="C16615" s="10" t="s">
        <v>344</v>
      </c>
      <c r="D16615" s="10" t="s">
        <v>7398</v>
      </c>
      <c r="E16615" s="11"/>
      <c r="F16615" s="12">
        <f>ROUND(157.02*(1+G2/100),2)</f>
        <v>157.02</v>
      </c>
      <c r="G16615" s="11"/>
    </row>
    <row r="16616" ht="30.0" customHeight="1">
      <c r="A16616" s="11"/>
      <c r="B16616" s="11"/>
      <c r="C16616" s="11"/>
      <c r="D16616" s="10" t="s">
        <v>7399</v>
      </c>
    </row>
    <row r="16617" ht="30.0" customHeight="1">
      <c r="A16617" s="13" t="s">
        <v>7400</v>
      </c>
      <c r="B16617" s="10" t="s">
        <v>42</v>
      </c>
      <c r="C16617" s="10" t="s">
        <v>344</v>
      </c>
      <c r="D16617" s="10" t="s">
        <v>7401</v>
      </c>
      <c r="E16617" s="11"/>
      <c r="F16617" s="12">
        <f>ROUND(123.58*(1+G2/100),2)</f>
        <v>123.58</v>
      </c>
      <c r="G16617" s="11"/>
    </row>
    <row r="16618" ht="30.0" customHeight="1">
      <c r="A16618" s="11"/>
      <c r="B16618" s="11"/>
      <c r="C16618" s="11"/>
      <c r="D16618" s="10" t="s">
        <v>7402</v>
      </c>
    </row>
    <row r="16619" ht="30.0" customHeight="1">
      <c r="A16619" s="13" t="s">
        <v>7403</v>
      </c>
      <c r="B16619" s="10" t="s">
        <v>42</v>
      </c>
      <c r="C16619" s="10" t="s">
        <v>344</v>
      </c>
      <c r="D16619" s="10" t="s">
        <v>7404</v>
      </c>
      <c r="E16619" s="11"/>
      <c r="F16619" s="12">
        <f>ROUND(0.73*(1+G2/100),2)</f>
        <v>0.73</v>
      </c>
      <c r="G16619" s="11"/>
    </row>
    <row r="16620" ht="30.0" customHeight="1">
      <c r="A16620" s="11"/>
      <c r="B16620" s="11"/>
      <c r="C16620" s="11"/>
      <c r="D16620" s="10" t="s">
        <v>7405</v>
      </c>
    </row>
    <row r="16621" ht="30.0" customHeight="1">
      <c r="A16621" s="13" t="s">
        <v>7406</v>
      </c>
      <c r="B16621" s="10" t="s">
        <v>42</v>
      </c>
      <c r="C16621" s="10" t="s">
        <v>344</v>
      </c>
      <c r="D16621" s="10" t="s">
        <v>7407</v>
      </c>
      <c r="E16621" s="11"/>
      <c r="F16621" s="12">
        <f>ROUND(3.18*(1+G2/100),2)</f>
        <v>3.18</v>
      </c>
      <c r="G16621" s="11"/>
    </row>
    <row r="16622" ht="30.0" customHeight="1">
      <c r="A16622" s="11"/>
      <c r="B16622" s="11"/>
      <c r="C16622" s="11"/>
      <c r="D16622" s="10" t="s">
        <v>7408</v>
      </c>
    </row>
    <row r="16623" ht="30.0" customHeight="1">
      <c r="A16623" s="13" t="s">
        <v>7409</v>
      </c>
      <c r="B16623" s="10" t="s">
        <v>42</v>
      </c>
      <c r="C16623" s="10" t="s">
        <v>344</v>
      </c>
      <c r="D16623" s="10" t="s">
        <v>7410</v>
      </c>
      <c r="E16623" s="11"/>
      <c r="F16623" s="12">
        <f>ROUND(1.39*(1+G2/100),2)</f>
        <v>1.39</v>
      </c>
      <c r="G16623" s="11"/>
    </row>
    <row r="16624" ht="30.0" customHeight="1">
      <c r="A16624" s="11"/>
      <c r="B16624" s="11"/>
      <c r="C16624" s="11"/>
      <c r="D16624" s="10" t="s">
        <v>7411</v>
      </c>
    </row>
    <row r="16625" ht="30.0" customHeight="1">
      <c r="A16625" s="13" t="s">
        <v>7412</v>
      </c>
      <c r="B16625" s="10" t="s">
        <v>42</v>
      </c>
      <c r="C16625" s="10" t="s">
        <v>344</v>
      </c>
      <c r="D16625" s="10" t="s">
        <v>7413</v>
      </c>
      <c r="E16625" s="11"/>
      <c r="F16625" s="12">
        <f>ROUND(1.54*(1+G2/100),2)</f>
        <v>1.54</v>
      </c>
      <c r="G16625" s="11"/>
    </row>
    <row r="16626" ht="30.0" customHeight="1">
      <c r="A16626" s="11"/>
      <c r="B16626" s="11"/>
      <c r="C16626" s="11"/>
      <c r="D16626" s="10" t="s">
        <v>7414</v>
      </c>
    </row>
    <row r="16627" ht="30.0" customHeight="1">
      <c r="A16627" s="13" t="s">
        <v>7415</v>
      </c>
      <c r="B16627" s="10" t="s">
        <v>42</v>
      </c>
      <c r="C16627" s="10" t="s">
        <v>344</v>
      </c>
      <c r="D16627" s="10" t="s">
        <v>7416</v>
      </c>
      <c r="E16627" s="11"/>
      <c r="F16627" s="12">
        <f>ROUND(3.74*(1+G2/100),2)</f>
        <v>3.74</v>
      </c>
      <c r="G16627" s="11"/>
    </row>
    <row r="16628" ht="30.0" customHeight="1">
      <c r="A16628" s="11"/>
      <c r="B16628" s="11"/>
      <c r="C16628" s="11"/>
      <c r="D16628" s="10" t="s">
        <v>7417</v>
      </c>
    </row>
    <row r="16629" ht="30.0" customHeight="1">
      <c r="A16629" s="13" t="s">
        <v>7418</v>
      </c>
      <c r="B16629" s="10" t="s">
        <v>42</v>
      </c>
      <c r="C16629" s="10" t="s">
        <v>344</v>
      </c>
      <c r="D16629" s="10" t="s">
        <v>7419</v>
      </c>
      <c r="E16629" s="11"/>
      <c r="F16629" s="12">
        <f>ROUND(1.32*(1+G2/100),2)</f>
        <v>1.32</v>
      </c>
      <c r="G16629" s="11"/>
    </row>
    <row r="16630" ht="30.0" customHeight="1">
      <c r="A16630" s="11"/>
      <c r="B16630" s="11"/>
      <c r="C16630" s="11"/>
      <c r="D16630" s="10" t="s">
        <v>7420</v>
      </c>
    </row>
    <row r="16631" ht="30.0" customHeight="1">
      <c r="A16631" s="13" t="s">
        <v>7421</v>
      </c>
      <c r="B16631" s="10" t="s">
        <v>42</v>
      </c>
      <c r="C16631" s="10" t="s">
        <v>344</v>
      </c>
      <c r="D16631" s="10" t="s">
        <v>7422</v>
      </c>
      <c r="E16631" s="11"/>
      <c r="F16631" s="12">
        <f>ROUND(2.16*(1+G2/100),2)</f>
        <v>2.16</v>
      </c>
      <c r="G16631" s="11"/>
    </row>
    <row r="16632" ht="30.0" customHeight="1">
      <c r="A16632" s="11"/>
      <c r="B16632" s="11"/>
      <c r="C16632" s="11"/>
      <c r="D16632" s="10" t="s">
        <v>7423</v>
      </c>
    </row>
    <row r="16633" ht="39.75" customHeight="1">
      <c r="A16633" s="13" t="s">
        <v>7424</v>
      </c>
      <c r="B16633" s="10" t="s">
        <v>42</v>
      </c>
      <c r="C16633" s="10" t="s">
        <v>344</v>
      </c>
      <c r="D16633" s="10" t="s">
        <v>7425</v>
      </c>
      <c r="E16633" s="11"/>
      <c r="F16633" s="12">
        <f>ROUND(3.62*(1+G2/100),2)</f>
        <v>3.62</v>
      </c>
      <c r="G16633" s="11"/>
    </row>
    <row r="16634" ht="30.0" customHeight="1">
      <c r="A16634" s="11"/>
      <c r="B16634" s="11"/>
      <c r="C16634" s="11"/>
      <c r="D16634" s="10" t="s">
        <v>7426</v>
      </c>
    </row>
    <row r="16635" ht="39.75" customHeight="1">
      <c r="A16635" s="13" t="s">
        <v>7427</v>
      </c>
      <c r="B16635" s="10" t="s">
        <v>42</v>
      </c>
      <c r="C16635" s="10" t="s">
        <v>344</v>
      </c>
      <c r="D16635" s="10" t="s">
        <v>7428</v>
      </c>
      <c r="E16635" s="11"/>
      <c r="F16635" s="12">
        <f>ROUND(4.25*(1+G2/100),2)</f>
        <v>4.25</v>
      </c>
      <c r="G16635" s="11"/>
    </row>
    <row r="16636" ht="30.0" customHeight="1">
      <c r="A16636" s="11"/>
      <c r="B16636" s="11"/>
      <c r="C16636" s="11"/>
      <c r="D16636" s="10" t="s">
        <v>7429</v>
      </c>
    </row>
    <row r="16637" ht="39.75" customHeight="1">
      <c r="A16637" s="13" t="s">
        <v>7430</v>
      </c>
      <c r="B16637" s="10" t="s">
        <v>42</v>
      </c>
      <c r="C16637" s="10" t="s">
        <v>344</v>
      </c>
      <c r="D16637" s="10" t="s">
        <v>7431</v>
      </c>
      <c r="E16637" s="11"/>
      <c r="F16637" s="12">
        <f>ROUND(4.44*(1+G2/100),2)</f>
        <v>4.44</v>
      </c>
      <c r="G16637" s="11"/>
    </row>
    <row r="16638" ht="30.0" customHeight="1">
      <c r="A16638" s="11"/>
      <c r="B16638" s="11"/>
      <c r="C16638" s="11"/>
      <c r="D16638" s="10" t="s">
        <v>7432</v>
      </c>
    </row>
    <row r="16639" ht="39.75" customHeight="1">
      <c r="A16639" s="13" t="s">
        <v>7433</v>
      </c>
      <c r="B16639" s="10" t="s">
        <v>42</v>
      </c>
      <c r="C16639" s="10" t="s">
        <v>344</v>
      </c>
      <c r="D16639" s="10" t="s">
        <v>7434</v>
      </c>
      <c r="E16639" s="11"/>
      <c r="F16639" s="12">
        <f>ROUND(19.15*(1+G2/100),2)</f>
        <v>19.15</v>
      </c>
      <c r="G16639" s="11"/>
    </row>
    <row r="16640" ht="21.0" customHeight="1">
      <c r="A16640" s="11"/>
      <c r="B16640" s="11"/>
      <c r="C16640" s="11"/>
      <c r="D16640" s="10" t="s">
        <v>7434</v>
      </c>
    </row>
    <row r="16641" ht="15.0" customHeight="1">
      <c r="A16641" s="16"/>
      <c r="B16641" s="16"/>
      <c r="C16641" s="16"/>
      <c r="D16641" s="61" t="s">
        <v>7366</v>
      </c>
      <c r="E16641" s="62"/>
      <c r="F16641" s="62"/>
      <c r="G16641" s="62"/>
    </row>
    <row r="16642" ht="24.75" customHeight="1">
      <c r="A16642" s="34" t="s">
        <v>7435</v>
      </c>
      <c r="B16642" s="34" t="s">
        <v>10</v>
      </c>
      <c r="C16642" s="35"/>
      <c r="D16642" s="34" t="s">
        <v>7436</v>
      </c>
      <c r="E16642" s="35"/>
      <c r="F16642" s="35"/>
      <c r="G16642" s="35"/>
    </row>
    <row r="16643" ht="21.0" customHeight="1">
      <c r="A16643" s="13" t="s">
        <v>7437</v>
      </c>
      <c r="B16643" s="10" t="s">
        <v>42</v>
      </c>
      <c r="C16643" s="10" t="s">
        <v>344</v>
      </c>
      <c r="D16643" s="10" t="s">
        <v>7438</v>
      </c>
      <c r="E16643" s="11"/>
      <c r="F16643" s="12">
        <f>ROUND(0.91*(1+G2/100),2)</f>
        <v>0.91</v>
      </c>
      <c r="G16643" s="11"/>
    </row>
    <row r="16644" ht="21.0" customHeight="1">
      <c r="A16644" s="11"/>
      <c r="B16644" s="11"/>
      <c r="C16644" s="11"/>
      <c r="D16644" s="10" t="s">
        <v>7439</v>
      </c>
    </row>
    <row r="16645" ht="21.0" customHeight="1">
      <c r="A16645" s="13" t="s">
        <v>7440</v>
      </c>
      <c r="B16645" s="10" t="s">
        <v>42</v>
      </c>
      <c r="C16645" s="10" t="s">
        <v>344</v>
      </c>
      <c r="D16645" s="10" t="s">
        <v>7441</v>
      </c>
      <c r="E16645" s="11"/>
      <c r="F16645" s="12">
        <f>ROUND(1.6*(1+G2/100),2)</f>
        <v>1.6</v>
      </c>
      <c r="G16645" s="11"/>
    </row>
    <row r="16646" ht="21.0" customHeight="1">
      <c r="A16646" s="11"/>
      <c r="B16646" s="11"/>
      <c r="C16646" s="11"/>
      <c r="D16646" s="10" t="s">
        <v>7442</v>
      </c>
    </row>
    <row r="16647" ht="21.0" customHeight="1">
      <c r="A16647" s="13" t="s">
        <v>3236</v>
      </c>
      <c r="B16647" s="10" t="s">
        <v>42</v>
      </c>
      <c r="C16647" s="10" t="s">
        <v>344</v>
      </c>
      <c r="D16647" s="10" t="s">
        <v>3237</v>
      </c>
      <c r="E16647" s="11"/>
      <c r="F16647" s="12">
        <f>ROUND(5.42*(1+G2/100),2)</f>
        <v>5.42</v>
      </c>
      <c r="G16647" s="11"/>
    </row>
    <row r="16648" ht="21.0" customHeight="1">
      <c r="A16648" s="11"/>
      <c r="B16648" s="11"/>
      <c r="C16648" s="11"/>
      <c r="D16648" s="10" t="s">
        <v>7443</v>
      </c>
    </row>
    <row r="16649" ht="21.0" customHeight="1">
      <c r="A16649" s="13" t="s">
        <v>7444</v>
      </c>
      <c r="B16649" s="10" t="s">
        <v>42</v>
      </c>
      <c r="C16649" s="10" t="s">
        <v>344</v>
      </c>
      <c r="D16649" s="10" t="s">
        <v>7445</v>
      </c>
      <c r="E16649" s="11"/>
      <c r="F16649" s="12">
        <f>ROUND(5.61*(1+G2/100),2)</f>
        <v>5.61</v>
      </c>
      <c r="G16649" s="11"/>
    </row>
    <row r="16650" ht="21.0" customHeight="1">
      <c r="A16650" s="11"/>
      <c r="B16650" s="11"/>
      <c r="C16650" s="11"/>
      <c r="D16650" s="10" t="s">
        <v>7446</v>
      </c>
    </row>
    <row r="16651" ht="21.0" customHeight="1">
      <c r="A16651" s="13" t="s">
        <v>7447</v>
      </c>
      <c r="B16651" s="10" t="s">
        <v>42</v>
      </c>
      <c r="C16651" s="10" t="s">
        <v>344</v>
      </c>
      <c r="D16651" s="10" t="s">
        <v>7448</v>
      </c>
      <c r="E16651" s="11"/>
      <c r="F16651" s="12">
        <f>ROUND(0.58*(1+G2/100),2)</f>
        <v>0.58</v>
      </c>
      <c r="G16651" s="11"/>
    </row>
    <row r="16652" ht="21.0" customHeight="1">
      <c r="A16652" s="11"/>
      <c r="B16652" s="11"/>
      <c r="C16652" s="11"/>
      <c r="D16652" s="10" t="s">
        <v>7449</v>
      </c>
    </row>
    <row r="16653" ht="21.0" customHeight="1">
      <c r="A16653" s="13" t="s">
        <v>7450</v>
      </c>
      <c r="B16653" s="10" t="s">
        <v>42</v>
      </c>
      <c r="C16653" s="10" t="s">
        <v>344</v>
      </c>
      <c r="D16653" s="10" t="s">
        <v>7451</v>
      </c>
      <c r="E16653" s="11"/>
      <c r="F16653" s="12">
        <f>ROUND(1.13*(1+G2/100),2)</f>
        <v>1.13</v>
      </c>
      <c r="G16653" s="11"/>
    </row>
    <row r="16654" ht="21.0" customHeight="1">
      <c r="A16654" s="11"/>
      <c r="B16654" s="11"/>
      <c r="C16654" s="11"/>
      <c r="D16654" s="10" t="s">
        <v>7452</v>
      </c>
    </row>
    <row r="16655" ht="21.0" customHeight="1">
      <c r="A16655" s="13" t="s">
        <v>3238</v>
      </c>
      <c r="B16655" s="10" t="s">
        <v>42</v>
      </c>
      <c r="C16655" s="10" t="s">
        <v>344</v>
      </c>
      <c r="D16655" s="10" t="s">
        <v>3239</v>
      </c>
      <c r="E16655" s="11"/>
      <c r="F16655" s="12">
        <f>ROUND(2.07*(1+G2/100),2)</f>
        <v>2.07</v>
      </c>
      <c r="G16655" s="11"/>
    </row>
    <row r="16656" ht="21.0" customHeight="1">
      <c r="A16656" s="11"/>
      <c r="B16656" s="11"/>
      <c r="C16656" s="11"/>
      <c r="D16656" s="10" t="s">
        <v>7453</v>
      </c>
    </row>
    <row r="16657" ht="21.0" customHeight="1">
      <c r="A16657" s="13" t="s">
        <v>7454</v>
      </c>
      <c r="B16657" s="10" t="s">
        <v>42</v>
      </c>
      <c r="C16657" s="10" t="s">
        <v>344</v>
      </c>
      <c r="D16657" s="10" t="s">
        <v>7455</v>
      </c>
      <c r="E16657" s="11"/>
      <c r="F16657" s="12">
        <f>ROUND(1.68*(1+G2/100),2)</f>
        <v>1.68</v>
      </c>
      <c r="G16657" s="11"/>
    </row>
    <row r="16658" ht="21.0" customHeight="1">
      <c r="A16658" s="11"/>
      <c r="B16658" s="11"/>
      <c r="C16658" s="11"/>
      <c r="D16658" s="10" t="s">
        <v>7456</v>
      </c>
    </row>
    <row r="16659" ht="21.0" customHeight="1">
      <c r="A16659" s="13" t="s">
        <v>7457</v>
      </c>
      <c r="B16659" s="10" t="s">
        <v>42</v>
      </c>
      <c r="C16659" s="10" t="s">
        <v>344</v>
      </c>
      <c r="D16659" s="10" t="s">
        <v>7458</v>
      </c>
      <c r="E16659" s="11"/>
      <c r="F16659" s="12">
        <f>ROUND(3.31*(1+G2/100),2)</f>
        <v>3.31</v>
      </c>
      <c r="G16659" s="11"/>
    </row>
    <row r="16660" ht="21.0" customHeight="1">
      <c r="A16660" s="11"/>
      <c r="B16660" s="11"/>
      <c r="C16660" s="11"/>
      <c r="D16660" s="10" t="s">
        <v>7459</v>
      </c>
    </row>
    <row r="16661" ht="21.0" customHeight="1">
      <c r="A16661" s="13" t="s">
        <v>7460</v>
      </c>
      <c r="B16661" s="10" t="s">
        <v>42</v>
      </c>
      <c r="C16661" s="10" t="s">
        <v>344</v>
      </c>
      <c r="D16661" s="10" t="s">
        <v>7461</v>
      </c>
      <c r="E16661" s="11"/>
      <c r="F16661" s="12">
        <f>ROUND(7.42*(1+G2/100),2)</f>
        <v>7.42</v>
      </c>
      <c r="G16661" s="11"/>
    </row>
    <row r="16662" ht="21.0" customHeight="1">
      <c r="A16662" s="11"/>
      <c r="B16662" s="11"/>
      <c r="C16662" s="11"/>
      <c r="D16662" s="10" t="s">
        <v>7462</v>
      </c>
    </row>
    <row r="16663" ht="30.0" customHeight="1">
      <c r="A16663" s="13" t="s">
        <v>7463</v>
      </c>
      <c r="B16663" s="10" t="s">
        <v>42</v>
      </c>
      <c r="C16663" s="10" t="s">
        <v>231</v>
      </c>
      <c r="D16663" s="10" t="s">
        <v>7464</v>
      </c>
      <c r="E16663" s="11"/>
      <c r="F16663" s="12">
        <f>ROUND(15*(1+G2/100),2)</f>
        <v>15</v>
      </c>
      <c r="G16663" s="11"/>
    </row>
    <row r="16664" ht="21.0" customHeight="1">
      <c r="A16664" s="11"/>
      <c r="B16664" s="11"/>
      <c r="C16664" s="11"/>
      <c r="D16664" s="10" t="s">
        <v>7465</v>
      </c>
    </row>
    <row r="16665" ht="30.0" customHeight="1">
      <c r="A16665" s="13" t="s">
        <v>7466</v>
      </c>
      <c r="B16665" s="10" t="s">
        <v>42</v>
      </c>
      <c r="C16665" s="10" t="s">
        <v>231</v>
      </c>
      <c r="D16665" s="10" t="s">
        <v>7467</v>
      </c>
      <c r="E16665" s="11"/>
      <c r="F16665" s="12">
        <f>ROUND(21.86*(1+G2/100),2)</f>
        <v>21.86</v>
      </c>
      <c r="G16665" s="11"/>
    </row>
    <row r="16666" ht="21.0" customHeight="1">
      <c r="A16666" s="11"/>
      <c r="B16666" s="11"/>
      <c r="C16666" s="11"/>
      <c r="D16666" s="10" t="s">
        <v>7468</v>
      </c>
    </row>
    <row r="16667" ht="30.0" customHeight="1">
      <c r="A16667" s="13" t="s">
        <v>3234</v>
      </c>
      <c r="B16667" s="10" t="s">
        <v>42</v>
      </c>
      <c r="C16667" s="10" t="s">
        <v>231</v>
      </c>
      <c r="D16667" s="10" t="s">
        <v>3235</v>
      </c>
      <c r="E16667" s="11"/>
      <c r="F16667" s="12">
        <f>ROUND(28.27*(1+G2/100),2)</f>
        <v>28.27</v>
      </c>
      <c r="G16667" s="11"/>
    </row>
    <row r="16668" ht="21.0" customHeight="1">
      <c r="A16668" s="11"/>
      <c r="B16668" s="11"/>
      <c r="C16668" s="11"/>
      <c r="D16668" s="10" t="s">
        <v>7469</v>
      </c>
    </row>
    <row r="16669" ht="30.0" customHeight="1">
      <c r="A16669" s="13" t="s">
        <v>7470</v>
      </c>
      <c r="B16669" s="10" t="s">
        <v>42</v>
      </c>
      <c r="C16669" s="10" t="s">
        <v>344</v>
      </c>
      <c r="D16669" s="10" t="s">
        <v>7471</v>
      </c>
      <c r="E16669" s="11"/>
      <c r="F16669" s="12">
        <f>ROUND(18.89*(1+G2/100),2)</f>
        <v>18.89</v>
      </c>
      <c r="G16669" s="11"/>
    </row>
    <row r="16670" ht="104.25" customHeight="1">
      <c r="A16670" s="11"/>
      <c r="B16670" s="11"/>
      <c r="C16670" s="11"/>
      <c r="D16670" s="10" t="s">
        <v>7472</v>
      </c>
    </row>
    <row r="16671" ht="30.0" customHeight="1">
      <c r="A16671" s="13" t="s">
        <v>7473</v>
      </c>
      <c r="B16671" s="10" t="s">
        <v>42</v>
      </c>
      <c r="C16671" s="10" t="s">
        <v>344</v>
      </c>
      <c r="D16671" s="10" t="s">
        <v>7474</v>
      </c>
      <c r="E16671" s="11"/>
      <c r="F16671" s="12">
        <f>ROUND(22.74*(1+G2/100),2)</f>
        <v>22.74</v>
      </c>
      <c r="G16671" s="11"/>
    </row>
    <row r="16672" ht="95.25" customHeight="1">
      <c r="A16672" s="11"/>
      <c r="B16672" s="11"/>
      <c r="C16672" s="11"/>
      <c r="D16672" s="10" t="s">
        <v>7475</v>
      </c>
    </row>
    <row r="16673" ht="30.0" customHeight="1">
      <c r="A16673" s="13" t="s">
        <v>7476</v>
      </c>
      <c r="B16673" s="10" t="s">
        <v>42</v>
      </c>
      <c r="C16673" s="10" t="s">
        <v>344</v>
      </c>
      <c r="D16673" s="10" t="s">
        <v>7477</v>
      </c>
      <c r="E16673" s="11"/>
      <c r="F16673" s="12">
        <f>ROUND(9.74*(1+G2/100),2)</f>
        <v>9.74</v>
      </c>
      <c r="G16673" s="11"/>
    </row>
    <row r="16674" ht="39.75" customHeight="1">
      <c r="A16674" s="11"/>
      <c r="B16674" s="11"/>
      <c r="C16674" s="11"/>
      <c r="D16674" s="10" t="s">
        <v>7478</v>
      </c>
    </row>
    <row r="16675" ht="30.0" customHeight="1">
      <c r="A16675" s="13" t="s">
        <v>7479</v>
      </c>
      <c r="B16675" s="10" t="s">
        <v>42</v>
      </c>
      <c r="C16675" s="10" t="s">
        <v>344</v>
      </c>
      <c r="D16675" s="10" t="s">
        <v>7480</v>
      </c>
      <c r="E16675" s="11"/>
      <c r="F16675" s="12">
        <f>ROUND(14.12*(1+G2/100),2)</f>
        <v>14.12</v>
      </c>
      <c r="G16675" s="11"/>
    </row>
    <row r="16676" ht="39.75" customHeight="1">
      <c r="A16676" s="11"/>
      <c r="B16676" s="11"/>
      <c r="C16676" s="11"/>
      <c r="D16676" s="10" t="s">
        <v>7481</v>
      </c>
    </row>
    <row r="16677" ht="30.0" customHeight="1">
      <c r="A16677" s="13" t="s">
        <v>3242</v>
      </c>
      <c r="B16677" s="10" t="s">
        <v>42</v>
      </c>
      <c r="C16677" s="10" t="s">
        <v>344</v>
      </c>
      <c r="D16677" s="10" t="s">
        <v>3243</v>
      </c>
      <c r="E16677" s="11"/>
      <c r="F16677" s="12">
        <f>ROUND(24*(1+G2/100),2)</f>
        <v>24</v>
      </c>
      <c r="G16677" s="11"/>
    </row>
    <row r="16678" ht="39.75" customHeight="1">
      <c r="A16678" s="11"/>
      <c r="B16678" s="11"/>
      <c r="C16678" s="11"/>
      <c r="D16678" s="10" t="s">
        <v>7482</v>
      </c>
    </row>
    <row r="16679" ht="30.0" customHeight="1">
      <c r="A16679" s="13" t="s">
        <v>7483</v>
      </c>
      <c r="B16679" s="10" t="s">
        <v>42</v>
      </c>
      <c r="C16679" s="10" t="s">
        <v>344</v>
      </c>
      <c r="D16679" s="10" t="s">
        <v>7484</v>
      </c>
      <c r="E16679" s="11"/>
      <c r="F16679" s="12">
        <f>ROUND(8.04*(1+G2/100),2)</f>
        <v>8.04</v>
      </c>
      <c r="G16679" s="11"/>
    </row>
    <row r="16680" ht="39.75" customHeight="1">
      <c r="A16680" s="11"/>
      <c r="B16680" s="11"/>
      <c r="C16680" s="11"/>
      <c r="D16680" s="10" t="s">
        <v>7485</v>
      </c>
    </row>
    <row r="16681" ht="30.0" customHeight="1">
      <c r="A16681" s="13" t="s">
        <v>7486</v>
      </c>
      <c r="B16681" s="10" t="s">
        <v>42</v>
      </c>
      <c r="C16681" s="10" t="s">
        <v>344</v>
      </c>
      <c r="D16681" s="10" t="s">
        <v>7487</v>
      </c>
      <c r="E16681" s="11"/>
      <c r="F16681" s="12">
        <f>ROUND(8.58*(1+G2/100),2)</f>
        <v>8.58</v>
      </c>
      <c r="G16681" s="11"/>
    </row>
    <row r="16682" ht="39.75" customHeight="1">
      <c r="A16682" s="11"/>
      <c r="B16682" s="11"/>
      <c r="C16682" s="11"/>
      <c r="D16682" s="10" t="s">
        <v>7488</v>
      </c>
    </row>
    <row r="16683" ht="30.0" customHeight="1">
      <c r="A16683" s="13" t="s">
        <v>7489</v>
      </c>
      <c r="B16683" s="10" t="s">
        <v>42</v>
      </c>
      <c r="C16683" s="10" t="s">
        <v>344</v>
      </c>
      <c r="D16683" s="10" t="s">
        <v>7490</v>
      </c>
      <c r="E16683" s="11"/>
      <c r="F16683" s="12">
        <f>ROUND(10.99*(1+G2/100),2)</f>
        <v>10.99</v>
      </c>
      <c r="G16683" s="11"/>
    </row>
    <row r="16684" ht="39.75" customHeight="1">
      <c r="A16684" s="11"/>
      <c r="B16684" s="11"/>
      <c r="C16684" s="11"/>
      <c r="D16684" s="10" t="s">
        <v>7488</v>
      </c>
    </row>
    <row r="16685" ht="21.0" customHeight="1">
      <c r="A16685" s="13" t="s">
        <v>3569</v>
      </c>
      <c r="B16685" s="10" t="s">
        <v>42</v>
      </c>
      <c r="C16685" s="10" t="s">
        <v>344</v>
      </c>
      <c r="D16685" s="10" t="s">
        <v>3570</v>
      </c>
      <c r="E16685" s="11"/>
      <c r="F16685" s="12">
        <f>ROUND(5.5*(1+G2/100),2)</f>
        <v>5.5</v>
      </c>
      <c r="G16685" s="11"/>
    </row>
    <row r="16686" ht="30.0" customHeight="1">
      <c r="A16686" s="11"/>
      <c r="B16686" s="11"/>
      <c r="C16686" s="11"/>
      <c r="D16686" s="10" t="s">
        <v>7491</v>
      </c>
    </row>
    <row r="16687" ht="30.0" customHeight="1">
      <c r="A16687" s="13" t="s">
        <v>7492</v>
      </c>
      <c r="B16687" s="10" t="s">
        <v>42</v>
      </c>
      <c r="C16687" s="10" t="s">
        <v>344</v>
      </c>
      <c r="D16687" s="10" t="s">
        <v>7493</v>
      </c>
      <c r="E16687" s="11"/>
      <c r="F16687" s="12">
        <f>ROUND(49.95*(1+G2/100),2)</f>
        <v>49.95</v>
      </c>
      <c r="G16687" s="11"/>
    </row>
    <row r="16688" ht="12.0" customHeight="1">
      <c r="A16688" s="11"/>
      <c r="B16688" s="11"/>
      <c r="C16688" s="11"/>
      <c r="D16688" s="10" t="s">
        <v>7493</v>
      </c>
    </row>
    <row r="16689" ht="30.0" customHeight="1">
      <c r="A16689" s="13" t="s">
        <v>7494</v>
      </c>
      <c r="B16689" s="10" t="s">
        <v>42</v>
      </c>
      <c r="C16689" s="10" t="s">
        <v>43</v>
      </c>
      <c r="D16689" s="10" t="s">
        <v>5116</v>
      </c>
      <c r="E16689" s="11"/>
      <c r="F16689" s="12">
        <f>ROUND(5.82*(1+G2/100),2)</f>
        <v>5.82</v>
      </c>
      <c r="G16689" s="11"/>
    </row>
    <row r="16690" ht="85.5" customHeight="1">
      <c r="A16690" s="11"/>
      <c r="B16690" s="11"/>
      <c r="C16690" s="11"/>
      <c r="D16690" s="10" t="s">
        <v>7495</v>
      </c>
    </row>
    <row r="16691" ht="15.0" customHeight="1">
      <c r="A16691" s="16"/>
      <c r="B16691" s="16"/>
      <c r="C16691" s="16"/>
      <c r="D16691" s="61" t="s">
        <v>7435</v>
      </c>
      <c r="E16691" s="62"/>
      <c r="F16691" s="62"/>
      <c r="G16691" s="62"/>
    </row>
    <row r="16692" ht="34.5" customHeight="1">
      <c r="A16692" s="34" t="s">
        <v>7496</v>
      </c>
      <c r="B16692" s="34" t="s">
        <v>10</v>
      </c>
      <c r="C16692" s="35"/>
      <c r="D16692" s="34" t="s">
        <v>7497</v>
      </c>
      <c r="E16692" s="35"/>
      <c r="F16692" s="35"/>
      <c r="G16692" s="35"/>
    </row>
    <row r="16693" ht="30.0" customHeight="1">
      <c r="A16693" s="13" t="s">
        <v>586</v>
      </c>
      <c r="B16693" s="10" t="s">
        <v>42</v>
      </c>
      <c r="C16693" s="10" t="s">
        <v>344</v>
      </c>
      <c r="D16693" s="10" t="s">
        <v>587</v>
      </c>
      <c r="E16693" s="11"/>
      <c r="F16693" s="12">
        <f>ROUND(32.22*(1+G2/100),2)</f>
        <v>32.22</v>
      </c>
      <c r="G16693" s="11"/>
    </row>
    <row r="16694" ht="21.0" customHeight="1">
      <c r="A16694" s="11"/>
      <c r="B16694" s="11"/>
      <c r="C16694" s="11"/>
      <c r="D16694" s="10" t="s">
        <v>587</v>
      </c>
    </row>
    <row r="16695" ht="30.0" customHeight="1">
      <c r="A16695" s="13" t="s">
        <v>7498</v>
      </c>
      <c r="B16695" s="10" t="s">
        <v>42</v>
      </c>
      <c r="C16695" s="10" t="s">
        <v>19</v>
      </c>
      <c r="D16695" s="10" t="s">
        <v>7499</v>
      </c>
      <c r="E16695" s="11"/>
      <c r="F16695" s="12">
        <f>ROUND(45.99*(1+G2/100),2)</f>
        <v>45.99</v>
      </c>
      <c r="G16695" s="11"/>
    </row>
    <row r="16696" ht="39.75" customHeight="1">
      <c r="A16696" s="11"/>
      <c r="B16696" s="11"/>
      <c r="C16696" s="11"/>
      <c r="D16696" s="10" t="s">
        <v>7500</v>
      </c>
    </row>
    <row r="16697" ht="30.0" customHeight="1">
      <c r="A16697" s="13" t="s">
        <v>7501</v>
      </c>
      <c r="B16697" s="10" t="s">
        <v>42</v>
      </c>
      <c r="C16697" s="10" t="s">
        <v>344</v>
      </c>
      <c r="D16697" s="10" t="s">
        <v>7502</v>
      </c>
      <c r="E16697" s="11"/>
      <c r="F16697" s="12">
        <f>ROUND(18.99*(1+G2/100),2)</f>
        <v>18.99</v>
      </c>
      <c r="G16697" s="11"/>
    </row>
    <row r="16698" ht="57.75" customHeight="1">
      <c r="A16698" s="11"/>
      <c r="B16698" s="11"/>
      <c r="C16698" s="11"/>
      <c r="D16698" s="10" t="s">
        <v>7503</v>
      </c>
    </row>
    <row r="16699" ht="21.0" customHeight="1">
      <c r="A16699" s="13" t="s">
        <v>7504</v>
      </c>
      <c r="B16699" s="10" t="s">
        <v>42</v>
      </c>
      <c r="C16699" s="10" t="s">
        <v>231</v>
      </c>
      <c r="D16699" s="10" t="s">
        <v>7505</v>
      </c>
      <c r="E16699" s="11"/>
      <c r="F16699" s="12">
        <f>ROUND(81.82*(1+G2/100),2)</f>
        <v>81.82</v>
      </c>
      <c r="G16699" s="11"/>
    </row>
    <row r="16700" ht="67.5" customHeight="1">
      <c r="A16700" s="11"/>
      <c r="B16700" s="11"/>
      <c r="C16700" s="11"/>
      <c r="D16700" s="10" t="s">
        <v>7506</v>
      </c>
    </row>
    <row r="16701" ht="30.0" customHeight="1">
      <c r="A16701" s="13" t="s">
        <v>7507</v>
      </c>
      <c r="B16701" s="10" t="s">
        <v>42</v>
      </c>
      <c r="C16701" s="10" t="s">
        <v>19</v>
      </c>
      <c r="D16701" s="10" t="s">
        <v>7508</v>
      </c>
      <c r="E16701" s="11"/>
      <c r="F16701" s="12">
        <f>ROUND(38.09*(1+G2/100),2)</f>
        <v>38.09</v>
      </c>
      <c r="G16701" s="11"/>
    </row>
    <row r="16702" ht="113.25" customHeight="1">
      <c r="A16702" s="11"/>
      <c r="B16702" s="11"/>
      <c r="C16702" s="11"/>
      <c r="D16702" s="10" t="s">
        <v>7509</v>
      </c>
    </row>
    <row r="16703" ht="39.75" customHeight="1">
      <c r="A16703" s="13" t="s">
        <v>7510</v>
      </c>
      <c r="B16703" s="10" t="s">
        <v>42</v>
      </c>
      <c r="C16703" s="10" t="s">
        <v>325</v>
      </c>
      <c r="D16703" s="10" t="s">
        <v>7511</v>
      </c>
      <c r="E16703" s="11"/>
      <c r="F16703" s="12">
        <f>ROUND(16.19*(1+G2/100),2)</f>
        <v>16.19</v>
      </c>
      <c r="G16703" s="11"/>
    </row>
    <row r="16704" ht="39.75" customHeight="1">
      <c r="A16704" s="11"/>
      <c r="B16704" s="11"/>
      <c r="C16704" s="11"/>
      <c r="D16704" s="10" t="s">
        <v>7512</v>
      </c>
    </row>
    <row r="16705" ht="30.0" customHeight="1">
      <c r="A16705" s="13" t="s">
        <v>7513</v>
      </c>
      <c r="B16705" s="10" t="s">
        <v>42</v>
      </c>
      <c r="C16705" s="10" t="s">
        <v>43</v>
      </c>
      <c r="D16705" s="10" t="s">
        <v>7514</v>
      </c>
      <c r="E16705" s="11"/>
      <c r="F16705" s="12">
        <f>ROUND(6.6*(1+G2/100),2)</f>
        <v>6.6</v>
      </c>
      <c r="G16705" s="11"/>
    </row>
    <row r="16706" ht="39.75" customHeight="1">
      <c r="A16706" s="11"/>
      <c r="B16706" s="11"/>
      <c r="C16706" s="11"/>
      <c r="D16706" s="10" t="s">
        <v>7515</v>
      </c>
    </row>
    <row r="16707" ht="48.75" customHeight="1">
      <c r="A16707" s="13" t="s">
        <v>7516</v>
      </c>
      <c r="B16707" s="10" t="s">
        <v>42</v>
      </c>
      <c r="C16707" s="10" t="s">
        <v>584</v>
      </c>
      <c r="D16707" s="10" t="s">
        <v>7517</v>
      </c>
      <c r="E16707" s="11"/>
      <c r="F16707" s="12">
        <f>ROUND(123.97*(1+G2/100),2)</f>
        <v>123.97</v>
      </c>
      <c r="G16707" s="11"/>
    </row>
    <row r="16708" ht="57.75" customHeight="1">
      <c r="A16708" s="11"/>
      <c r="B16708" s="11"/>
      <c r="C16708" s="11"/>
      <c r="D16708" s="10" t="s">
        <v>7518</v>
      </c>
    </row>
    <row r="16709" ht="48.75" customHeight="1">
      <c r="A16709" s="13" t="s">
        <v>7519</v>
      </c>
      <c r="B16709" s="10" t="s">
        <v>42</v>
      </c>
      <c r="C16709" s="10" t="s">
        <v>584</v>
      </c>
      <c r="D16709" s="10" t="s">
        <v>7520</v>
      </c>
      <c r="E16709" s="11"/>
      <c r="F16709" s="12">
        <f>ROUND(96.69*(1+G2/100),2)</f>
        <v>96.69</v>
      </c>
      <c r="G16709" s="11"/>
    </row>
    <row r="16710" ht="233.25" customHeight="1">
      <c r="A16710" s="11"/>
      <c r="B16710" s="11"/>
      <c r="C16710" s="11"/>
      <c r="D16710" s="10" t="s">
        <v>7521</v>
      </c>
    </row>
    <row r="16711" ht="21.0" customHeight="1">
      <c r="A16711" s="13" t="s">
        <v>235</v>
      </c>
      <c r="B16711" s="10" t="s">
        <v>42</v>
      </c>
      <c r="C16711" s="10" t="s">
        <v>231</v>
      </c>
      <c r="D16711" s="10" t="s">
        <v>236</v>
      </c>
      <c r="E16711" s="11"/>
      <c r="F16711" s="12">
        <f>ROUND(30.17*(1+G2/100),2)</f>
        <v>30.17</v>
      </c>
      <c r="G16711" s="11"/>
    </row>
    <row r="16712" ht="39.75" customHeight="1">
      <c r="A16712" s="11"/>
      <c r="B16712" s="11"/>
      <c r="C16712" s="11"/>
      <c r="D16712" s="10" t="s">
        <v>7522</v>
      </c>
    </row>
    <row r="16713" ht="30.0" customHeight="1">
      <c r="A16713" s="13" t="s">
        <v>233</v>
      </c>
      <c r="B16713" s="10" t="s">
        <v>42</v>
      </c>
      <c r="C16713" s="10" t="s">
        <v>231</v>
      </c>
      <c r="D16713" s="10" t="s">
        <v>234</v>
      </c>
      <c r="E16713" s="11"/>
      <c r="F16713" s="12">
        <f>ROUND(23.46*(1+G2/100),2)</f>
        <v>23.46</v>
      </c>
      <c r="G16713" s="11"/>
    </row>
    <row r="16714" ht="76.5" customHeight="1">
      <c r="A16714" s="11"/>
      <c r="B16714" s="11"/>
      <c r="C16714" s="11"/>
      <c r="D16714" s="10" t="s">
        <v>7523</v>
      </c>
    </row>
    <row r="16715" ht="30.0" customHeight="1">
      <c r="A16715" s="13" t="s">
        <v>7524</v>
      </c>
      <c r="B16715" s="10" t="s">
        <v>42</v>
      </c>
      <c r="C16715" s="10" t="s">
        <v>344</v>
      </c>
      <c r="D16715" s="10" t="s">
        <v>7525</v>
      </c>
      <c r="E16715" s="11"/>
      <c r="F16715" s="12">
        <f>ROUND(27.5*(1+G2/100),2)</f>
        <v>27.5</v>
      </c>
      <c r="G16715" s="11"/>
    </row>
    <row r="16716" ht="12.0" customHeight="1">
      <c r="A16716" s="11"/>
      <c r="B16716" s="11"/>
      <c r="C16716" s="11"/>
      <c r="D16716" s="10" t="s">
        <v>7525</v>
      </c>
    </row>
    <row r="16717" ht="30.0" customHeight="1">
      <c r="A16717" s="13" t="s">
        <v>7526</v>
      </c>
      <c r="B16717" s="10" t="s">
        <v>42</v>
      </c>
      <c r="C16717" s="10" t="s">
        <v>344</v>
      </c>
      <c r="D16717" s="10" t="s">
        <v>7527</v>
      </c>
      <c r="E16717" s="11"/>
      <c r="F16717" s="12">
        <f>ROUND(11.59*(1+G2/100),2)</f>
        <v>11.59</v>
      </c>
      <c r="G16717" s="11"/>
    </row>
    <row r="16718" ht="12.0" customHeight="1">
      <c r="A16718" s="11"/>
      <c r="B16718" s="11"/>
      <c r="C16718" s="11"/>
      <c r="D16718" s="10" t="s">
        <v>7527</v>
      </c>
    </row>
    <row r="16719" ht="30.0" customHeight="1">
      <c r="A16719" s="13" t="s">
        <v>7528</v>
      </c>
      <c r="B16719" s="10" t="s">
        <v>42</v>
      </c>
      <c r="C16719" s="10" t="s">
        <v>344</v>
      </c>
      <c r="D16719" s="10" t="s">
        <v>7529</v>
      </c>
      <c r="E16719" s="11"/>
      <c r="F16719" s="12">
        <f>ROUND(18.49*(1+G2/100),2)</f>
        <v>18.49</v>
      </c>
      <c r="G16719" s="11"/>
    </row>
    <row r="16720" ht="12.0" customHeight="1">
      <c r="A16720" s="11"/>
      <c r="B16720" s="11"/>
      <c r="C16720" s="11"/>
      <c r="D16720" s="10" t="s">
        <v>7529</v>
      </c>
    </row>
    <row r="16721" ht="30.0" customHeight="1">
      <c r="A16721" s="13" t="s">
        <v>7530</v>
      </c>
      <c r="B16721" s="10" t="s">
        <v>42</v>
      </c>
      <c r="C16721" s="10" t="s">
        <v>4401</v>
      </c>
      <c r="D16721" s="10" t="s">
        <v>7531</v>
      </c>
      <c r="E16721" s="11"/>
      <c r="F16721" s="12">
        <f>ROUND(162.83*(1+G2/100),2)</f>
        <v>162.83</v>
      </c>
      <c r="G16721" s="11"/>
    </row>
    <row r="16722" ht="39.75" customHeight="1">
      <c r="A16722" s="11"/>
      <c r="B16722" s="11"/>
      <c r="C16722" s="11"/>
      <c r="D16722" s="10" t="s">
        <v>7532</v>
      </c>
    </row>
    <row r="16723" ht="24.75" customHeight="1">
      <c r="A16723" s="16"/>
      <c r="B16723" s="16"/>
      <c r="C16723" s="16"/>
      <c r="D16723" s="61" t="s">
        <v>7496</v>
      </c>
      <c r="E16723" s="62"/>
      <c r="F16723" s="62"/>
      <c r="G16723" s="62"/>
    </row>
    <row r="16724" ht="24.75" customHeight="1">
      <c r="A16724" s="34" t="s">
        <v>7533</v>
      </c>
      <c r="B16724" s="34" t="s">
        <v>10</v>
      </c>
      <c r="C16724" s="35"/>
      <c r="D16724" s="34" t="s">
        <v>7534</v>
      </c>
      <c r="E16724" s="35"/>
      <c r="F16724" s="35"/>
      <c r="G16724" s="35"/>
    </row>
    <row r="16725" ht="21.0" customHeight="1">
      <c r="A16725" s="13" t="s">
        <v>7535</v>
      </c>
      <c r="B16725" s="10" t="s">
        <v>42</v>
      </c>
      <c r="C16725" s="10" t="s">
        <v>344</v>
      </c>
      <c r="D16725" s="10" t="s">
        <v>7536</v>
      </c>
      <c r="E16725" s="11"/>
      <c r="F16725" s="12">
        <f>ROUND(8.92*(1+G2/100),2)</f>
        <v>8.92</v>
      </c>
      <c r="G16725" s="11"/>
    </row>
    <row r="16726" ht="39.75" customHeight="1">
      <c r="A16726" s="11"/>
      <c r="B16726" s="11"/>
      <c r="C16726" s="11"/>
      <c r="D16726" s="10" t="s">
        <v>7537</v>
      </c>
    </row>
    <row r="16727" ht="21.0" customHeight="1">
      <c r="A16727" s="13" t="s">
        <v>7538</v>
      </c>
      <c r="B16727" s="10" t="s">
        <v>42</v>
      </c>
      <c r="C16727" s="10" t="s">
        <v>344</v>
      </c>
      <c r="D16727" s="10" t="s">
        <v>7539</v>
      </c>
      <c r="E16727" s="11"/>
      <c r="F16727" s="12">
        <f>ROUND(7.64*(1+G2/100),2)</f>
        <v>7.64</v>
      </c>
      <c r="G16727" s="11"/>
    </row>
    <row r="16728" ht="39.75" customHeight="1">
      <c r="A16728" s="11"/>
      <c r="B16728" s="11"/>
      <c r="C16728" s="11"/>
      <c r="D16728" s="10" t="s">
        <v>7540</v>
      </c>
    </row>
    <row r="16729" ht="21.0" customHeight="1">
      <c r="A16729" s="13" t="s">
        <v>3108</v>
      </c>
      <c r="B16729" s="10" t="s">
        <v>42</v>
      </c>
      <c r="C16729" s="10" t="s">
        <v>344</v>
      </c>
      <c r="D16729" s="10" t="s">
        <v>3109</v>
      </c>
      <c r="E16729" s="11"/>
      <c r="F16729" s="12">
        <f>ROUND(16.52*(1+G2/100),2)</f>
        <v>16.52</v>
      </c>
      <c r="G16729" s="11"/>
    </row>
    <row r="16730" ht="39.75" customHeight="1">
      <c r="A16730" s="11"/>
      <c r="B16730" s="11"/>
      <c r="C16730" s="11"/>
      <c r="D16730" s="10" t="s">
        <v>7541</v>
      </c>
    </row>
    <row r="16731" ht="30.0" customHeight="1">
      <c r="A16731" s="13" t="s">
        <v>7542</v>
      </c>
      <c r="B16731" s="10" t="s">
        <v>42</v>
      </c>
      <c r="C16731" s="10" t="s">
        <v>344</v>
      </c>
      <c r="D16731" s="10" t="s">
        <v>7543</v>
      </c>
      <c r="E16731" s="11"/>
      <c r="F16731" s="12">
        <f>ROUND(1.83*(1+G2/100),2)</f>
        <v>1.83</v>
      </c>
      <c r="G16731" s="11"/>
    </row>
    <row r="16732" ht="21.0" customHeight="1">
      <c r="A16732" s="11"/>
      <c r="B16732" s="11"/>
      <c r="C16732" s="11"/>
      <c r="D16732" s="10" t="s">
        <v>7544</v>
      </c>
    </row>
    <row r="16733" ht="39.75" customHeight="1">
      <c r="A16733" s="13" t="s">
        <v>3155</v>
      </c>
      <c r="B16733" s="10" t="s">
        <v>42</v>
      </c>
      <c r="C16733" s="10" t="s">
        <v>231</v>
      </c>
      <c r="D16733" s="10" t="s">
        <v>3156</v>
      </c>
      <c r="E16733" s="11"/>
      <c r="F16733" s="12">
        <f>ROUND(29.74*(1+G2/100),2)</f>
        <v>29.74</v>
      </c>
      <c r="G16733" s="11"/>
    </row>
    <row r="16734" ht="39.75" customHeight="1">
      <c r="A16734" s="11"/>
      <c r="B16734" s="11"/>
      <c r="C16734" s="11"/>
      <c r="D16734" s="10" t="s">
        <v>7545</v>
      </c>
    </row>
    <row r="16735" ht="21.0" customHeight="1">
      <c r="A16735" s="13" t="s">
        <v>7546</v>
      </c>
      <c r="B16735" s="10" t="s">
        <v>42</v>
      </c>
      <c r="C16735" s="10" t="s">
        <v>344</v>
      </c>
      <c r="D16735" s="10" t="s">
        <v>7547</v>
      </c>
      <c r="E16735" s="11"/>
      <c r="F16735" s="12">
        <f>ROUND(3.37*(1+G2/100),2)</f>
        <v>3.37</v>
      </c>
      <c r="G16735" s="11"/>
    </row>
    <row r="16736" ht="12.0" customHeight="1">
      <c r="A16736" s="11"/>
      <c r="B16736" s="11"/>
      <c r="C16736" s="11"/>
      <c r="D16736" s="10" t="s">
        <v>7547</v>
      </c>
    </row>
    <row r="16737" ht="21.0" customHeight="1">
      <c r="A16737" s="13" t="s">
        <v>353</v>
      </c>
      <c r="B16737" s="10" t="s">
        <v>42</v>
      </c>
      <c r="C16737" s="10" t="s">
        <v>344</v>
      </c>
      <c r="D16737" s="10" t="s">
        <v>354</v>
      </c>
      <c r="E16737" s="11"/>
      <c r="F16737" s="12">
        <f>ROUND(4.06*(1+G2/100),2)</f>
        <v>4.06</v>
      </c>
      <c r="G16737" s="11"/>
    </row>
    <row r="16738" ht="12.0" customHeight="1">
      <c r="A16738" s="11"/>
      <c r="B16738" s="11"/>
      <c r="C16738" s="11"/>
      <c r="D16738" s="10" t="s">
        <v>354</v>
      </c>
    </row>
    <row r="16739" ht="30.0" customHeight="1">
      <c r="A16739" s="13" t="s">
        <v>7548</v>
      </c>
      <c r="B16739" s="10" t="s">
        <v>42</v>
      </c>
      <c r="C16739" s="10" t="s">
        <v>584</v>
      </c>
      <c r="D16739" s="10" t="s">
        <v>7549</v>
      </c>
      <c r="E16739" s="11"/>
      <c r="F16739" s="12">
        <f>ROUND(5.8*(1+G2/100),2)</f>
        <v>5.8</v>
      </c>
      <c r="G16739" s="11"/>
    </row>
    <row r="16740" ht="30.0" customHeight="1">
      <c r="A16740" s="11"/>
      <c r="B16740" s="11"/>
      <c r="C16740" s="11"/>
      <c r="D16740" s="10" t="s">
        <v>7550</v>
      </c>
    </row>
    <row r="16741" ht="39.75" customHeight="1">
      <c r="A16741" s="13" t="s">
        <v>3110</v>
      </c>
      <c r="B16741" s="10" t="s">
        <v>42</v>
      </c>
      <c r="C16741" s="10" t="s">
        <v>584</v>
      </c>
      <c r="D16741" s="10" t="s">
        <v>3111</v>
      </c>
      <c r="E16741" s="11"/>
      <c r="F16741" s="12">
        <f>ROUND(6.89*(1+G2/100),2)</f>
        <v>6.89</v>
      </c>
      <c r="G16741" s="11"/>
    </row>
    <row r="16742" ht="30.0" customHeight="1">
      <c r="A16742" s="11"/>
      <c r="B16742" s="11"/>
      <c r="C16742" s="11"/>
      <c r="D16742" s="10" t="s">
        <v>7551</v>
      </c>
    </row>
    <row r="16743" ht="30.0" customHeight="1">
      <c r="A16743" s="13" t="s">
        <v>7552</v>
      </c>
      <c r="B16743" s="10" t="s">
        <v>42</v>
      </c>
      <c r="C16743" s="10" t="s">
        <v>344</v>
      </c>
      <c r="D16743" s="10" t="s">
        <v>7553</v>
      </c>
      <c r="E16743" s="11"/>
      <c r="F16743" s="12">
        <f>ROUND(2.35*(1+G2/100),2)</f>
        <v>2.35</v>
      </c>
      <c r="G16743" s="11"/>
    </row>
    <row r="16744" ht="39.75" customHeight="1">
      <c r="A16744" s="11"/>
      <c r="B16744" s="11"/>
      <c r="C16744" s="11"/>
      <c r="D16744" s="10" t="s">
        <v>7554</v>
      </c>
    </row>
    <row r="16745" ht="30.0" customHeight="1">
      <c r="A16745" s="13" t="s">
        <v>7555</v>
      </c>
      <c r="B16745" s="10" t="s">
        <v>42</v>
      </c>
      <c r="C16745" s="10" t="s">
        <v>344</v>
      </c>
      <c r="D16745" s="10" t="s">
        <v>7556</v>
      </c>
      <c r="E16745" s="11"/>
      <c r="F16745" s="12">
        <f>ROUND(1.8*(1+G2/100),2)</f>
        <v>1.8</v>
      </c>
      <c r="G16745" s="11"/>
    </row>
    <row r="16746" ht="39.75" customHeight="1">
      <c r="A16746" s="11"/>
      <c r="B16746" s="11"/>
      <c r="C16746" s="11"/>
      <c r="D16746" s="10" t="s">
        <v>7557</v>
      </c>
    </row>
    <row r="16747" ht="30.0" customHeight="1">
      <c r="A16747" s="13" t="s">
        <v>7558</v>
      </c>
      <c r="B16747" s="10" t="s">
        <v>42</v>
      </c>
      <c r="C16747" s="10" t="s">
        <v>344</v>
      </c>
      <c r="D16747" s="10" t="s">
        <v>7559</v>
      </c>
      <c r="E16747" s="11"/>
      <c r="F16747" s="12">
        <f>ROUND(2.42*(1+G2/100),2)</f>
        <v>2.42</v>
      </c>
      <c r="G16747" s="11"/>
    </row>
    <row r="16748" ht="39.75" customHeight="1">
      <c r="A16748" s="11"/>
      <c r="B16748" s="11"/>
      <c r="C16748" s="11"/>
      <c r="D16748" s="10" t="s">
        <v>7560</v>
      </c>
    </row>
    <row r="16749" ht="30.0" customHeight="1">
      <c r="A16749" s="13" t="s">
        <v>3139</v>
      </c>
      <c r="B16749" s="10" t="s">
        <v>42</v>
      </c>
      <c r="C16749" s="10" t="s">
        <v>226</v>
      </c>
      <c r="D16749" s="10" t="s">
        <v>3140</v>
      </c>
      <c r="E16749" s="11"/>
      <c r="F16749" s="12">
        <f>ROUND(25.45*(1+G2/100),2)</f>
        <v>25.45</v>
      </c>
      <c r="G16749" s="11"/>
    </row>
    <row r="16750" ht="21.0" customHeight="1">
      <c r="A16750" s="11"/>
      <c r="B16750" s="11"/>
      <c r="C16750" s="11"/>
      <c r="D16750" s="10" t="s">
        <v>7561</v>
      </c>
    </row>
    <row r="16751" ht="30.0" customHeight="1">
      <c r="A16751" s="13" t="s">
        <v>7562</v>
      </c>
      <c r="B16751" s="10" t="s">
        <v>42</v>
      </c>
      <c r="C16751" s="10" t="s">
        <v>351</v>
      </c>
      <c r="D16751" s="10" t="s">
        <v>7563</v>
      </c>
      <c r="E16751" s="11"/>
      <c r="F16751" s="12">
        <f>ROUND(0.95*(1+G2/100),2)</f>
        <v>0.95</v>
      </c>
      <c r="G16751" s="11"/>
    </row>
    <row r="16752" ht="12.0" customHeight="1">
      <c r="A16752" s="11"/>
      <c r="B16752" s="11"/>
      <c r="C16752" s="11"/>
      <c r="D16752" s="10" t="s">
        <v>7563</v>
      </c>
    </row>
    <row r="16753" ht="30.0" customHeight="1">
      <c r="A16753" s="13" t="s">
        <v>350</v>
      </c>
      <c r="B16753" s="10" t="s">
        <v>42</v>
      </c>
      <c r="C16753" s="10" t="s">
        <v>351</v>
      </c>
      <c r="D16753" s="10" t="s">
        <v>352</v>
      </c>
      <c r="E16753" s="11"/>
      <c r="F16753" s="12">
        <f>ROUND(1.33*(1+G2/100),2)</f>
        <v>1.33</v>
      </c>
      <c r="G16753" s="11"/>
    </row>
    <row r="16754" ht="12.0" customHeight="1">
      <c r="A16754" s="11"/>
      <c r="B16754" s="11"/>
      <c r="C16754" s="11"/>
      <c r="D16754" s="10" t="s">
        <v>352</v>
      </c>
    </row>
    <row r="16755" ht="30.0" customHeight="1">
      <c r="A16755" s="13" t="s">
        <v>355</v>
      </c>
      <c r="B16755" s="10" t="s">
        <v>42</v>
      </c>
      <c r="C16755" s="10" t="s">
        <v>226</v>
      </c>
      <c r="D16755" s="10" t="s">
        <v>356</v>
      </c>
      <c r="E16755" s="11"/>
      <c r="F16755" s="12">
        <f>ROUND(4.1*(1+G2/100),2)</f>
        <v>4.1</v>
      </c>
      <c r="G16755" s="11"/>
    </row>
    <row r="16756" ht="67.5" customHeight="1">
      <c r="A16756" s="11"/>
      <c r="B16756" s="11"/>
      <c r="C16756" s="11"/>
      <c r="D16756" s="10" t="s">
        <v>7564</v>
      </c>
    </row>
    <row r="16757" ht="21.0" customHeight="1">
      <c r="A16757" s="13" t="s">
        <v>3141</v>
      </c>
      <c r="B16757" s="10" t="s">
        <v>42</v>
      </c>
      <c r="C16757" s="10" t="s">
        <v>226</v>
      </c>
      <c r="D16757" s="10" t="s">
        <v>3142</v>
      </c>
      <c r="E16757" s="11"/>
      <c r="F16757" s="12">
        <f>ROUND(0.7*(1+G2/100),2)</f>
        <v>0.7</v>
      </c>
      <c r="G16757" s="11"/>
    </row>
    <row r="16758" ht="57.75" customHeight="1">
      <c r="A16758" s="11"/>
      <c r="B16758" s="11"/>
      <c r="C16758" s="11"/>
      <c r="D16758" s="10" t="s">
        <v>7565</v>
      </c>
    </row>
    <row r="16759" ht="39.75" customHeight="1">
      <c r="A16759" s="13" t="s">
        <v>3148</v>
      </c>
      <c r="B16759" s="10" t="s">
        <v>42</v>
      </c>
      <c r="C16759" s="10" t="s">
        <v>231</v>
      </c>
      <c r="D16759" s="10" t="s">
        <v>3149</v>
      </c>
      <c r="E16759" s="11"/>
      <c r="F16759" s="12">
        <f>ROUND(100.83*(1+G2/100),2)</f>
        <v>100.83</v>
      </c>
      <c r="G16759" s="11"/>
    </row>
    <row r="16760" ht="48.75" customHeight="1">
      <c r="A16760" s="11"/>
      <c r="B16760" s="11"/>
      <c r="C16760" s="11"/>
      <c r="D16760" s="10" t="s">
        <v>7566</v>
      </c>
    </row>
    <row r="16761" ht="21.0" customHeight="1">
      <c r="A16761" s="13" t="s">
        <v>7567</v>
      </c>
      <c r="B16761" s="10" t="s">
        <v>42</v>
      </c>
      <c r="C16761" s="10" t="s">
        <v>351</v>
      </c>
      <c r="D16761" s="10" t="s">
        <v>7568</v>
      </c>
      <c r="E16761" s="11"/>
      <c r="F16761" s="12">
        <f>ROUND(0.2*(1+G2/100),2)</f>
        <v>0.2</v>
      </c>
      <c r="G16761" s="11"/>
    </row>
    <row r="16762" ht="30.0" customHeight="1">
      <c r="A16762" s="11"/>
      <c r="B16762" s="11"/>
      <c r="C16762" s="11"/>
      <c r="D16762" s="10" t="s">
        <v>7569</v>
      </c>
    </row>
    <row r="16763" ht="15.0" customHeight="1">
      <c r="A16763" s="16"/>
      <c r="B16763" s="16"/>
      <c r="C16763" s="16"/>
      <c r="D16763" s="61" t="s">
        <v>7533</v>
      </c>
      <c r="E16763" s="62"/>
      <c r="F16763" s="62"/>
      <c r="G16763" s="62"/>
    </row>
    <row r="16764" ht="15.0" customHeight="1">
      <c r="A16764" s="19" t="s">
        <v>7570</v>
      </c>
      <c r="B16764" s="20" t="s">
        <v>42</v>
      </c>
      <c r="C16764" s="20" t="s">
        <v>231</v>
      </c>
      <c r="D16764" s="20" t="s">
        <v>7571</v>
      </c>
      <c r="E16764" s="21"/>
      <c r="F16764" s="22">
        <f>ROUND(0*(1+G2/100),2)</f>
        <v>0</v>
      </c>
      <c r="G16764" s="21"/>
    </row>
    <row r="16765" ht="85.5" customHeight="1">
      <c r="A16765" s="11"/>
      <c r="B16765" s="11"/>
      <c r="C16765" s="11"/>
      <c r="D16765" s="10" t="s">
        <v>7572</v>
      </c>
    </row>
    <row r="16766" ht="34.5" customHeight="1">
      <c r="A16766" s="40" t="s">
        <v>7573</v>
      </c>
      <c r="B16766" s="40" t="s">
        <v>10</v>
      </c>
      <c r="C16766" s="41"/>
      <c r="D16766" s="40" t="s">
        <v>7574</v>
      </c>
      <c r="E16766" s="41"/>
      <c r="F16766" s="41"/>
      <c r="G16766" s="41"/>
    </row>
    <row r="16767" ht="48.75" customHeight="1">
      <c r="A16767" s="13" t="s">
        <v>7575</v>
      </c>
      <c r="B16767" s="10" t="s">
        <v>42</v>
      </c>
      <c r="C16767" s="10" t="s">
        <v>184</v>
      </c>
      <c r="D16767" s="10" t="s">
        <v>7576</v>
      </c>
      <c r="E16767" s="11"/>
      <c r="F16767" s="12">
        <f>ROUND(16.37*(1+G2/100),2)</f>
        <v>16.37</v>
      </c>
      <c r="G16767" s="11"/>
    </row>
    <row r="16768" ht="363.0" customHeight="1">
      <c r="A16768" s="11"/>
      <c r="B16768" s="11"/>
      <c r="C16768" s="11"/>
      <c r="D16768" s="10" t="s">
        <v>7577</v>
      </c>
    </row>
    <row r="16769" ht="39.75" customHeight="1">
      <c r="A16769" s="13" t="s">
        <v>4087</v>
      </c>
      <c r="B16769" s="10" t="s">
        <v>42</v>
      </c>
      <c r="C16769" s="10" t="s">
        <v>184</v>
      </c>
      <c r="D16769" s="10" t="s">
        <v>4088</v>
      </c>
      <c r="E16769" s="11"/>
      <c r="F16769" s="12">
        <f>ROUND(50.82*(1+G2/100),2)</f>
        <v>50.82</v>
      </c>
      <c r="G16769" s="11"/>
    </row>
    <row r="16770" ht="270.75" customHeight="1">
      <c r="A16770" s="11"/>
      <c r="B16770" s="11"/>
      <c r="C16770" s="11"/>
      <c r="D16770" s="10" t="s">
        <v>7578</v>
      </c>
    </row>
    <row r="16771" ht="57.75" customHeight="1">
      <c r="A16771" s="13" t="s">
        <v>7579</v>
      </c>
      <c r="B16771" s="10" t="s">
        <v>42</v>
      </c>
      <c r="C16771" s="10" t="s">
        <v>184</v>
      </c>
      <c r="D16771" s="10" t="s">
        <v>7580</v>
      </c>
      <c r="E16771" s="11"/>
      <c r="F16771" s="12">
        <f>ROUND(16.52*(1+G2/100),2)</f>
        <v>16.52</v>
      </c>
      <c r="G16771" s="11"/>
    </row>
    <row r="16772" ht="95.25" customHeight="1">
      <c r="A16772" s="11"/>
      <c r="B16772" s="11"/>
      <c r="C16772" s="11"/>
      <c r="D16772" s="10" t="s">
        <v>7581</v>
      </c>
    </row>
    <row r="16773" ht="57.75" customHeight="1">
      <c r="A16773" s="13" t="s">
        <v>4698</v>
      </c>
      <c r="B16773" s="10" t="s">
        <v>42</v>
      </c>
      <c r="C16773" s="10" t="s">
        <v>184</v>
      </c>
      <c r="D16773" s="10" t="s">
        <v>4699</v>
      </c>
      <c r="E16773" s="11"/>
      <c r="F16773" s="12">
        <f>ROUND(16.25*(1+G2/100),2)</f>
        <v>16.25</v>
      </c>
      <c r="G16773" s="11"/>
    </row>
    <row r="16774" ht="95.25" customHeight="1">
      <c r="A16774" s="11"/>
      <c r="B16774" s="11"/>
      <c r="C16774" s="11"/>
      <c r="D16774" s="10" t="s">
        <v>7582</v>
      </c>
    </row>
    <row r="16775" ht="30.0" customHeight="1">
      <c r="A16775" s="13" t="s">
        <v>1308</v>
      </c>
      <c r="B16775" s="10" t="s">
        <v>42</v>
      </c>
      <c r="C16775" s="10" t="s">
        <v>184</v>
      </c>
      <c r="D16775" s="10" t="s">
        <v>1309</v>
      </c>
      <c r="E16775" s="11"/>
      <c r="F16775" s="12">
        <f>ROUND(29.84*(1+G2/100),2)</f>
        <v>29.84</v>
      </c>
      <c r="G16775" s="11"/>
    </row>
    <row r="16776" ht="224.25" customHeight="1">
      <c r="A16776" s="11"/>
      <c r="B16776" s="11"/>
      <c r="C16776" s="11"/>
      <c r="D16776" s="10" t="s">
        <v>7583</v>
      </c>
    </row>
    <row r="16777" ht="39.75" customHeight="1">
      <c r="A16777" s="13" t="s">
        <v>1873</v>
      </c>
      <c r="B16777" s="10" t="s">
        <v>42</v>
      </c>
      <c r="C16777" s="10" t="s">
        <v>184</v>
      </c>
      <c r="D16777" s="10" t="s">
        <v>1874</v>
      </c>
      <c r="E16777" s="11"/>
      <c r="F16777" s="12">
        <f>ROUND(20.04*(1+G2/100),2)</f>
        <v>20.04</v>
      </c>
      <c r="G16777" s="11"/>
    </row>
    <row r="16778" ht="67.5" customHeight="1">
      <c r="A16778" s="11"/>
      <c r="B16778" s="11"/>
      <c r="C16778" s="11"/>
      <c r="D16778" s="10" t="s">
        <v>7584</v>
      </c>
    </row>
    <row r="16779" ht="48.75" customHeight="1">
      <c r="A16779" s="13" t="s">
        <v>4418</v>
      </c>
      <c r="B16779" s="10" t="s">
        <v>42</v>
      </c>
      <c r="C16779" s="10" t="s">
        <v>184</v>
      </c>
      <c r="D16779" s="10" t="s">
        <v>2050</v>
      </c>
      <c r="E16779" s="11"/>
      <c r="F16779" s="12">
        <f>ROUND(33.2*(1+G2/100),2)</f>
        <v>33.2</v>
      </c>
      <c r="G16779" s="11"/>
    </row>
    <row r="16780" ht="132.0" customHeight="1">
      <c r="A16780" s="11"/>
      <c r="B16780" s="11"/>
      <c r="C16780" s="11"/>
      <c r="D16780" s="10" t="s">
        <v>7585</v>
      </c>
    </row>
    <row r="16781" ht="39.75" customHeight="1">
      <c r="A16781" s="13" t="s">
        <v>7586</v>
      </c>
      <c r="B16781" s="10" t="s">
        <v>42</v>
      </c>
      <c r="C16781" s="10" t="s">
        <v>184</v>
      </c>
      <c r="D16781" s="10" t="s">
        <v>7587</v>
      </c>
      <c r="E16781" s="11"/>
      <c r="F16781" s="12">
        <f>ROUND(4.05*(1+G2/100),2)</f>
        <v>4.05</v>
      </c>
      <c r="G16781" s="11"/>
    </row>
    <row r="16782" ht="57.75" customHeight="1">
      <c r="A16782" s="11"/>
      <c r="B16782" s="11"/>
      <c r="C16782" s="11"/>
      <c r="D16782" s="10" t="s">
        <v>7588</v>
      </c>
    </row>
    <row r="16783" ht="39.75" customHeight="1">
      <c r="A16783" s="13" t="s">
        <v>7589</v>
      </c>
      <c r="B16783" s="10" t="s">
        <v>42</v>
      </c>
      <c r="C16783" s="10" t="s">
        <v>184</v>
      </c>
      <c r="D16783" s="10" t="s">
        <v>7590</v>
      </c>
      <c r="E16783" s="11"/>
      <c r="F16783" s="12">
        <f>ROUND(38.24*(1+G2/100),2)</f>
        <v>38.24</v>
      </c>
      <c r="G16783" s="11"/>
    </row>
    <row r="16784" ht="67.5" customHeight="1">
      <c r="A16784" s="11"/>
      <c r="B16784" s="11"/>
      <c r="C16784" s="11"/>
      <c r="D16784" s="10" t="s">
        <v>7591</v>
      </c>
    </row>
    <row r="16785" ht="30.0" customHeight="1">
      <c r="A16785" s="13" t="s">
        <v>7592</v>
      </c>
      <c r="B16785" s="10" t="s">
        <v>42</v>
      </c>
      <c r="C16785" s="10" t="s">
        <v>184</v>
      </c>
      <c r="D16785" s="10" t="s">
        <v>7593</v>
      </c>
      <c r="E16785" s="11"/>
      <c r="F16785" s="12">
        <f>ROUND(2.4*(1+G2/100),2)</f>
        <v>2.4</v>
      </c>
      <c r="G16785" s="11"/>
    </row>
    <row r="16786" ht="85.5" customHeight="1">
      <c r="A16786" s="11"/>
      <c r="B16786" s="11"/>
      <c r="C16786" s="11"/>
      <c r="D16786" s="10" t="s">
        <v>7594</v>
      </c>
    </row>
    <row r="16787" ht="48.75" customHeight="1">
      <c r="A16787" s="13" t="s">
        <v>7595</v>
      </c>
      <c r="B16787" s="10" t="s">
        <v>42</v>
      </c>
      <c r="C16787" s="10" t="s">
        <v>184</v>
      </c>
      <c r="D16787" s="10" t="s">
        <v>7596</v>
      </c>
      <c r="E16787" s="11"/>
      <c r="F16787" s="12">
        <f>ROUND(103.53*(1+G2/100),2)</f>
        <v>103.53</v>
      </c>
      <c r="G16787" s="11"/>
    </row>
    <row r="16788" ht="39.75" customHeight="1">
      <c r="A16788" s="11"/>
      <c r="B16788" s="11"/>
      <c r="C16788" s="11"/>
      <c r="D16788" s="10" t="s">
        <v>7597</v>
      </c>
    </row>
    <row r="16789" ht="57.75" customHeight="1">
      <c r="A16789" s="13" t="s">
        <v>7598</v>
      </c>
      <c r="B16789" s="10" t="s">
        <v>42</v>
      </c>
      <c r="C16789" s="10" t="s">
        <v>184</v>
      </c>
      <c r="D16789" s="10" t="s">
        <v>7599</v>
      </c>
      <c r="E16789" s="11"/>
      <c r="F16789" s="12">
        <f>ROUND(146.16*(1+G2/100),2)</f>
        <v>146.16</v>
      </c>
      <c r="G16789" s="11"/>
    </row>
    <row r="16790" ht="196.5" customHeight="1">
      <c r="A16790" s="11"/>
      <c r="B16790" s="11"/>
      <c r="C16790" s="11"/>
      <c r="D16790" s="10" t="s">
        <v>7600</v>
      </c>
    </row>
    <row r="16791" ht="30.0" customHeight="1">
      <c r="A16791" s="13" t="s">
        <v>2140</v>
      </c>
      <c r="B16791" s="10" t="s">
        <v>42</v>
      </c>
      <c r="C16791" s="10" t="s">
        <v>276</v>
      </c>
      <c r="D16791" s="10" t="s">
        <v>2141</v>
      </c>
      <c r="E16791" s="11"/>
      <c r="F16791" s="12">
        <f>ROUND(143.22*(1+G2/100),2)</f>
        <v>143.22</v>
      </c>
      <c r="G16791" s="11"/>
    </row>
    <row r="16792" ht="30.0" customHeight="1">
      <c r="A16792" s="11"/>
      <c r="B16792" s="11"/>
      <c r="C16792" s="11"/>
      <c r="D16792" s="10" t="s">
        <v>7601</v>
      </c>
    </row>
    <row r="16793" ht="57.75" customHeight="1">
      <c r="A16793" s="13" t="s">
        <v>1785</v>
      </c>
      <c r="B16793" s="10" t="s">
        <v>42</v>
      </c>
      <c r="C16793" s="10" t="s">
        <v>584</v>
      </c>
      <c r="D16793" s="10" t="s">
        <v>1786</v>
      </c>
      <c r="E16793" s="11"/>
      <c r="F16793" s="12">
        <f>ROUND(123.14*(1+G2/100),2)</f>
        <v>123.14</v>
      </c>
      <c r="G16793" s="11"/>
    </row>
    <row r="16794" ht="85.5" customHeight="1">
      <c r="A16794" s="11"/>
      <c r="B16794" s="11"/>
      <c r="C16794" s="11"/>
      <c r="D16794" s="10" t="s">
        <v>7602</v>
      </c>
    </row>
    <row r="16795" ht="48.75" customHeight="1">
      <c r="A16795" s="13" t="s">
        <v>1797</v>
      </c>
      <c r="B16795" s="10" t="s">
        <v>42</v>
      </c>
      <c r="C16795" s="10" t="s">
        <v>184</v>
      </c>
      <c r="D16795" s="10" t="s">
        <v>1798</v>
      </c>
      <c r="E16795" s="11"/>
      <c r="F16795" s="12">
        <f>ROUND(4.35*(1+G2/100),2)</f>
        <v>4.35</v>
      </c>
      <c r="G16795" s="11"/>
    </row>
    <row r="16796" ht="150.0" customHeight="1">
      <c r="A16796" s="11"/>
      <c r="B16796" s="11"/>
      <c r="C16796" s="11"/>
      <c r="D16796" s="10" t="s">
        <v>7603</v>
      </c>
    </row>
    <row r="16797" ht="48.75" customHeight="1">
      <c r="A16797" s="13" t="s">
        <v>1267</v>
      </c>
      <c r="B16797" s="10" t="s">
        <v>42</v>
      </c>
      <c r="C16797" s="10" t="s">
        <v>43</v>
      </c>
      <c r="D16797" s="10" t="s">
        <v>1268</v>
      </c>
      <c r="E16797" s="11"/>
      <c r="F16797" s="12">
        <f>ROUND(19.25*(1+G2/100),2)</f>
        <v>19.25</v>
      </c>
      <c r="G16797" s="11"/>
    </row>
    <row r="16798" ht="123.0" customHeight="1">
      <c r="A16798" s="11"/>
      <c r="B16798" s="11"/>
      <c r="C16798" s="11"/>
      <c r="D16798" s="10" t="s">
        <v>7604</v>
      </c>
    </row>
    <row r="16799" ht="30.0" customHeight="1">
      <c r="A16799" s="13" t="s">
        <v>2154</v>
      </c>
      <c r="B16799" s="10" t="s">
        <v>42</v>
      </c>
      <c r="C16799" s="10" t="s">
        <v>276</v>
      </c>
      <c r="D16799" s="10" t="s">
        <v>2155</v>
      </c>
      <c r="E16799" s="11"/>
      <c r="F16799" s="12">
        <f>ROUND(60.4*(1+G2/100),2)</f>
        <v>60.4</v>
      </c>
      <c r="G16799" s="11"/>
    </row>
    <row r="16800" ht="48.75" customHeight="1">
      <c r="A16800" s="11"/>
      <c r="B16800" s="11"/>
      <c r="C16800" s="11"/>
      <c r="D16800" s="10" t="s">
        <v>7605</v>
      </c>
    </row>
    <row r="16801" ht="30.0" customHeight="1">
      <c r="A16801" s="13" t="s">
        <v>7606</v>
      </c>
      <c r="B16801" s="10" t="s">
        <v>42</v>
      </c>
      <c r="C16801" s="10" t="s">
        <v>184</v>
      </c>
      <c r="D16801" s="10" t="s">
        <v>7607</v>
      </c>
      <c r="E16801" s="11"/>
      <c r="F16801" s="12">
        <f>ROUND(3.73*(1+G2/100),2)</f>
        <v>3.73</v>
      </c>
      <c r="G16801" s="11"/>
    </row>
    <row r="16802" ht="67.5" customHeight="1">
      <c r="A16802" s="11"/>
      <c r="B16802" s="11"/>
      <c r="C16802" s="11"/>
      <c r="D16802" s="10" t="s">
        <v>7608</v>
      </c>
    </row>
    <row r="16803" ht="30.0" customHeight="1">
      <c r="A16803" s="13" t="s">
        <v>5651</v>
      </c>
      <c r="B16803" s="10" t="s">
        <v>42</v>
      </c>
      <c r="C16803" s="10" t="s">
        <v>184</v>
      </c>
      <c r="D16803" s="10" t="s">
        <v>5652</v>
      </c>
      <c r="E16803" s="11"/>
      <c r="F16803" s="12">
        <f>ROUND(5.21*(1+G2/100),2)</f>
        <v>5.21</v>
      </c>
      <c r="G16803" s="11"/>
    </row>
    <row r="16804" ht="57.75" customHeight="1">
      <c r="A16804" s="11"/>
      <c r="B16804" s="11"/>
      <c r="C16804" s="11"/>
      <c r="D16804" s="10" t="s">
        <v>7609</v>
      </c>
    </row>
    <row r="16805" ht="30.0" customHeight="1">
      <c r="A16805" s="13" t="s">
        <v>2152</v>
      </c>
      <c r="B16805" s="10" t="s">
        <v>42</v>
      </c>
      <c r="C16805" s="10" t="s">
        <v>276</v>
      </c>
      <c r="D16805" s="10" t="s">
        <v>2153</v>
      </c>
      <c r="E16805" s="11"/>
      <c r="F16805" s="12">
        <f>ROUND(55.5*(1+G2/100),2)</f>
        <v>55.5</v>
      </c>
      <c r="G16805" s="11"/>
    </row>
    <row r="16806" ht="48.75" customHeight="1">
      <c r="A16806" s="11"/>
      <c r="B16806" s="11"/>
      <c r="C16806" s="11"/>
      <c r="D16806" s="10" t="s">
        <v>7610</v>
      </c>
    </row>
    <row r="16807" ht="21.0" customHeight="1">
      <c r="A16807" s="13" t="s">
        <v>1335</v>
      </c>
      <c r="B16807" s="10" t="s">
        <v>42</v>
      </c>
      <c r="C16807" s="10" t="s">
        <v>184</v>
      </c>
      <c r="D16807" s="10" t="s">
        <v>1336</v>
      </c>
      <c r="E16807" s="11"/>
      <c r="F16807" s="12">
        <f>ROUND(2.28*(1+G2/100),2)</f>
        <v>2.28</v>
      </c>
      <c r="G16807" s="11"/>
    </row>
    <row r="16808" ht="113.25" customHeight="1">
      <c r="A16808" s="11"/>
      <c r="B16808" s="11"/>
      <c r="C16808" s="11"/>
      <c r="D16808" s="10" t="s">
        <v>7611</v>
      </c>
    </row>
    <row r="16809" ht="39.75" customHeight="1">
      <c r="A16809" s="13" t="s">
        <v>2640</v>
      </c>
      <c r="B16809" s="10" t="s">
        <v>42</v>
      </c>
      <c r="C16809" s="10" t="s">
        <v>184</v>
      </c>
      <c r="D16809" s="10" t="s">
        <v>2641</v>
      </c>
      <c r="E16809" s="11"/>
      <c r="F16809" s="12">
        <f>ROUND(2.6*(1+G2/100),2)</f>
        <v>2.6</v>
      </c>
      <c r="G16809" s="11"/>
    </row>
    <row r="16810" ht="67.5" customHeight="1">
      <c r="A16810" s="11"/>
      <c r="B16810" s="11"/>
      <c r="C16810" s="11"/>
      <c r="D16810" s="10" t="s">
        <v>7612</v>
      </c>
    </row>
    <row r="16811" ht="30.0" customHeight="1">
      <c r="A16811" s="13" t="s">
        <v>1382</v>
      </c>
      <c r="B16811" s="10" t="s">
        <v>42</v>
      </c>
      <c r="C16811" s="10" t="s">
        <v>184</v>
      </c>
      <c r="D16811" s="10" t="s">
        <v>1383</v>
      </c>
      <c r="E16811" s="11"/>
      <c r="F16811" s="12">
        <f>ROUND(1.47*(1+G2/100),2)</f>
        <v>1.47</v>
      </c>
      <c r="G16811" s="11"/>
    </row>
    <row r="16812" ht="67.5" customHeight="1">
      <c r="A16812" s="11"/>
      <c r="B16812" s="11"/>
      <c r="C16812" s="11"/>
      <c r="D16812" s="10" t="s">
        <v>7613</v>
      </c>
    </row>
    <row r="16813" ht="21.0" customHeight="1">
      <c r="A16813" s="13" t="s">
        <v>3024</v>
      </c>
      <c r="B16813" s="10" t="s">
        <v>42</v>
      </c>
      <c r="C16813" s="10" t="s">
        <v>184</v>
      </c>
      <c r="D16813" s="10" t="s">
        <v>3025</v>
      </c>
      <c r="E16813" s="11"/>
      <c r="F16813" s="12">
        <f>ROUND(1.62*(1+G2/100),2)</f>
        <v>1.62</v>
      </c>
      <c r="G16813" s="11"/>
    </row>
    <row r="16814" ht="85.5" customHeight="1">
      <c r="A16814" s="11"/>
      <c r="B16814" s="11"/>
      <c r="C16814" s="11"/>
      <c r="D16814" s="10" t="s">
        <v>7614</v>
      </c>
    </row>
    <row r="16815" ht="39.75" customHeight="1">
      <c r="A16815" s="13" t="s">
        <v>7615</v>
      </c>
      <c r="B16815" s="10" t="s">
        <v>42</v>
      </c>
      <c r="C16815" s="10" t="s">
        <v>184</v>
      </c>
      <c r="D16815" s="10" t="s">
        <v>7616</v>
      </c>
      <c r="E16815" s="11"/>
      <c r="F16815" s="12">
        <f>ROUND(1.85*(1+G2/100),2)</f>
        <v>1.85</v>
      </c>
      <c r="G16815" s="11"/>
    </row>
    <row r="16816" ht="48.75" customHeight="1">
      <c r="A16816" s="11"/>
      <c r="B16816" s="11"/>
      <c r="C16816" s="11"/>
      <c r="D16816" s="10" t="s">
        <v>7617</v>
      </c>
    </row>
    <row r="16817" ht="39.75" customHeight="1">
      <c r="A16817" s="13" t="s">
        <v>1957</v>
      </c>
      <c r="B16817" s="10" t="s">
        <v>42</v>
      </c>
      <c r="C16817" s="10" t="s">
        <v>184</v>
      </c>
      <c r="D16817" s="10" t="s">
        <v>1958</v>
      </c>
      <c r="E16817" s="11"/>
      <c r="F16817" s="12">
        <f>ROUND(1.15*(1+G2/100),2)</f>
        <v>1.15</v>
      </c>
      <c r="G16817" s="11"/>
    </row>
    <row r="16818" ht="48.75" customHeight="1">
      <c r="A16818" s="11"/>
      <c r="B16818" s="11"/>
      <c r="C16818" s="11"/>
      <c r="D16818" s="10" t="s">
        <v>7618</v>
      </c>
    </row>
    <row r="16819" ht="30.0" customHeight="1">
      <c r="A16819" s="13" t="s">
        <v>1921</v>
      </c>
      <c r="B16819" s="10" t="s">
        <v>42</v>
      </c>
      <c r="C16819" s="10" t="s">
        <v>184</v>
      </c>
      <c r="D16819" s="10" t="s">
        <v>1922</v>
      </c>
      <c r="E16819" s="11"/>
      <c r="F16819" s="12">
        <f>ROUND(6.72*(1+G2/100),2)</f>
        <v>6.72</v>
      </c>
      <c r="G16819" s="11"/>
    </row>
    <row r="16820" ht="76.5" customHeight="1">
      <c r="A16820" s="11"/>
      <c r="B16820" s="11"/>
      <c r="C16820" s="11"/>
      <c r="D16820" s="10" t="s">
        <v>7619</v>
      </c>
    </row>
    <row r="16821" ht="30.0" customHeight="1">
      <c r="A16821" s="13" t="s">
        <v>1964</v>
      </c>
      <c r="B16821" s="10" t="s">
        <v>42</v>
      </c>
      <c r="C16821" s="10" t="s">
        <v>184</v>
      </c>
      <c r="D16821" s="10" t="s">
        <v>1965</v>
      </c>
      <c r="E16821" s="11"/>
      <c r="F16821" s="12">
        <f>ROUND(10.67*(1+G2/100),2)</f>
        <v>10.67</v>
      </c>
      <c r="G16821" s="11"/>
    </row>
    <row r="16822" ht="205.5" customHeight="1">
      <c r="A16822" s="11"/>
      <c r="B16822" s="11"/>
      <c r="C16822" s="11"/>
      <c r="D16822" s="10" t="s">
        <v>7620</v>
      </c>
    </row>
    <row r="16823" ht="30.0" customHeight="1">
      <c r="A16823" s="13" t="s">
        <v>7621</v>
      </c>
      <c r="B16823" s="10" t="s">
        <v>42</v>
      </c>
      <c r="C16823" s="10" t="s">
        <v>184</v>
      </c>
      <c r="D16823" s="10" t="s">
        <v>7622</v>
      </c>
      <c r="E16823" s="11"/>
      <c r="F16823" s="12">
        <f>ROUND(10.67*(1+G2/100),2)</f>
        <v>10.67</v>
      </c>
      <c r="G16823" s="11"/>
    </row>
    <row r="16824" ht="205.5" customHeight="1">
      <c r="A16824" s="11"/>
      <c r="B16824" s="11"/>
      <c r="C16824" s="11"/>
      <c r="D16824" s="10" t="s">
        <v>7620</v>
      </c>
    </row>
    <row r="16825" ht="30.0" customHeight="1">
      <c r="A16825" s="13" t="s">
        <v>1237</v>
      </c>
      <c r="B16825" s="10" t="s">
        <v>42</v>
      </c>
      <c r="C16825" s="10" t="s">
        <v>184</v>
      </c>
      <c r="D16825" s="10" t="s">
        <v>1238</v>
      </c>
      <c r="E16825" s="11"/>
      <c r="F16825" s="12">
        <f>ROUND(28.55*(1+G2/100),2)</f>
        <v>28.55</v>
      </c>
      <c r="G16825" s="11"/>
    </row>
    <row r="16826" ht="48.75" customHeight="1">
      <c r="A16826" s="11"/>
      <c r="B16826" s="11"/>
      <c r="C16826" s="11"/>
      <c r="D16826" s="10" t="s">
        <v>7623</v>
      </c>
    </row>
    <row r="16827" ht="39.75" customHeight="1">
      <c r="A16827" s="13" t="s">
        <v>3022</v>
      </c>
      <c r="B16827" s="10" t="s">
        <v>42</v>
      </c>
      <c r="C16827" s="10" t="s">
        <v>43</v>
      </c>
      <c r="D16827" s="10" t="s">
        <v>3023</v>
      </c>
      <c r="E16827" s="11"/>
      <c r="F16827" s="12">
        <f>ROUND(22.38*(1+G2/100),2)</f>
        <v>22.38</v>
      </c>
      <c r="G16827" s="11"/>
    </row>
    <row r="16828" ht="48.75" customHeight="1">
      <c r="A16828" s="11"/>
      <c r="B16828" s="11"/>
      <c r="C16828" s="11"/>
      <c r="D16828" s="10" t="s">
        <v>7624</v>
      </c>
    </row>
    <row r="16829" ht="30.0" customHeight="1">
      <c r="A16829" s="13" t="s">
        <v>7625</v>
      </c>
      <c r="B16829" s="10" t="s">
        <v>42</v>
      </c>
      <c r="C16829" s="10" t="s">
        <v>43</v>
      </c>
      <c r="D16829" s="10" t="s">
        <v>7626</v>
      </c>
      <c r="E16829" s="11"/>
      <c r="F16829" s="12">
        <f>ROUND(5.11*(1+G2/100),2)</f>
        <v>5.11</v>
      </c>
      <c r="G16829" s="11"/>
    </row>
    <row r="16830" ht="123.0" customHeight="1">
      <c r="A16830" s="11"/>
      <c r="B16830" s="11"/>
      <c r="C16830" s="11"/>
      <c r="D16830" s="10" t="s">
        <v>7627</v>
      </c>
    </row>
    <row r="16831" ht="30.0" customHeight="1">
      <c r="A16831" s="13" t="s">
        <v>1855</v>
      </c>
      <c r="B16831" s="10" t="s">
        <v>42</v>
      </c>
      <c r="C16831" s="10" t="s">
        <v>184</v>
      </c>
      <c r="D16831" s="10" t="s">
        <v>1856</v>
      </c>
      <c r="E16831" s="11"/>
      <c r="F16831" s="12">
        <f>ROUND(3.85*(1+G2/100),2)</f>
        <v>3.85</v>
      </c>
      <c r="G16831" s="11"/>
    </row>
    <row r="16832" ht="67.5" customHeight="1">
      <c r="A16832" s="11"/>
      <c r="B16832" s="11"/>
      <c r="C16832" s="11"/>
      <c r="D16832" s="10" t="s">
        <v>7628</v>
      </c>
    </row>
    <row r="16833" ht="30.0" customHeight="1">
      <c r="A16833" s="13" t="s">
        <v>5668</v>
      </c>
      <c r="B16833" s="10" t="s">
        <v>42</v>
      </c>
      <c r="C16833" s="10" t="s">
        <v>184</v>
      </c>
      <c r="D16833" s="10" t="s">
        <v>5669</v>
      </c>
      <c r="E16833" s="11"/>
      <c r="F16833" s="12">
        <f>ROUND(5.15*(1+G2/100),2)</f>
        <v>5.15</v>
      </c>
      <c r="G16833" s="11"/>
    </row>
    <row r="16834" ht="85.5" customHeight="1">
      <c r="A16834" s="11"/>
      <c r="B16834" s="11"/>
      <c r="C16834" s="11"/>
      <c r="D16834" s="10" t="s">
        <v>7629</v>
      </c>
    </row>
    <row r="16835" ht="30.0" customHeight="1">
      <c r="A16835" s="13" t="s">
        <v>5860</v>
      </c>
      <c r="B16835" s="10" t="s">
        <v>42</v>
      </c>
      <c r="C16835" s="10" t="s">
        <v>184</v>
      </c>
      <c r="D16835" s="10" t="s">
        <v>5861</v>
      </c>
      <c r="E16835" s="11"/>
      <c r="F16835" s="12">
        <f>ROUND(11.74*(1+G2/100),2)</f>
        <v>11.74</v>
      </c>
      <c r="G16835" s="11"/>
    </row>
    <row r="16836" ht="48.75" customHeight="1">
      <c r="A16836" s="11"/>
      <c r="B16836" s="11"/>
      <c r="C16836" s="11"/>
      <c r="D16836" s="10" t="s">
        <v>7630</v>
      </c>
    </row>
    <row r="16837" ht="30.0" customHeight="1">
      <c r="A16837" s="13" t="s">
        <v>1933</v>
      </c>
      <c r="B16837" s="10" t="s">
        <v>42</v>
      </c>
      <c r="C16837" s="10" t="s">
        <v>184</v>
      </c>
      <c r="D16837" s="10" t="s">
        <v>1934</v>
      </c>
      <c r="E16837" s="11"/>
      <c r="F16837" s="12">
        <f>ROUND(5.92*(1+G2/100),2)</f>
        <v>5.92</v>
      </c>
      <c r="G16837" s="11"/>
    </row>
    <row r="16838" ht="57.75" customHeight="1">
      <c r="A16838" s="11"/>
      <c r="B16838" s="11"/>
      <c r="C16838" s="11"/>
      <c r="D16838" s="10" t="s">
        <v>7631</v>
      </c>
    </row>
    <row r="16839" ht="30.0" customHeight="1">
      <c r="A16839" s="13" t="s">
        <v>1869</v>
      </c>
      <c r="B16839" s="10" t="s">
        <v>42</v>
      </c>
      <c r="C16839" s="10" t="s">
        <v>184</v>
      </c>
      <c r="D16839" s="10" t="s">
        <v>1870</v>
      </c>
      <c r="E16839" s="11"/>
      <c r="F16839" s="12">
        <f>ROUND(8.65*(1+G2/100),2)</f>
        <v>8.65</v>
      </c>
      <c r="G16839" s="11"/>
    </row>
    <row r="16840" ht="57.75" customHeight="1">
      <c r="A16840" s="11"/>
      <c r="B16840" s="11"/>
      <c r="C16840" s="11"/>
      <c r="D16840" s="10" t="s">
        <v>7632</v>
      </c>
    </row>
    <row r="16841" ht="30.0" customHeight="1">
      <c r="A16841" s="13" t="s">
        <v>5931</v>
      </c>
      <c r="B16841" s="10" t="s">
        <v>42</v>
      </c>
      <c r="C16841" s="10" t="s">
        <v>184</v>
      </c>
      <c r="D16841" s="10" t="s">
        <v>5932</v>
      </c>
      <c r="E16841" s="11"/>
      <c r="F16841" s="12">
        <f>ROUND(6.15*(1+G2/100),2)</f>
        <v>6.15</v>
      </c>
      <c r="G16841" s="11"/>
    </row>
    <row r="16842" ht="39.75" customHeight="1">
      <c r="A16842" s="11"/>
      <c r="B16842" s="11"/>
      <c r="C16842" s="11"/>
      <c r="D16842" s="10" t="s">
        <v>7633</v>
      </c>
    </row>
    <row r="16843" ht="30.0" customHeight="1">
      <c r="A16843" s="13" t="s">
        <v>1004</v>
      </c>
      <c r="B16843" s="10" t="s">
        <v>42</v>
      </c>
      <c r="C16843" s="10" t="s">
        <v>184</v>
      </c>
      <c r="D16843" s="10" t="s">
        <v>1005</v>
      </c>
      <c r="E16843" s="11"/>
      <c r="F16843" s="12">
        <f>ROUND(22.45*(1+G2/100),2)</f>
        <v>22.45</v>
      </c>
      <c r="G16843" s="11"/>
    </row>
    <row r="16844" ht="30.0" customHeight="1">
      <c r="A16844" s="11"/>
      <c r="B16844" s="11"/>
      <c r="C16844" s="11"/>
      <c r="D16844" s="10" t="s">
        <v>7634</v>
      </c>
    </row>
    <row r="16845" ht="30.0" customHeight="1">
      <c r="A16845" s="13" t="s">
        <v>5898</v>
      </c>
      <c r="B16845" s="10" t="s">
        <v>42</v>
      </c>
      <c r="C16845" s="10" t="s">
        <v>184</v>
      </c>
      <c r="D16845" s="10" t="s">
        <v>5899</v>
      </c>
      <c r="E16845" s="11"/>
      <c r="F16845" s="12">
        <f>ROUND(7.89*(1+G2/100),2)</f>
        <v>7.89</v>
      </c>
      <c r="G16845" s="11"/>
    </row>
    <row r="16846" ht="48.75" customHeight="1">
      <c r="A16846" s="11"/>
      <c r="B16846" s="11"/>
      <c r="C16846" s="11"/>
      <c r="D16846" s="10" t="s">
        <v>7635</v>
      </c>
    </row>
    <row r="16847" ht="30.0" customHeight="1">
      <c r="A16847" s="13" t="s">
        <v>1941</v>
      </c>
      <c r="B16847" s="10" t="s">
        <v>42</v>
      </c>
      <c r="C16847" s="10" t="s">
        <v>184</v>
      </c>
      <c r="D16847" s="10" t="s">
        <v>1942</v>
      </c>
      <c r="E16847" s="11"/>
      <c r="F16847" s="12">
        <f>ROUND(8.33*(1+G2/100),2)</f>
        <v>8.33</v>
      </c>
      <c r="G16847" s="11"/>
    </row>
    <row r="16848" ht="48.75" customHeight="1">
      <c r="A16848" s="11"/>
      <c r="B16848" s="11"/>
      <c r="C16848" s="11"/>
      <c r="D16848" s="10" t="s">
        <v>7636</v>
      </c>
    </row>
    <row r="16849" ht="30.0" customHeight="1">
      <c r="A16849" s="13" t="s">
        <v>1225</v>
      </c>
      <c r="B16849" s="10" t="s">
        <v>42</v>
      </c>
      <c r="C16849" s="10" t="s">
        <v>184</v>
      </c>
      <c r="D16849" s="10" t="s">
        <v>1226</v>
      </c>
      <c r="E16849" s="11"/>
      <c r="F16849" s="12">
        <f>ROUND(17.45*(1+G2/100),2)</f>
        <v>17.45</v>
      </c>
      <c r="G16849" s="11"/>
    </row>
    <row r="16850" ht="30.0" customHeight="1">
      <c r="A16850" s="11"/>
      <c r="B16850" s="11"/>
      <c r="C16850" s="11"/>
      <c r="D16850" s="10" t="s">
        <v>7637</v>
      </c>
    </row>
    <row r="16851" ht="30.0" customHeight="1">
      <c r="A16851" s="13" t="s">
        <v>6188</v>
      </c>
      <c r="B16851" s="10" t="s">
        <v>42</v>
      </c>
      <c r="C16851" s="10" t="s">
        <v>184</v>
      </c>
      <c r="D16851" s="10" t="s">
        <v>6189</v>
      </c>
      <c r="E16851" s="11"/>
      <c r="F16851" s="12">
        <f>ROUND(13.25*(1+G2/100),2)</f>
        <v>13.25</v>
      </c>
      <c r="G16851" s="11"/>
    </row>
    <row r="16852" ht="48.75" customHeight="1">
      <c r="A16852" s="11"/>
      <c r="B16852" s="11"/>
      <c r="C16852" s="11"/>
      <c r="D16852" s="10" t="s">
        <v>7638</v>
      </c>
    </row>
    <row r="16853" ht="30.0" customHeight="1">
      <c r="A16853" s="13" t="s">
        <v>7639</v>
      </c>
      <c r="B16853" s="10" t="s">
        <v>42</v>
      </c>
      <c r="C16853" s="10" t="s">
        <v>184</v>
      </c>
      <c r="D16853" s="10" t="s">
        <v>7640</v>
      </c>
      <c r="E16853" s="11"/>
      <c r="F16853" s="12">
        <f>ROUND(21.45*(1+G2/100),2)</f>
        <v>21.45</v>
      </c>
      <c r="G16853" s="11"/>
    </row>
    <row r="16854" ht="39.75" customHeight="1">
      <c r="A16854" s="11"/>
      <c r="B16854" s="11"/>
      <c r="C16854" s="11"/>
      <c r="D16854" s="10" t="s">
        <v>7641</v>
      </c>
    </row>
    <row r="16855" ht="30.0" customHeight="1">
      <c r="A16855" s="13" t="s">
        <v>3988</v>
      </c>
      <c r="B16855" s="10" t="s">
        <v>42</v>
      </c>
      <c r="C16855" s="10" t="s">
        <v>184</v>
      </c>
      <c r="D16855" s="10" t="s">
        <v>3989</v>
      </c>
      <c r="E16855" s="11"/>
      <c r="F16855" s="12">
        <f>ROUND(41.6*(1+G2/100),2)</f>
        <v>41.6</v>
      </c>
      <c r="G16855" s="11"/>
    </row>
    <row r="16856" ht="76.5" customHeight="1">
      <c r="A16856" s="11"/>
      <c r="B16856" s="11"/>
      <c r="C16856" s="11"/>
      <c r="D16856" s="10" t="s">
        <v>7642</v>
      </c>
    </row>
    <row r="16857" ht="30.0" customHeight="1">
      <c r="A16857" s="13" t="s">
        <v>7643</v>
      </c>
      <c r="B16857" s="10" t="s">
        <v>42</v>
      </c>
      <c r="C16857" s="10" t="s">
        <v>184</v>
      </c>
      <c r="D16857" s="10" t="s">
        <v>7644</v>
      </c>
      <c r="E16857" s="11"/>
      <c r="F16857" s="12">
        <f>ROUND(4.99*(1+G2/100),2)</f>
        <v>4.99</v>
      </c>
      <c r="G16857" s="11"/>
    </row>
    <row r="16858" ht="85.5" customHeight="1">
      <c r="A16858" s="11"/>
      <c r="B16858" s="11"/>
      <c r="C16858" s="11"/>
      <c r="D16858" s="10" t="s">
        <v>7645</v>
      </c>
    </row>
    <row r="16859" ht="30.0" customHeight="1">
      <c r="A16859" s="13" t="s">
        <v>3804</v>
      </c>
      <c r="B16859" s="10" t="s">
        <v>42</v>
      </c>
      <c r="C16859" s="10" t="s">
        <v>184</v>
      </c>
      <c r="D16859" s="10" t="s">
        <v>3805</v>
      </c>
      <c r="E16859" s="11"/>
      <c r="F16859" s="12">
        <f>ROUND(8.35*(1+G2/100),2)</f>
        <v>8.35</v>
      </c>
      <c r="G16859" s="11"/>
    </row>
    <row r="16860" ht="150.0" customHeight="1">
      <c r="A16860" s="11"/>
      <c r="B16860" s="11"/>
      <c r="C16860" s="11"/>
      <c r="D16860" s="10" t="s">
        <v>7646</v>
      </c>
    </row>
    <row r="16861" ht="30.0" customHeight="1">
      <c r="A16861" s="13" t="s">
        <v>7647</v>
      </c>
      <c r="B16861" s="10" t="s">
        <v>42</v>
      </c>
      <c r="C16861" s="10" t="s">
        <v>184</v>
      </c>
      <c r="D16861" s="10" t="s">
        <v>7648</v>
      </c>
      <c r="E16861" s="11"/>
      <c r="F16861" s="12">
        <f>ROUND(7.95*(1+G2/100),2)</f>
        <v>7.95</v>
      </c>
      <c r="G16861" s="11"/>
    </row>
    <row r="16862" ht="150.0" customHeight="1">
      <c r="A16862" s="11"/>
      <c r="B16862" s="11"/>
      <c r="C16862" s="11"/>
      <c r="D16862" s="10" t="s">
        <v>7649</v>
      </c>
    </row>
    <row r="16863" ht="30.0" customHeight="1">
      <c r="A16863" s="13" t="s">
        <v>2694</v>
      </c>
      <c r="B16863" s="10" t="s">
        <v>42</v>
      </c>
      <c r="C16863" s="10" t="s">
        <v>184</v>
      </c>
      <c r="D16863" s="10" t="s">
        <v>2695</v>
      </c>
      <c r="E16863" s="11"/>
      <c r="F16863" s="12">
        <f>ROUND(15.43*(1+G2/100),2)</f>
        <v>15.43</v>
      </c>
      <c r="G16863" s="11"/>
    </row>
    <row r="16864" ht="85.5" customHeight="1">
      <c r="A16864" s="11"/>
      <c r="B16864" s="11"/>
      <c r="C16864" s="11"/>
      <c r="D16864" s="10" t="s">
        <v>7650</v>
      </c>
    </row>
    <row r="16865" ht="30.0" customHeight="1">
      <c r="A16865" s="13" t="s">
        <v>7651</v>
      </c>
      <c r="B16865" s="10" t="s">
        <v>42</v>
      </c>
      <c r="C16865" s="10" t="s">
        <v>184</v>
      </c>
      <c r="D16865" s="10" t="s">
        <v>7652</v>
      </c>
      <c r="E16865" s="11"/>
      <c r="F16865" s="12">
        <f>ROUND(5.23*(1+G2/100),2)</f>
        <v>5.23</v>
      </c>
      <c r="G16865" s="11"/>
    </row>
    <row r="16866" ht="21.0" customHeight="1">
      <c r="A16866" s="11"/>
      <c r="B16866" s="11"/>
      <c r="C16866" s="11"/>
      <c r="D16866" s="10" t="s">
        <v>7653</v>
      </c>
    </row>
    <row r="16867" ht="39.75" customHeight="1">
      <c r="A16867" s="13" t="s">
        <v>1878</v>
      </c>
      <c r="B16867" s="10" t="s">
        <v>42</v>
      </c>
      <c r="C16867" s="10" t="s">
        <v>184</v>
      </c>
      <c r="D16867" s="10" t="s">
        <v>1879</v>
      </c>
      <c r="E16867" s="11"/>
      <c r="F16867" s="12">
        <f>ROUND(13.45*(1+G2/100),2)</f>
        <v>13.45</v>
      </c>
      <c r="G16867" s="11"/>
    </row>
    <row r="16868" ht="95.25" customHeight="1">
      <c r="A16868" s="11"/>
      <c r="B16868" s="11"/>
      <c r="C16868" s="11"/>
      <c r="D16868" s="10" t="s">
        <v>7654</v>
      </c>
    </row>
    <row r="16869" ht="48.75" customHeight="1">
      <c r="A16869" s="13" t="s">
        <v>2069</v>
      </c>
      <c r="B16869" s="10" t="s">
        <v>42</v>
      </c>
      <c r="C16869" s="10" t="s">
        <v>184</v>
      </c>
      <c r="D16869" s="10" t="s">
        <v>2070</v>
      </c>
      <c r="E16869" s="11"/>
      <c r="F16869" s="12">
        <f>ROUND(10.25*(1+G2/100),2)</f>
        <v>10.25</v>
      </c>
      <c r="G16869" s="11"/>
    </row>
    <row r="16870" ht="113.25" customHeight="1">
      <c r="A16870" s="11"/>
      <c r="B16870" s="11"/>
      <c r="C16870" s="11"/>
      <c r="D16870" s="10" t="s">
        <v>7655</v>
      </c>
    </row>
    <row r="16871" ht="30.0" customHeight="1">
      <c r="A16871" s="13" t="s">
        <v>2053</v>
      </c>
      <c r="B16871" s="10" t="s">
        <v>42</v>
      </c>
      <c r="C16871" s="10" t="s">
        <v>184</v>
      </c>
      <c r="D16871" s="10" t="s">
        <v>2054</v>
      </c>
      <c r="E16871" s="11"/>
      <c r="F16871" s="12">
        <f>ROUND(11.74*(1+G2/100),2)</f>
        <v>11.74</v>
      </c>
      <c r="G16871" s="11"/>
    </row>
    <row r="16872" ht="85.5" customHeight="1">
      <c r="A16872" s="11"/>
      <c r="B16872" s="11"/>
      <c r="C16872" s="11"/>
      <c r="D16872" s="10" t="s">
        <v>7656</v>
      </c>
    </row>
    <row r="16873" ht="30.0" customHeight="1">
      <c r="A16873" s="13" t="s">
        <v>1006</v>
      </c>
      <c r="B16873" s="10" t="s">
        <v>42</v>
      </c>
      <c r="C16873" s="10" t="s">
        <v>184</v>
      </c>
      <c r="D16873" s="10" t="s">
        <v>1007</v>
      </c>
      <c r="E16873" s="11"/>
      <c r="F16873" s="12">
        <f>ROUND(16.81*(1+G2/100),2)</f>
        <v>16.81</v>
      </c>
      <c r="G16873" s="11"/>
    </row>
    <row r="16874" ht="215.25" customHeight="1">
      <c r="A16874" s="11"/>
      <c r="B16874" s="11"/>
      <c r="C16874" s="11"/>
      <c r="D16874" s="10" t="s">
        <v>7657</v>
      </c>
    </row>
    <row r="16875" ht="30.0" customHeight="1">
      <c r="A16875" s="13" t="s">
        <v>3633</v>
      </c>
      <c r="B16875" s="10" t="s">
        <v>42</v>
      </c>
      <c r="C16875" s="10" t="s">
        <v>184</v>
      </c>
      <c r="D16875" s="10" t="s">
        <v>3634</v>
      </c>
      <c r="E16875" s="11"/>
      <c r="F16875" s="12">
        <f>ROUND(11*(1+G2/100),2)</f>
        <v>11</v>
      </c>
      <c r="G16875" s="11"/>
    </row>
    <row r="16876" ht="85.5" customHeight="1">
      <c r="A16876" s="11"/>
      <c r="B16876" s="11"/>
      <c r="C16876" s="11"/>
      <c r="D16876" s="10" t="s">
        <v>7658</v>
      </c>
    </row>
    <row r="16877" ht="30.0" customHeight="1">
      <c r="A16877" s="13" t="s">
        <v>2071</v>
      </c>
      <c r="B16877" s="10" t="s">
        <v>42</v>
      </c>
      <c r="C16877" s="10" t="s">
        <v>184</v>
      </c>
      <c r="D16877" s="10" t="s">
        <v>2072</v>
      </c>
      <c r="E16877" s="11"/>
      <c r="F16877" s="12">
        <f>ROUND(11*(1+G2/100),2)</f>
        <v>11</v>
      </c>
      <c r="G16877" s="11"/>
    </row>
    <row r="16878" ht="85.5" customHeight="1">
      <c r="A16878" s="11"/>
      <c r="B16878" s="11"/>
      <c r="C16878" s="11"/>
      <c r="D16878" s="10" t="s">
        <v>7659</v>
      </c>
    </row>
    <row r="16879" ht="30.0" customHeight="1">
      <c r="A16879" s="13" t="s">
        <v>7660</v>
      </c>
      <c r="B16879" s="10" t="s">
        <v>42</v>
      </c>
      <c r="C16879" s="10" t="s">
        <v>184</v>
      </c>
      <c r="D16879" s="10" t="s">
        <v>7661</v>
      </c>
      <c r="E16879" s="11"/>
      <c r="F16879" s="12">
        <f>ROUND(11*(1+G2/100),2)</f>
        <v>11</v>
      </c>
      <c r="G16879" s="11"/>
    </row>
    <row r="16880" ht="85.5" customHeight="1">
      <c r="A16880" s="11"/>
      <c r="B16880" s="11"/>
      <c r="C16880" s="11"/>
      <c r="D16880" s="10" t="s">
        <v>7662</v>
      </c>
    </row>
    <row r="16881" ht="30.0" customHeight="1">
      <c r="A16881" s="13" t="s">
        <v>7663</v>
      </c>
      <c r="B16881" s="10" t="s">
        <v>42</v>
      </c>
      <c r="C16881" s="10" t="s">
        <v>184</v>
      </c>
      <c r="D16881" s="10" t="s">
        <v>7664</v>
      </c>
      <c r="E16881" s="11"/>
      <c r="F16881" s="12">
        <f>ROUND(25.42*(1+G2/100),2)</f>
        <v>25.42</v>
      </c>
      <c r="G16881" s="11"/>
    </row>
    <row r="16882" ht="150.0" customHeight="1">
      <c r="A16882" s="11"/>
      <c r="B16882" s="11"/>
      <c r="C16882" s="11"/>
      <c r="D16882" s="10" t="s">
        <v>7665</v>
      </c>
    </row>
    <row r="16883" ht="30.0" customHeight="1">
      <c r="A16883" s="13" t="s">
        <v>7666</v>
      </c>
      <c r="B16883" s="10" t="s">
        <v>42</v>
      </c>
      <c r="C16883" s="10" t="s">
        <v>184</v>
      </c>
      <c r="D16883" s="10" t="s">
        <v>7667</v>
      </c>
      <c r="E16883" s="11"/>
      <c r="F16883" s="12">
        <f>ROUND(7.9*(1+G2/100),2)</f>
        <v>7.9</v>
      </c>
      <c r="G16883" s="11"/>
    </row>
    <row r="16884" ht="85.5" customHeight="1">
      <c r="A16884" s="11"/>
      <c r="B16884" s="11"/>
      <c r="C16884" s="11"/>
      <c r="D16884" s="10" t="s">
        <v>7668</v>
      </c>
    </row>
    <row r="16885" ht="30.0" customHeight="1">
      <c r="A16885" s="13" t="s">
        <v>5692</v>
      </c>
      <c r="B16885" s="10" t="s">
        <v>42</v>
      </c>
      <c r="C16885" s="10" t="s">
        <v>184</v>
      </c>
      <c r="D16885" s="10" t="s">
        <v>5693</v>
      </c>
      <c r="E16885" s="11"/>
      <c r="F16885" s="12">
        <f>ROUND(15.27*(1+G2/100),2)</f>
        <v>15.27</v>
      </c>
      <c r="G16885" s="11"/>
    </row>
    <row r="16886" ht="76.5" customHeight="1">
      <c r="A16886" s="11"/>
      <c r="B16886" s="11"/>
      <c r="C16886" s="11"/>
      <c r="D16886" s="10" t="s">
        <v>7669</v>
      </c>
    </row>
    <row r="16887" ht="30.0" customHeight="1">
      <c r="A16887" s="13" t="s">
        <v>7670</v>
      </c>
      <c r="B16887" s="10" t="s">
        <v>42</v>
      </c>
      <c r="C16887" s="10" t="s">
        <v>184</v>
      </c>
      <c r="D16887" s="10" t="s">
        <v>7671</v>
      </c>
      <c r="E16887" s="11"/>
      <c r="F16887" s="12">
        <f>ROUND(31.33*(1+G2/100),2)</f>
        <v>31.33</v>
      </c>
      <c r="G16887" s="11"/>
    </row>
    <row r="16888" ht="123.0" customHeight="1">
      <c r="A16888" s="11"/>
      <c r="B16888" s="11"/>
      <c r="C16888" s="11"/>
      <c r="D16888" s="10" t="s">
        <v>7672</v>
      </c>
    </row>
    <row r="16889" ht="30.0" customHeight="1">
      <c r="A16889" s="13" t="s">
        <v>7673</v>
      </c>
      <c r="B16889" s="10" t="s">
        <v>42</v>
      </c>
      <c r="C16889" s="10" t="s">
        <v>184</v>
      </c>
      <c r="D16889" s="10" t="s">
        <v>7674</v>
      </c>
      <c r="E16889" s="11"/>
      <c r="F16889" s="12">
        <f>ROUND(12.63*(1+G2/100),2)</f>
        <v>12.63</v>
      </c>
      <c r="G16889" s="11"/>
    </row>
    <row r="16890" ht="85.5" customHeight="1">
      <c r="A16890" s="11"/>
      <c r="B16890" s="11"/>
      <c r="C16890" s="11"/>
      <c r="D16890" s="10" t="s">
        <v>7675</v>
      </c>
    </row>
    <row r="16891" ht="30.0" customHeight="1">
      <c r="A16891" s="13" t="s">
        <v>1948</v>
      </c>
      <c r="B16891" s="10" t="s">
        <v>42</v>
      </c>
      <c r="C16891" s="10" t="s">
        <v>184</v>
      </c>
      <c r="D16891" s="10" t="s">
        <v>1949</v>
      </c>
      <c r="E16891" s="11"/>
      <c r="F16891" s="12">
        <f>ROUND(4.75*(1+G2/100),2)</f>
        <v>4.75</v>
      </c>
      <c r="G16891" s="11"/>
    </row>
    <row r="16892" ht="113.25" customHeight="1">
      <c r="A16892" s="11"/>
      <c r="B16892" s="11"/>
      <c r="C16892" s="11"/>
      <c r="D16892" s="10" t="s">
        <v>7676</v>
      </c>
    </row>
    <row r="16893" ht="30.0" customHeight="1">
      <c r="A16893" s="13" t="s">
        <v>7677</v>
      </c>
      <c r="B16893" s="10" t="s">
        <v>42</v>
      </c>
      <c r="C16893" s="10" t="s">
        <v>184</v>
      </c>
      <c r="D16893" s="10" t="s">
        <v>7678</v>
      </c>
      <c r="E16893" s="11"/>
      <c r="F16893" s="12">
        <f>ROUND(85.65*(1+G2/100),2)</f>
        <v>85.65</v>
      </c>
      <c r="G16893" s="11"/>
    </row>
    <row r="16894" ht="39.75" customHeight="1">
      <c r="A16894" s="11"/>
      <c r="B16894" s="11"/>
      <c r="C16894" s="11"/>
      <c r="D16894" s="10" t="s">
        <v>7679</v>
      </c>
    </row>
    <row r="16895" ht="30.0" customHeight="1">
      <c r="A16895" s="13" t="s">
        <v>1953</v>
      </c>
      <c r="B16895" s="10" t="s">
        <v>42</v>
      </c>
      <c r="C16895" s="10" t="s">
        <v>184</v>
      </c>
      <c r="D16895" s="10" t="s">
        <v>1954</v>
      </c>
      <c r="E16895" s="11"/>
      <c r="F16895" s="12">
        <f>ROUND(5.25*(1+G2/100),2)</f>
        <v>5.25</v>
      </c>
      <c r="G16895" s="11"/>
    </row>
    <row r="16896" ht="39.75" customHeight="1">
      <c r="A16896" s="11"/>
      <c r="B16896" s="11"/>
      <c r="C16896" s="11"/>
      <c r="D16896" s="10" t="s">
        <v>7680</v>
      </c>
    </row>
    <row r="16897" ht="30.0" customHeight="1">
      <c r="A16897" s="13" t="s">
        <v>7681</v>
      </c>
      <c r="B16897" s="10" t="s">
        <v>42</v>
      </c>
      <c r="C16897" s="10" t="s">
        <v>184</v>
      </c>
      <c r="D16897" s="10" t="s">
        <v>7682</v>
      </c>
      <c r="E16897" s="11"/>
      <c r="F16897" s="12">
        <f>ROUND(11.15*(1+G2/100),2)</f>
        <v>11.15</v>
      </c>
      <c r="G16897" s="11"/>
    </row>
    <row r="16898" ht="159.75" customHeight="1">
      <c r="A16898" s="11"/>
      <c r="B16898" s="11"/>
      <c r="C16898" s="11"/>
      <c r="D16898" s="10" t="s">
        <v>7683</v>
      </c>
    </row>
    <row r="16899" ht="30.0" customHeight="1">
      <c r="A16899" s="13" t="s">
        <v>1953</v>
      </c>
      <c r="B16899" s="10" t="s">
        <v>42</v>
      </c>
      <c r="C16899" s="10" t="s">
        <v>184</v>
      </c>
      <c r="D16899" s="10" t="s">
        <v>1954</v>
      </c>
      <c r="E16899" s="11"/>
      <c r="F16899" s="12">
        <f>ROUND(5.25*(1+G2/100),2)</f>
        <v>5.25</v>
      </c>
      <c r="G16899" s="11"/>
    </row>
    <row r="16900" ht="39.75" customHeight="1">
      <c r="A16900" s="11"/>
      <c r="B16900" s="11"/>
      <c r="C16900" s="11"/>
      <c r="D16900" s="10" t="s">
        <v>7680</v>
      </c>
    </row>
    <row r="16901" ht="48.75" customHeight="1">
      <c r="A16901" s="13" t="s">
        <v>4418</v>
      </c>
      <c r="B16901" s="10" t="s">
        <v>42</v>
      </c>
      <c r="C16901" s="10" t="s">
        <v>184</v>
      </c>
      <c r="D16901" s="10" t="s">
        <v>2050</v>
      </c>
      <c r="E16901" s="11"/>
      <c r="F16901" s="12">
        <f>ROUND(33.2*(1+G2/100),2)</f>
        <v>33.2</v>
      </c>
      <c r="G16901" s="11"/>
    </row>
    <row r="16902" ht="132.0" customHeight="1">
      <c r="A16902" s="11"/>
      <c r="B16902" s="11"/>
      <c r="C16902" s="11"/>
      <c r="D16902" s="10" t="s">
        <v>7585</v>
      </c>
    </row>
    <row r="16903" ht="30.0" customHeight="1">
      <c r="A16903" s="13" t="s">
        <v>1681</v>
      </c>
      <c r="B16903" s="10" t="s">
        <v>42</v>
      </c>
      <c r="C16903" s="10" t="s">
        <v>184</v>
      </c>
      <c r="D16903" s="10" t="s">
        <v>1682</v>
      </c>
      <c r="E16903" s="11"/>
      <c r="F16903" s="12">
        <f>ROUND(1.29*(1+G2/100),2)</f>
        <v>1.29</v>
      </c>
      <c r="G16903" s="11"/>
    </row>
    <row r="16904" ht="95.25" customHeight="1">
      <c r="A16904" s="11"/>
      <c r="B16904" s="11"/>
      <c r="C16904" s="11"/>
      <c r="D16904" s="10" t="s">
        <v>7684</v>
      </c>
    </row>
    <row r="16905" ht="30.0" customHeight="1">
      <c r="A16905" s="13" t="s">
        <v>7685</v>
      </c>
      <c r="B16905" s="10" t="s">
        <v>42</v>
      </c>
      <c r="C16905" s="10" t="s">
        <v>184</v>
      </c>
      <c r="D16905" s="10" t="s">
        <v>7686</v>
      </c>
      <c r="E16905" s="11"/>
      <c r="F16905" s="12">
        <f>ROUND(4.8*(1+G2/100),2)</f>
        <v>4.8</v>
      </c>
      <c r="G16905" s="11"/>
    </row>
    <row r="16906" ht="270.75" customHeight="1">
      <c r="A16906" s="11"/>
      <c r="B16906" s="11"/>
      <c r="C16906" s="11"/>
      <c r="D16906" s="10" t="s">
        <v>7687</v>
      </c>
    </row>
    <row r="16907" ht="48.75" customHeight="1">
      <c r="A16907" s="13" t="s">
        <v>7688</v>
      </c>
      <c r="B16907" s="10" t="s">
        <v>42</v>
      </c>
      <c r="C16907" s="10" t="s">
        <v>184</v>
      </c>
      <c r="D16907" s="10" t="s">
        <v>7689</v>
      </c>
      <c r="E16907" s="11"/>
      <c r="F16907" s="12">
        <f>ROUND(10.63*(1+G2/100),2)</f>
        <v>10.63</v>
      </c>
      <c r="G16907" s="11"/>
    </row>
    <row r="16908" ht="76.5" customHeight="1">
      <c r="A16908" s="11"/>
      <c r="B16908" s="11"/>
      <c r="C16908" s="11"/>
      <c r="D16908" s="10" t="s">
        <v>7690</v>
      </c>
    </row>
    <row r="16909" ht="30.0" customHeight="1">
      <c r="A16909" s="13" t="s">
        <v>7691</v>
      </c>
      <c r="B16909" s="10" t="s">
        <v>42</v>
      </c>
      <c r="C16909" s="10" t="s">
        <v>184</v>
      </c>
      <c r="D16909" s="10" t="s">
        <v>7692</v>
      </c>
      <c r="E16909" s="11"/>
      <c r="F16909" s="12">
        <f>ROUND(33*(1+G2/100),2)</f>
        <v>33</v>
      </c>
      <c r="G16909" s="11"/>
    </row>
    <row r="16910" ht="67.5" customHeight="1">
      <c r="A16910" s="11"/>
      <c r="B16910" s="11"/>
      <c r="C16910" s="11"/>
      <c r="D16910" s="10" t="s">
        <v>7693</v>
      </c>
    </row>
    <row r="16911" ht="39.75" customHeight="1">
      <c r="A16911" s="13" t="s">
        <v>7694</v>
      </c>
      <c r="B16911" s="10" t="s">
        <v>42</v>
      </c>
      <c r="C16911" s="10" t="s">
        <v>184</v>
      </c>
      <c r="D16911" s="10" t="s">
        <v>7695</v>
      </c>
      <c r="E16911" s="11"/>
      <c r="F16911" s="12">
        <f>ROUND(41.17*(1+G2/100),2)</f>
        <v>41.17</v>
      </c>
      <c r="G16911" s="11"/>
    </row>
    <row r="16912" ht="187.5" customHeight="1">
      <c r="A16912" s="11"/>
      <c r="B16912" s="11"/>
      <c r="C16912" s="11"/>
      <c r="D16912" s="10" t="s">
        <v>7696</v>
      </c>
    </row>
    <row r="16913" ht="39.75" customHeight="1">
      <c r="A16913" s="13" t="s">
        <v>4060</v>
      </c>
      <c r="B16913" s="10" t="s">
        <v>42</v>
      </c>
      <c r="C16913" s="10" t="s">
        <v>4061</v>
      </c>
      <c r="D16913" s="10" t="s">
        <v>4062</v>
      </c>
      <c r="E16913" s="11"/>
      <c r="F16913" s="12">
        <f>ROUND(126.72*(1+G2/100),2)</f>
        <v>126.72</v>
      </c>
      <c r="G16913" s="11"/>
    </row>
    <row r="16914" ht="233.25" customHeight="1">
      <c r="A16914" s="11"/>
      <c r="B16914" s="11"/>
      <c r="C16914" s="11"/>
      <c r="D16914" s="10" t="s">
        <v>7697</v>
      </c>
    </row>
    <row r="16915" ht="48.75" customHeight="1">
      <c r="A16915" s="13" t="s">
        <v>1972</v>
      </c>
      <c r="B16915" s="10" t="s">
        <v>42</v>
      </c>
      <c r="C16915" s="10" t="s">
        <v>1298</v>
      </c>
      <c r="D16915" s="10" t="s">
        <v>1973</v>
      </c>
      <c r="E16915" s="11"/>
      <c r="F16915" s="12">
        <f>ROUND(45.74*(1+G2/100),2)</f>
        <v>45.74</v>
      </c>
      <c r="G16915" s="11"/>
    </row>
    <row r="16916" ht="159.75" customHeight="1">
      <c r="A16916" s="11"/>
      <c r="B16916" s="11"/>
      <c r="C16916" s="11"/>
      <c r="D16916" s="10" t="s">
        <v>7698</v>
      </c>
    </row>
    <row r="16917" ht="39.75" customHeight="1">
      <c r="A16917" s="13" t="s">
        <v>1303</v>
      </c>
      <c r="B16917" s="10" t="s">
        <v>42</v>
      </c>
      <c r="C16917" s="10" t="s">
        <v>184</v>
      </c>
      <c r="D16917" s="10" t="s">
        <v>1304</v>
      </c>
      <c r="E16917" s="11"/>
      <c r="F16917" s="12">
        <f>ROUND(24.84*(1+G2/100),2)</f>
        <v>24.84</v>
      </c>
      <c r="G16917" s="11"/>
    </row>
    <row r="16918" ht="76.5" customHeight="1">
      <c r="A16918" s="11"/>
      <c r="B16918" s="11"/>
      <c r="C16918" s="11"/>
      <c r="D16918" s="10" t="s">
        <v>7699</v>
      </c>
    </row>
    <row r="16919" ht="30.0" customHeight="1">
      <c r="A16919" s="13" t="s">
        <v>7700</v>
      </c>
      <c r="B16919" s="10" t="s">
        <v>42</v>
      </c>
      <c r="C16919" s="10" t="s">
        <v>584</v>
      </c>
      <c r="D16919" s="10" t="s">
        <v>7701</v>
      </c>
      <c r="E16919" s="11"/>
      <c r="F16919" s="12">
        <f>ROUND(423.11*(1+G2/100),2)</f>
        <v>423.11</v>
      </c>
      <c r="G16919" s="11"/>
    </row>
    <row r="16920" ht="85.5" customHeight="1">
      <c r="A16920" s="11"/>
      <c r="B16920" s="11"/>
      <c r="C16920" s="11"/>
      <c r="D16920" s="10" t="s">
        <v>7702</v>
      </c>
    </row>
    <row r="16921" ht="39.75" customHeight="1">
      <c r="A16921" s="13" t="s">
        <v>5845</v>
      </c>
      <c r="B16921" s="10" t="s">
        <v>42</v>
      </c>
      <c r="C16921" s="10" t="s">
        <v>184</v>
      </c>
      <c r="D16921" s="10" t="s">
        <v>5846</v>
      </c>
      <c r="E16921" s="11"/>
      <c r="F16921" s="12">
        <f>ROUND(6.13*(1+G2/100),2)</f>
        <v>6.13</v>
      </c>
      <c r="G16921" s="11"/>
    </row>
    <row r="16922" ht="159.75" customHeight="1">
      <c r="A16922" s="11"/>
      <c r="B16922" s="11"/>
      <c r="C16922" s="11"/>
      <c r="D16922" s="10" t="s">
        <v>7703</v>
      </c>
    </row>
    <row r="16923" ht="39.75" customHeight="1">
      <c r="A16923" s="13" t="s">
        <v>1269</v>
      </c>
      <c r="B16923" s="10" t="s">
        <v>42</v>
      </c>
      <c r="C16923" s="10" t="s">
        <v>226</v>
      </c>
      <c r="D16923" s="10" t="s">
        <v>1270</v>
      </c>
      <c r="E16923" s="11"/>
      <c r="F16923" s="12">
        <f>ROUND(71.07*(1+G2/100),2)</f>
        <v>71.07</v>
      </c>
      <c r="G16923" s="11"/>
    </row>
    <row r="16924" ht="21.0" customHeight="1">
      <c r="A16924" s="11"/>
      <c r="B16924" s="11"/>
      <c r="C16924" s="11"/>
      <c r="D16924" s="10" t="s">
        <v>1270</v>
      </c>
    </row>
    <row r="16925" ht="30.0" customHeight="1">
      <c r="A16925" s="13" t="s">
        <v>1292</v>
      </c>
      <c r="B16925" s="10" t="s">
        <v>42</v>
      </c>
      <c r="C16925" s="10" t="s">
        <v>184</v>
      </c>
      <c r="D16925" s="10" t="s">
        <v>1293</v>
      </c>
      <c r="E16925" s="11"/>
      <c r="F16925" s="12">
        <f>ROUND(31.35*(1+G2/100),2)</f>
        <v>31.35</v>
      </c>
      <c r="G16925" s="11"/>
    </row>
    <row r="16926" ht="95.25" customHeight="1">
      <c r="A16926" s="11"/>
      <c r="B16926" s="11"/>
      <c r="C16926" s="11"/>
      <c r="D16926" s="10" t="s">
        <v>7704</v>
      </c>
    </row>
    <row r="16927" ht="39.75" customHeight="1">
      <c r="A16927" s="13" t="s">
        <v>7705</v>
      </c>
      <c r="B16927" s="10" t="s">
        <v>42</v>
      </c>
      <c r="C16927" s="10" t="s">
        <v>184</v>
      </c>
      <c r="D16927" s="10" t="s">
        <v>7706</v>
      </c>
      <c r="E16927" s="11"/>
      <c r="F16927" s="12">
        <f>ROUND(19.27*(1+G2/100),2)</f>
        <v>19.27</v>
      </c>
      <c r="G16927" s="11"/>
    </row>
    <row r="16928" ht="76.5" customHeight="1">
      <c r="A16928" s="11"/>
      <c r="B16928" s="11"/>
      <c r="C16928" s="11"/>
      <c r="D16928" s="10" t="s">
        <v>7707</v>
      </c>
    </row>
    <row r="16929" ht="39.75" customHeight="1">
      <c r="A16929" s="13" t="s">
        <v>7708</v>
      </c>
      <c r="B16929" s="10" t="s">
        <v>42</v>
      </c>
      <c r="C16929" s="10" t="s">
        <v>184</v>
      </c>
      <c r="D16929" s="10" t="s">
        <v>7709</v>
      </c>
      <c r="E16929" s="11"/>
      <c r="F16929" s="12">
        <f>ROUND(21.25*(1+G2/100),2)</f>
        <v>21.25</v>
      </c>
      <c r="G16929" s="11"/>
    </row>
    <row r="16930" ht="39.75" customHeight="1">
      <c r="A16930" s="11"/>
      <c r="B16930" s="11"/>
      <c r="C16930" s="11"/>
      <c r="D16930" s="10" t="s">
        <v>7710</v>
      </c>
    </row>
    <row r="16931" ht="39.75" customHeight="1">
      <c r="A16931" s="13" t="s">
        <v>4730</v>
      </c>
      <c r="B16931" s="10" t="s">
        <v>42</v>
      </c>
      <c r="C16931" s="10" t="s">
        <v>276</v>
      </c>
      <c r="D16931" s="10" t="s">
        <v>4731</v>
      </c>
      <c r="E16931" s="11"/>
      <c r="F16931" s="12">
        <f>ROUND(72.82*(1+G2/100),2)</f>
        <v>72.82</v>
      </c>
      <c r="G16931" s="11"/>
    </row>
    <row r="16932" ht="104.25" customHeight="1">
      <c r="A16932" s="11"/>
      <c r="B16932" s="11"/>
      <c r="C16932" s="11"/>
      <c r="D16932" s="10" t="s">
        <v>7711</v>
      </c>
    </row>
    <row r="16933" ht="39.75" customHeight="1">
      <c r="A16933" s="13" t="s">
        <v>7712</v>
      </c>
      <c r="B16933" s="10" t="s">
        <v>42</v>
      </c>
      <c r="C16933" s="10" t="s">
        <v>276</v>
      </c>
      <c r="D16933" s="10" t="s">
        <v>7713</v>
      </c>
      <c r="E16933" s="11"/>
      <c r="F16933" s="12">
        <f>ROUND(76.29*(1+G2/100),2)</f>
        <v>76.29</v>
      </c>
      <c r="G16933" s="11"/>
    </row>
    <row r="16934" ht="104.25" customHeight="1">
      <c r="A16934" s="11"/>
      <c r="B16934" s="11"/>
      <c r="C16934" s="11"/>
      <c r="D16934" s="10" t="s">
        <v>7714</v>
      </c>
    </row>
    <row r="16935" ht="39.75" customHeight="1">
      <c r="A16935" s="13" t="s">
        <v>7715</v>
      </c>
      <c r="B16935" s="10" t="s">
        <v>42</v>
      </c>
      <c r="C16935" s="10" t="s">
        <v>276</v>
      </c>
      <c r="D16935" s="10" t="s">
        <v>7716</v>
      </c>
      <c r="E16935" s="11"/>
      <c r="F16935" s="12">
        <f>ROUND(80.45*(1+G2/100),2)</f>
        <v>80.45</v>
      </c>
      <c r="G16935" s="11"/>
    </row>
    <row r="16936" ht="104.25" customHeight="1">
      <c r="A16936" s="11"/>
      <c r="B16936" s="11"/>
      <c r="C16936" s="11"/>
      <c r="D16936" s="10" t="s">
        <v>7717</v>
      </c>
    </row>
    <row r="16937" ht="48.75" customHeight="1">
      <c r="A16937" s="13" t="s">
        <v>7718</v>
      </c>
      <c r="B16937" s="10" t="s">
        <v>42</v>
      </c>
      <c r="C16937" s="10" t="s">
        <v>276</v>
      </c>
      <c r="D16937" s="10" t="s">
        <v>7719</v>
      </c>
      <c r="E16937" s="11"/>
      <c r="F16937" s="12">
        <f>ROUND(69.35*(1+G2/100),2)</f>
        <v>69.35</v>
      </c>
      <c r="G16937" s="11"/>
    </row>
    <row r="16938" ht="104.25" customHeight="1">
      <c r="A16938" s="11"/>
      <c r="B16938" s="11"/>
      <c r="C16938" s="11"/>
      <c r="D16938" s="10" t="s">
        <v>7720</v>
      </c>
    </row>
    <row r="16939" ht="48.75" customHeight="1">
      <c r="A16939" s="13" t="s">
        <v>1276</v>
      </c>
      <c r="B16939" s="10" t="s">
        <v>42</v>
      </c>
      <c r="C16939" s="10" t="s">
        <v>43</v>
      </c>
      <c r="D16939" s="10" t="s">
        <v>1277</v>
      </c>
      <c r="E16939" s="11"/>
      <c r="F16939" s="12">
        <f>ROUND(45.57*(1+G2/100),2)</f>
        <v>45.57</v>
      </c>
      <c r="G16939" s="11"/>
    </row>
    <row r="16940" ht="224.25" customHeight="1">
      <c r="A16940" s="11"/>
      <c r="B16940" s="11"/>
      <c r="C16940" s="11"/>
      <c r="D16940" s="10" t="s">
        <v>7721</v>
      </c>
    </row>
    <row r="16941" ht="39.75" customHeight="1">
      <c r="A16941" s="13" t="s">
        <v>1994</v>
      </c>
      <c r="B16941" s="10" t="s">
        <v>42</v>
      </c>
      <c r="C16941" s="10" t="s">
        <v>184</v>
      </c>
      <c r="D16941" s="10" t="s">
        <v>1995</v>
      </c>
      <c r="E16941" s="11"/>
      <c r="F16941" s="12">
        <f>ROUND(15.2*(1+G2/100),2)</f>
        <v>15.2</v>
      </c>
      <c r="G16941" s="11"/>
    </row>
    <row r="16942" ht="48.75" customHeight="1">
      <c r="A16942" s="11"/>
      <c r="B16942" s="11"/>
      <c r="C16942" s="11"/>
      <c r="D16942" s="10" t="s">
        <v>7722</v>
      </c>
    </row>
    <row r="16943" ht="39.75" customHeight="1">
      <c r="A16943" s="13" t="s">
        <v>1992</v>
      </c>
      <c r="B16943" s="10" t="s">
        <v>42</v>
      </c>
      <c r="C16943" s="10" t="s">
        <v>184</v>
      </c>
      <c r="D16943" s="10" t="s">
        <v>1993</v>
      </c>
      <c r="E16943" s="11"/>
      <c r="F16943" s="12">
        <f>ROUND(10.46*(1+G2/100),2)</f>
        <v>10.46</v>
      </c>
      <c r="G16943" s="11"/>
    </row>
    <row r="16944" ht="57.75" customHeight="1">
      <c r="A16944" s="11"/>
      <c r="B16944" s="11"/>
      <c r="C16944" s="11"/>
      <c r="D16944" s="10" t="s">
        <v>7723</v>
      </c>
    </row>
    <row r="16945" ht="39.75" customHeight="1">
      <c r="A16945" s="13" t="s">
        <v>2142</v>
      </c>
      <c r="B16945" s="10" t="s">
        <v>42</v>
      </c>
      <c r="C16945" s="10" t="s">
        <v>184</v>
      </c>
      <c r="D16945" s="10" t="s">
        <v>2143</v>
      </c>
      <c r="E16945" s="11"/>
      <c r="F16945" s="12">
        <f>ROUND(6.8*(1+G2/100),2)</f>
        <v>6.8</v>
      </c>
      <c r="G16945" s="11"/>
    </row>
    <row r="16946" ht="95.25" customHeight="1">
      <c r="A16946" s="11"/>
      <c r="B16946" s="11"/>
      <c r="C16946" s="11"/>
      <c r="D16946" s="10" t="s">
        <v>7724</v>
      </c>
    </row>
    <row r="16947" ht="24.0" customHeight="1">
      <c r="A16947" s="13" t="s">
        <v>1281</v>
      </c>
      <c r="B16947" s="10" t="s">
        <v>42</v>
      </c>
      <c r="C16947" s="10" t="s">
        <v>43</v>
      </c>
      <c r="D16947" s="10" t="s">
        <v>1282</v>
      </c>
      <c r="E16947" s="11"/>
      <c r="F16947" s="12">
        <f>ROUND(29.06*(1+G2/100),2)</f>
        <v>29.06</v>
      </c>
      <c r="G16947" s="11"/>
    </row>
    <row r="16948" ht="159.75" customHeight="1">
      <c r="A16948" s="11"/>
      <c r="B16948" s="11"/>
      <c r="C16948" s="11"/>
      <c r="D16948" s="10" t="s">
        <v>7725</v>
      </c>
    </row>
    <row r="16949" ht="48.75" customHeight="1">
      <c r="A16949" s="13" t="s">
        <v>7726</v>
      </c>
      <c r="B16949" s="10" t="s">
        <v>42</v>
      </c>
      <c r="C16949" s="10" t="s">
        <v>584</v>
      </c>
      <c r="D16949" s="10" t="s">
        <v>7727</v>
      </c>
      <c r="E16949" s="11"/>
      <c r="F16949" s="12">
        <f>ROUND(99.3*(1+G2/100),2)</f>
        <v>99.3</v>
      </c>
      <c r="G16949" s="11"/>
    </row>
    <row r="16950" ht="168.75" customHeight="1">
      <c r="A16950" s="11"/>
      <c r="B16950" s="11"/>
      <c r="C16950" s="11"/>
      <c r="D16950" s="10" t="s">
        <v>7728</v>
      </c>
    </row>
    <row r="16951" ht="48.75" customHeight="1">
      <c r="A16951" s="13" t="s">
        <v>7729</v>
      </c>
      <c r="B16951" s="10" t="s">
        <v>42</v>
      </c>
      <c r="C16951" s="10" t="s">
        <v>584</v>
      </c>
      <c r="D16951" s="10" t="s">
        <v>7730</v>
      </c>
      <c r="E16951" s="11"/>
      <c r="F16951" s="12">
        <f>ROUND(353.06*(1+G2/100),2)</f>
        <v>353.06</v>
      </c>
      <c r="G16951" s="11"/>
    </row>
    <row r="16952" ht="168.75" customHeight="1">
      <c r="A16952" s="11"/>
      <c r="B16952" s="11"/>
      <c r="C16952" s="11"/>
      <c r="D16952" s="10" t="s">
        <v>7731</v>
      </c>
    </row>
    <row r="16953" ht="48.75" customHeight="1">
      <c r="A16953" s="13" t="s">
        <v>7732</v>
      </c>
      <c r="B16953" s="10" t="s">
        <v>42</v>
      </c>
      <c r="C16953" s="10" t="s">
        <v>584</v>
      </c>
      <c r="D16953" s="10" t="s">
        <v>7733</v>
      </c>
      <c r="E16953" s="11"/>
      <c r="F16953" s="12">
        <f>ROUND(41.74*(1+G2/100),2)</f>
        <v>41.74</v>
      </c>
      <c r="G16953" s="11"/>
    </row>
    <row r="16954" ht="104.25" customHeight="1">
      <c r="A16954" s="11"/>
      <c r="B16954" s="11"/>
      <c r="C16954" s="11"/>
      <c r="D16954" s="10" t="s">
        <v>7734</v>
      </c>
    </row>
    <row r="16955" ht="48.75" customHeight="1">
      <c r="A16955" s="13" t="s">
        <v>7735</v>
      </c>
      <c r="B16955" s="10" t="s">
        <v>42</v>
      </c>
      <c r="C16955" s="10" t="s">
        <v>584</v>
      </c>
      <c r="D16955" s="10" t="s">
        <v>7736</v>
      </c>
      <c r="E16955" s="11"/>
      <c r="F16955" s="12">
        <f>ROUND(128.22*(1+G2/100),2)</f>
        <v>128.22</v>
      </c>
      <c r="G16955" s="11"/>
    </row>
    <row r="16956" ht="104.25" customHeight="1">
      <c r="A16956" s="11"/>
      <c r="B16956" s="11"/>
      <c r="C16956" s="11"/>
      <c r="D16956" s="10" t="s">
        <v>7737</v>
      </c>
    </row>
    <row r="16957" ht="57.75" customHeight="1">
      <c r="A16957" s="13" t="s">
        <v>7738</v>
      </c>
      <c r="B16957" s="10" t="s">
        <v>42</v>
      </c>
      <c r="C16957" s="10" t="s">
        <v>1298</v>
      </c>
      <c r="D16957" s="10" t="s">
        <v>7739</v>
      </c>
      <c r="E16957" s="11"/>
      <c r="F16957" s="12">
        <f>ROUND(89.21*(1+G2/100),2)</f>
        <v>89.21</v>
      </c>
      <c r="G16957" s="11"/>
    </row>
    <row r="16958" ht="104.25" customHeight="1">
      <c r="A16958" s="11"/>
      <c r="B16958" s="11"/>
      <c r="C16958" s="11"/>
      <c r="D16958" s="10" t="s">
        <v>7740</v>
      </c>
    </row>
    <row r="16959" ht="57.75" customHeight="1">
      <c r="A16959" s="13" t="s">
        <v>4696</v>
      </c>
      <c r="B16959" s="10" t="s">
        <v>42</v>
      </c>
      <c r="C16959" s="10" t="s">
        <v>584</v>
      </c>
      <c r="D16959" s="10" t="s">
        <v>4697</v>
      </c>
      <c r="E16959" s="11"/>
      <c r="F16959" s="12">
        <f>ROUND(165.21*(1+G2/100),2)</f>
        <v>165.21</v>
      </c>
      <c r="G16959" s="11"/>
    </row>
    <row r="16960" ht="76.5" customHeight="1">
      <c r="A16960" s="11"/>
      <c r="B16960" s="11"/>
      <c r="C16960" s="11"/>
      <c r="D16960" s="10" t="s">
        <v>7741</v>
      </c>
    </row>
    <row r="16961" ht="48.75" customHeight="1">
      <c r="A16961" s="13" t="s">
        <v>4700</v>
      </c>
      <c r="B16961" s="10" t="s">
        <v>42</v>
      </c>
      <c r="C16961" s="10" t="s">
        <v>43</v>
      </c>
      <c r="D16961" s="10" t="s">
        <v>4701</v>
      </c>
      <c r="E16961" s="11"/>
      <c r="F16961" s="12">
        <f>ROUND(456.98*(1+G2/100),2)</f>
        <v>456.98</v>
      </c>
      <c r="G16961" s="11"/>
    </row>
    <row r="16962" ht="141.0" customHeight="1">
      <c r="A16962" s="11"/>
      <c r="B16962" s="11"/>
      <c r="C16962" s="11"/>
      <c r="D16962" s="10" t="s">
        <v>7742</v>
      </c>
    </row>
    <row r="16963" ht="57.75" customHeight="1">
      <c r="A16963" s="13" t="s">
        <v>7743</v>
      </c>
      <c r="B16963" s="10" t="s">
        <v>42</v>
      </c>
      <c r="C16963" s="10" t="s">
        <v>184</v>
      </c>
      <c r="D16963" s="10" t="s">
        <v>7744</v>
      </c>
      <c r="E16963" s="11"/>
      <c r="F16963" s="12">
        <f>ROUND(37.44*(1+G2/100),2)</f>
        <v>37.44</v>
      </c>
      <c r="G16963" s="11"/>
    </row>
    <row r="16964" ht="205.5" customHeight="1">
      <c r="A16964" s="11"/>
      <c r="B16964" s="11"/>
      <c r="C16964" s="11"/>
      <c r="D16964" s="10" t="s">
        <v>7745</v>
      </c>
    </row>
    <row r="16965" ht="57.75" customHeight="1">
      <c r="A16965" s="13" t="s">
        <v>1313</v>
      </c>
      <c r="B16965" s="10" t="s">
        <v>42</v>
      </c>
      <c r="C16965" s="10" t="s">
        <v>184</v>
      </c>
      <c r="D16965" s="10" t="s">
        <v>1314</v>
      </c>
      <c r="E16965" s="11"/>
      <c r="F16965" s="12">
        <f>ROUND(36.2*(1+G2/100),2)</f>
        <v>36.2</v>
      </c>
      <c r="G16965" s="11"/>
    </row>
    <row r="16966" ht="205.5" customHeight="1">
      <c r="A16966" s="11"/>
      <c r="B16966" s="11"/>
      <c r="C16966" s="11"/>
      <c r="D16966" s="10" t="s">
        <v>7746</v>
      </c>
    </row>
    <row r="16967" ht="48.75" customHeight="1">
      <c r="A16967" s="13" t="s">
        <v>7747</v>
      </c>
      <c r="B16967" s="10" t="s">
        <v>42</v>
      </c>
      <c r="C16967" s="10" t="s">
        <v>184</v>
      </c>
      <c r="D16967" s="10" t="s">
        <v>7748</v>
      </c>
      <c r="E16967" s="11"/>
      <c r="F16967" s="12">
        <f>ROUND(28.68*(1+G2/100),2)</f>
        <v>28.68</v>
      </c>
      <c r="G16967" s="11"/>
    </row>
    <row r="16968" ht="501.75" customHeight="1">
      <c r="A16968" s="11"/>
      <c r="B16968" s="11"/>
      <c r="C16968" s="11"/>
      <c r="D16968" s="10" t="s">
        <v>7749</v>
      </c>
    </row>
    <row r="16969" ht="39.75" customHeight="1">
      <c r="A16969" s="13" t="s">
        <v>7750</v>
      </c>
      <c r="B16969" s="10" t="s">
        <v>42</v>
      </c>
      <c r="C16969" s="10" t="s">
        <v>43</v>
      </c>
      <c r="D16969" s="10" t="s">
        <v>7751</v>
      </c>
      <c r="E16969" s="11"/>
      <c r="F16969" s="12">
        <f>ROUND(15.95*(1+G2/100),2)</f>
        <v>15.95</v>
      </c>
      <c r="G16969" s="11"/>
    </row>
    <row r="16970" ht="168.75" customHeight="1">
      <c r="A16970" s="11"/>
      <c r="B16970" s="11"/>
      <c r="C16970" s="11"/>
      <c r="D16970" s="10" t="s">
        <v>7752</v>
      </c>
    </row>
    <row r="16971" ht="48.75" customHeight="1">
      <c r="A16971" s="13" t="s">
        <v>1297</v>
      </c>
      <c r="B16971" s="10" t="s">
        <v>42</v>
      </c>
      <c r="C16971" s="10" t="s">
        <v>1298</v>
      </c>
      <c r="D16971" s="10" t="s">
        <v>1299</v>
      </c>
      <c r="E16971" s="11"/>
      <c r="F16971" s="12">
        <f>ROUND(46.78*(1+G2/100),2)</f>
        <v>46.78</v>
      </c>
      <c r="G16971" s="11"/>
    </row>
    <row r="16972" ht="132.0" customHeight="1">
      <c r="A16972" s="11"/>
      <c r="B16972" s="11"/>
      <c r="C16972" s="11"/>
      <c r="D16972" s="10" t="s">
        <v>7753</v>
      </c>
    </row>
    <row r="16973" ht="39.75" customHeight="1">
      <c r="A16973" s="13" t="s">
        <v>4728</v>
      </c>
      <c r="B16973" s="10" t="s">
        <v>42</v>
      </c>
      <c r="C16973" s="10" t="s">
        <v>276</v>
      </c>
      <c r="D16973" s="10" t="s">
        <v>4729</v>
      </c>
      <c r="E16973" s="11"/>
      <c r="F16973" s="12">
        <f>ROUND(82.55*(1+G2/100),2)</f>
        <v>82.55</v>
      </c>
      <c r="G16973" s="11"/>
    </row>
    <row r="16974" ht="67.5" customHeight="1">
      <c r="A16974" s="11"/>
      <c r="B16974" s="11"/>
      <c r="C16974" s="11"/>
      <c r="D16974" s="10" t="s">
        <v>7754</v>
      </c>
    </row>
    <row r="16975" ht="30.0" customHeight="1">
      <c r="A16975" s="13" t="s">
        <v>1919</v>
      </c>
      <c r="B16975" s="10" t="s">
        <v>42</v>
      </c>
      <c r="C16975" s="10" t="s">
        <v>341</v>
      </c>
      <c r="D16975" s="10" t="s">
        <v>1920</v>
      </c>
      <c r="E16975" s="11"/>
      <c r="F16975" s="12">
        <f>ROUND(17.77*(1+G2/100),2)</f>
        <v>17.77</v>
      </c>
      <c r="G16975" s="11"/>
    </row>
    <row r="16976" ht="270.75" customHeight="1">
      <c r="A16976" s="11"/>
      <c r="B16976" s="11"/>
      <c r="C16976" s="11"/>
      <c r="D16976" s="10" t="s">
        <v>7755</v>
      </c>
    </row>
    <row r="16977" ht="24.75" customHeight="1">
      <c r="A16977" s="13" t="s">
        <v>7756</v>
      </c>
      <c r="B16977" s="10" t="s">
        <v>42</v>
      </c>
      <c r="C16977" s="10" t="s">
        <v>184</v>
      </c>
      <c r="D16977" s="10" t="s">
        <v>7757</v>
      </c>
      <c r="E16977" s="11"/>
      <c r="F16977" s="12">
        <f>ROUND(11*(1+G2/100),2)</f>
        <v>11</v>
      </c>
      <c r="G16977" s="11"/>
    </row>
    <row r="16978" ht="187.5" customHeight="1">
      <c r="A16978" s="11"/>
      <c r="B16978" s="11"/>
      <c r="C16978" s="11"/>
      <c r="D16978" s="10" t="s">
        <v>7758</v>
      </c>
    </row>
    <row r="16979" ht="24.75" customHeight="1">
      <c r="A16979" s="16"/>
      <c r="B16979" s="16"/>
      <c r="C16979" s="16"/>
      <c r="D16979" s="61" t="s">
        <v>7573</v>
      </c>
      <c r="E16979" s="62"/>
      <c r="F16979" s="62"/>
      <c r="G16979" s="62"/>
    </row>
    <row r="16980" ht="15.0" customHeight="1">
      <c r="A16980" s="19" t="s">
        <v>7759</v>
      </c>
      <c r="B16980" s="20" t="s">
        <v>42</v>
      </c>
      <c r="C16980" s="20" t="s">
        <v>858</v>
      </c>
      <c r="D16980" s="20" t="s">
        <v>7760</v>
      </c>
      <c r="E16980" s="21"/>
      <c r="F16980" s="22">
        <f>ROUND(0*(1+G2/100),2)</f>
        <v>0</v>
      </c>
      <c r="G16980" s="21"/>
    </row>
    <row r="16981" ht="215.25" customHeight="1">
      <c r="A16981" s="11"/>
      <c r="B16981" s="11"/>
      <c r="C16981" s="11"/>
      <c r="D16981" s="10" t="s">
        <v>7761</v>
      </c>
    </row>
    <row r="16982" ht="30.0" customHeight="1">
      <c r="A16982" s="13" t="s">
        <v>7762</v>
      </c>
      <c r="B16982" s="10" t="s">
        <v>473</v>
      </c>
      <c r="C16982" s="10" t="s">
        <v>231</v>
      </c>
      <c r="D16982" s="10" t="s">
        <v>7763</v>
      </c>
      <c r="E16982" s="11"/>
      <c r="F16982" s="12">
        <f>ROUND(0*(1+G2/100),2)</f>
        <v>0</v>
      </c>
      <c r="G16982" s="11"/>
    </row>
    <row r="16983" ht="67.5" customHeight="1">
      <c r="A16983" s="11"/>
      <c r="B16983" s="11"/>
      <c r="C16983" s="11"/>
      <c r="D16983" s="10" t="s">
        <v>7764</v>
      </c>
    </row>
    <row r="16984" ht="24.75" customHeight="1">
      <c r="A16984" s="40" t="s">
        <v>7765</v>
      </c>
      <c r="B16984" s="40" t="s">
        <v>10</v>
      </c>
      <c r="C16984" s="41"/>
      <c r="D16984" s="40" t="s">
        <v>7766</v>
      </c>
      <c r="E16984" s="41"/>
      <c r="F16984" s="41"/>
      <c r="G16984" s="41"/>
    </row>
    <row r="16985" ht="48.75" customHeight="1">
      <c r="A16985" s="13" t="s">
        <v>5375</v>
      </c>
      <c r="B16985" s="10" t="s">
        <v>42</v>
      </c>
      <c r="C16985" s="10" t="s">
        <v>276</v>
      </c>
      <c r="D16985" s="10" t="s">
        <v>5376</v>
      </c>
      <c r="E16985" s="11"/>
      <c r="F16985" s="12">
        <f>ROUND(123.76*(1+G2/100),2)</f>
        <v>123.76</v>
      </c>
      <c r="G16985" s="11"/>
    </row>
    <row r="16986" ht="316.5" customHeight="1">
      <c r="A16986" s="11"/>
      <c r="B16986" s="11"/>
      <c r="C16986" s="11"/>
      <c r="D16986" s="10" t="s">
        <v>7767</v>
      </c>
    </row>
    <row r="16987" ht="39.75" customHeight="1">
      <c r="A16987" s="13" t="s">
        <v>4790</v>
      </c>
      <c r="B16987" s="10" t="s">
        <v>42</v>
      </c>
      <c r="C16987" s="10" t="s">
        <v>276</v>
      </c>
      <c r="D16987" s="10" t="s">
        <v>4791</v>
      </c>
      <c r="E16987" s="11"/>
      <c r="F16987" s="12">
        <f>ROUND(96.78*(1+G2/100),2)</f>
        <v>96.78</v>
      </c>
      <c r="G16987" s="11"/>
    </row>
    <row r="16988" ht="132.0" customHeight="1">
      <c r="A16988" s="11"/>
      <c r="B16988" s="11"/>
      <c r="C16988" s="11"/>
      <c r="D16988" s="10" t="s">
        <v>7768</v>
      </c>
    </row>
    <row r="16989" ht="39.75" customHeight="1">
      <c r="A16989" s="13" t="s">
        <v>5432</v>
      </c>
      <c r="B16989" s="10" t="s">
        <v>42</v>
      </c>
      <c r="C16989" s="10" t="s">
        <v>43</v>
      </c>
      <c r="D16989" s="10" t="s">
        <v>5433</v>
      </c>
      <c r="E16989" s="11"/>
      <c r="F16989" s="12">
        <f>ROUND(63.84*(1+G2/100),2)</f>
        <v>63.84</v>
      </c>
      <c r="G16989" s="11"/>
    </row>
    <row r="16990" ht="67.5" customHeight="1">
      <c r="A16990" s="11"/>
      <c r="B16990" s="11"/>
      <c r="C16990" s="11"/>
      <c r="D16990" s="10" t="s">
        <v>7769</v>
      </c>
    </row>
    <row r="16991" ht="30.0" customHeight="1">
      <c r="A16991" s="13" t="s">
        <v>5434</v>
      </c>
      <c r="B16991" s="10" t="s">
        <v>42</v>
      </c>
      <c r="C16991" s="10" t="s">
        <v>43</v>
      </c>
      <c r="D16991" s="10" t="s">
        <v>5435</v>
      </c>
      <c r="E16991" s="11"/>
      <c r="F16991" s="12">
        <f>ROUND(44.63*(1+G2/100),2)</f>
        <v>44.63</v>
      </c>
      <c r="G16991" s="11"/>
    </row>
    <row r="16992" ht="39.75" customHeight="1">
      <c r="A16992" s="11"/>
      <c r="B16992" s="11"/>
      <c r="C16992" s="11"/>
      <c r="D16992" s="10" t="s">
        <v>7770</v>
      </c>
    </row>
    <row r="16993" ht="39.75" customHeight="1">
      <c r="A16993" s="13" t="s">
        <v>4999</v>
      </c>
      <c r="B16993" s="10" t="s">
        <v>42</v>
      </c>
      <c r="C16993" s="10" t="s">
        <v>276</v>
      </c>
      <c r="D16993" s="10" t="s">
        <v>5000</v>
      </c>
      <c r="E16993" s="11"/>
      <c r="F16993" s="12">
        <f>ROUND(139.67*(1+G2/100),2)</f>
        <v>139.67</v>
      </c>
      <c r="G16993" s="11"/>
    </row>
    <row r="16994" ht="57.75" customHeight="1">
      <c r="A16994" s="11"/>
      <c r="B16994" s="11"/>
      <c r="C16994" s="11"/>
      <c r="D16994" s="10" t="s">
        <v>7771</v>
      </c>
    </row>
    <row r="16995" ht="39.75" customHeight="1">
      <c r="A16995" s="13" t="s">
        <v>4843</v>
      </c>
      <c r="B16995" s="10" t="s">
        <v>42</v>
      </c>
      <c r="C16995" s="10" t="s">
        <v>43</v>
      </c>
      <c r="D16995" s="10" t="s">
        <v>4844</v>
      </c>
      <c r="E16995" s="11"/>
      <c r="F16995" s="12">
        <f>ROUND(107.43*(1+G2/100),2)</f>
        <v>107.43</v>
      </c>
      <c r="G16995" s="11"/>
    </row>
    <row r="16996" ht="288.75" customHeight="1">
      <c r="A16996" s="11"/>
      <c r="B16996" s="11"/>
      <c r="C16996" s="11"/>
      <c r="D16996" s="10" t="s">
        <v>7772</v>
      </c>
    </row>
    <row r="16997" ht="30.0" customHeight="1">
      <c r="A16997" s="13" t="s">
        <v>5219</v>
      </c>
      <c r="B16997" s="10" t="s">
        <v>42</v>
      </c>
      <c r="C16997" s="10" t="s">
        <v>43</v>
      </c>
      <c r="D16997" s="10" t="s">
        <v>5220</v>
      </c>
      <c r="E16997" s="11"/>
      <c r="F16997" s="12">
        <f>ROUND(47.09*(1+G2/100),2)</f>
        <v>47.09</v>
      </c>
      <c r="G16997" s="11"/>
    </row>
    <row r="16998" ht="85.5" customHeight="1">
      <c r="A16998" s="11"/>
      <c r="B16998" s="11"/>
      <c r="C16998" s="11"/>
      <c r="D16998" s="10" t="s">
        <v>7773</v>
      </c>
    </row>
    <row r="16999" ht="39.75" customHeight="1">
      <c r="A16999" s="13" t="s">
        <v>5108</v>
      </c>
      <c r="B16999" s="10" t="s">
        <v>42</v>
      </c>
      <c r="C16999" s="10" t="s">
        <v>43</v>
      </c>
      <c r="D16999" s="10" t="s">
        <v>5109</v>
      </c>
      <c r="E16999" s="11"/>
      <c r="F16999" s="12">
        <f>ROUND(33.05*(1+G2/100),2)</f>
        <v>33.05</v>
      </c>
      <c r="G16999" s="11"/>
    </row>
    <row r="17000" ht="150.0" customHeight="1">
      <c r="A17000" s="11"/>
      <c r="B17000" s="11"/>
      <c r="C17000" s="11"/>
      <c r="D17000" s="10" t="s">
        <v>7774</v>
      </c>
    </row>
    <row r="17001" ht="30.0" customHeight="1">
      <c r="A17001" s="13" t="s">
        <v>5106</v>
      </c>
      <c r="B17001" s="10" t="s">
        <v>42</v>
      </c>
      <c r="C17001" s="10" t="s">
        <v>43</v>
      </c>
      <c r="D17001" s="10" t="s">
        <v>5107</v>
      </c>
      <c r="E17001" s="11"/>
      <c r="F17001" s="12">
        <f>ROUND(32.22*(1+G2/100),2)</f>
        <v>32.22</v>
      </c>
      <c r="G17001" s="11"/>
    </row>
    <row r="17002" ht="95.25" customHeight="1">
      <c r="A17002" s="11"/>
      <c r="B17002" s="11"/>
      <c r="C17002" s="11"/>
      <c r="D17002" s="10" t="s">
        <v>7775</v>
      </c>
    </row>
    <row r="17003" ht="39.75" customHeight="1">
      <c r="A17003" s="13" t="s">
        <v>1414</v>
      </c>
      <c r="B17003" s="10" t="s">
        <v>42</v>
      </c>
      <c r="C17003" s="10" t="s">
        <v>276</v>
      </c>
      <c r="D17003" s="10" t="s">
        <v>1415</v>
      </c>
      <c r="E17003" s="11"/>
      <c r="F17003" s="12">
        <f>ROUND(86*(1+G2/100),2)</f>
        <v>86</v>
      </c>
      <c r="G17003" s="11"/>
    </row>
    <row r="17004" ht="344.25" customHeight="1">
      <c r="A17004" s="11"/>
      <c r="B17004" s="11"/>
      <c r="C17004" s="11"/>
      <c r="D17004" s="10" t="s">
        <v>7776</v>
      </c>
    </row>
    <row r="17005" ht="30.0" customHeight="1">
      <c r="A17005" s="13" t="s">
        <v>4981</v>
      </c>
      <c r="B17005" s="10" t="s">
        <v>42</v>
      </c>
      <c r="C17005" s="10" t="s">
        <v>276</v>
      </c>
      <c r="D17005" s="10" t="s">
        <v>4982</v>
      </c>
      <c r="E17005" s="11"/>
      <c r="F17005" s="12">
        <f>ROUND(347.03*(1+G2/100),2)</f>
        <v>347.03</v>
      </c>
      <c r="G17005" s="11"/>
    </row>
    <row r="17006" ht="67.5" customHeight="1">
      <c r="A17006" s="11"/>
      <c r="B17006" s="11"/>
      <c r="C17006" s="11"/>
      <c r="D17006" s="10" t="s">
        <v>7777</v>
      </c>
    </row>
    <row r="17007" ht="30.0" customHeight="1">
      <c r="A17007" s="13" t="s">
        <v>7778</v>
      </c>
      <c r="B17007" s="10" t="s">
        <v>42</v>
      </c>
      <c r="C17007" s="10" t="s">
        <v>43</v>
      </c>
      <c r="D17007" s="10" t="s">
        <v>7779</v>
      </c>
      <c r="E17007" s="11"/>
      <c r="F17007" s="12">
        <f>ROUND(115.68*(1+G2/100),2)</f>
        <v>115.68</v>
      </c>
      <c r="G17007" s="11"/>
    </row>
    <row r="17008" ht="67.5" customHeight="1">
      <c r="A17008" s="11"/>
      <c r="B17008" s="11"/>
      <c r="C17008" s="11"/>
      <c r="D17008" s="10" t="s">
        <v>7780</v>
      </c>
    </row>
    <row r="17009" ht="39.75" customHeight="1">
      <c r="A17009" s="13" t="s">
        <v>4979</v>
      </c>
      <c r="B17009" s="10" t="s">
        <v>42</v>
      </c>
      <c r="C17009" s="10" t="s">
        <v>276</v>
      </c>
      <c r="D17009" s="10" t="s">
        <v>4980</v>
      </c>
      <c r="E17009" s="11"/>
      <c r="F17009" s="12">
        <f>ROUND(284.34*(1+G2/100),2)</f>
        <v>284.34</v>
      </c>
      <c r="G17009" s="11"/>
    </row>
    <row r="17010" ht="113.25" customHeight="1">
      <c r="A17010" s="11"/>
      <c r="B17010" s="11"/>
      <c r="C17010" s="11"/>
      <c r="D17010" s="10" t="s">
        <v>7781</v>
      </c>
    </row>
    <row r="17011" ht="30.0" customHeight="1">
      <c r="A17011" s="13" t="s">
        <v>7782</v>
      </c>
      <c r="B17011" s="10" t="s">
        <v>42</v>
      </c>
      <c r="C17011" s="10" t="s">
        <v>43</v>
      </c>
      <c r="D17011" s="10" t="s">
        <v>7783</v>
      </c>
      <c r="E17011" s="11"/>
      <c r="F17011" s="12">
        <f>ROUND(71.08*(1+G2/100),2)</f>
        <v>71.08</v>
      </c>
      <c r="G17011" s="11"/>
    </row>
    <row r="17012" ht="113.25" customHeight="1">
      <c r="A17012" s="11"/>
      <c r="B17012" s="11"/>
      <c r="C17012" s="11"/>
      <c r="D17012" s="10" t="s">
        <v>7784</v>
      </c>
    </row>
    <row r="17013" ht="39.75" customHeight="1">
      <c r="A17013" s="13" t="s">
        <v>4991</v>
      </c>
      <c r="B17013" s="10" t="s">
        <v>42</v>
      </c>
      <c r="C17013" s="10" t="s">
        <v>43</v>
      </c>
      <c r="D17013" s="10" t="s">
        <v>4992</v>
      </c>
      <c r="E17013" s="11"/>
      <c r="F17013" s="12">
        <f>ROUND(73.31*(1+G2/100),2)</f>
        <v>73.31</v>
      </c>
      <c r="G17013" s="11"/>
    </row>
    <row r="17014" ht="95.25" customHeight="1">
      <c r="A17014" s="11"/>
      <c r="B17014" s="11"/>
      <c r="C17014" s="11"/>
      <c r="D17014" s="10" t="s">
        <v>7785</v>
      </c>
    </row>
    <row r="17015" ht="39.75" customHeight="1">
      <c r="A17015" s="13" t="s">
        <v>7786</v>
      </c>
      <c r="B17015" s="10" t="s">
        <v>42</v>
      </c>
      <c r="C17015" s="10" t="s">
        <v>276</v>
      </c>
      <c r="D17015" s="10" t="s">
        <v>7787</v>
      </c>
      <c r="E17015" s="11"/>
      <c r="F17015" s="12">
        <f>ROUND(215.97*(1+G2/100),2)</f>
        <v>215.97</v>
      </c>
      <c r="G17015" s="11"/>
    </row>
    <row r="17016" ht="85.5" customHeight="1">
      <c r="A17016" s="11"/>
      <c r="B17016" s="11"/>
      <c r="C17016" s="11"/>
      <c r="D17016" s="10" t="s">
        <v>7788</v>
      </c>
    </row>
    <row r="17017" ht="39.75" customHeight="1">
      <c r="A17017" s="13" t="s">
        <v>7789</v>
      </c>
      <c r="B17017" s="10" t="s">
        <v>42</v>
      </c>
      <c r="C17017" s="10" t="s">
        <v>43</v>
      </c>
      <c r="D17017" s="10" t="s">
        <v>7790</v>
      </c>
      <c r="E17017" s="11"/>
      <c r="F17017" s="12">
        <f>ROUND(59.99*(1+G2/100),2)</f>
        <v>59.99</v>
      </c>
      <c r="G17017" s="11"/>
    </row>
    <row r="17018" ht="85.5" customHeight="1">
      <c r="A17018" s="11"/>
      <c r="B17018" s="11"/>
      <c r="C17018" s="11"/>
      <c r="D17018" s="10" t="s">
        <v>7791</v>
      </c>
    </row>
    <row r="17019" ht="30.0" customHeight="1">
      <c r="A17019" s="13" t="s">
        <v>4989</v>
      </c>
      <c r="B17019" s="10" t="s">
        <v>42</v>
      </c>
      <c r="C17019" s="10" t="s">
        <v>276</v>
      </c>
      <c r="D17019" s="10" t="s">
        <v>4990</v>
      </c>
      <c r="E17019" s="11"/>
      <c r="F17019" s="12">
        <f>ROUND(227.64*(1+G2/100),2)</f>
        <v>227.64</v>
      </c>
      <c r="G17019" s="11"/>
    </row>
    <row r="17020" ht="48.75" customHeight="1">
      <c r="A17020" s="11"/>
      <c r="B17020" s="11"/>
      <c r="C17020" s="11"/>
      <c r="D17020" s="10" t="s">
        <v>7792</v>
      </c>
    </row>
    <row r="17021" ht="30.0" customHeight="1">
      <c r="A17021" s="13" t="s">
        <v>7793</v>
      </c>
      <c r="B17021" s="10" t="s">
        <v>42</v>
      </c>
      <c r="C17021" s="10" t="s">
        <v>43</v>
      </c>
      <c r="D17021" s="10" t="s">
        <v>7794</v>
      </c>
      <c r="E17021" s="11"/>
      <c r="F17021" s="12">
        <f>ROUND(56.91*(1+G2/100),2)</f>
        <v>56.91</v>
      </c>
      <c r="G17021" s="11"/>
    </row>
    <row r="17022" ht="48.75" customHeight="1">
      <c r="A17022" s="11"/>
      <c r="B17022" s="11"/>
      <c r="C17022" s="11"/>
      <c r="D17022" s="10" t="s">
        <v>7795</v>
      </c>
    </row>
    <row r="17023" ht="39.75" customHeight="1">
      <c r="A17023" s="13" t="s">
        <v>7796</v>
      </c>
      <c r="B17023" s="10" t="s">
        <v>42</v>
      </c>
      <c r="C17023" s="10" t="s">
        <v>43</v>
      </c>
      <c r="D17023" s="10" t="s">
        <v>7797</v>
      </c>
      <c r="E17023" s="11"/>
      <c r="F17023" s="12">
        <f>ROUND(51.9*(1+G2/100),2)</f>
        <v>51.9</v>
      </c>
      <c r="G17023" s="11"/>
    </row>
    <row r="17024" ht="39.75" customHeight="1">
      <c r="A17024" s="11"/>
      <c r="B17024" s="11"/>
      <c r="C17024" s="11"/>
      <c r="D17024" s="10" t="s">
        <v>7798</v>
      </c>
    </row>
    <row r="17025" ht="39.75" customHeight="1">
      <c r="A17025" s="13" t="s">
        <v>7799</v>
      </c>
      <c r="B17025" s="10" t="s">
        <v>42</v>
      </c>
      <c r="C17025" s="10" t="s">
        <v>43</v>
      </c>
      <c r="D17025" s="10" t="s">
        <v>7800</v>
      </c>
      <c r="E17025" s="11"/>
      <c r="F17025" s="12">
        <f>ROUND(51.9*(1+G2/100),2)</f>
        <v>51.9</v>
      </c>
      <c r="G17025" s="11"/>
    </row>
    <row r="17026" ht="57.75" customHeight="1">
      <c r="A17026" s="11"/>
      <c r="B17026" s="11"/>
      <c r="C17026" s="11"/>
      <c r="D17026" s="10" t="s">
        <v>7801</v>
      </c>
    </row>
    <row r="17027" ht="39.75" customHeight="1">
      <c r="A17027" s="13" t="s">
        <v>5190</v>
      </c>
      <c r="B17027" s="10" t="s">
        <v>42</v>
      </c>
      <c r="C17027" s="10" t="s">
        <v>43</v>
      </c>
      <c r="D17027" s="10" t="s">
        <v>5191</v>
      </c>
      <c r="E17027" s="11"/>
      <c r="F17027" s="12">
        <f>ROUND(41.28*(1+G2/100),2)</f>
        <v>41.28</v>
      </c>
      <c r="G17027" s="11"/>
    </row>
    <row r="17028" ht="39.75" customHeight="1">
      <c r="A17028" s="11"/>
      <c r="B17028" s="11"/>
      <c r="C17028" s="11"/>
      <c r="D17028" s="10" t="s">
        <v>7802</v>
      </c>
    </row>
    <row r="17029" ht="48.75" customHeight="1">
      <c r="A17029" s="13" t="s">
        <v>5055</v>
      </c>
      <c r="B17029" s="10" t="s">
        <v>42</v>
      </c>
      <c r="C17029" s="10" t="s">
        <v>276</v>
      </c>
      <c r="D17029" s="10" t="s">
        <v>5056</v>
      </c>
      <c r="E17029" s="11"/>
      <c r="F17029" s="12">
        <f>ROUND(139.42*(1+G2/100),2)</f>
        <v>139.42</v>
      </c>
      <c r="G17029" s="11"/>
    </row>
    <row r="17030" ht="76.5" customHeight="1">
      <c r="A17030" s="11"/>
      <c r="B17030" s="11"/>
      <c r="C17030" s="11"/>
      <c r="D17030" s="10" t="s">
        <v>7803</v>
      </c>
    </row>
    <row r="17031" ht="39.75" customHeight="1">
      <c r="A17031" s="13" t="s">
        <v>4802</v>
      </c>
      <c r="B17031" s="10" t="s">
        <v>42</v>
      </c>
      <c r="C17031" s="10" t="s">
        <v>43</v>
      </c>
      <c r="D17031" s="10" t="s">
        <v>4803</v>
      </c>
      <c r="E17031" s="11"/>
      <c r="F17031" s="12">
        <f>ROUND(23.66*(1+G2/100),2)</f>
        <v>23.66</v>
      </c>
      <c r="G17031" s="11"/>
    </row>
    <row r="17032" ht="57.75" customHeight="1">
      <c r="A17032" s="11"/>
      <c r="B17032" s="11"/>
      <c r="C17032" s="11"/>
      <c r="D17032" s="10" t="s">
        <v>7804</v>
      </c>
    </row>
    <row r="17033" ht="30.0" customHeight="1">
      <c r="A17033" s="13" t="s">
        <v>5014</v>
      </c>
      <c r="B17033" s="10" t="s">
        <v>42</v>
      </c>
      <c r="C17033" s="10" t="s">
        <v>276</v>
      </c>
      <c r="D17033" s="10" t="s">
        <v>5015</v>
      </c>
      <c r="E17033" s="11"/>
      <c r="F17033" s="12">
        <f>ROUND(49.5*(1+G2/100),2)</f>
        <v>49.5</v>
      </c>
      <c r="G17033" s="11"/>
    </row>
    <row r="17034" ht="113.25" customHeight="1">
      <c r="A17034" s="11"/>
      <c r="B17034" s="11"/>
      <c r="C17034" s="11"/>
      <c r="D17034" s="10" t="s">
        <v>7805</v>
      </c>
    </row>
    <row r="17035" ht="30.0" customHeight="1">
      <c r="A17035" s="13" t="s">
        <v>7806</v>
      </c>
      <c r="B17035" s="10" t="s">
        <v>42</v>
      </c>
      <c r="C17035" s="10" t="s">
        <v>43</v>
      </c>
      <c r="D17035" s="10" t="s">
        <v>7807</v>
      </c>
      <c r="E17035" s="11"/>
      <c r="F17035" s="12">
        <f>ROUND(18.98*(1+G2/100),2)</f>
        <v>18.98</v>
      </c>
      <c r="G17035" s="11"/>
    </row>
    <row r="17036" ht="113.25" customHeight="1">
      <c r="A17036" s="11"/>
      <c r="B17036" s="11"/>
      <c r="C17036" s="11"/>
      <c r="D17036" s="10" t="s">
        <v>7808</v>
      </c>
    </row>
    <row r="17037" ht="39.75" customHeight="1">
      <c r="A17037" s="13" t="s">
        <v>7809</v>
      </c>
      <c r="B17037" s="10" t="s">
        <v>42</v>
      </c>
      <c r="C17037" s="10" t="s">
        <v>276</v>
      </c>
      <c r="D17037" s="10" t="s">
        <v>7810</v>
      </c>
      <c r="E17037" s="11"/>
      <c r="F17037" s="12">
        <f>ROUND(65.66*(1+G2/100),2)</f>
        <v>65.66</v>
      </c>
      <c r="G17037" s="11"/>
    </row>
    <row r="17038" ht="113.25" customHeight="1">
      <c r="A17038" s="11"/>
      <c r="B17038" s="11"/>
      <c r="C17038" s="11"/>
      <c r="D17038" s="10" t="s">
        <v>7811</v>
      </c>
    </row>
    <row r="17039" ht="39.75" customHeight="1">
      <c r="A17039" s="13" t="s">
        <v>7812</v>
      </c>
      <c r="B17039" s="10" t="s">
        <v>42</v>
      </c>
      <c r="C17039" s="10" t="s">
        <v>43</v>
      </c>
      <c r="D17039" s="10" t="s">
        <v>7813</v>
      </c>
      <c r="E17039" s="11"/>
      <c r="F17039" s="12">
        <f>ROUND(25.66*(1+G2/100),2)</f>
        <v>25.66</v>
      </c>
      <c r="G17039" s="11"/>
    </row>
    <row r="17040" ht="113.25" customHeight="1">
      <c r="A17040" s="11"/>
      <c r="B17040" s="11"/>
      <c r="C17040" s="11"/>
      <c r="D17040" s="10" t="s">
        <v>7814</v>
      </c>
    </row>
    <row r="17041" ht="30.0" customHeight="1">
      <c r="A17041" s="13" t="s">
        <v>4660</v>
      </c>
      <c r="B17041" s="10" t="s">
        <v>42</v>
      </c>
      <c r="C17041" s="10" t="s">
        <v>1298</v>
      </c>
      <c r="D17041" s="10" t="s">
        <v>4661</v>
      </c>
      <c r="E17041" s="11"/>
      <c r="F17041" s="12">
        <f>ROUND(72.49*(1+G2/100),2)</f>
        <v>72.49</v>
      </c>
      <c r="G17041" s="11"/>
    </row>
    <row r="17042" ht="104.25" customHeight="1">
      <c r="A17042" s="11"/>
      <c r="B17042" s="11"/>
      <c r="C17042" s="11"/>
      <c r="D17042" s="10" t="s">
        <v>7815</v>
      </c>
    </row>
    <row r="17043" ht="39.75" customHeight="1">
      <c r="A17043" s="13" t="s">
        <v>5075</v>
      </c>
      <c r="B17043" s="10" t="s">
        <v>42</v>
      </c>
      <c r="C17043" s="10" t="s">
        <v>276</v>
      </c>
      <c r="D17043" s="10" t="s">
        <v>5076</v>
      </c>
      <c r="E17043" s="11"/>
      <c r="F17043" s="12">
        <f>ROUND(115.33*(1+G2/100),2)</f>
        <v>115.33</v>
      </c>
      <c r="G17043" s="11"/>
    </row>
    <row r="17044" ht="150.0" customHeight="1">
      <c r="A17044" s="11"/>
      <c r="B17044" s="11"/>
      <c r="C17044" s="11"/>
      <c r="D17044" s="10" t="s">
        <v>7816</v>
      </c>
    </row>
    <row r="17045" ht="30.0" customHeight="1">
      <c r="A17045" s="13" t="s">
        <v>5224</v>
      </c>
      <c r="B17045" s="10" t="s">
        <v>42</v>
      </c>
      <c r="C17045" s="10" t="s">
        <v>43</v>
      </c>
      <c r="D17045" s="10" t="s">
        <v>5225</v>
      </c>
      <c r="E17045" s="11"/>
      <c r="F17045" s="12">
        <f>ROUND(27.19*(1+G2/100),2)</f>
        <v>27.19</v>
      </c>
      <c r="G17045" s="11"/>
    </row>
    <row r="17046" ht="150.0" customHeight="1">
      <c r="A17046" s="11"/>
      <c r="B17046" s="11"/>
      <c r="C17046" s="11"/>
      <c r="D17046" s="10" t="s">
        <v>7817</v>
      </c>
    </row>
    <row r="17047" ht="30.0" customHeight="1">
      <c r="A17047" s="13" t="s">
        <v>5006</v>
      </c>
      <c r="B17047" s="10" t="s">
        <v>42</v>
      </c>
      <c r="C17047" s="10" t="s">
        <v>276</v>
      </c>
      <c r="D17047" s="10" t="s">
        <v>5007</v>
      </c>
      <c r="E17047" s="11"/>
      <c r="F17047" s="12">
        <f>ROUND(70.68*(1+G2/100),2)</f>
        <v>70.68</v>
      </c>
      <c r="G17047" s="11"/>
    </row>
    <row r="17048" ht="150.0" customHeight="1">
      <c r="A17048" s="11"/>
      <c r="B17048" s="11"/>
      <c r="C17048" s="11"/>
      <c r="D17048" s="10" t="s">
        <v>7818</v>
      </c>
    </row>
    <row r="17049" ht="30.0" customHeight="1">
      <c r="A17049" s="13" t="s">
        <v>7819</v>
      </c>
      <c r="B17049" s="10" t="s">
        <v>42</v>
      </c>
      <c r="C17049" s="10" t="s">
        <v>43</v>
      </c>
      <c r="D17049" s="10" t="s">
        <v>7820</v>
      </c>
      <c r="E17049" s="11"/>
      <c r="F17049" s="12">
        <f>ROUND(19.06*(1+G2/100),2)</f>
        <v>19.06</v>
      </c>
      <c r="G17049" s="11"/>
    </row>
    <row r="17050" ht="150.0" customHeight="1">
      <c r="A17050" s="11"/>
      <c r="B17050" s="11"/>
      <c r="C17050" s="11"/>
      <c r="D17050" s="10" t="s">
        <v>7821</v>
      </c>
    </row>
    <row r="17051" ht="39.75" customHeight="1">
      <c r="A17051" s="13" t="s">
        <v>5207</v>
      </c>
      <c r="B17051" s="10" t="s">
        <v>42</v>
      </c>
      <c r="C17051" s="10" t="s">
        <v>43</v>
      </c>
      <c r="D17051" s="10" t="s">
        <v>5208</v>
      </c>
      <c r="E17051" s="11"/>
      <c r="F17051" s="12">
        <f>ROUND(71.91*(1+G2/100),2)</f>
        <v>71.91</v>
      </c>
      <c r="G17051" s="11"/>
    </row>
    <row r="17052" ht="85.5" customHeight="1">
      <c r="A17052" s="11"/>
      <c r="B17052" s="11"/>
      <c r="C17052" s="11"/>
      <c r="D17052" s="10" t="s">
        <v>7822</v>
      </c>
    </row>
    <row r="17053" ht="39.75" customHeight="1">
      <c r="A17053" s="13" t="s">
        <v>7823</v>
      </c>
      <c r="B17053" s="10" t="s">
        <v>42</v>
      </c>
      <c r="C17053" s="10" t="s">
        <v>43</v>
      </c>
      <c r="D17053" s="10" t="s">
        <v>7824</v>
      </c>
      <c r="E17053" s="11"/>
      <c r="F17053" s="12">
        <f>ROUND(49.84*(1+G2/100),2)</f>
        <v>49.84</v>
      </c>
      <c r="G17053" s="11"/>
    </row>
    <row r="17054" ht="57.75" customHeight="1">
      <c r="A17054" s="11"/>
      <c r="B17054" s="11"/>
      <c r="C17054" s="11"/>
      <c r="D17054" s="10" t="s">
        <v>7825</v>
      </c>
    </row>
    <row r="17055" ht="30.0" customHeight="1">
      <c r="A17055" s="13" t="s">
        <v>7826</v>
      </c>
      <c r="B17055" s="10" t="s">
        <v>42</v>
      </c>
      <c r="C17055" s="10" t="s">
        <v>43</v>
      </c>
      <c r="D17055" s="10" t="s">
        <v>7827</v>
      </c>
      <c r="E17055" s="11"/>
      <c r="F17055" s="12">
        <f>ROUND(54.74*(1+G2/100),2)</f>
        <v>54.74</v>
      </c>
      <c r="G17055" s="11"/>
    </row>
    <row r="17056" ht="123.0" customHeight="1">
      <c r="A17056" s="11"/>
      <c r="B17056" s="11"/>
      <c r="C17056" s="11"/>
      <c r="D17056" s="10" t="s">
        <v>7828</v>
      </c>
    </row>
    <row r="17057" ht="30.0" customHeight="1">
      <c r="A17057" s="13" t="s">
        <v>7829</v>
      </c>
      <c r="B17057" s="10" t="s">
        <v>42</v>
      </c>
      <c r="C17057" s="10" t="s">
        <v>276</v>
      </c>
      <c r="D17057" s="10" t="s">
        <v>7830</v>
      </c>
      <c r="E17057" s="11"/>
      <c r="F17057" s="12">
        <f>ROUND(154.46*(1+G2/100),2)</f>
        <v>154.46</v>
      </c>
      <c r="G17057" s="11"/>
    </row>
    <row r="17058" ht="48.75" customHeight="1">
      <c r="A17058" s="11"/>
      <c r="B17058" s="11"/>
      <c r="C17058" s="11"/>
      <c r="D17058" s="10" t="s">
        <v>7831</v>
      </c>
    </row>
    <row r="17059" ht="39.75" customHeight="1">
      <c r="A17059" s="13" t="s">
        <v>7832</v>
      </c>
      <c r="B17059" s="10" t="s">
        <v>42</v>
      </c>
      <c r="C17059" s="10" t="s">
        <v>276</v>
      </c>
      <c r="D17059" s="10" t="s">
        <v>7833</v>
      </c>
      <c r="E17059" s="11"/>
      <c r="F17059" s="12">
        <f>ROUND(16.65*(1+G2/100),2)</f>
        <v>16.65</v>
      </c>
      <c r="G17059" s="11"/>
    </row>
    <row r="17060" ht="39.75" customHeight="1">
      <c r="A17060" s="11"/>
      <c r="B17060" s="11"/>
      <c r="C17060" s="11"/>
      <c r="D17060" s="10" t="s">
        <v>7834</v>
      </c>
    </row>
    <row r="17061" ht="48.75" customHeight="1">
      <c r="A17061" s="13" t="s">
        <v>7835</v>
      </c>
      <c r="B17061" s="10" t="s">
        <v>42</v>
      </c>
      <c r="C17061" s="10" t="s">
        <v>276</v>
      </c>
      <c r="D17061" s="10" t="s">
        <v>7836</v>
      </c>
      <c r="E17061" s="11"/>
      <c r="F17061" s="12">
        <f>ROUND(163.75*(1+G2/100),2)</f>
        <v>163.75</v>
      </c>
      <c r="G17061" s="11"/>
    </row>
    <row r="17062" ht="113.25" customHeight="1">
      <c r="A17062" s="11"/>
      <c r="B17062" s="11"/>
      <c r="C17062" s="11"/>
      <c r="D17062" s="10" t="s">
        <v>7837</v>
      </c>
    </row>
    <row r="17063" ht="48.75" customHeight="1">
      <c r="A17063" s="13" t="s">
        <v>7838</v>
      </c>
      <c r="B17063" s="10" t="s">
        <v>42</v>
      </c>
      <c r="C17063" s="10" t="s">
        <v>43</v>
      </c>
      <c r="D17063" s="10" t="s">
        <v>7839</v>
      </c>
      <c r="E17063" s="11"/>
      <c r="F17063" s="12">
        <f>ROUND(71.31*(1+G2/100),2)</f>
        <v>71.31</v>
      </c>
      <c r="G17063" s="11"/>
    </row>
    <row r="17064" ht="113.25" customHeight="1">
      <c r="A17064" s="11"/>
      <c r="B17064" s="11"/>
      <c r="C17064" s="11"/>
      <c r="D17064" s="10" t="s">
        <v>7840</v>
      </c>
    </row>
    <row r="17065" ht="39.75" customHeight="1">
      <c r="A17065" s="13" t="s">
        <v>7841</v>
      </c>
      <c r="B17065" s="10" t="s">
        <v>42</v>
      </c>
      <c r="C17065" s="10" t="s">
        <v>43</v>
      </c>
      <c r="D17065" s="10" t="s">
        <v>7842</v>
      </c>
      <c r="E17065" s="11"/>
      <c r="F17065" s="12">
        <f>ROUND(30.57*(1+G2/100),2)</f>
        <v>30.57</v>
      </c>
      <c r="G17065" s="11"/>
    </row>
    <row r="17066" ht="95.25" customHeight="1">
      <c r="A17066" s="11"/>
      <c r="B17066" s="11"/>
      <c r="C17066" s="11"/>
      <c r="D17066" s="10" t="s">
        <v>7843</v>
      </c>
    </row>
    <row r="17067" ht="30.0" customHeight="1">
      <c r="A17067" s="13" t="s">
        <v>7844</v>
      </c>
      <c r="B17067" s="10" t="s">
        <v>42</v>
      </c>
      <c r="C17067" s="10" t="s">
        <v>43</v>
      </c>
      <c r="D17067" s="10" t="s">
        <v>7845</v>
      </c>
      <c r="E17067" s="11"/>
      <c r="F17067" s="12">
        <f>ROUND(22.72*(1+G2/100),2)</f>
        <v>22.72</v>
      </c>
      <c r="G17067" s="11"/>
    </row>
    <row r="17068" ht="57.75" customHeight="1">
      <c r="A17068" s="11"/>
      <c r="B17068" s="11"/>
      <c r="C17068" s="11"/>
      <c r="D17068" s="10" t="s">
        <v>7846</v>
      </c>
    </row>
    <row r="17069" ht="39.75" customHeight="1">
      <c r="A17069" s="13" t="s">
        <v>7847</v>
      </c>
      <c r="B17069" s="10" t="s">
        <v>42</v>
      </c>
      <c r="C17069" s="10" t="s">
        <v>43</v>
      </c>
      <c r="D17069" s="10" t="s">
        <v>7848</v>
      </c>
      <c r="E17069" s="11"/>
      <c r="F17069" s="12">
        <f>ROUND(106.61*(1+G2/100),2)</f>
        <v>106.61</v>
      </c>
      <c r="G17069" s="11"/>
    </row>
    <row r="17070" ht="168.75" customHeight="1">
      <c r="A17070" s="11"/>
      <c r="B17070" s="11"/>
      <c r="C17070" s="11"/>
      <c r="D17070" s="10" t="s">
        <v>7849</v>
      </c>
    </row>
    <row r="17071" ht="48.75" customHeight="1">
      <c r="A17071" s="13" t="s">
        <v>5248</v>
      </c>
      <c r="B17071" s="10" t="s">
        <v>42</v>
      </c>
      <c r="C17071" s="10" t="s">
        <v>43</v>
      </c>
      <c r="D17071" s="10" t="s">
        <v>5249</v>
      </c>
      <c r="E17071" s="11"/>
      <c r="F17071" s="12">
        <f>ROUND(32.22*(1+G2/100),2)</f>
        <v>32.22</v>
      </c>
      <c r="G17071" s="11"/>
    </row>
    <row r="17072" ht="67.5" customHeight="1">
      <c r="A17072" s="11"/>
      <c r="B17072" s="11"/>
      <c r="C17072" s="11"/>
      <c r="D17072" s="10" t="s">
        <v>7850</v>
      </c>
    </row>
    <row r="17073" ht="48.75" customHeight="1">
      <c r="A17073" s="13" t="s">
        <v>7851</v>
      </c>
      <c r="B17073" s="10" t="s">
        <v>42</v>
      </c>
      <c r="C17073" s="10" t="s">
        <v>43</v>
      </c>
      <c r="D17073" s="10" t="s">
        <v>7852</v>
      </c>
      <c r="E17073" s="11"/>
      <c r="F17073" s="12">
        <f>ROUND(32.22*(1+G2/100),2)</f>
        <v>32.22</v>
      </c>
      <c r="G17073" s="11"/>
    </row>
    <row r="17074" ht="67.5" customHeight="1">
      <c r="A17074" s="11"/>
      <c r="B17074" s="11"/>
      <c r="C17074" s="11"/>
      <c r="D17074" s="10" t="s">
        <v>7853</v>
      </c>
    </row>
    <row r="17075" ht="30.0" customHeight="1">
      <c r="A17075" s="13" t="s">
        <v>7854</v>
      </c>
      <c r="B17075" s="10" t="s">
        <v>42</v>
      </c>
      <c r="C17075" s="10" t="s">
        <v>43</v>
      </c>
      <c r="D17075" s="10" t="s">
        <v>7855</v>
      </c>
      <c r="E17075" s="11"/>
      <c r="F17075" s="12">
        <f>ROUND(65.99*(1+G2/100),2)</f>
        <v>65.99</v>
      </c>
      <c r="G17075" s="11"/>
    </row>
    <row r="17076" ht="95.25" customHeight="1">
      <c r="A17076" s="11"/>
      <c r="B17076" s="11"/>
      <c r="C17076" s="11"/>
      <c r="D17076" s="10" t="s">
        <v>7856</v>
      </c>
    </row>
    <row r="17077" ht="39.75" customHeight="1">
      <c r="A17077" s="13" t="s">
        <v>5276</v>
      </c>
      <c r="B17077" s="10" t="s">
        <v>42</v>
      </c>
      <c r="C17077" s="10" t="s">
        <v>276</v>
      </c>
      <c r="D17077" s="10" t="s">
        <v>5277</v>
      </c>
      <c r="E17077" s="11"/>
      <c r="F17077" s="12">
        <f>ROUND(285*(1+G2/100),2)</f>
        <v>285</v>
      </c>
      <c r="G17077" s="11"/>
    </row>
    <row r="17078" ht="85.5" customHeight="1">
      <c r="A17078" s="11"/>
      <c r="B17078" s="11"/>
      <c r="C17078" s="11"/>
      <c r="D17078" s="10" t="s">
        <v>7857</v>
      </c>
    </row>
    <row r="17079" ht="30.0" customHeight="1">
      <c r="A17079" s="13" t="s">
        <v>5070</v>
      </c>
      <c r="B17079" s="10" t="s">
        <v>42</v>
      </c>
      <c r="C17079" s="10" t="s">
        <v>276</v>
      </c>
      <c r="D17079" s="10" t="s">
        <v>5071</v>
      </c>
      <c r="E17079" s="11"/>
      <c r="F17079" s="12">
        <f>ROUND(128.45*(1+G2/100),2)</f>
        <v>128.45</v>
      </c>
      <c r="G17079" s="11"/>
    </row>
    <row r="17080" ht="67.5" customHeight="1">
      <c r="A17080" s="11"/>
      <c r="B17080" s="11"/>
      <c r="C17080" s="11"/>
      <c r="D17080" s="10" t="s">
        <v>7858</v>
      </c>
    </row>
    <row r="17081" ht="30.0" customHeight="1">
      <c r="A17081" s="13" t="s">
        <v>7859</v>
      </c>
      <c r="B17081" s="10" t="s">
        <v>42</v>
      </c>
      <c r="C17081" s="10" t="s">
        <v>43</v>
      </c>
      <c r="D17081" s="10" t="s">
        <v>7860</v>
      </c>
      <c r="E17081" s="11"/>
      <c r="F17081" s="12">
        <f>ROUND(41.96*(1+G2/100),2)</f>
        <v>41.96</v>
      </c>
      <c r="G17081" s="11"/>
    </row>
    <row r="17082" ht="67.5" customHeight="1">
      <c r="A17082" s="11"/>
      <c r="B17082" s="11"/>
      <c r="C17082" s="11"/>
      <c r="D17082" s="10" t="s">
        <v>7861</v>
      </c>
    </row>
    <row r="17083" ht="39.75" customHeight="1">
      <c r="A17083" s="13" t="s">
        <v>7862</v>
      </c>
      <c r="B17083" s="10" t="s">
        <v>42</v>
      </c>
      <c r="C17083" s="10" t="s">
        <v>43</v>
      </c>
      <c r="D17083" s="10" t="s">
        <v>7863</v>
      </c>
      <c r="E17083" s="11"/>
      <c r="F17083" s="12">
        <f>ROUND(12.98*(1+G2/100),2)</f>
        <v>12.98</v>
      </c>
      <c r="G17083" s="11"/>
    </row>
    <row r="17084" ht="76.5" customHeight="1">
      <c r="A17084" s="11"/>
      <c r="B17084" s="11"/>
      <c r="C17084" s="11"/>
      <c r="D17084" s="10" t="s">
        <v>7864</v>
      </c>
    </row>
    <row r="17085" ht="39.75" customHeight="1">
      <c r="A17085" s="13" t="s">
        <v>3077</v>
      </c>
      <c r="B17085" s="10" t="s">
        <v>42</v>
      </c>
      <c r="C17085" s="10" t="s">
        <v>43</v>
      </c>
      <c r="D17085" s="10" t="s">
        <v>3078</v>
      </c>
      <c r="E17085" s="11"/>
      <c r="F17085" s="12">
        <f>ROUND(53.44*(1+G2/100),2)</f>
        <v>53.44</v>
      </c>
      <c r="G17085" s="11"/>
    </row>
    <row r="17086" ht="76.5" customHeight="1">
      <c r="A17086" s="11"/>
      <c r="B17086" s="11"/>
      <c r="C17086" s="11"/>
      <c r="D17086" s="10" t="s">
        <v>7865</v>
      </c>
    </row>
    <row r="17087" ht="30.0" customHeight="1">
      <c r="A17087" s="13" t="s">
        <v>7866</v>
      </c>
      <c r="B17087" s="10" t="s">
        <v>42</v>
      </c>
      <c r="C17087" s="10" t="s">
        <v>276</v>
      </c>
      <c r="D17087" s="10" t="s">
        <v>7867</v>
      </c>
      <c r="E17087" s="11"/>
      <c r="F17087" s="12">
        <f>ROUND(42*(1+G2/100),2)</f>
        <v>42</v>
      </c>
      <c r="G17087" s="11"/>
    </row>
    <row r="17088" ht="39.75" customHeight="1">
      <c r="A17088" s="11"/>
      <c r="B17088" s="11"/>
      <c r="C17088" s="11"/>
      <c r="D17088" s="10" t="s">
        <v>7868</v>
      </c>
    </row>
    <row r="17089" ht="39.75" customHeight="1">
      <c r="A17089" s="13" t="s">
        <v>5065</v>
      </c>
      <c r="B17089" s="10" t="s">
        <v>42</v>
      </c>
      <c r="C17089" s="10" t="s">
        <v>276</v>
      </c>
      <c r="D17089" s="10" t="s">
        <v>5066</v>
      </c>
      <c r="E17089" s="11"/>
      <c r="F17089" s="12">
        <f>ROUND(45.71*(1+G2/100),2)</f>
        <v>45.71</v>
      </c>
      <c r="G17089" s="11"/>
    </row>
    <row r="17090" ht="48.75" customHeight="1">
      <c r="A17090" s="11"/>
      <c r="B17090" s="11"/>
      <c r="C17090" s="11"/>
      <c r="D17090" s="10" t="s">
        <v>7869</v>
      </c>
    </row>
    <row r="17091" ht="30.0" customHeight="1">
      <c r="A17091" s="13" t="s">
        <v>1909</v>
      </c>
      <c r="B17091" s="10" t="s">
        <v>42</v>
      </c>
      <c r="C17091" s="10" t="s">
        <v>276</v>
      </c>
      <c r="D17091" s="10" t="s">
        <v>1910</v>
      </c>
      <c r="E17091" s="11"/>
      <c r="F17091" s="12">
        <f>ROUND(44.2*(1+G2/100),2)</f>
        <v>44.2</v>
      </c>
      <c r="G17091" s="11"/>
    </row>
    <row r="17092" ht="39.75" customHeight="1">
      <c r="A17092" s="11"/>
      <c r="B17092" s="11"/>
      <c r="C17092" s="11"/>
      <c r="D17092" s="10" t="s">
        <v>7870</v>
      </c>
    </row>
    <row r="17093" ht="24.0" customHeight="1">
      <c r="A17093" s="13" t="s">
        <v>7871</v>
      </c>
      <c r="B17093" s="10" t="s">
        <v>42</v>
      </c>
      <c r="C17093" s="10" t="s">
        <v>43</v>
      </c>
      <c r="D17093" s="10" t="s">
        <v>7872</v>
      </c>
      <c r="E17093" s="11"/>
      <c r="F17093" s="12">
        <f>ROUND(9.6*(1+G2/100),2)</f>
        <v>9.6</v>
      </c>
      <c r="G17093" s="11"/>
    </row>
    <row r="17094" ht="12.0" customHeight="1">
      <c r="A17094" s="11"/>
      <c r="B17094" s="11"/>
      <c r="C17094" s="11"/>
      <c r="D17094" s="10" t="s">
        <v>7872</v>
      </c>
    </row>
    <row r="17095" ht="39.75" customHeight="1">
      <c r="A17095" s="13" t="s">
        <v>4792</v>
      </c>
      <c r="B17095" s="10" t="s">
        <v>42</v>
      </c>
      <c r="C17095" s="10" t="s">
        <v>276</v>
      </c>
      <c r="D17095" s="10" t="s">
        <v>4793</v>
      </c>
      <c r="E17095" s="11"/>
      <c r="F17095" s="12">
        <f>ROUND(69*(1+G2/100),2)</f>
        <v>69</v>
      </c>
      <c r="G17095" s="11"/>
    </row>
    <row r="17096" ht="95.25" customHeight="1">
      <c r="A17096" s="11"/>
      <c r="B17096" s="11"/>
      <c r="C17096" s="11"/>
      <c r="D17096" s="10" t="s">
        <v>7873</v>
      </c>
    </row>
    <row r="17097" ht="39.75" customHeight="1">
      <c r="A17097" s="13" t="s">
        <v>5148</v>
      </c>
      <c r="B17097" s="10" t="s">
        <v>42</v>
      </c>
      <c r="C17097" s="10" t="s">
        <v>43</v>
      </c>
      <c r="D17097" s="10" t="s">
        <v>5149</v>
      </c>
      <c r="E17097" s="11"/>
      <c r="F17097" s="12">
        <f>ROUND(63.34*(1+G2/100),2)</f>
        <v>63.34</v>
      </c>
      <c r="G17097" s="11"/>
    </row>
    <row r="17098" ht="205.5" customHeight="1">
      <c r="A17098" s="11"/>
      <c r="B17098" s="11"/>
      <c r="C17098" s="11"/>
      <c r="D17098" s="10" t="s">
        <v>7874</v>
      </c>
    </row>
    <row r="17099" ht="30.0" customHeight="1">
      <c r="A17099" s="13" t="s">
        <v>5229</v>
      </c>
      <c r="B17099" s="10" t="s">
        <v>42</v>
      </c>
      <c r="C17099" s="10" t="s">
        <v>43</v>
      </c>
      <c r="D17099" s="10" t="s">
        <v>5230</v>
      </c>
      <c r="E17099" s="11"/>
      <c r="F17099" s="12">
        <f>ROUND(50.95*(1+G2/100),2)</f>
        <v>50.95</v>
      </c>
      <c r="G17099" s="11"/>
    </row>
    <row r="17100" ht="76.5" customHeight="1">
      <c r="A17100" s="11"/>
      <c r="B17100" s="11"/>
      <c r="C17100" s="11"/>
      <c r="D17100" s="10" t="s">
        <v>7875</v>
      </c>
    </row>
    <row r="17101" ht="39.75" customHeight="1">
      <c r="A17101" s="13" t="s">
        <v>5053</v>
      </c>
      <c r="B17101" s="10" t="s">
        <v>42</v>
      </c>
      <c r="C17101" s="10" t="s">
        <v>43</v>
      </c>
      <c r="D17101" s="10" t="s">
        <v>5054</v>
      </c>
      <c r="E17101" s="11"/>
      <c r="F17101" s="12">
        <f>ROUND(41.28*(1+G2/100),2)</f>
        <v>41.28</v>
      </c>
      <c r="G17101" s="11"/>
    </row>
    <row r="17102" ht="39.75" customHeight="1">
      <c r="A17102" s="11"/>
      <c r="B17102" s="11"/>
      <c r="C17102" s="11"/>
      <c r="D17102" s="10" t="s">
        <v>7876</v>
      </c>
    </row>
    <row r="17103" ht="48.75" customHeight="1">
      <c r="A17103" s="13" t="s">
        <v>5451</v>
      </c>
      <c r="B17103" s="10" t="s">
        <v>42</v>
      </c>
      <c r="C17103" s="10" t="s">
        <v>43</v>
      </c>
      <c r="D17103" s="10" t="s">
        <v>5452</v>
      </c>
      <c r="E17103" s="11"/>
      <c r="F17103" s="12">
        <f>ROUND(59.09*(1+G2/100),2)</f>
        <v>59.09</v>
      </c>
      <c r="G17103" s="11"/>
    </row>
    <row r="17104" ht="30.0" customHeight="1">
      <c r="A17104" s="11"/>
      <c r="B17104" s="11"/>
      <c r="C17104" s="11"/>
      <c r="D17104" s="10" t="s">
        <v>7877</v>
      </c>
    </row>
    <row r="17105" ht="39.75" customHeight="1">
      <c r="A17105" s="13" t="s">
        <v>5063</v>
      </c>
      <c r="B17105" s="10" t="s">
        <v>42</v>
      </c>
      <c r="C17105" s="10" t="s">
        <v>276</v>
      </c>
      <c r="D17105" s="10" t="s">
        <v>5064</v>
      </c>
      <c r="E17105" s="11"/>
      <c r="F17105" s="12">
        <f>ROUND(70.41*(1+G2/100),2)</f>
        <v>70.41</v>
      </c>
      <c r="G17105" s="11"/>
    </row>
    <row r="17106" ht="104.25" customHeight="1">
      <c r="A17106" s="11"/>
      <c r="B17106" s="11"/>
      <c r="C17106" s="11"/>
      <c r="D17106" s="10" t="s">
        <v>7878</v>
      </c>
    </row>
    <row r="17107" ht="39.75" customHeight="1">
      <c r="A17107" s="13" t="s">
        <v>7879</v>
      </c>
      <c r="B17107" s="10" t="s">
        <v>42</v>
      </c>
      <c r="C17107" s="10" t="s">
        <v>43</v>
      </c>
      <c r="D17107" s="10" t="s">
        <v>7880</v>
      </c>
      <c r="E17107" s="11"/>
      <c r="F17107" s="12">
        <f>ROUND(41.78*(1+G2/100),2)</f>
        <v>41.78</v>
      </c>
      <c r="G17107" s="11"/>
    </row>
    <row r="17108" ht="30.0" customHeight="1">
      <c r="A17108" s="11"/>
      <c r="B17108" s="11"/>
      <c r="C17108" s="11"/>
      <c r="D17108" s="10" t="s">
        <v>7881</v>
      </c>
    </row>
    <row r="17109" ht="39.75" customHeight="1">
      <c r="A17109" s="13" t="s">
        <v>5192</v>
      </c>
      <c r="B17109" s="10" t="s">
        <v>42</v>
      </c>
      <c r="C17109" s="10" t="s">
        <v>43</v>
      </c>
      <c r="D17109" s="10" t="s">
        <v>5193</v>
      </c>
      <c r="E17109" s="11"/>
      <c r="F17109" s="12">
        <f>ROUND(57.84*(1+G2/100),2)</f>
        <v>57.84</v>
      </c>
      <c r="G17109" s="11"/>
    </row>
    <row r="17110" ht="30.0" customHeight="1">
      <c r="A17110" s="11"/>
      <c r="B17110" s="11"/>
      <c r="C17110" s="11"/>
      <c r="D17110" s="10" t="s">
        <v>7882</v>
      </c>
    </row>
    <row r="17111" ht="48.75" customHeight="1">
      <c r="A17111" s="13" t="s">
        <v>5185</v>
      </c>
      <c r="B17111" s="10" t="s">
        <v>42</v>
      </c>
      <c r="C17111" s="10" t="s">
        <v>43</v>
      </c>
      <c r="D17111" s="10" t="s">
        <v>5186</v>
      </c>
      <c r="E17111" s="11"/>
      <c r="F17111" s="12">
        <f>ROUND(57.85*(1+G2/100),2)</f>
        <v>57.85</v>
      </c>
      <c r="G17111" s="11"/>
    </row>
    <row r="17112" ht="39.75" customHeight="1">
      <c r="A17112" s="11"/>
      <c r="B17112" s="11"/>
      <c r="C17112" s="11"/>
      <c r="D17112" s="10" t="s">
        <v>7883</v>
      </c>
    </row>
    <row r="17113" ht="39.75" customHeight="1">
      <c r="A17113" s="13" t="s">
        <v>7884</v>
      </c>
      <c r="B17113" s="10" t="s">
        <v>42</v>
      </c>
      <c r="C17113" s="10" t="s">
        <v>276</v>
      </c>
      <c r="D17113" s="10" t="s">
        <v>7885</v>
      </c>
      <c r="E17113" s="11"/>
      <c r="F17113" s="12">
        <f>ROUND(114.75*(1+G2/100),2)</f>
        <v>114.75</v>
      </c>
      <c r="G17113" s="11"/>
    </row>
    <row r="17114" ht="48.75" customHeight="1">
      <c r="A17114" s="11"/>
      <c r="B17114" s="11"/>
      <c r="C17114" s="11"/>
      <c r="D17114" s="10" t="s">
        <v>7886</v>
      </c>
    </row>
    <row r="17115" ht="39.75" customHeight="1">
      <c r="A17115" s="13" t="s">
        <v>5205</v>
      </c>
      <c r="B17115" s="10" t="s">
        <v>42</v>
      </c>
      <c r="C17115" s="10" t="s">
        <v>43</v>
      </c>
      <c r="D17115" s="10" t="s">
        <v>5206</v>
      </c>
      <c r="E17115" s="11"/>
      <c r="F17115" s="12">
        <f>ROUND(43.02*(1+G2/100),2)</f>
        <v>43.02</v>
      </c>
      <c r="G17115" s="11"/>
    </row>
    <row r="17116" ht="57.75" customHeight="1">
      <c r="A17116" s="11"/>
      <c r="B17116" s="11"/>
      <c r="C17116" s="11"/>
      <c r="D17116" s="10" t="s">
        <v>7887</v>
      </c>
    </row>
    <row r="17117" ht="39.75" customHeight="1">
      <c r="A17117" s="13" t="s">
        <v>5004</v>
      </c>
      <c r="B17117" s="10" t="s">
        <v>42</v>
      </c>
      <c r="C17117" s="10" t="s">
        <v>43</v>
      </c>
      <c r="D17117" s="10" t="s">
        <v>5005</v>
      </c>
      <c r="E17117" s="11"/>
      <c r="F17117" s="12">
        <f>ROUND(110.7*(1+G2/100),2)</f>
        <v>110.7</v>
      </c>
      <c r="G17117" s="11"/>
    </row>
    <row r="17118" ht="67.5" customHeight="1">
      <c r="A17118" s="11"/>
      <c r="B17118" s="11"/>
      <c r="C17118" s="11"/>
      <c r="D17118" s="10" t="s">
        <v>7888</v>
      </c>
    </row>
    <row r="17119" ht="30.0" customHeight="1">
      <c r="A17119" s="13" t="s">
        <v>5463</v>
      </c>
      <c r="B17119" s="10" t="s">
        <v>42</v>
      </c>
      <c r="C17119" s="10" t="s">
        <v>276</v>
      </c>
      <c r="D17119" s="10" t="s">
        <v>5464</v>
      </c>
      <c r="E17119" s="11"/>
      <c r="F17119" s="12">
        <f>ROUND(42.66*(1+G2/100),2)</f>
        <v>42.66</v>
      </c>
      <c r="G17119" s="11"/>
    </row>
    <row r="17120" ht="67.5" customHeight="1">
      <c r="A17120" s="11"/>
      <c r="B17120" s="11"/>
      <c r="C17120" s="11"/>
      <c r="D17120" s="10" t="s">
        <v>7889</v>
      </c>
    </row>
    <row r="17121" ht="39.75" customHeight="1">
      <c r="A17121" s="13" t="s">
        <v>5461</v>
      </c>
      <c r="B17121" s="10" t="s">
        <v>42</v>
      </c>
      <c r="C17121" s="10" t="s">
        <v>276</v>
      </c>
      <c r="D17121" s="10" t="s">
        <v>5462</v>
      </c>
      <c r="E17121" s="11"/>
      <c r="F17121" s="12">
        <f>ROUND(88.93*(1+G2/100),2)</f>
        <v>88.93</v>
      </c>
      <c r="G17121" s="11"/>
    </row>
    <row r="17122" ht="85.5" customHeight="1">
      <c r="A17122" s="11"/>
      <c r="B17122" s="11"/>
      <c r="C17122" s="11"/>
      <c r="D17122" s="10" t="s">
        <v>7890</v>
      </c>
    </row>
    <row r="17123" ht="39.75" customHeight="1">
      <c r="A17123" s="13" t="s">
        <v>5352</v>
      </c>
      <c r="B17123" s="10" t="s">
        <v>42</v>
      </c>
      <c r="C17123" s="10" t="s">
        <v>43</v>
      </c>
      <c r="D17123" s="10" t="s">
        <v>5353</v>
      </c>
      <c r="E17123" s="11"/>
      <c r="F17123" s="12">
        <f>ROUND(27.05*(1+G2/100),2)</f>
        <v>27.05</v>
      </c>
      <c r="G17123" s="11"/>
    </row>
    <row r="17124" ht="85.5" customHeight="1">
      <c r="A17124" s="11"/>
      <c r="B17124" s="11"/>
      <c r="C17124" s="11"/>
      <c r="D17124" s="10" t="s">
        <v>7891</v>
      </c>
    </row>
    <row r="17125" ht="30.0" customHeight="1">
      <c r="A17125" s="13" t="s">
        <v>5115</v>
      </c>
      <c r="B17125" s="10" t="s">
        <v>42</v>
      </c>
      <c r="C17125" s="10" t="s">
        <v>43</v>
      </c>
      <c r="D17125" s="10" t="s">
        <v>5116</v>
      </c>
      <c r="E17125" s="11"/>
      <c r="F17125" s="12">
        <f>ROUND(5.82*(1+G2/100),2)</f>
        <v>5.82</v>
      </c>
      <c r="G17125" s="11"/>
    </row>
    <row r="17126" ht="85.5" customHeight="1">
      <c r="A17126" s="11"/>
      <c r="B17126" s="11"/>
      <c r="C17126" s="11"/>
      <c r="D17126" s="10" t="s">
        <v>7495</v>
      </c>
    </row>
    <row r="17127" ht="39.75" customHeight="1">
      <c r="A17127" s="13" t="s">
        <v>5113</v>
      </c>
      <c r="B17127" s="10" t="s">
        <v>42</v>
      </c>
      <c r="C17127" s="10" t="s">
        <v>43</v>
      </c>
      <c r="D17127" s="10" t="s">
        <v>5114</v>
      </c>
      <c r="E17127" s="11"/>
      <c r="F17127" s="12">
        <f>ROUND(29.78*(1+G2/100),2)</f>
        <v>29.78</v>
      </c>
      <c r="G17127" s="11"/>
    </row>
    <row r="17128" ht="57.75" customHeight="1">
      <c r="A17128" s="11"/>
      <c r="B17128" s="11"/>
      <c r="C17128" s="11"/>
      <c r="D17128" s="10" t="s">
        <v>7892</v>
      </c>
    </row>
    <row r="17129" ht="30.0" customHeight="1">
      <c r="A17129" s="13" t="s">
        <v>5354</v>
      </c>
      <c r="B17129" s="10" t="s">
        <v>42</v>
      </c>
      <c r="C17129" s="10" t="s">
        <v>43</v>
      </c>
      <c r="D17129" s="10" t="s">
        <v>5355</v>
      </c>
      <c r="E17129" s="11"/>
      <c r="F17129" s="12">
        <f>ROUND(14.22*(1+G2/100),2)</f>
        <v>14.22</v>
      </c>
      <c r="G17129" s="11"/>
    </row>
    <row r="17130" ht="67.5" customHeight="1">
      <c r="A17130" s="11"/>
      <c r="B17130" s="11"/>
      <c r="C17130" s="11"/>
      <c r="D17130" s="10" t="s">
        <v>7893</v>
      </c>
    </row>
    <row r="17131" ht="30.0" customHeight="1">
      <c r="A17131" s="13" t="s">
        <v>7894</v>
      </c>
      <c r="B17131" s="10" t="s">
        <v>42</v>
      </c>
      <c r="C17131" s="10" t="s">
        <v>276</v>
      </c>
      <c r="D17131" s="10" t="s">
        <v>7895</v>
      </c>
      <c r="E17131" s="11"/>
      <c r="F17131" s="12">
        <f>ROUND(82.88*(1+G2/100),2)</f>
        <v>82.88</v>
      </c>
      <c r="G17131" s="11"/>
    </row>
    <row r="17132" ht="113.25" customHeight="1">
      <c r="A17132" s="11"/>
      <c r="B17132" s="11"/>
      <c r="C17132" s="11"/>
      <c r="D17132" s="10" t="s">
        <v>7896</v>
      </c>
    </row>
    <row r="17133" ht="48.75" customHeight="1">
      <c r="A17133" s="13" t="s">
        <v>7897</v>
      </c>
      <c r="B17133" s="10" t="s">
        <v>42</v>
      </c>
      <c r="C17133" s="10" t="s">
        <v>276</v>
      </c>
      <c r="D17133" s="10" t="s">
        <v>7898</v>
      </c>
      <c r="E17133" s="11"/>
      <c r="F17133" s="12">
        <f>ROUND(85.04*(1+G2/100),2)</f>
        <v>85.04</v>
      </c>
      <c r="G17133" s="11"/>
    </row>
    <row r="17134" ht="67.5" customHeight="1">
      <c r="A17134" s="11"/>
      <c r="B17134" s="11"/>
      <c r="C17134" s="11"/>
      <c r="D17134" s="10" t="s">
        <v>7899</v>
      </c>
    </row>
    <row r="17135" ht="39.75" customHeight="1">
      <c r="A17135" s="13" t="s">
        <v>5036</v>
      </c>
      <c r="B17135" s="10" t="s">
        <v>42</v>
      </c>
      <c r="C17135" s="10" t="s">
        <v>43</v>
      </c>
      <c r="D17135" s="10" t="s">
        <v>5037</v>
      </c>
      <c r="E17135" s="11"/>
      <c r="F17135" s="12">
        <f>ROUND(86.21*(1+G2/100),2)</f>
        <v>86.21</v>
      </c>
      <c r="G17135" s="11"/>
    </row>
    <row r="17136" ht="104.25" customHeight="1">
      <c r="A17136" s="11"/>
      <c r="B17136" s="11"/>
      <c r="C17136" s="11"/>
      <c r="D17136" s="10" t="s">
        <v>7900</v>
      </c>
    </row>
    <row r="17137" ht="39.75" customHeight="1">
      <c r="A17137" s="13" t="s">
        <v>4969</v>
      </c>
      <c r="B17137" s="10" t="s">
        <v>42</v>
      </c>
      <c r="C17137" s="10" t="s">
        <v>276</v>
      </c>
      <c r="D17137" s="10" t="s">
        <v>4970</v>
      </c>
      <c r="E17137" s="11"/>
      <c r="F17137" s="12">
        <f>ROUND(117.57*(1+G2/100),2)</f>
        <v>117.57</v>
      </c>
      <c r="G17137" s="11"/>
    </row>
    <row r="17138" ht="57.75" customHeight="1">
      <c r="A17138" s="11"/>
      <c r="B17138" s="11"/>
      <c r="C17138" s="11"/>
      <c r="D17138" s="10" t="s">
        <v>7901</v>
      </c>
    </row>
    <row r="17139" ht="57.75" customHeight="1">
      <c r="A17139" s="13" t="s">
        <v>7902</v>
      </c>
      <c r="B17139" s="10" t="s">
        <v>42</v>
      </c>
      <c r="C17139" s="10" t="s">
        <v>43</v>
      </c>
      <c r="D17139" s="10" t="s">
        <v>7903</v>
      </c>
      <c r="E17139" s="11"/>
      <c r="F17139" s="12">
        <f>ROUND(47.37*(1+G2/100),2)</f>
        <v>47.37</v>
      </c>
      <c r="G17139" s="11"/>
    </row>
    <row r="17140" ht="30.0" customHeight="1">
      <c r="A17140" s="11"/>
      <c r="B17140" s="11"/>
      <c r="C17140" s="11"/>
      <c r="D17140" s="10" t="s">
        <v>7904</v>
      </c>
    </row>
    <row r="17141" ht="48.75" customHeight="1">
      <c r="A17141" s="13" t="s">
        <v>7905</v>
      </c>
      <c r="B17141" s="10" t="s">
        <v>42</v>
      </c>
      <c r="C17141" s="10" t="s">
        <v>43</v>
      </c>
      <c r="D17141" s="10" t="s">
        <v>7906</v>
      </c>
      <c r="E17141" s="11"/>
      <c r="F17141" s="12">
        <f>ROUND(34.48*(1+G2/100),2)</f>
        <v>34.48</v>
      </c>
      <c r="G17141" s="11"/>
    </row>
    <row r="17142" ht="39.75" customHeight="1">
      <c r="A17142" s="11"/>
      <c r="B17142" s="11"/>
      <c r="C17142" s="11"/>
      <c r="D17142" s="10" t="s">
        <v>7907</v>
      </c>
    </row>
    <row r="17143" ht="48.75" customHeight="1">
      <c r="A17143" s="13" t="s">
        <v>7908</v>
      </c>
      <c r="B17143" s="10" t="s">
        <v>42</v>
      </c>
      <c r="C17143" s="10" t="s">
        <v>276</v>
      </c>
      <c r="D17143" s="10" t="s">
        <v>7909</v>
      </c>
      <c r="E17143" s="11"/>
      <c r="F17143" s="12">
        <f>ROUND(80.34*(1+G2/100),2)</f>
        <v>80.34</v>
      </c>
      <c r="G17143" s="11"/>
    </row>
    <row r="17144" ht="39.75" customHeight="1">
      <c r="A17144" s="11"/>
      <c r="B17144" s="11"/>
      <c r="C17144" s="11"/>
      <c r="D17144" s="10" t="s">
        <v>7910</v>
      </c>
    </row>
    <row r="17145" ht="39.75" customHeight="1">
      <c r="A17145" s="13" t="s">
        <v>7911</v>
      </c>
      <c r="B17145" s="10" t="s">
        <v>42</v>
      </c>
      <c r="C17145" s="10" t="s">
        <v>276</v>
      </c>
      <c r="D17145" s="10" t="s">
        <v>7912</v>
      </c>
      <c r="E17145" s="11"/>
      <c r="F17145" s="12">
        <f>ROUND(104.85*(1+G2/100),2)</f>
        <v>104.85</v>
      </c>
      <c r="G17145" s="11"/>
    </row>
    <row r="17146" ht="57.75" customHeight="1">
      <c r="A17146" s="11"/>
      <c r="B17146" s="11"/>
      <c r="C17146" s="11"/>
      <c r="D17146" s="10" t="s">
        <v>7913</v>
      </c>
    </row>
    <row r="17147" ht="39.75" customHeight="1">
      <c r="A17147" s="13" t="s">
        <v>7914</v>
      </c>
      <c r="B17147" s="10" t="s">
        <v>42</v>
      </c>
      <c r="C17147" s="10" t="s">
        <v>276</v>
      </c>
      <c r="D17147" s="10" t="s">
        <v>7915</v>
      </c>
      <c r="E17147" s="11"/>
      <c r="F17147" s="12">
        <f>ROUND(42.66*(1+G2/100),2)</f>
        <v>42.66</v>
      </c>
      <c r="G17147" s="11"/>
    </row>
    <row r="17148" ht="141.0" customHeight="1">
      <c r="A17148" s="11"/>
      <c r="B17148" s="11"/>
      <c r="C17148" s="11"/>
      <c r="D17148" s="10" t="s">
        <v>7916</v>
      </c>
    </row>
    <row r="17149" ht="39.75" customHeight="1">
      <c r="A17149" s="13" t="s">
        <v>6096</v>
      </c>
      <c r="B17149" s="10" t="s">
        <v>42</v>
      </c>
      <c r="C17149" s="10" t="s">
        <v>43</v>
      </c>
      <c r="D17149" s="10" t="s">
        <v>6097</v>
      </c>
      <c r="E17149" s="11"/>
      <c r="F17149" s="12">
        <f>ROUND(8.53*(1+G2/100),2)</f>
        <v>8.53</v>
      </c>
      <c r="G17149" s="11"/>
    </row>
    <row r="17150" ht="141.0" customHeight="1">
      <c r="A17150" s="11"/>
      <c r="B17150" s="11"/>
      <c r="C17150" s="11"/>
      <c r="D17150" s="10" t="s">
        <v>7917</v>
      </c>
    </row>
    <row r="17151" ht="57.75" customHeight="1">
      <c r="A17151" s="13" t="s">
        <v>4971</v>
      </c>
      <c r="B17151" s="10" t="s">
        <v>42</v>
      </c>
      <c r="C17151" s="10" t="s">
        <v>276</v>
      </c>
      <c r="D17151" s="10" t="s">
        <v>4972</v>
      </c>
      <c r="E17151" s="11"/>
      <c r="F17151" s="12">
        <f>ROUND(172.5*(1+G2/100),2)</f>
        <v>172.5</v>
      </c>
      <c r="G17151" s="11"/>
    </row>
    <row r="17152" ht="30.0" customHeight="1">
      <c r="A17152" s="11"/>
      <c r="B17152" s="11"/>
      <c r="C17152" s="11"/>
      <c r="D17152" s="10" t="s">
        <v>7918</v>
      </c>
    </row>
    <row r="17153" ht="57.75" customHeight="1">
      <c r="A17153" s="13" t="s">
        <v>7919</v>
      </c>
      <c r="B17153" s="10" t="s">
        <v>42</v>
      </c>
      <c r="C17153" s="10" t="s">
        <v>276</v>
      </c>
      <c r="D17153" s="10" t="s">
        <v>7920</v>
      </c>
      <c r="E17153" s="11"/>
      <c r="F17153" s="12">
        <f>ROUND(117.57*(1+G2/100),2)</f>
        <v>117.57</v>
      </c>
      <c r="G17153" s="11"/>
    </row>
    <row r="17154" ht="30.0" customHeight="1">
      <c r="A17154" s="11"/>
      <c r="B17154" s="11"/>
      <c r="C17154" s="11"/>
      <c r="D17154" s="10" t="s">
        <v>7921</v>
      </c>
    </row>
    <row r="17155" ht="30.0" customHeight="1">
      <c r="A17155" s="13" t="s">
        <v>7922</v>
      </c>
      <c r="B17155" s="10" t="s">
        <v>42</v>
      </c>
      <c r="C17155" s="10" t="s">
        <v>276</v>
      </c>
      <c r="D17155" s="10" t="s">
        <v>7923</v>
      </c>
      <c r="E17155" s="11"/>
      <c r="F17155" s="12">
        <f>ROUND(434.78*(1+G2/100),2)</f>
        <v>434.78</v>
      </c>
      <c r="G17155" s="11"/>
    </row>
    <row r="17156" ht="132.0" customHeight="1">
      <c r="A17156" s="11"/>
      <c r="B17156" s="11"/>
      <c r="C17156" s="11"/>
      <c r="D17156" s="10" t="s">
        <v>7924</v>
      </c>
    </row>
    <row r="17157" ht="39.75" customHeight="1">
      <c r="A17157" s="13" t="s">
        <v>7925</v>
      </c>
      <c r="B17157" s="10" t="s">
        <v>42</v>
      </c>
      <c r="C17157" s="10" t="s">
        <v>276</v>
      </c>
      <c r="D17157" s="10" t="s">
        <v>7926</v>
      </c>
      <c r="E17157" s="11"/>
      <c r="F17157" s="12">
        <f>ROUND(268.11*(1+G2/100),2)</f>
        <v>268.11</v>
      </c>
      <c r="G17157" s="11"/>
    </row>
    <row r="17158" ht="39.75" customHeight="1">
      <c r="A17158" s="11"/>
      <c r="B17158" s="11"/>
      <c r="C17158" s="11"/>
      <c r="D17158" s="10" t="s">
        <v>7927</v>
      </c>
    </row>
    <row r="17159" ht="39.75" customHeight="1">
      <c r="A17159" s="13" t="s">
        <v>7928</v>
      </c>
      <c r="B17159" s="10" t="s">
        <v>42</v>
      </c>
      <c r="C17159" s="10" t="s">
        <v>43</v>
      </c>
      <c r="D17159" s="10" t="s">
        <v>7929</v>
      </c>
      <c r="E17159" s="11"/>
      <c r="F17159" s="12">
        <f>ROUND(35.53*(1+G2/100),2)</f>
        <v>35.53</v>
      </c>
      <c r="G17159" s="11"/>
    </row>
    <row r="17160" ht="39.75" customHeight="1">
      <c r="A17160" s="11"/>
      <c r="B17160" s="11"/>
      <c r="C17160" s="11"/>
      <c r="D17160" s="10" t="s">
        <v>7930</v>
      </c>
    </row>
    <row r="17161" ht="39.75" customHeight="1">
      <c r="A17161" s="13" t="s">
        <v>7931</v>
      </c>
      <c r="B17161" s="10" t="s">
        <v>42</v>
      </c>
      <c r="C17161" s="10" t="s">
        <v>43</v>
      </c>
      <c r="D17161" s="10" t="s">
        <v>7932</v>
      </c>
      <c r="E17161" s="11"/>
      <c r="F17161" s="12">
        <f>ROUND(57.68*(1+G2/100),2)</f>
        <v>57.68</v>
      </c>
      <c r="G17161" s="11"/>
    </row>
    <row r="17162" ht="48.75" customHeight="1">
      <c r="A17162" s="11"/>
      <c r="B17162" s="11"/>
      <c r="C17162" s="11"/>
      <c r="D17162" s="10" t="s">
        <v>7933</v>
      </c>
    </row>
    <row r="17163" ht="39.75" customHeight="1">
      <c r="A17163" s="13" t="s">
        <v>5241</v>
      </c>
      <c r="B17163" s="10" t="s">
        <v>42</v>
      </c>
      <c r="C17163" s="10" t="s">
        <v>1298</v>
      </c>
      <c r="D17163" s="10" t="s">
        <v>5242</v>
      </c>
      <c r="E17163" s="11"/>
      <c r="F17163" s="12">
        <f>ROUND(42.81*(1+G2/100),2)</f>
        <v>42.81</v>
      </c>
      <c r="G17163" s="11"/>
    </row>
    <row r="17164" ht="48.75" customHeight="1">
      <c r="A17164" s="11"/>
      <c r="B17164" s="11"/>
      <c r="C17164" s="11"/>
      <c r="D17164" s="10" t="s">
        <v>7934</v>
      </c>
    </row>
    <row r="17165" ht="39.75" customHeight="1">
      <c r="A17165" s="13" t="s">
        <v>7935</v>
      </c>
      <c r="B17165" s="10" t="s">
        <v>42</v>
      </c>
      <c r="C17165" s="10" t="s">
        <v>276</v>
      </c>
      <c r="D17165" s="10" t="s">
        <v>7936</v>
      </c>
      <c r="E17165" s="11"/>
      <c r="F17165" s="12">
        <f>ROUND(94.71*(1+G2/100),2)</f>
        <v>94.71</v>
      </c>
      <c r="G17165" s="11"/>
    </row>
    <row r="17166" ht="141.0" customHeight="1">
      <c r="A17166" s="11"/>
      <c r="B17166" s="11"/>
      <c r="C17166" s="11"/>
      <c r="D17166" s="10" t="s">
        <v>7937</v>
      </c>
    </row>
    <row r="17167" ht="48.75" customHeight="1">
      <c r="A17167" s="13" t="s">
        <v>7938</v>
      </c>
      <c r="B17167" s="10" t="s">
        <v>42</v>
      </c>
      <c r="C17167" s="10" t="s">
        <v>276</v>
      </c>
      <c r="D17167" s="10" t="s">
        <v>7939</v>
      </c>
      <c r="E17167" s="11"/>
      <c r="F17167" s="12">
        <f>ROUND(120.25*(1+G2/100),2)</f>
        <v>120.25</v>
      </c>
      <c r="G17167" s="11"/>
    </row>
    <row r="17168" ht="141.0" customHeight="1">
      <c r="A17168" s="11"/>
      <c r="B17168" s="11"/>
      <c r="C17168" s="11"/>
      <c r="D17168" s="10" t="s">
        <v>7940</v>
      </c>
    </row>
    <row r="17169" ht="39.75" customHeight="1">
      <c r="A17169" s="13" t="s">
        <v>7941</v>
      </c>
      <c r="B17169" s="10" t="s">
        <v>42</v>
      </c>
      <c r="C17169" s="10" t="s">
        <v>276</v>
      </c>
      <c r="D17169" s="10" t="s">
        <v>7942</v>
      </c>
      <c r="E17169" s="11"/>
      <c r="F17169" s="12">
        <f>ROUND(103.91*(1+G2/100),2)</f>
        <v>103.91</v>
      </c>
      <c r="G17169" s="11"/>
    </row>
    <row r="17170" ht="76.5" customHeight="1">
      <c r="A17170" s="11"/>
      <c r="B17170" s="11"/>
      <c r="C17170" s="11"/>
      <c r="D17170" s="10" t="s">
        <v>7943</v>
      </c>
    </row>
    <row r="17171" ht="39.75" customHeight="1">
      <c r="A17171" s="13" t="s">
        <v>5026</v>
      </c>
      <c r="B17171" s="10" t="s">
        <v>42</v>
      </c>
      <c r="C17171" s="10" t="s">
        <v>43</v>
      </c>
      <c r="D17171" s="10" t="s">
        <v>5027</v>
      </c>
      <c r="E17171" s="11"/>
      <c r="F17171" s="12">
        <f>ROUND(36.95*(1+G2/100),2)</f>
        <v>36.95</v>
      </c>
      <c r="G17171" s="11"/>
    </row>
    <row r="17172" ht="76.5" customHeight="1">
      <c r="A17172" s="11"/>
      <c r="B17172" s="11"/>
      <c r="C17172" s="11"/>
      <c r="D17172" s="10" t="s">
        <v>7944</v>
      </c>
    </row>
    <row r="17173" ht="39.75" customHeight="1">
      <c r="A17173" s="13" t="s">
        <v>7945</v>
      </c>
      <c r="B17173" s="10" t="s">
        <v>42</v>
      </c>
      <c r="C17173" s="10" t="s">
        <v>43</v>
      </c>
      <c r="D17173" s="10" t="s">
        <v>7946</v>
      </c>
      <c r="E17173" s="11"/>
      <c r="F17173" s="12">
        <f>ROUND(39.3*(1+G2/100),2)</f>
        <v>39.3</v>
      </c>
      <c r="G17173" s="11"/>
    </row>
    <row r="17174" ht="76.5" customHeight="1">
      <c r="A17174" s="11"/>
      <c r="B17174" s="11"/>
      <c r="C17174" s="11"/>
      <c r="D17174" s="10" t="s">
        <v>7947</v>
      </c>
    </row>
    <row r="17175" ht="39.75" customHeight="1">
      <c r="A17175" s="13" t="s">
        <v>7948</v>
      </c>
      <c r="B17175" s="10" t="s">
        <v>42</v>
      </c>
      <c r="C17175" s="10" t="s">
        <v>43</v>
      </c>
      <c r="D17175" s="10" t="s">
        <v>7949</v>
      </c>
      <c r="E17175" s="11"/>
      <c r="F17175" s="12">
        <f>ROUND(9.61*(1+G2/100),2)</f>
        <v>9.61</v>
      </c>
      <c r="G17175" s="11"/>
    </row>
    <row r="17176" ht="85.5" customHeight="1">
      <c r="A17176" s="11"/>
      <c r="B17176" s="11"/>
      <c r="C17176" s="11"/>
      <c r="D17176" s="10" t="s">
        <v>7950</v>
      </c>
    </row>
    <row r="17177" ht="39.75" customHeight="1">
      <c r="A17177" s="13" t="s">
        <v>5413</v>
      </c>
      <c r="B17177" s="10" t="s">
        <v>42</v>
      </c>
      <c r="C17177" s="10" t="s">
        <v>43</v>
      </c>
      <c r="D17177" s="10" t="s">
        <v>5414</v>
      </c>
      <c r="E17177" s="11"/>
      <c r="F17177" s="12">
        <f>ROUND(78.4*(1+G2/100),2)</f>
        <v>78.4</v>
      </c>
      <c r="G17177" s="11"/>
    </row>
    <row r="17178" ht="21.0" customHeight="1">
      <c r="A17178" s="11"/>
      <c r="B17178" s="11"/>
      <c r="C17178" s="11"/>
      <c r="D17178" s="10" t="s">
        <v>7951</v>
      </c>
    </row>
    <row r="17179" ht="39.75" customHeight="1">
      <c r="A17179" s="13" t="s">
        <v>7952</v>
      </c>
      <c r="B17179" s="10" t="s">
        <v>42</v>
      </c>
      <c r="C17179" s="10" t="s">
        <v>43</v>
      </c>
      <c r="D17179" s="10" t="s">
        <v>7953</v>
      </c>
      <c r="E17179" s="11"/>
      <c r="F17179" s="12">
        <f>ROUND(19.17*(1+G2/100),2)</f>
        <v>19.17</v>
      </c>
      <c r="G17179" s="11"/>
    </row>
    <row r="17180" ht="21.0" customHeight="1">
      <c r="A17180" s="11"/>
      <c r="B17180" s="11"/>
      <c r="C17180" s="11"/>
      <c r="D17180" s="10" t="s">
        <v>7954</v>
      </c>
    </row>
    <row r="17181" ht="30.0" customHeight="1">
      <c r="A17181" s="13" t="s">
        <v>5243</v>
      </c>
      <c r="B17181" s="10" t="s">
        <v>42</v>
      </c>
      <c r="C17181" s="10" t="s">
        <v>1298</v>
      </c>
      <c r="D17181" s="10" t="s">
        <v>5244</v>
      </c>
      <c r="E17181" s="11"/>
      <c r="F17181" s="12">
        <f>ROUND(43.75*(1+G2/100),2)</f>
        <v>43.75</v>
      </c>
      <c r="G17181" s="11"/>
    </row>
    <row r="17182" ht="150.0" customHeight="1">
      <c r="A17182" s="11"/>
      <c r="B17182" s="11"/>
      <c r="C17182" s="11"/>
      <c r="D17182" s="10" t="s">
        <v>7955</v>
      </c>
    </row>
    <row r="17183" ht="39.75" customHeight="1">
      <c r="A17183" s="13" t="s">
        <v>7956</v>
      </c>
      <c r="B17183" s="10" t="s">
        <v>42</v>
      </c>
      <c r="C17183" s="10" t="s">
        <v>43</v>
      </c>
      <c r="D17183" s="10" t="s">
        <v>7957</v>
      </c>
      <c r="E17183" s="11"/>
      <c r="F17183" s="12">
        <f>ROUND(38.31*(1+G2/100),2)</f>
        <v>38.31</v>
      </c>
      <c r="G17183" s="11"/>
    </row>
    <row r="17184" ht="95.25" customHeight="1">
      <c r="A17184" s="11"/>
      <c r="B17184" s="11"/>
      <c r="C17184" s="11"/>
      <c r="D17184" s="10" t="s">
        <v>7958</v>
      </c>
    </row>
    <row r="17185" ht="39.75" customHeight="1">
      <c r="A17185" s="13" t="s">
        <v>7959</v>
      </c>
      <c r="B17185" s="10" t="s">
        <v>42</v>
      </c>
      <c r="C17185" s="10" t="s">
        <v>276</v>
      </c>
      <c r="D17185" s="10" t="s">
        <v>7960</v>
      </c>
      <c r="E17185" s="11"/>
      <c r="F17185" s="12">
        <f>ROUND(96.71*(1+G2/100),2)</f>
        <v>96.71</v>
      </c>
      <c r="G17185" s="11"/>
    </row>
    <row r="17186" ht="141.0" customHeight="1">
      <c r="A17186" s="11"/>
      <c r="B17186" s="11"/>
      <c r="C17186" s="11"/>
      <c r="D17186" s="10" t="s">
        <v>7961</v>
      </c>
    </row>
    <row r="17187" ht="39.75" customHeight="1">
      <c r="A17187" s="13" t="s">
        <v>7962</v>
      </c>
      <c r="B17187" s="10" t="s">
        <v>42</v>
      </c>
      <c r="C17187" s="10" t="s">
        <v>43</v>
      </c>
      <c r="D17187" s="10" t="s">
        <v>7963</v>
      </c>
      <c r="E17187" s="11"/>
      <c r="F17187" s="12">
        <f>ROUND(29.84*(1+G2/100),2)</f>
        <v>29.84</v>
      </c>
      <c r="G17187" s="11"/>
    </row>
    <row r="17188" ht="141.0" customHeight="1">
      <c r="A17188" s="11"/>
      <c r="B17188" s="11"/>
      <c r="C17188" s="11"/>
      <c r="D17188" s="10" t="s">
        <v>7961</v>
      </c>
    </row>
    <row r="17189" ht="39.75" customHeight="1">
      <c r="A17189" s="13" t="s">
        <v>5048</v>
      </c>
      <c r="B17189" s="10" t="s">
        <v>42</v>
      </c>
      <c r="C17189" s="10" t="s">
        <v>43</v>
      </c>
      <c r="D17189" s="10" t="s">
        <v>5049</v>
      </c>
      <c r="E17189" s="11"/>
      <c r="F17189" s="12">
        <f>ROUND(16.5*(1+G2/100),2)</f>
        <v>16.5</v>
      </c>
      <c r="G17189" s="11"/>
    </row>
    <row r="17190" ht="95.25" customHeight="1">
      <c r="A17190" s="11"/>
      <c r="B17190" s="11"/>
      <c r="C17190" s="11"/>
      <c r="D17190" s="10" t="s">
        <v>7964</v>
      </c>
    </row>
    <row r="17191" ht="30.0" customHeight="1">
      <c r="A17191" s="13" t="s">
        <v>5046</v>
      </c>
      <c r="B17191" s="10" t="s">
        <v>42</v>
      </c>
      <c r="C17191" s="10" t="s">
        <v>43</v>
      </c>
      <c r="D17191" s="10" t="s">
        <v>5047</v>
      </c>
      <c r="E17191" s="11"/>
      <c r="F17191" s="12">
        <f>ROUND(20.75*(1+G2/100),2)</f>
        <v>20.75</v>
      </c>
      <c r="G17191" s="11"/>
    </row>
    <row r="17192" ht="85.5" customHeight="1">
      <c r="A17192" s="11"/>
      <c r="B17192" s="11"/>
      <c r="C17192" s="11"/>
      <c r="D17192" s="10" t="s">
        <v>7965</v>
      </c>
    </row>
    <row r="17193" ht="39.75" customHeight="1">
      <c r="A17193" s="13" t="s">
        <v>5197</v>
      </c>
      <c r="B17193" s="10" t="s">
        <v>42</v>
      </c>
      <c r="C17193" s="10" t="s">
        <v>43</v>
      </c>
      <c r="D17193" s="10" t="s">
        <v>5198</v>
      </c>
      <c r="E17193" s="11"/>
      <c r="F17193" s="12">
        <f>ROUND(57.46*(1+G2/100),2)</f>
        <v>57.46</v>
      </c>
      <c r="G17193" s="11"/>
    </row>
    <row r="17194" ht="48.75" customHeight="1">
      <c r="A17194" s="11"/>
      <c r="B17194" s="11"/>
      <c r="C17194" s="11"/>
      <c r="D17194" s="10" t="s">
        <v>7966</v>
      </c>
    </row>
    <row r="17195" ht="57.75" customHeight="1">
      <c r="A17195" s="13" t="s">
        <v>7967</v>
      </c>
      <c r="B17195" s="10" t="s">
        <v>42</v>
      </c>
      <c r="C17195" s="10" t="s">
        <v>43</v>
      </c>
      <c r="D17195" s="10" t="s">
        <v>7968</v>
      </c>
      <c r="E17195" s="11"/>
      <c r="F17195" s="12">
        <f>ROUND(60.64*(1+G2/100),2)</f>
        <v>60.64</v>
      </c>
      <c r="G17195" s="11"/>
    </row>
    <row r="17196" ht="48.75" customHeight="1">
      <c r="A17196" s="11"/>
      <c r="B17196" s="11"/>
      <c r="C17196" s="11"/>
      <c r="D17196" s="10" t="s">
        <v>7969</v>
      </c>
    </row>
    <row r="17197" ht="57.75" customHeight="1">
      <c r="A17197" s="13" t="s">
        <v>5083</v>
      </c>
      <c r="B17197" s="10" t="s">
        <v>42</v>
      </c>
      <c r="C17197" s="10" t="s">
        <v>276</v>
      </c>
      <c r="D17197" s="10" t="s">
        <v>5084</v>
      </c>
      <c r="E17197" s="11"/>
      <c r="F17197" s="12">
        <f>ROUND(173.43*(1+G2/100),2)</f>
        <v>173.43</v>
      </c>
      <c r="G17197" s="11"/>
    </row>
    <row r="17198" ht="85.5" customHeight="1">
      <c r="A17198" s="11"/>
      <c r="B17198" s="11"/>
      <c r="C17198" s="11"/>
      <c r="D17198" s="10" t="s">
        <v>7970</v>
      </c>
    </row>
    <row r="17199" ht="48.75" customHeight="1">
      <c r="A17199" s="13" t="s">
        <v>5411</v>
      </c>
      <c r="B17199" s="10" t="s">
        <v>42</v>
      </c>
      <c r="C17199" s="10" t="s">
        <v>43</v>
      </c>
      <c r="D17199" s="10" t="s">
        <v>5412</v>
      </c>
      <c r="E17199" s="11"/>
      <c r="F17199" s="12">
        <f>ROUND(31.68*(1+G2/100),2)</f>
        <v>31.68</v>
      </c>
      <c r="G17199" s="11"/>
    </row>
    <row r="17200" ht="39.75" customHeight="1">
      <c r="A17200" s="11"/>
      <c r="B17200" s="11"/>
      <c r="C17200" s="11"/>
      <c r="D17200" s="10" t="s">
        <v>7971</v>
      </c>
    </row>
    <row r="17201" ht="39.75" customHeight="1">
      <c r="A17201" s="13" t="s">
        <v>5024</v>
      </c>
      <c r="B17201" s="10" t="s">
        <v>42</v>
      </c>
      <c r="C17201" s="10" t="s">
        <v>43</v>
      </c>
      <c r="D17201" s="10" t="s">
        <v>5025</v>
      </c>
      <c r="E17201" s="11"/>
      <c r="F17201" s="12">
        <f>ROUND(35.18*(1+G2/100),2)</f>
        <v>35.18</v>
      </c>
      <c r="G17201" s="11"/>
    </row>
    <row r="17202" ht="141.0" customHeight="1">
      <c r="A17202" s="11"/>
      <c r="B17202" s="11"/>
      <c r="C17202" s="11"/>
      <c r="D17202" s="10" t="s">
        <v>7972</v>
      </c>
    </row>
    <row r="17203" ht="39.75" customHeight="1">
      <c r="A17203" s="13" t="s">
        <v>5212</v>
      </c>
      <c r="B17203" s="10" t="s">
        <v>42</v>
      </c>
      <c r="C17203" s="10" t="s">
        <v>344</v>
      </c>
      <c r="D17203" s="10" t="s">
        <v>5213</v>
      </c>
      <c r="E17203" s="11"/>
      <c r="F17203" s="12">
        <f>ROUND(66.55*(1+G2/100),2)</f>
        <v>66.55</v>
      </c>
      <c r="G17203" s="11"/>
    </row>
    <row r="17204" ht="57.75" customHeight="1">
      <c r="A17204" s="11"/>
      <c r="B17204" s="11"/>
      <c r="C17204" s="11"/>
      <c r="D17204" s="10" t="s">
        <v>7973</v>
      </c>
    </row>
    <row r="17205" ht="39.75" customHeight="1">
      <c r="A17205" s="13" t="s">
        <v>7974</v>
      </c>
      <c r="B17205" s="10" t="s">
        <v>42</v>
      </c>
      <c r="C17205" s="10" t="s">
        <v>344</v>
      </c>
      <c r="D17205" s="10" t="s">
        <v>7975</v>
      </c>
      <c r="E17205" s="11"/>
      <c r="F17205" s="12">
        <f>ROUND(66.55*(1+G2/100),2)</f>
        <v>66.55</v>
      </c>
      <c r="G17205" s="11"/>
    </row>
    <row r="17206" ht="57.75" customHeight="1">
      <c r="A17206" s="11"/>
      <c r="B17206" s="11"/>
      <c r="C17206" s="11"/>
      <c r="D17206" s="10" t="s">
        <v>7976</v>
      </c>
    </row>
    <row r="17207" ht="39.75" customHeight="1">
      <c r="A17207" s="13" t="s">
        <v>7977</v>
      </c>
      <c r="B17207" s="10" t="s">
        <v>42</v>
      </c>
      <c r="C17207" s="10" t="s">
        <v>43</v>
      </c>
      <c r="D17207" s="10" t="s">
        <v>7978</v>
      </c>
      <c r="E17207" s="11"/>
      <c r="F17207" s="12">
        <f>ROUND(66.55*(1+G2/100),2)</f>
        <v>66.55</v>
      </c>
      <c r="G17207" s="11"/>
    </row>
    <row r="17208" ht="57.75" customHeight="1">
      <c r="A17208" s="11"/>
      <c r="B17208" s="11"/>
      <c r="C17208" s="11"/>
      <c r="D17208" s="10" t="s">
        <v>7979</v>
      </c>
    </row>
    <row r="17209" ht="30.0" customHeight="1">
      <c r="A17209" s="13" t="s">
        <v>7980</v>
      </c>
      <c r="B17209" s="10" t="s">
        <v>42</v>
      </c>
      <c r="C17209" s="10" t="s">
        <v>43</v>
      </c>
      <c r="D17209" s="10" t="s">
        <v>7981</v>
      </c>
      <c r="E17209" s="11"/>
      <c r="F17209" s="12">
        <f>ROUND(62.42*(1+G2/100),2)</f>
        <v>62.42</v>
      </c>
      <c r="G17209" s="11"/>
    </row>
    <row r="17210" ht="85.5" customHeight="1">
      <c r="A17210" s="11"/>
      <c r="B17210" s="11"/>
      <c r="C17210" s="11"/>
      <c r="D17210" s="10" t="s">
        <v>7982</v>
      </c>
    </row>
    <row r="17211" ht="15.0" customHeight="1">
      <c r="A17211" s="16"/>
      <c r="B17211" s="16"/>
      <c r="C17211" s="16"/>
      <c r="D17211" s="61" t="s">
        <v>7765</v>
      </c>
      <c r="E17211" s="62"/>
      <c r="F17211" s="62"/>
      <c r="G17211" s="62"/>
    </row>
    <row r="17212" ht="31.5" customHeight="1">
      <c r="A17212" s="34" t="s">
        <v>7983</v>
      </c>
      <c r="B17212" s="34" t="s">
        <v>10</v>
      </c>
      <c r="C17212" s="35"/>
      <c r="D17212" s="34" t="s">
        <v>7984</v>
      </c>
      <c r="E17212" s="35"/>
      <c r="F17212" s="35"/>
      <c r="G17212" s="35"/>
    </row>
    <row r="17213" ht="39.75" customHeight="1">
      <c r="A17213" s="13" t="s">
        <v>2393</v>
      </c>
      <c r="B17213" s="10" t="s">
        <v>42</v>
      </c>
      <c r="C17213" s="10" t="s">
        <v>1881</v>
      </c>
      <c r="D17213" s="10" t="s">
        <v>2394</v>
      </c>
      <c r="E17213" s="11"/>
      <c r="F17213" s="12">
        <f>ROUND(3.96*(1+G2/100),2)</f>
        <v>3.96</v>
      </c>
      <c r="G17213" s="11"/>
    </row>
    <row r="17214" ht="113.25" customHeight="1">
      <c r="A17214" s="11"/>
      <c r="B17214" s="11"/>
      <c r="C17214" s="11"/>
      <c r="D17214" s="10" t="s">
        <v>7985</v>
      </c>
    </row>
    <row r="17215" ht="39.75" customHeight="1">
      <c r="A17215" s="13" t="s">
        <v>2322</v>
      </c>
      <c r="B17215" s="10" t="s">
        <v>42</v>
      </c>
      <c r="C17215" s="10" t="s">
        <v>1881</v>
      </c>
      <c r="D17215" s="10" t="s">
        <v>2323</v>
      </c>
      <c r="E17215" s="11"/>
      <c r="F17215" s="12">
        <f>ROUND(29.21*(1+G2/100),2)</f>
        <v>29.21</v>
      </c>
      <c r="G17215" s="11"/>
    </row>
    <row r="17216" ht="39.75" customHeight="1">
      <c r="A17216" s="11"/>
      <c r="B17216" s="11"/>
      <c r="C17216" s="11"/>
      <c r="D17216" s="10" t="s">
        <v>7986</v>
      </c>
    </row>
    <row r="17217" ht="30.0" customHeight="1">
      <c r="A17217" s="13" t="s">
        <v>2286</v>
      </c>
      <c r="B17217" s="10" t="s">
        <v>42</v>
      </c>
      <c r="C17217" s="10" t="s">
        <v>1881</v>
      </c>
      <c r="D17217" s="10" t="s">
        <v>2287</v>
      </c>
      <c r="E17217" s="11"/>
      <c r="F17217" s="12">
        <f>ROUND(7.96*(1+G2/100),2)</f>
        <v>7.96</v>
      </c>
      <c r="G17217" s="11"/>
    </row>
    <row r="17218" ht="67.5" customHeight="1">
      <c r="A17218" s="11"/>
      <c r="B17218" s="11"/>
      <c r="C17218" s="11"/>
      <c r="D17218" s="10" t="s">
        <v>7987</v>
      </c>
    </row>
    <row r="17219" ht="21.0" customHeight="1">
      <c r="A17219" s="13" t="s">
        <v>2409</v>
      </c>
      <c r="B17219" s="10" t="s">
        <v>42</v>
      </c>
      <c r="C17219" s="10" t="s">
        <v>226</v>
      </c>
      <c r="D17219" s="10" t="s">
        <v>2410</v>
      </c>
      <c r="E17219" s="11"/>
      <c r="F17219" s="12">
        <f>ROUND(7.39*(1+G2/100),2)</f>
        <v>7.39</v>
      </c>
      <c r="G17219" s="11"/>
    </row>
    <row r="17220" ht="39.75" customHeight="1">
      <c r="A17220" s="11"/>
      <c r="B17220" s="11"/>
      <c r="C17220" s="11"/>
      <c r="D17220" s="10" t="s">
        <v>7988</v>
      </c>
    </row>
    <row r="17221" ht="39.75" customHeight="1">
      <c r="A17221" s="13" t="s">
        <v>2374</v>
      </c>
      <c r="B17221" s="10" t="s">
        <v>42</v>
      </c>
      <c r="C17221" s="10" t="s">
        <v>1997</v>
      </c>
      <c r="D17221" s="10" t="s">
        <v>2375</v>
      </c>
      <c r="E17221" s="11"/>
      <c r="F17221" s="12">
        <f>ROUND(2.94*(1+G2/100),2)</f>
        <v>2.94</v>
      </c>
      <c r="G17221" s="11"/>
    </row>
    <row r="17222" ht="30.0" customHeight="1">
      <c r="A17222" s="11"/>
      <c r="B17222" s="11"/>
      <c r="C17222" s="11"/>
      <c r="D17222" s="10" t="s">
        <v>7989</v>
      </c>
    </row>
    <row r="17223" ht="39.75" customHeight="1">
      <c r="A17223" s="13" t="s">
        <v>2380</v>
      </c>
      <c r="B17223" s="10" t="s">
        <v>42</v>
      </c>
      <c r="C17223" s="10" t="s">
        <v>1997</v>
      </c>
      <c r="D17223" s="10" t="s">
        <v>2381</v>
      </c>
      <c r="E17223" s="11"/>
      <c r="F17223" s="12">
        <f>ROUND(5.76*(1+G2/100),2)</f>
        <v>5.76</v>
      </c>
      <c r="G17223" s="11"/>
    </row>
    <row r="17224" ht="30.0" customHeight="1">
      <c r="A17224" s="11"/>
      <c r="B17224" s="11"/>
      <c r="C17224" s="11"/>
      <c r="D17224" s="10" t="s">
        <v>7990</v>
      </c>
    </row>
    <row r="17225" ht="39.75" customHeight="1">
      <c r="A17225" s="13" t="s">
        <v>2382</v>
      </c>
      <c r="B17225" s="10" t="s">
        <v>42</v>
      </c>
      <c r="C17225" s="10" t="s">
        <v>1997</v>
      </c>
      <c r="D17225" s="10" t="s">
        <v>2383</v>
      </c>
      <c r="E17225" s="11"/>
      <c r="F17225" s="12">
        <f>ROUND(1.92*(1+G2/100),2)</f>
        <v>1.92</v>
      </c>
      <c r="G17225" s="11"/>
    </row>
    <row r="17226" ht="30.0" customHeight="1">
      <c r="A17226" s="11"/>
      <c r="B17226" s="11"/>
      <c r="C17226" s="11"/>
      <c r="D17226" s="10" t="s">
        <v>7991</v>
      </c>
    </row>
    <row r="17227" ht="39.75" customHeight="1">
      <c r="A17227" s="13" t="s">
        <v>2384</v>
      </c>
      <c r="B17227" s="10" t="s">
        <v>42</v>
      </c>
      <c r="C17227" s="10" t="s">
        <v>1997</v>
      </c>
      <c r="D17227" s="10" t="s">
        <v>2385</v>
      </c>
      <c r="E17227" s="11"/>
      <c r="F17227" s="12">
        <f>ROUND(0.96*(1+G2/100),2)</f>
        <v>0.96</v>
      </c>
      <c r="G17227" s="11"/>
    </row>
    <row r="17228" ht="30.0" customHeight="1">
      <c r="A17228" s="11"/>
      <c r="B17228" s="11"/>
      <c r="C17228" s="11"/>
      <c r="D17228" s="10" t="s">
        <v>7992</v>
      </c>
    </row>
    <row r="17229" ht="21.0" customHeight="1">
      <c r="A17229" s="13" t="s">
        <v>2969</v>
      </c>
      <c r="B17229" s="10" t="s">
        <v>42</v>
      </c>
      <c r="C17229" s="10" t="s">
        <v>325</v>
      </c>
      <c r="D17229" s="10" t="s">
        <v>2970</v>
      </c>
      <c r="E17229" s="11"/>
      <c r="F17229" s="12">
        <f>ROUND(7.28*(1+G2/100),2)</f>
        <v>7.28</v>
      </c>
      <c r="G17229" s="11"/>
    </row>
    <row r="17230" ht="30.0" customHeight="1">
      <c r="A17230" s="11"/>
      <c r="B17230" s="11"/>
      <c r="C17230" s="11"/>
      <c r="D17230" s="10" t="s">
        <v>7993</v>
      </c>
    </row>
    <row r="17231" ht="21.0" customHeight="1">
      <c r="A17231" s="13" t="s">
        <v>7994</v>
      </c>
      <c r="B17231" s="10" t="s">
        <v>42</v>
      </c>
      <c r="C17231" s="10" t="s">
        <v>325</v>
      </c>
      <c r="D17231" s="10" t="s">
        <v>7995</v>
      </c>
      <c r="E17231" s="11"/>
      <c r="F17231" s="12">
        <f>ROUND(9.28*(1+G2/100),2)</f>
        <v>9.28</v>
      </c>
      <c r="G17231" s="11"/>
    </row>
    <row r="17232" ht="30.0" customHeight="1">
      <c r="A17232" s="11"/>
      <c r="B17232" s="11"/>
      <c r="C17232" s="11"/>
      <c r="D17232" s="10" t="s">
        <v>7996</v>
      </c>
    </row>
    <row r="17233" ht="21.0" customHeight="1">
      <c r="A17233" s="13" t="s">
        <v>2407</v>
      </c>
      <c r="B17233" s="10" t="s">
        <v>42</v>
      </c>
      <c r="C17233" s="10" t="s">
        <v>325</v>
      </c>
      <c r="D17233" s="10" t="s">
        <v>2408</v>
      </c>
      <c r="E17233" s="11"/>
      <c r="F17233" s="12">
        <f>ROUND(7.99*(1+G2/100),2)</f>
        <v>7.99</v>
      </c>
      <c r="G17233" s="11"/>
    </row>
    <row r="17234" ht="30.0" customHeight="1">
      <c r="A17234" s="11"/>
      <c r="B17234" s="11"/>
      <c r="C17234" s="11"/>
      <c r="D17234" s="10" t="s">
        <v>7997</v>
      </c>
    </row>
    <row r="17235" ht="30.0" customHeight="1">
      <c r="A17235" s="13" t="s">
        <v>7998</v>
      </c>
      <c r="B17235" s="10" t="s">
        <v>42</v>
      </c>
      <c r="C17235" s="10" t="s">
        <v>1881</v>
      </c>
      <c r="D17235" s="10" t="s">
        <v>7999</v>
      </c>
      <c r="E17235" s="11"/>
      <c r="F17235" s="12">
        <f>ROUND(11.29*(1+G2/100),2)</f>
        <v>11.29</v>
      </c>
      <c r="G17235" s="11"/>
    </row>
    <row r="17236" ht="76.5" customHeight="1">
      <c r="A17236" s="11"/>
      <c r="B17236" s="11"/>
      <c r="C17236" s="11"/>
      <c r="D17236" s="10" t="s">
        <v>8000</v>
      </c>
    </row>
    <row r="17237" ht="30.0" customHeight="1">
      <c r="A17237" s="13" t="s">
        <v>8001</v>
      </c>
      <c r="B17237" s="10" t="s">
        <v>42</v>
      </c>
      <c r="C17237" s="10" t="s">
        <v>1881</v>
      </c>
      <c r="D17237" s="10" t="s">
        <v>8002</v>
      </c>
      <c r="E17237" s="11"/>
      <c r="F17237" s="12">
        <f>ROUND(4.44*(1+G2/100),2)</f>
        <v>4.44</v>
      </c>
      <c r="G17237" s="11"/>
    </row>
    <row r="17238" ht="76.5" customHeight="1">
      <c r="A17238" s="11"/>
      <c r="B17238" s="11"/>
      <c r="C17238" s="11"/>
      <c r="D17238" s="10" t="s">
        <v>8003</v>
      </c>
    </row>
    <row r="17239" ht="39.75" customHeight="1">
      <c r="A17239" s="13" t="s">
        <v>8004</v>
      </c>
      <c r="B17239" s="10" t="s">
        <v>42</v>
      </c>
      <c r="C17239" s="10" t="s">
        <v>325</v>
      </c>
      <c r="D17239" s="10" t="s">
        <v>8005</v>
      </c>
      <c r="E17239" s="11"/>
      <c r="F17239" s="12">
        <f>ROUND(6.68*(1+G2/100),2)</f>
        <v>6.68</v>
      </c>
      <c r="G17239" s="11"/>
    </row>
    <row r="17240" ht="48.75" customHeight="1">
      <c r="A17240" s="11"/>
      <c r="B17240" s="11"/>
      <c r="C17240" s="11"/>
      <c r="D17240" s="10" t="s">
        <v>8006</v>
      </c>
    </row>
    <row r="17241" ht="30.0" customHeight="1">
      <c r="A17241" s="13" t="s">
        <v>2280</v>
      </c>
      <c r="B17241" s="10" t="s">
        <v>42</v>
      </c>
      <c r="C17241" s="10" t="s">
        <v>276</v>
      </c>
      <c r="D17241" s="10" t="s">
        <v>2281</v>
      </c>
      <c r="E17241" s="11"/>
      <c r="F17241" s="12">
        <f>ROUND(20.92*(1+G2/100),2)</f>
        <v>20.92</v>
      </c>
      <c r="G17241" s="11"/>
    </row>
    <row r="17242" ht="48.75" customHeight="1">
      <c r="A17242" s="11"/>
      <c r="B17242" s="11"/>
      <c r="C17242" s="11"/>
      <c r="D17242" s="10" t="s">
        <v>8007</v>
      </c>
    </row>
    <row r="17243" ht="21.0" customHeight="1">
      <c r="A17243" s="13" t="s">
        <v>8008</v>
      </c>
      <c r="B17243" s="10" t="s">
        <v>42</v>
      </c>
      <c r="C17243" s="10" t="s">
        <v>1939</v>
      </c>
      <c r="D17243" s="10" t="s">
        <v>8009</v>
      </c>
      <c r="E17243" s="11"/>
      <c r="F17243" s="12">
        <f>ROUND(27.99*(1+G2/100),2)</f>
        <v>27.99</v>
      </c>
      <c r="G17243" s="11"/>
    </row>
    <row r="17244" ht="21.0" customHeight="1">
      <c r="A17244" s="11"/>
      <c r="B17244" s="11"/>
      <c r="C17244" s="11"/>
      <c r="D17244" s="10" t="s">
        <v>8010</v>
      </c>
    </row>
    <row r="17245" ht="21.0" customHeight="1">
      <c r="A17245" s="13" t="s">
        <v>2276</v>
      </c>
      <c r="B17245" s="10" t="s">
        <v>42</v>
      </c>
      <c r="C17245" s="10" t="s">
        <v>1939</v>
      </c>
      <c r="D17245" s="10" t="s">
        <v>2277</v>
      </c>
      <c r="E17245" s="11"/>
      <c r="F17245" s="12">
        <f>ROUND(31.65*(1+G2/100),2)</f>
        <v>31.65</v>
      </c>
      <c r="G17245" s="11"/>
    </row>
    <row r="17246" ht="21.0" customHeight="1">
      <c r="A17246" s="11"/>
      <c r="B17246" s="11"/>
      <c r="C17246" s="11"/>
      <c r="D17246" s="10" t="s">
        <v>8011</v>
      </c>
    </row>
    <row r="17247" ht="48.75" customHeight="1">
      <c r="A17247" s="13" t="s">
        <v>2376</v>
      </c>
      <c r="B17247" s="10" t="s">
        <v>42</v>
      </c>
      <c r="C17247" s="10" t="s">
        <v>330</v>
      </c>
      <c r="D17247" s="10" t="s">
        <v>2377</v>
      </c>
      <c r="E17247" s="11"/>
      <c r="F17247" s="12">
        <f>ROUND(12.56*(1+G2/100),2)</f>
        <v>12.56</v>
      </c>
      <c r="G17247" s="11"/>
    </row>
    <row r="17248" ht="57.75" customHeight="1">
      <c r="A17248" s="11"/>
      <c r="B17248" s="11"/>
      <c r="C17248" s="11"/>
      <c r="D17248" s="10" t="s">
        <v>8012</v>
      </c>
    </row>
    <row r="17249" ht="39.75" customHeight="1">
      <c r="A17249" s="13" t="s">
        <v>8013</v>
      </c>
      <c r="B17249" s="10" t="s">
        <v>42</v>
      </c>
      <c r="C17249" s="10" t="s">
        <v>325</v>
      </c>
      <c r="D17249" s="10" t="s">
        <v>8014</v>
      </c>
      <c r="E17249" s="11"/>
      <c r="F17249" s="12">
        <f>ROUND(46.25*(1+G2/100),2)</f>
        <v>46.25</v>
      </c>
      <c r="G17249" s="11"/>
    </row>
    <row r="17250" ht="21.0" customHeight="1">
      <c r="A17250" s="11"/>
      <c r="B17250" s="11"/>
      <c r="C17250" s="11"/>
      <c r="D17250" s="10" t="s">
        <v>8015</v>
      </c>
    </row>
    <row r="17251" ht="48.75" customHeight="1">
      <c r="A17251" s="13" t="s">
        <v>2386</v>
      </c>
      <c r="B17251" s="10" t="s">
        <v>42</v>
      </c>
      <c r="C17251" s="10" t="s">
        <v>325</v>
      </c>
      <c r="D17251" s="10" t="s">
        <v>2387</v>
      </c>
      <c r="E17251" s="11"/>
      <c r="F17251" s="12">
        <f>ROUND(67.85*(1+G2/100),2)</f>
        <v>67.85</v>
      </c>
      <c r="G17251" s="11"/>
    </row>
    <row r="17252" ht="21.0" customHeight="1">
      <c r="A17252" s="11"/>
      <c r="B17252" s="11"/>
      <c r="C17252" s="11"/>
      <c r="D17252" s="10" t="s">
        <v>8016</v>
      </c>
    </row>
    <row r="17253" ht="21.0" customHeight="1">
      <c r="A17253" s="13" t="s">
        <v>2274</v>
      </c>
      <c r="B17253" s="10" t="s">
        <v>42</v>
      </c>
      <c r="C17253" s="10" t="s">
        <v>325</v>
      </c>
      <c r="D17253" s="10" t="s">
        <v>2275</v>
      </c>
      <c r="E17253" s="11"/>
      <c r="F17253" s="12">
        <f>ROUND(6.87*(1+G2/100),2)</f>
        <v>6.87</v>
      </c>
      <c r="G17253" s="11"/>
    </row>
    <row r="17254" ht="30.0" customHeight="1">
      <c r="A17254" s="11"/>
      <c r="B17254" s="11"/>
      <c r="C17254" s="11"/>
      <c r="D17254" s="10" t="s">
        <v>8017</v>
      </c>
    </row>
    <row r="17255" ht="30.0" customHeight="1">
      <c r="A17255" s="13" t="s">
        <v>8018</v>
      </c>
      <c r="B17255" s="10" t="s">
        <v>42</v>
      </c>
      <c r="C17255" s="10" t="s">
        <v>325</v>
      </c>
      <c r="D17255" s="10" t="s">
        <v>8019</v>
      </c>
      <c r="E17255" s="11"/>
      <c r="F17255" s="12">
        <f>ROUND(19.5*(1+G2/100),2)</f>
        <v>19.5</v>
      </c>
      <c r="G17255" s="11"/>
    </row>
    <row r="17256" ht="21.0" customHeight="1">
      <c r="A17256" s="11"/>
      <c r="B17256" s="11"/>
      <c r="C17256" s="11"/>
      <c r="D17256" s="10" t="s">
        <v>8020</v>
      </c>
    </row>
    <row r="17257" ht="30.0" customHeight="1">
      <c r="A17257" s="13" t="s">
        <v>2342</v>
      </c>
      <c r="B17257" s="10" t="s">
        <v>42</v>
      </c>
      <c r="C17257" s="10" t="s">
        <v>325</v>
      </c>
      <c r="D17257" s="10" t="s">
        <v>2343</v>
      </c>
      <c r="E17257" s="11"/>
      <c r="F17257" s="12">
        <f>ROUND(13.62*(1+G2/100),2)</f>
        <v>13.62</v>
      </c>
      <c r="G17257" s="11"/>
    </row>
    <row r="17258" ht="21.0" customHeight="1">
      <c r="A17258" s="11"/>
      <c r="B17258" s="11"/>
      <c r="C17258" s="11"/>
      <c r="D17258" s="10" t="s">
        <v>8021</v>
      </c>
    </row>
    <row r="17259" ht="30.0" customHeight="1">
      <c r="A17259" s="13" t="s">
        <v>2403</v>
      </c>
      <c r="B17259" s="10" t="s">
        <v>42</v>
      </c>
      <c r="C17259" s="10" t="s">
        <v>1881</v>
      </c>
      <c r="D17259" s="10" t="s">
        <v>2404</v>
      </c>
      <c r="E17259" s="11"/>
      <c r="F17259" s="12">
        <f>ROUND(10.51*(1+G2/100),2)</f>
        <v>10.51</v>
      </c>
      <c r="G17259" s="11"/>
    </row>
    <row r="17260" ht="67.5" customHeight="1">
      <c r="A17260" s="11"/>
      <c r="B17260" s="11"/>
      <c r="C17260" s="11"/>
      <c r="D17260" s="10" t="s">
        <v>8022</v>
      </c>
    </row>
    <row r="17261" ht="30.0" customHeight="1">
      <c r="A17261" s="13" t="s">
        <v>2272</v>
      </c>
      <c r="B17261" s="10" t="s">
        <v>42</v>
      </c>
      <c r="C17261" s="10" t="s">
        <v>1881</v>
      </c>
      <c r="D17261" s="10" t="s">
        <v>2273</v>
      </c>
      <c r="E17261" s="11"/>
      <c r="F17261" s="12">
        <f>ROUND(9.42*(1+G2/100),2)</f>
        <v>9.42</v>
      </c>
      <c r="G17261" s="11"/>
    </row>
    <row r="17262" ht="67.5" customHeight="1">
      <c r="A17262" s="11"/>
      <c r="B17262" s="11"/>
      <c r="C17262" s="11"/>
      <c r="D17262" s="10" t="s">
        <v>8023</v>
      </c>
    </row>
    <row r="17263" ht="30.0" customHeight="1">
      <c r="A17263" s="13" t="s">
        <v>2365</v>
      </c>
      <c r="B17263" s="10" t="s">
        <v>42</v>
      </c>
      <c r="C17263" s="10" t="s">
        <v>1881</v>
      </c>
      <c r="D17263" s="10" t="s">
        <v>2366</v>
      </c>
      <c r="E17263" s="11"/>
      <c r="F17263" s="12">
        <f>ROUND(10.62*(1+G2/100),2)</f>
        <v>10.62</v>
      </c>
      <c r="G17263" s="11"/>
    </row>
    <row r="17264" ht="76.5" customHeight="1">
      <c r="A17264" s="11"/>
      <c r="B17264" s="11"/>
      <c r="C17264" s="11"/>
      <c r="D17264" s="10" t="s">
        <v>8024</v>
      </c>
    </row>
    <row r="17265" ht="30.0" customHeight="1">
      <c r="A17265" s="13" t="s">
        <v>2350</v>
      </c>
      <c r="B17265" s="10" t="s">
        <v>42</v>
      </c>
      <c r="C17265" s="10" t="s">
        <v>1881</v>
      </c>
      <c r="D17265" s="10" t="s">
        <v>2351</v>
      </c>
      <c r="E17265" s="11"/>
      <c r="F17265" s="12">
        <f>ROUND(19.15*(1+G2/100),2)</f>
        <v>19.15</v>
      </c>
      <c r="G17265" s="11"/>
    </row>
    <row r="17266" ht="76.5" customHeight="1">
      <c r="A17266" s="11"/>
      <c r="B17266" s="11"/>
      <c r="C17266" s="11"/>
      <c r="D17266" s="10" t="s">
        <v>8025</v>
      </c>
    </row>
    <row r="17267" ht="30.0" customHeight="1">
      <c r="A17267" s="13" t="s">
        <v>2359</v>
      </c>
      <c r="B17267" s="10" t="s">
        <v>42</v>
      </c>
      <c r="C17267" s="10" t="s">
        <v>1881</v>
      </c>
      <c r="D17267" s="10" t="s">
        <v>2360</v>
      </c>
      <c r="E17267" s="11"/>
      <c r="F17267" s="12">
        <f>ROUND(20.97*(1+G2/100),2)</f>
        <v>20.97</v>
      </c>
      <c r="G17267" s="11"/>
    </row>
    <row r="17268" ht="104.25" customHeight="1">
      <c r="A17268" s="11"/>
      <c r="B17268" s="11"/>
      <c r="C17268" s="11"/>
      <c r="D17268" s="10" t="s">
        <v>8026</v>
      </c>
    </row>
    <row r="17269" ht="30.0" customHeight="1">
      <c r="A17269" s="13" t="s">
        <v>2405</v>
      </c>
      <c r="B17269" s="10" t="s">
        <v>42</v>
      </c>
      <c r="C17269" s="10" t="s">
        <v>1997</v>
      </c>
      <c r="D17269" s="10" t="s">
        <v>2406</v>
      </c>
      <c r="E17269" s="11"/>
      <c r="F17269" s="12">
        <f>ROUND(2.49*(1+G2/100),2)</f>
        <v>2.49</v>
      </c>
      <c r="G17269" s="11"/>
    </row>
    <row r="17270" ht="67.5" customHeight="1">
      <c r="A17270" s="11"/>
      <c r="B17270" s="11"/>
      <c r="C17270" s="11"/>
      <c r="D17270" s="10" t="s">
        <v>8027</v>
      </c>
    </row>
    <row r="17271" ht="30.0" customHeight="1">
      <c r="A17271" s="13" t="s">
        <v>8028</v>
      </c>
      <c r="B17271" s="10" t="s">
        <v>42</v>
      </c>
      <c r="C17271" s="10" t="s">
        <v>1997</v>
      </c>
      <c r="D17271" s="10" t="s">
        <v>8029</v>
      </c>
      <c r="E17271" s="11"/>
      <c r="F17271" s="12">
        <f>ROUND(2.29*(1+G2/100),2)</f>
        <v>2.29</v>
      </c>
      <c r="G17271" s="11"/>
    </row>
    <row r="17272" ht="57.75" customHeight="1">
      <c r="A17272" s="11"/>
      <c r="B17272" s="11"/>
      <c r="C17272" s="11"/>
      <c r="D17272" s="10" t="s">
        <v>8030</v>
      </c>
    </row>
    <row r="17273" ht="30.0" customHeight="1">
      <c r="A17273" s="13" t="s">
        <v>2270</v>
      </c>
      <c r="B17273" s="10" t="s">
        <v>42</v>
      </c>
      <c r="C17273" s="10" t="s">
        <v>1997</v>
      </c>
      <c r="D17273" s="10" t="s">
        <v>2271</v>
      </c>
      <c r="E17273" s="11"/>
      <c r="F17273" s="12">
        <f>ROUND(2.91*(1+G2/100),2)</f>
        <v>2.91</v>
      </c>
      <c r="G17273" s="11"/>
    </row>
    <row r="17274" ht="48.75" customHeight="1">
      <c r="A17274" s="11"/>
      <c r="B17274" s="11"/>
      <c r="C17274" s="11"/>
      <c r="D17274" s="10" t="s">
        <v>8031</v>
      </c>
    </row>
    <row r="17275" ht="30.0" customHeight="1">
      <c r="A17275" s="13" t="s">
        <v>2268</v>
      </c>
      <c r="B17275" s="10" t="s">
        <v>42</v>
      </c>
      <c r="C17275" s="10" t="s">
        <v>1997</v>
      </c>
      <c r="D17275" s="10" t="s">
        <v>2269</v>
      </c>
      <c r="E17275" s="11"/>
      <c r="F17275" s="12">
        <f>ROUND(2.37*(1+G2/100),2)</f>
        <v>2.37</v>
      </c>
      <c r="G17275" s="11"/>
    </row>
    <row r="17276" ht="30.0" customHeight="1">
      <c r="A17276" s="11"/>
      <c r="B17276" s="11"/>
      <c r="C17276" s="11"/>
      <c r="D17276" s="10" t="s">
        <v>8032</v>
      </c>
    </row>
    <row r="17277" ht="30.0" customHeight="1">
      <c r="A17277" s="13" t="s">
        <v>2346</v>
      </c>
      <c r="B17277" s="10" t="s">
        <v>42</v>
      </c>
      <c r="C17277" s="10" t="s">
        <v>1997</v>
      </c>
      <c r="D17277" s="10" t="s">
        <v>2347</v>
      </c>
      <c r="E17277" s="11"/>
      <c r="F17277" s="12">
        <f>ROUND(2.1*(1+G2/100),2)</f>
        <v>2.1</v>
      </c>
      <c r="G17277" s="11"/>
    </row>
    <row r="17278" ht="39.75" customHeight="1">
      <c r="A17278" s="11"/>
      <c r="B17278" s="11"/>
      <c r="C17278" s="11"/>
      <c r="D17278" s="10" t="s">
        <v>8033</v>
      </c>
    </row>
    <row r="17279" ht="30.0" customHeight="1">
      <c r="A17279" s="13" t="s">
        <v>8034</v>
      </c>
      <c r="B17279" s="10" t="s">
        <v>42</v>
      </c>
      <c r="C17279" s="10" t="s">
        <v>1997</v>
      </c>
      <c r="D17279" s="10" t="s">
        <v>8035</v>
      </c>
      <c r="E17279" s="11"/>
      <c r="F17279" s="12">
        <f>ROUND(4.14*(1+G2/100),2)</f>
        <v>4.14</v>
      </c>
      <c r="G17279" s="11"/>
    </row>
    <row r="17280" ht="57.75" customHeight="1">
      <c r="A17280" s="11"/>
      <c r="B17280" s="11"/>
      <c r="C17280" s="11"/>
      <c r="D17280" s="10" t="s">
        <v>8036</v>
      </c>
    </row>
    <row r="17281" ht="30.0" customHeight="1">
      <c r="A17281" s="13" t="s">
        <v>2344</v>
      </c>
      <c r="B17281" s="10" t="s">
        <v>42</v>
      </c>
      <c r="C17281" s="10" t="s">
        <v>325</v>
      </c>
      <c r="D17281" s="10" t="s">
        <v>2345</v>
      </c>
      <c r="E17281" s="11"/>
      <c r="F17281" s="12">
        <f>ROUND(17.49*(1+G2/100),2)</f>
        <v>17.49</v>
      </c>
      <c r="G17281" s="11"/>
    </row>
    <row r="17282" ht="21.0" customHeight="1">
      <c r="A17282" s="11"/>
      <c r="B17282" s="11"/>
      <c r="C17282" s="11"/>
      <c r="D17282" s="10" t="s">
        <v>8037</v>
      </c>
    </row>
    <row r="17283" ht="30.0" customHeight="1">
      <c r="A17283" s="13" t="s">
        <v>2348</v>
      </c>
      <c r="B17283" s="10" t="s">
        <v>42</v>
      </c>
      <c r="C17283" s="10" t="s">
        <v>325</v>
      </c>
      <c r="D17283" s="10" t="s">
        <v>2349</v>
      </c>
      <c r="E17283" s="11"/>
      <c r="F17283" s="12">
        <f>ROUND(23.5*(1+G2/100),2)</f>
        <v>23.5</v>
      </c>
      <c r="G17283" s="11"/>
    </row>
    <row r="17284" ht="21.0" customHeight="1">
      <c r="A17284" s="11"/>
      <c r="B17284" s="11"/>
      <c r="C17284" s="11"/>
      <c r="D17284" s="10" t="s">
        <v>8038</v>
      </c>
    </row>
    <row r="17285" ht="30.0" customHeight="1">
      <c r="A17285" s="13" t="s">
        <v>8039</v>
      </c>
      <c r="B17285" s="10" t="s">
        <v>42</v>
      </c>
      <c r="C17285" s="10" t="s">
        <v>325</v>
      </c>
      <c r="D17285" s="10" t="s">
        <v>8040</v>
      </c>
      <c r="E17285" s="11"/>
      <c r="F17285" s="12">
        <f>ROUND(45*(1+G2/100),2)</f>
        <v>45</v>
      </c>
      <c r="G17285" s="11"/>
    </row>
    <row r="17286" ht="21.0" customHeight="1">
      <c r="A17286" s="11"/>
      <c r="B17286" s="11"/>
      <c r="C17286" s="11"/>
      <c r="D17286" s="10" t="s">
        <v>8041</v>
      </c>
    </row>
    <row r="17287" ht="30.0" customHeight="1">
      <c r="A17287" s="13" t="s">
        <v>8042</v>
      </c>
      <c r="B17287" s="10" t="s">
        <v>42</v>
      </c>
      <c r="C17287" s="10" t="s">
        <v>325</v>
      </c>
      <c r="D17287" s="10" t="s">
        <v>8043</v>
      </c>
      <c r="E17287" s="11"/>
      <c r="F17287" s="12">
        <f>ROUND(55*(1+G2/100),2)</f>
        <v>55</v>
      </c>
      <c r="G17287" s="11"/>
    </row>
    <row r="17288" ht="21.0" customHeight="1">
      <c r="A17288" s="11"/>
      <c r="B17288" s="11"/>
      <c r="C17288" s="11"/>
      <c r="D17288" s="10" t="s">
        <v>8044</v>
      </c>
    </row>
    <row r="17289" ht="30.0" customHeight="1">
      <c r="A17289" s="13" t="s">
        <v>2354</v>
      </c>
      <c r="B17289" s="10" t="s">
        <v>42</v>
      </c>
      <c r="C17289" s="10" t="s">
        <v>1997</v>
      </c>
      <c r="D17289" s="10" t="s">
        <v>2355</v>
      </c>
      <c r="E17289" s="11"/>
      <c r="F17289" s="12">
        <f>ROUND(1.32*(1+G2/100),2)</f>
        <v>1.32</v>
      </c>
      <c r="G17289" s="11"/>
    </row>
    <row r="17290" ht="39.75" customHeight="1">
      <c r="A17290" s="11"/>
      <c r="B17290" s="11"/>
      <c r="C17290" s="11"/>
      <c r="D17290" s="10" t="s">
        <v>8045</v>
      </c>
    </row>
    <row r="17291" ht="30.0" customHeight="1">
      <c r="A17291" s="13" t="s">
        <v>2336</v>
      </c>
      <c r="B17291" s="10" t="s">
        <v>42</v>
      </c>
      <c r="C17291" s="10" t="s">
        <v>1997</v>
      </c>
      <c r="D17291" s="10" t="s">
        <v>2337</v>
      </c>
      <c r="E17291" s="11"/>
      <c r="F17291" s="12">
        <f>ROUND(2.37*(1+G2/100),2)</f>
        <v>2.37</v>
      </c>
      <c r="G17291" s="11"/>
    </row>
    <row r="17292" ht="48.75" customHeight="1">
      <c r="A17292" s="11"/>
      <c r="B17292" s="11"/>
      <c r="C17292" s="11"/>
      <c r="D17292" s="10" t="s">
        <v>8046</v>
      </c>
    </row>
    <row r="17293" ht="30.0" customHeight="1">
      <c r="A17293" s="13" t="s">
        <v>8047</v>
      </c>
      <c r="B17293" s="10" t="s">
        <v>42</v>
      </c>
      <c r="C17293" s="10" t="s">
        <v>1997</v>
      </c>
      <c r="D17293" s="10" t="s">
        <v>8048</v>
      </c>
      <c r="E17293" s="11"/>
      <c r="F17293" s="12">
        <f>ROUND(1.98*(1+G2/100),2)</f>
        <v>1.98</v>
      </c>
      <c r="G17293" s="11"/>
    </row>
    <row r="17294" ht="39.75" customHeight="1">
      <c r="A17294" s="11"/>
      <c r="B17294" s="11"/>
      <c r="C17294" s="11"/>
      <c r="D17294" s="10" t="s">
        <v>8049</v>
      </c>
    </row>
    <row r="17295" ht="21.0" customHeight="1">
      <c r="A17295" s="13" t="s">
        <v>8050</v>
      </c>
      <c r="B17295" s="10" t="s">
        <v>42</v>
      </c>
      <c r="C17295" s="10" t="s">
        <v>184</v>
      </c>
      <c r="D17295" s="10" t="s">
        <v>8051</v>
      </c>
      <c r="E17295" s="11"/>
      <c r="F17295" s="12">
        <f>ROUND(13.75*(1+G2/100),2)</f>
        <v>13.75</v>
      </c>
      <c r="G17295" s="11"/>
    </row>
    <row r="17296" ht="76.5" customHeight="1">
      <c r="A17296" s="11"/>
      <c r="B17296" s="11"/>
      <c r="C17296" s="11"/>
      <c r="D17296" s="10" t="s">
        <v>8052</v>
      </c>
    </row>
    <row r="17297" ht="21.0" customHeight="1">
      <c r="A17297" s="13" t="s">
        <v>2411</v>
      </c>
      <c r="B17297" s="10" t="s">
        <v>42</v>
      </c>
      <c r="C17297" s="10" t="s">
        <v>184</v>
      </c>
      <c r="D17297" s="10" t="s">
        <v>2412</v>
      </c>
      <c r="E17297" s="11"/>
      <c r="F17297" s="12">
        <f>ROUND(14.87*(1+G2/100),2)</f>
        <v>14.87</v>
      </c>
      <c r="G17297" s="11"/>
    </row>
    <row r="17298" ht="76.5" customHeight="1">
      <c r="A17298" s="11"/>
      <c r="B17298" s="11"/>
      <c r="C17298" s="11"/>
      <c r="D17298" s="10" t="s">
        <v>8053</v>
      </c>
    </row>
    <row r="17299" ht="21.0" customHeight="1">
      <c r="A17299" s="13" t="s">
        <v>2278</v>
      </c>
      <c r="B17299" s="10" t="s">
        <v>42</v>
      </c>
      <c r="C17299" s="10" t="s">
        <v>184</v>
      </c>
      <c r="D17299" s="10" t="s">
        <v>2279</v>
      </c>
      <c r="E17299" s="11"/>
      <c r="F17299" s="12">
        <f>ROUND(8.35*(1+G2/100),2)</f>
        <v>8.35</v>
      </c>
      <c r="G17299" s="11"/>
    </row>
    <row r="17300" ht="39.75" customHeight="1">
      <c r="A17300" s="11"/>
      <c r="B17300" s="11"/>
      <c r="C17300" s="11"/>
      <c r="D17300" s="10" t="s">
        <v>8054</v>
      </c>
    </row>
    <row r="17301" ht="39.75" customHeight="1">
      <c r="A17301" s="13" t="s">
        <v>2282</v>
      </c>
      <c r="B17301" s="10" t="s">
        <v>42</v>
      </c>
      <c r="C17301" s="10" t="s">
        <v>226</v>
      </c>
      <c r="D17301" s="10" t="s">
        <v>2283</v>
      </c>
      <c r="E17301" s="11"/>
      <c r="F17301" s="12">
        <f>ROUND(5.55*(1+G2/100),2)</f>
        <v>5.55</v>
      </c>
      <c r="G17301" s="11"/>
    </row>
    <row r="17302" ht="30.0" customHeight="1">
      <c r="A17302" s="11"/>
      <c r="B17302" s="11"/>
      <c r="C17302" s="11"/>
      <c r="D17302" s="10" t="s">
        <v>8055</v>
      </c>
    </row>
    <row r="17303" ht="15.0" customHeight="1">
      <c r="A17303" s="16"/>
      <c r="B17303" s="16"/>
      <c r="C17303" s="16"/>
      <c r="D17303" s="61" t="s">
        <v>7983</v>
      </c>
      <c r="E17303" s="62"/>
      <c r="F17303" s="62"/>
      <c r="G17303" s="62"/>
    </row>
    <row r="17304" ht="50.25" customHeight="1">
      <c r="A17304" s="34" t="s">
        <v>8056</v>
      </c>
      <c r="B17304" s="34" t="s">
        <v>10</v>
      </c>
      <c r="C17304" s="35"/>
      <c r="D17304" s="34" t="s">
        <v>8057</v>
      </c>
      <c r="E17304" s="35"/>
      <c r="F17304" s="63">
        <v>0.0</v>
      </c>
      <c r="G17304" s="35"/>
    </row>
    <row r="17305" ht="15.0" customHeight="1">
      <c r="A17305" s="16"/>
      <c r="B17305" s="16"/>
      <c r="C17305" s="16"/>
      <c r="D17305" s="61" t="s">
        <v>8056</v>
      </c>
      <c r="E17305" s="62"/>
      <c r="F17305" s="62"/>
      <c r="G17305" s="62"/>
    </row>
    <row r="17306" ht="24.75" customHeight="1">
      <c r="A17306" s="34" t="s">
        <v>8058</v>
      </c>
      <c r="B17306" s="34" t="s">
        <v>10</v>
      </c>
      <c r="C17306" s="35"/>
      <c r="D17306" s="34" t="s">
        <v>8059</v>
      </c>
      <c r="E17306" s="35"/>
      <c r="F17306" s="35"/>
      <c r="G17306" s="35"/>
    </row>
    <row r="17307" ht="24.75" customHeight="1">
      <c r="A17307" s="42" t="s">
        <v>8060</v>
      </c>
      <c r="B17307" s="42" t="s">
        <v>10</v>
      </c>
      <c r="C17307" s="43"/>
      <c r="D17307" s="42" t="s">
        <v>8061</v>
      </c>
      <c r="E17307" s="43"/>
      <c r="F17307" s="43"/>
      <c r="G17307" s="43"/>
    </row>
    <row r="17308" ht="30.0" customHeight="1">
      <c r="A17308" s="13" t="s">
        <v>1051</v>
      </c>
      <c r="B17308" s="10" t="s">
        <v>42</v>
      </c>
      <c r="C17308" s="10" t="s">
        <v>43</v>
      </c>
      <c r="D17308" s="10" t="s">
        <v>1052</v>
      </c>
      <c r="E17308" s="11"/>
      <c r="F17308" s="12">
        <f>ROUND(110.66*(1+G2/100),2)</f>
        <v>110.66</v>
      </c>
      <c r="G17308" s="11"/>
    </row>
    <row r="17309" ht="85.5" customHeight="1">
      <c r="A17309" s="11"/>
      <c r="B17309" s="11"/>
      <c r="C17309" s="11"/>
      <c r="D17309" s="10" t="s">
        <v>8062</v>
      </c>
    </row>
    <row r="17310" ht="30.0" customHeight="1">
      <c r="A17310" s="13" t="s">
        <v>1042</v>
      </c>
      <c r="B17310" s="10" t="s">
        <v>42</v>
      </c>
      <c r="C17310" s="10" t="s">
        <v>43</v>
      </c>
      <c r="D17310" s="10" t="s">
        <v>1043</v>
      </c>
      <c r="E17310" s="11"/>
      <c r="F17310" s="12">
        <f>ROUND(12.39*(1+G2/100),2)</f>
        <v>12.39</v>
      </c>
      <c r="G17310" s="11"/>
    </row>
    <row r="17311" ht="21.0" customHeight="1">
      <c r="A17311" s="11"/>
      <c r="B17311" s="11"/>
      <c r="C17311" s="11"/>
      <c r="D17311" s="10" t="s">
        <v>8063</v>
      </c>
    </row>
    <row r="17312" ht="39.75" customHeight="1">
      <c r="A17312" s="13" t="s">
        <v>8064</v>
      </c>
      <c r="B17312" s="10" t="s">
        <v>42</v>
      </c>
      <c r="C17312" s="10" t="s">
        <v>43</v>
      </c>
      <c r="D17312" s="10" t="s">
        <v>8065</v>
      </c>
      <c r="E17312" s="11"/>
      <c r="F17312" s="12">
        <f>ROUND(6.99*(1+G2/100),2)</f>
        <v>6.99</v>
      </c>
      <c r="G17312" s="11"/>
    </row>
    <row r="17313" ht="30.0" customHeight="1">
      <c r="A17313" s="11"/>
      <c r="B17313" s="11"/>
      <c r="C17313" s="11"/>
      <c r="D17313" s="10" t="s">
        <v>8066</v>
      </c>
    </row>
    <row r="17314" ht="30.0" customHeight="1">
      <c r="A17314" s="13" t="s">
        <v>1062</v>
      </c>
      <c r="B17314" s="10" t="s">
        <v>42</v>
      </c>
      <c r="C17314" s="10" t="s">
        <v>43</v>
      </c>
      <c r="D17314" s="10" t="s">
        <v>1063</v>
      </c>
      <c r="E17314" s="11"/>
      <c r="F17314" s="12">
        <f>ROUND(73.89*(1+G2/100),2)</f>
        <v>73.89</v>
      </c>
      <c r="G17314" s="11"/>
    </row>
    <row r="17315" ht="48.75" customHeight="1">
      <c r="A17315" s="11"/>
      <c r="B17315" s="11"/>
      <c r="C17315" s="11"/>
      <c r="D17315" s="10" t="s">
        <v>8067</v>
      </c>
    </row>
    <row r="17316" ht="30.0" customHeight="1">
      <c r="A17316" s="13" t="s">
        <v>1088</v>
      </c>
      <c r="B17316" s="10" t="s">
        <v>42</v>
      </c>
      <c r="C17316" s="10" t="s">
        <v>43</v>
      </c>
      <c r="D17316" s="10" t="s">
        <v>1089</v>
      </c>
      <c r="E17316" s="11"/>
      <c r="F17316" s="12">
        <f>ROUND(9.04*(1+G2/100),2)</f>
        <v>9.04</v>
      </c>
      <c r="G17316" s="11"/>
    </row>
    <row r="17317" ht="67.5" customHeight="1">
      <c r="A17317" s="11"/>
      <c r="B17317" s="11"/>
      <c r="C17317" s="11"/>
      <c r="D17317" s="10" t="s">
        <v>8068</v>
      </c>
    </row>
    <row r="17318" ht="39.75" customHeight="1">
      <c r="A17318" s="13" t="s">
        <v>4944</v>
      </c>
      <c r="B17318" s="10" t="s">
        <v>42</v>
      </c>
      <c r="C17318" s="10" t="s">
        <v>43</v>
      </c>
      <c r="D17318" s="10" t="s">
        <v>4945</v>
      </c>
      <c r="E17318" s="11"/>
      <c r="F17318" s="12">
        <f>ROUND(23.99*(1+G2/100),2)</f>
        <v>23.99</v>
      </c>
      <c r="G17318" s="11"/>
    </row>
    <row r="17319" ht="48.75" customHeight="1">
      <c r="A17319" s="11"/>
      <c r="B17319" s="11"/>
      <c r="C17319" s="11"/>
      <c r="D17319" s="10" t="s">
        <v>8069</v>
      </c>
    </row>
    <row r="17320" ht="30.0" customHeight="1">
      <c r="A17320" s="13" t="s">
        <v>1077</v>
      </c>
      <c r="B17320" s="10" t="s">
        <v>42</v>
      </c>
      <c r="C17320" s="10" t="s">
        <v>43</v>
      </c>
      <c r="D17320" s="10" t="s">
        <v>1078</v>
      </c>
      <c r="E17320" s="11"/>
      <c r="F17320" s="12">
        <f>ROUND(43.89*(1+G2/100),2)</f>
        <v>43.89</v>
      </c>
      <c r="G17320" s="11"/>
    </row>
    <row r="17321" ht="48.75" customHeight="1">
      <c r="A17321" s="11"/>
      <c r="B17321" s="11"/>
      <c r="C17321" s="11"/>
      <c r="D17321" s="10" t="s">
        <v>8070</v>
      </c>
    </row>
    <row r="17322" ht="30.0" customHeight="1">
      <c r="A17322" s="13" t="s">
        <v>1057</v>
      </c>
      <c r="B17322" s="10" t="s">
        <v>42</v>
      </c>
      <c r="C17322" s="10" t="s">
        <v>43</v>
      </c>
      <c r="D17322" s="10" t="s">
        <v>1058</v>
      </c>
      <c r="E17322" s="11"/>
      <c r="F17322" s="12">
        <f>ROUND(62.73*(1+G2/100),2)</f>
        <v>62.73</v>
      </c>
      <c r="G17322" s="11"/>
    </row>
    <row r="17323" ht="39.75" customHeight="1">
      <c r="A17323" s="11"/>
      <c r="B17323" s="11"/>
      <c r="C17323" s="11"/>
      <c r="D17323" s="10" t="s">
        <v>8071</v>
      </c>
    </row>
    <row r="17324" ht="15.0" customHeight="1">
      <c r="A17324" s="16"/>
      <c r="B17324" s="16"/>
      <c r="C17324" s="16"/>
      <c r="D17324" s="45" t="s">
        <v>8060</v>
      </c>
      <c r="E17324" s="46"/>
      <c r="F17324" s="46"/>
      <c r="G17324" s="46"/>
    </row>
    <row r="17325" ht="24.75" customHeight="1">
      <c r="A17325" s="26" t="s">
        <v>8072</v>
      </c>
      <c r="B17325" s="26" t="s">
        <v>10</v>
      </c>
      <c r="C17325" s="27"/>
      <c r="D17325" s="26" t="s">
        <v>8073</v>
      </c>
      <c r="E17325" s="27"/>
      <c r="F17325" s="27"/>
      <c r="G17325" s="27"/>
    </row>
    <row r="17326" ht="39.75" customHeight="1">
      <c r="A17326" s="13" t="s">
        <v>5138</v>
      </c>
      <c r="B17326" s="10" t="s">
        <v>42</v>
      </c>
      <c r="C17326" s="10" t="s">
        <v>43</v>
      </c>
      <c r="D17326" s="10" t="s">
        <v>5139</v>
      </c>
      <c r="E17326" s="11"/>
      <c r="F17326" s="12">
        <f>ROUND(64.06*(1+G2/100),2)</f>
        <v>64.06</v>
      </c>
      <c r="G17326" s="11"/>
    </row>
    <row r="17327" ht="39.75" customHeight="1">
      <c r="A17327" s="11"/>
      <c r="B17327" s="11"/>
      <c r="C17327" s="11"/>
      <c r="D17327" s="10" t="s">
        <v>8074</v>
      </c>
    </row>
    <row r="17328" ht="48.75" customHeight="1">
      <c r="A17328" s="13" t="s">
        <v>4662</v>
      </c>
      <c r="B17328" s="10" t="s">
        <v>42</v>
      </c>
      <c r="C17328" s="10" t="s">
        <v>1245</v>
      </c>
      <c r="D17328" s="10" t="s">
        <v>4663</v>
      </c>
      <c r="E17328" s="11"/>
      <c r="F17328" s="12">
        <f>ROUND(8.93*(1+G2/100),2)</f>
        <v>8.93</v>
      </c>
      <c r="G17328" s="11"/>
    </row>
    <row r="17329" ht="104.25" customHeight="1">
      <c r="A17329" s="11"/>
      <c r="B17329" s="11"/>
      <c r="C17329" s="11"/>
      <c r="D17329" s="10" t="s">
        <v>8075</v>
      </c>
    </row>
    <row r="17330" ht="30.0" customHeight="1">
      <c r="A17330" s="13" t="s">
        <v>1862</v>
      </c>
      <c r="B17330" s="10" t="s">
        <v>42</v>
      </c>
      <c r="C17330" s="10" t="s">
        <v>1245</v>
      </c>
      <c r="D17330" s="10" t="s">
        <v>1863</v>
      </c>
      <c r="E17330" s="11"/>
      <c r="F17330" s="12">
        <f>ROUND(6.32*(1+G2/100),2)</f>
        <v>6.32</v>
      </c>
      <c r="G17330" s="11"/>
    </row>
    <row r="17331" ht="123.0" customHeight="1">
      <c r="A17331" s="11"/>
      <c r="B17331" s="11"/>
      <c r="C17331" s="11"/>
      <c r="D17331" s="10" t="s">
        <v>8076</v>
      </c>
    </row>
    <row r="17332" ht="30.0" customHeight="1">
      <c r="A17332" s="13" t="s">
        <v>1763</v>
      </c>
      <c r="B17332" s="10" t="s">
        <v>42</v>
      </c>
      <c r="C17332" s="10" t="s">
        <v>1245</v>
      </c>
      <c r="D17332" s="10" t="s">
        <v>1764</v>
      </c>
      <c r="E17332" s="11"/>
      <c r="F17332" s="12">
        <f>ROUND(6.32*(1+G2/100),2)</f>
        <v>6.32</v>
      </c>
      <c r="G17332" s="11"/>
    </row>
    <row r="17333" ht="104.25" customHeight="1">
      <c r="A17333" s="11"/>
      <c r="B17333" s="11"/>
      <c r="C17333" s="11"/>
      <c r="D17333" s="10" t="s">
        <v>8077</v>
      </c>
    </row>
    <row r="17334" ht="39.75" customHeight="1">
      <c r="A17334" s="13" t="s">
        <v>8078</v>
      </c>
      <c r="B17334" s="10" t="s">
        <v>42</v>
      </c>
      <c r="C17334" s="10" t="s">
        <v>584</v>
      </c>
      <c r="D17334" s="10" t="s">
        <v>8079</v>
      </c>
      <c r="E17334" s="11"/>
      <c r="F17334" s="12">
        <f>ROUND(89.9*(1+G2/100),2)</f>
        <v>89.9</v>
      </c>
      <c r="G17334" s="11"/>
    </row>
    <row r="17335" ht="95.25" customHeight="1">
      <c r="A17335" s="11"/>
      <c r="B17335" s="11"/>
      <c r="C17335" s="11"/>
      <c r="D17335" s="10" t="s">
        <v>8080</v>
      </c>
    </row>
    <row r="17336" ht="30.0" customHeight="1">
      <c r="A17336" s="13" t="s">
        <v>4314</v>
      </c>
      <c r="B17336" s="10" t="s">
        <v>42</v>
      </c>
      <c r="C17336" s="10" t="s">
        <v>1245</v>
      </c>
      <c r="D17336" s="10" t="s">
        <v>4315</v>
      </c>
      <c r="E17336" s="11"/>
      <c r="F17336" s="12">
        <f>ROUND(4.4*(1+G2/100),2)</f>
        <v>4.4</v>
      </c>
      <c r="G17336" s="11"/>
    </row>
    <row r="17337" ht="67.5" customHeight="1">
      <c r="A17337" s="11"/>
      <c r="B17337" s="11"/>
      <c r="C17337" s="11"/>
      <c r="D17337" s="10" t="s">
        <v>8081</v>
      </c>
    </row>
    <row r="17338" ht="39.75" customHeight="1">
      <c r="A17338" s="13" t="s">
        <v>3018</v>
      </c>
      <c r="B17338" s="10" t="s">
        <v>42</v>
      </c>
      <c r="C17338" s="10" t="s">
        <v>1245</v>
      </c>
      <c r="D17338" s="10" t="s">
        <v>3019</v>
      </c>
      <c r="E17338" s="11"/>
      <c r="F17338" s="12">
        <f>ROUND(4.65*(1+G2/100),2)</f>
        <v>4.65</v>
      </c>
      <c r="G17338" s="11"/>
    </row>
    <row r="17339" ht="67.5" customHeight="1">
      <c r="A17339" s="11"/>
      <c r="B17339" s="11"/>
      <c r="C17339" s="11"/>
      <c r="D17339" s="10" t="s">
        <v>8082</v>
      </c>
    </row>
    <row r="17340" ht="30.0" customHeight="1">
      <c r="A17340" s="13" t="s">
        <v>2543</v>
      </c>
      <c r="B17340" s="10" t="s">
        <v>42</v>
      </c>
      <c r="C17340" s="10" t="s">
        <v>43</v>
      </c>
      <c r="D17340" s="10" t="s">
        <v>2544</v>
      </c>
      <c r="E17340" s="11"/>
      <c r="F17340" s="12">
        <f>ROUND(3.7*(1+G2/100),2)</f>
        <v>3.7</v>
      </c>
      <c r="G17340" s="11"/>
    </row>
    <row r="17341" ht="123.0" customHeight="1">
      <c r="A17341" s="11"/>
      <c r="B17341" s="11"/>
      <c r="C17341" s="11"/>
      <c r="D17341" s="10" t="s">
        <v>8083</v>
      </c>
    </row>
    <row r="17342" ht="30.0" customHeight="1">
      <c r="A17342" s="13" t="s">
        <v>1813</v>
      </c>
      <c r="B17342" s="10" t="s">
        <v>42</v>
      </c>
      <c r="C17342" s="10" t="s">
        <v>43</v>
      </c>
      <c r="D17342" s="10" t="s">
        <v>1814</v>
      </c>
      <c r="E17342" s="11"/>
      <c r="F17342" s="12">
        <f>ROUND(6.19*(1+G2/100),2)</f>
        <v>6.19</v>
      </c>
      <c r="G17342" s="11"/>
    </row>
    <row r="17343" ht="123.0" customHeight="1">
      <c r="A17343" s="11"/>
      <c r="B17343" s="11"/>
      <c r="C17343" s="11"/>
      <c r="D17343" s="10" t="s">
        <v>8084</v>
      </c>
    </row>
    <row r="17344" ht="30.0" customHeight="1">
      <c r="A17344" s="13" t="s">
        <v>8085</v>
      </c>
      <c r="B17344" s="10" t="s">
        <v>42</v>
      </c>
      <c r="C17344" s="10" t="s">
        <v>43</v>
      </c>
      <c r="D17344" s="10" t="s">
        <v>8086</v>
      </c>
      <c r="E17344" s="11"/>
      <c r="F17344" s="12">
        <f>ROUND(3.7*(1+G2/100),2)</f>
        <v>3.7</v>
      </c>
      <c r="G17344" s="11"/>
    </row>
    <row r="17345" ht="123.0" customHeight="1">
      <c r="A17345" s="11"/>
      <c r="B17345" s="11"/>
      <c r="C17345" s="11"/>
      <c r="D17345" s="10" t="s">
        <v>8087</v>
      </c>
    </row>
    <row r="17346" ht="30.0" customHeight="1">
      <c r="A17346" s="13" t="s">
        <v>3685</v>
      </c>
      <c r="B17346" s="10" t="s">
        <v>42</v>
      </c>
      <c r="C17346" s="10" t="s">
        <v>43</v>
      </c>
      <c r="D17346" s="10" t="s">
        <v>3686</v>
      </c>
      <c r="E17346" s="11"/>
      <c r="F17346" s="12">
        <f>ROUND(3.7*(1+G2/100),2)</f>
        <v>3.7</v>
      </c>
      <c r="G17346" s="11"/>
    </row>
    <row r="17347" ht="123.0" customHeight="1">
      <c r="A17347" s="11"/>
      <c r="B17347" s="11"/>
      <c r="C17347" s="11"/>
      <c r="D17347" s="10" t="s">
        <v>8088</v>
      </c>
    </row>
    <row r="17348" ht="30.0" customHeight="1">
      <c r="A17348" s="13" t="s">
        <v>8089</v>
      </c>
      <c r="B17348" s="10" t="s">
        <v>42</v>
      </c>
      <c r="C17348" s="10" t="s">
        <v>43</v>
      </c>
      <c r="D17348" s="10" t="s">
        <v>8090</v>
      </c>
      <c r="E17348" s="11"/>
      <c r="F17348" s="12">
        <f>ROUND(6.19*(1+G2/100),2)</f>
        <v>6.19</v>
      </c>
      <c r="G17348" s="11"/>
    </row>
    <row r="17349" ht="123.0" customHeight="1">
      <c r="A17349" s="11"/>
      <c r="B17349" s="11"/>
      <c r="C17349" s="11"/>
      <c r="D17349" s="10" t="s">
        <v>8091</v>
      </c>
    </row>
    <row r="17350" ht="30.0" customHeight="1">
      <c r="A17350" s="13" t="s">
        <v>4629</v>
      </c>
      <c r="B17350" s="10" t="s">
        <v>42</v>
      </c>
      <c r="C17350" s="10" t="s">
        <v>43</v>
      </c>
      <c r="D17350" s="10" t="s">
        <v>4630</v>
      </c>
      <c r="E17350" s="11"/>
      <c r="F17350" s="12">
        <f>ROUND(6.19*(1+G2/100),2)</f>
        <v>6.19</v>
      </c>
      <c r="G17350" s="11"/>
    </row>
    <row r="17351" ht="123.0" customHeight="1">
      <c r="A17351" s="11"/>
      <c r="B17351" s="11"/>
      <c r="C17351" s="11"/>
      <c r="D17351" s="10" t="s">
        <v>8092</v>
      </c>
    </row>
    <row r="17352" ht="15.0" customHeight="1">
      <c r="A17352" s="16"/>
      <c r="B17352" s="16"/>
      <c r="C17352" s="16"/>
      <c r="D17352" s="45" t="s">
        <v>8072</v>
      </c>
      <c r="E17352" s="46"/>
      <c r="F17352" s="46"/>
      <c r="G17352" s="46"/>
    </row>
    <row r="17353" ht="39.75" customHeight="1">
      <c r="A17353" s="19" t="s">
        <v>5155</v>
      </c>
      <c r="B17353" s="20" t="s">
        <v>42</v>
      </c>
      <c r="C17353" s="20" t="s">
        <v>43</v>
      </c>
      <c r="D17353" s="20" t="s">
        <v>5156</v>
      </c>
      <c r="E17353" s="21"/>
      <c r="F17353" s="22">
        <f>ROUND(34.71*(1+G2/100),2)</f>
        <v>34.71</v>
      </c>
      <c r="G17353" s="21"/>
    </row>
    <row r="17354" ht="307.5" customHeight="1">
      <c r="A17354" s="11"/>
      <c r="B17354" s="11"/>
      <c r="C17354" s="11"/>
      <c r="D17354" s="10" t="s">
        <v>8093</v>
      </c>
    </row>
    <row r="17355" ht="39.75" customHeight="1">
      <c r="A17355" s="13" t="s">
        <v>8094</v>
      </c>
      <c r="B17355" s="10" t="s">
        <v>42</v>
      </c>
      <c r="C17355" s="10" t="s">
        <v>276</v>
      </c>
      <c r="D17355" s="10" t="s">
        <v>8095</v>
      </c>
      <c r="E17355" s="11"/>
      <c r="F17355" s="12">
        <f>ROUND(148.76*(1+G2/100),2)</f>
        <v>148.76</v>
      </c>
      <c r="G17355" s="11"/>
    </row>
    <row r="17356" ht="307.5" customHeight="1">
      <c r="A17356" s="11"/>
      <c r="B17356" s="11"/>
      <c r="C17356" s="11"/>
      <c r="D17356" s="10" t="s">
        <v>8096</v>
      </c>
    </row>
    <row r="17357" ht="30.0" customHeight="1">
      <c r="A17357" s="13" t="s">
        <v>275</v>
      </c>
      <c r="B17357" s="10" t="s">
        <v>42</v>
      </c>
      <c r="C17357" s="10" t="s">
        <v>276</v>
      </c>
      <c r="D17357" s="10" t="s">
        <v>277</v>
      </c>
      <c r="E17357" s="11"/>
      <c r="F17357" s="12">
        <f>ROUND(196.2*(1+G2/100),2)</f>
        <v>196.2</v>
      </c>
      <c r="G17357" s="11"/>
    </row>
    <row r="17358" ht="141.0" customHeight="1">
      <c r="A17358" s="11"/>
      <c r="B17358" s="11"/>
      <c r="C17358" s="11"/>
      <c r="D17358" s="10" t="s">
        <v>8097</v>
      </c>
    </row>
    <row r="17359" ht="30.0" customHeight="1">
      <c r="A17359" s="13" t="s">
        <v>8098</v>
      </c>
      <c r="B17359" s="10" t="s">
        <v>42</v>
      </c>
      <c r="C17359" s="10" t="s">
        <v>43</v>
      </c>
      <c r="D17359" s="10" t="s">
        <v>8099</v>
      </c>
      <c r="E17359" s="11"/>
      <c r="F17359" s="12">
        <f>ROUND(5.36*(1+G2/100),2)</f>
        <v>5.36</v>
      </c>
      <c r="G17359" s="11"/>
    </row>
    <row r="17360" ht="48.75" customHeight="1">
      <c r="A17360" s="11"/>
      <c r="B17360" s="11"/>
      <c r="C17360" s="11"/>
      <c r="D17360" s="10" t="s">
        <v>8100</v>
      </c>
    </row>
    <row r="17361" ht="39.75" customHeight="1">
      <c r="A17361" s="13" t="s">
        <v>8101</v>
      </c>
      <c r="B17361" s="10" t="s">
        <v>42</v>
      </c>
      <c r="C17361" s="10" t="s">
        <v>43</v>
      </c>
      <c r="D17361" s="10" t="s">
        <v>8102</v>
      </c>
      <c r="E17361" s="11"/>
      <c r="F17361" s="12">
        <f>ROUND(5.7*(1+G2/100),2)</f>
        <v>5.7</v>
      </c>
      <c r="G17361" s="11"/>
    </row>
    <row r="17362" ht="39.75" customHeight="1">
      <c r="A17362" s="11"/>
      <c r="B17362" s="11"/>
      <c r="C17362" s="11"/>
      <c r="D17362" s="10" t="s">
        <v>8103</v>
      </c>
    </row>
    <row r="17363" ht="30.0" customHeight="1">
      <c r="A17363" s="13" t="s">
        <v>51</v>
      </c>
      <c r="B17363" s="10" t="s">
        <v>42</v>
      </c>
      <c r="C17363" s="10" t="s">
        <v>43</v>
      </c>
      <c r="D17363" s="10" t="s">
        <v>52</v>
      </c>
      <c r="E17363" s="11"/>
      <c r="F17363" s="12">
        <f>ROUND(2.56*(1+G2/100),2)</f>
        <v>2.56</v>
      </c>
      <c r="G17363" s="11"/>
    </row>
    <row r="17364" ht="57.75" customHeight="1">
      <c r="A17364" s="11"/>
      <c r="B17364" s="11"/>
      <c r="C17364" s="11"/>
      <c r="D17364" s="10" t="s">
        <v>8104</v>
      </c>
    </row>
    <row r="17365" ht="30.0" customHeight="1">
      <c r="A17365" s="13" t="s">
        <v>4627</v>
      </c>
      <c r="B17365" s="10" t="s">
        <v>42</v>
      </c>
      <c r="C17365" s="10" t="s">
        <v>43</v>
      </c>
      <c r="D17365" s="10" t="s">
        <v>4628</v>
      </c>
      <c r="E17365" s="11"/>
      <c r="F17365" s="12">
        <f>ROUND(11.95*(1+G2/100),2)</f>
        <v>11.95</v>
      </c>
      <c r="G17365" s="11"/>
    </row>
    <row r="17366" ht="141.0" customHeight="1">
      <c r="A17366" s="11"/>
      <c r="B17366" s="11"/>
      <c r="C17366" s="11"/>
      <c r="D17366" s="10" t="s">
        <v>8105</v>
      </c>
    </row>
    <row r="17367" ht="30.0" customHeight="1">
      <c r="A17367" s="13" t="s">
        <v>8106</v>
      </c>
      <c r="B17367" s="10" t="s">
        <v>42</v>
      </c>
      <c r="C17367" s="10" t="s">
        <v>276</v>
      </c>
      <c r="D17367" s="10" t="s">
        <v>8107</v>
      </c>
      <c r="E17367" s="11"/>
      <c r="F17367" s="12">
        <f>ROUND(11.74*(1+G2/100),2)</f>
        <v>11.74</v>
      </c>
      <c r="G17367" s="11"/>
    </row>
    <row r="17368" ht="67.5" customHeight="1">
      <c r="A17368" s="11"/>
      <c r="B17368" s="11"/>
      <c r="C17368" s="11"/>
      <c r="D17368" s="10" t="s">
        <v>8108</v>
      </c>
    </row>
    <row r="17369" ht="30.0" customHeight="1">
      <c r="A17369" s="13" t="s">
        <v>665</v>
      </c>
      <c r="B17369" s="10" t="s">
        <v>42</v>
      </c>
      <c r="C17369" s="10" t="s">
        <v>43</v>
      </c>
      <c r="D17369" s="10" t="s">
        <v>666</v>
      </c>
      <c r="E17369" s="11"/>
      <c r="F17369" s="12">
        <f>ROUND(59.9*(1+G2/100),2)</f>
        <v>59.9</v>
      </c>
      <c r="G17369" s="11"/>
    </row>
    <row r="17370" ht="363.0" customHeight="1">
      <c r="A17370" s="11"/>
      <c r="B17370" s="11"/>
      <c r="C17370" s="11"/>
      <c r="D17370" s="10" t="s">
        <v>8109</v>
      </c>
    </row>
    <row r="17371" ht="30.0" customHeight="1">
      <c r="A17371" s="13" t="s">
        <v>8110</v>
      </c>
      <c r="B17371" s="10" t="s">
        <v>42</v>
      </c>
      <c r="C17371" s="10" t="s">
        <v>43</v>
      </c>
      <c r="D17371" s="10" t="s">
        <v>8111</v>
      </c>
      <c r="E17371" s="11"/>
      <c r="F17371" s="12">
        <f>ROUND(43.63*(1+G2/100),2)</f>
        <v>43.63</v>
      </c>
      <c r="G17371" s="11"/>
    </row>
    <row r="17372" ht="187.5" customHeight="1">
      <c r="A17372" s="11"/>
      <c r="B17372" s="11"/>
      <c r="C17372" s="11"/>
      <c r="D17372" s="10" t="s">
        <v>8112</v>
      </c>
    </row>
    <row r="17373" ht="24.0" customHeight="1">
      <c r="A17373" s="13" t="s">
        <v>8113</v>
      </c>
      <c r="B17373" s="10" t="s">
        <v>42</v>
      </c>
      <c r="C17373" s="10" t="s">
        <v>43</v>
      </c>
      <c r="D17373" s="10" t="s">
        <v>8114</v>
      </c>
      <c r="E17373" s="11"/>
      <c r="F17373" s="12">
        <f>ROUND(22.31*(1+G2/100),2)</f>
        <v>22.31</v>
      </c>
      <c r="G17373" s="11"/>
    </row>
    <row r="17374" ht="30.0" customHeight="1">
      <c r="A17374" s="11"/>
      <c r="B17374" s="11"/>
      <c r="C17374" s="11"/>
      <c r="D17374" s="10" t="s">
        <v>8115</v>
      </c>
    </row>
    <row r="17375" ht="21.0" customHeight="1">
      <c r="A17375" s="13" t="s">
        <v>8116</v>
      </c>
      <c r="B17375" s="10" t="s">
        <v>42</v>
      </c>
      <c r="C17375" s="10" t="s">
        <v>276</v>
      </c>
      <c r="D17375" s="10" t="s">
        <v>8117</v>
      </c>
      <c r="E17375" s="11"/>
      <c r="F17375" s="12">
        <f>ROUND(11*(1+G2/100),2)</f>
        <v>11</v>
      </c>
      <c r="G17375" s="11"/>
    </row>
    <row r="17376" ht="85.5" customHeight="1">
      <c r="A17376" s="11"/>
      <c r="B17376" s="11"/>
      <c r="C17376" s="11"/>
      <c r="D17376" s="10" t="s">
        <v>8118</v>
      </c>
    </row>
    <row r="17377" ht="30.0" customHeight="1">
      <c r="A17377" s="13" t="s">
        <v>8119</v>
      </c>
      <c r="B17377" s="10" t="s">
        <v>42</v>
      </c>
      <c r="C17377" s="10" t="s">
        <v>43</v>
      </c>
      <c r="D17377" s="10" t="s">
        <v>8120</v>
      </c>
      <c r="E17377" s="11"/>
      <c r="F17377" s="12">
        <f>ROUND(12.8*(1+G2/100),2)</f>
        <v>12.8</v>
      </c>
      <c r="G17377" s="11"/>
    </row>
    <row r="17378" ht="39.75" customHeight="1">
      <c r="A17378" s="11"/>
      <c r="B17378" s="11"/>
      <c r="C17378" s="11"/>
      <c r="D17378" s="10" t="s">
        <v>8121</v>
      </c>
    </row>
    <row r="17379" ht="30.0" customHeight="1">
      <c r="A17379" s="13" t="s">
        <v>8122</v>
      </c>
      <c r="B17379" s="10" t="s">
        <v>42</v>
      </c>
      <c r="C17379" s="10" t="s">
        <v>43</v>
      </c>
      <c r="D17379" s="10" t="s">
        <v>8123</v>
      </c>
      <c r="E17379" s="11"/>
      <c r="F17379" s="12">
        <f>ROUND(227.36*(1+G2/100),2)</f>
        <v>227.36</v>
      </c>
      <c r="G17379" s="11"/>
    </row>
    <row r="17380" ht="95.25" customHeight="1">
      <c r="A17380" s="11"/>
      <c r="B17380" s="11"/>
      <c r="C17380" s="11"/>
      <c r="D17380" s="10" t="s">
        <v>8124</v>
      </c>
    </row>
    <row r="17381" ht="30.0" customHeight="1">
      <c r="A17381" s="13" t="s">
        <v>667</v>
      </c>
      <c r="B17381" s="10" t="s">
        <v>42</v>
      </c>
      <c r="C17381" s="10" t="s">
        <v>43</v>
      </c>
      <c r="D17381" s="10" t="s">
        <v>668</v>
      </c>
      <c r="E17381" s="11"/>
      <c r="F17381" s="12">
        <f>ROUND(39.85*(1+G2/100),2)</f>
        <v>39.85</v>
      </c>
      <c r="G17381" s="11"/>
    </row>
    <row r="17382" ht="168.75" customHeight="1">
      <c r="A17382" s="11"/>
      <c r="B17382" s="11"/>
      <c r="C17382" s="11"/>
      <c r="D17382" s="10" t="s">
        <v>8125</v>
      </c>
    </row>
    <row r="17383" ht="24.0" customHeight="1">
      <c r="A17383" s="13" t="s">
        <v>8126</v>
      </c>
      <c r="B17383" s="10" t="s">
        <v>42</v>
      </c>
      <c r="C17383" s="10" t="s">
        <v>43</v>
      </c>
      <c r="D17383" s="10" t="s">
        <v>8127</v>
      </c>
      <c r="E17383" s="11"/>
      <c r="F17383" s="12">
        <f>ROUND(6.85*(1+G2/100),2)</f>
        <v>6.85</v>
      </c>
      <c r="G17383" s="11"/>
    </row>
    <row r="17384" ht="104.25" customHeight="1">
      <c r="A17384" s="11"/>
      <c r="B17384" s="11"/>
      <c r="C17384" s="11"/>
      <c r="D17384" s="10" t="s">
        <v>8128</v>
      </c>
    </row>
    <row r="17385" ht="30.0" customHeight="1">
      <c r="A17385" s="13" t="s">
        <v>8129</v>
      </c>
      <c r="B17385" s="10" t="s">
        <v>42</v>
      </c>
      <c r="C17385" s="10" t="s">
        <v>43</v>
      </c>
      <c r="D17385" s="10" t="s">
        <v>8130</v>
      </c>
      <c r="E17385" s="11"/>
      <c r="F17385" s="12">
        <f>ROUND(4.82*(1+G2/100),2)</f>
        <v>4.82</v>
      </c>
      <c r="G17385" s="11"/>
    </row>
    <row r="17386" ht="67.5" customHeight="1">
      <c r="A17386" s="11"/>
      <c r="B17386" s="11"/>
      <c r="C17386" s="11"/>
      <c r="D17386" s="10" t="s">
        <v>8131</v>
      </c>
    </row>
    <row r="17387" ht="24.0" customHeight="1">
      <c r="A17387" s="13" t="s">
        <v>318</v>
      </c>
      <c r="B17387" s="10" t="s">
        <v>42</v>
      </c>
      <c r="C17387" s="10" t="s">
        <v>43</v>
      </c>
      <c r="D17387" s="10" t="s">
        <v>319</v>
      </c>
      <c r="E17387" s="11"/>
      <c r="F17387" s="12">
        <f>ROUND(5.8*(1+G2/100),2)</f>
        <v>5.8</v>
      </c>
      <c r="G17387" s="11"/>
    </row>
    <row r="17388" ht="39.75" customHeight="1">
      <c r="A17388" s="11"/>
      <c r="B17388" s="11"/>
      <c r="C17388" s="11"/>
      <c r="D17388" s="10" t="s">
        <v>8132</v>
      </c>
    </row>
    <row r="17389" ht="24.0" customHeight="1">
      <c r="A17389" s="13" t="s">
        <v>8133</v>
      </c>
      <c r="B17389" s="10" t="s">
        <v>42</v>
      </c>
      <c r="C17389" s="10" t="s">
        <v>43</v>
      </c>
      <c r="D17389" s="10" t="s">
        <v>8134</v>
      </c>
      <c r="E17389" s="11"/>
      <c r="F17389" s="12">
        <f>ROUND(8.23*(1+G2/100),2)</f>
        <v>8.23</v>
      </c>
      <c r="G17389" s="11"/>
    </row>
    <row r="17390" ht="39.75" customHeight="1">
      <c r="A17390" s="11"/>
      <c r="B17390" s="11"/>
      <c r="C17390" s="11"/>
      <c r="D17390" s="10" t="s">
        <v>8135</v>
      </c>
    </row>
    <row r="17391" ht="24.0" customHeight="1">
      <c r="A17391" s="13" t="s">
        <v>984</v>
      </c>
      <c r="B17391" s="10" t="s">
        <v>42</v>
      </c>
      <c r="C17391" s="10" t="s">
        <v>43</v>
      </c>
      <c r="D17391" s="10" t="s">
        <v>985</v>
      </c>
      <c r="E17391" s="11"/>
      <c r="F17391" s="12">
        <f>ROUND(9.48*(1+G2/100),2)</f>
        <v>9.48</v>
      </c>
      <c r="G17391" s="11"/>
    </row>
    <row r="17392" ht="39.75" customHeight="1">
      <c r="A17392" s="11"/>
      <c r="B17392" s="11"/>
      <c r="C17392" s="11"/>
      <c r="D17392" s="10" t="s">
        <v>8136</v>
      </c>
    </row>
    <row r="17393" ht="30.0" customHeight="1">
      <c r="A17393" s="13" t="s">
        <v>8137</v>
      </c>
      <c r="B17393" s="10" t="s">
        <v>42</v>
      </c>
      <c r="C17393" s="10" t="s">
        <v>43</v>
      </c>
      <c r="D17393" s="10" t="s">
        <v>8138</v>
      </c>
      <c r="E17393" s="11"/>
      <c r="F17393" s="12">
        <f>ROUND(10.55*(1+G2/100),2)</f>
        <v>10.55</v>
      </c>
      <c r="G17393" s="11"/>
    </row>
    <row r="17394" ht="48.75" customHeight="1">
      <c r="A17394" s="11"/>
      <c r="B17394" s="11"/>
      <c r="C17394" s="11"/>
      <c r="D17394" s="10" t="s">
        <v>8139</v>
      </c>
    </row>
    <row r="17395" ht="30.0" customHeight="1">
      <c r="A17395" s="13" t="s">
        <v>1259</v>
      </c>
      <c r="B17395" s="10" t="s">
        <v>42</v>
      </c>
      <c r="C17395" s="10" t="s">
        <v>43</v>
      </c>
      <c r="D17395" s="10" t="s">
        <v>1260</v>
      </c>
      <c r="E17395" s="11"/>
      <c r="F17395" s="12">
        <f>ROUND(18.44*(1+G2/100),2)</f>
        <v>18.44</v>
      </c>
      <c r="G17395" s="11"/>
    </row>
    <row r="17396" ht="48.75" customHeight="1">
      <c r="A17396" s="11"/>
      <c r="B17396" s="11"/>
      <c r="C17396" s="11"/>
      <c r="D17396" s="10" t="s">
        <v>8140</v>
      </c>
    </row>
    <row r="17397" ht="30.0" customHeight="1">
      <c r="A17397" s="13" t="s">
        <v>1090</v>
      </c>
      <c r="B17397" s="10" t="s">
        <v>42</v>
      </c>
      <c r="C17397" s="10" t="s">
        <v>43</v>
      </c>
      <c r="D17397" s="10" t="s">
        <v>1091</v>
      </c>
      <c r="E17397" s="11"/>
      <c r="F17397" s="12">
        <f>ROUND(14.09*(1+G2/100),2)</f>
        <v>14.09</v>
      </c>
      <c r="G17397" s="11"/>
    </row>
    <row r="17398" ht="48.75" customHeight="1">
      <c r="A17398" s="11"/>
      <c r="B17398" s="11"/>
      <c r="C17398" s="11"/>
      <c r="D17398" s="10" t="s">
        <v>8141</v>
      </c>
    </row>
    <row r="17399" ht="30.0" customHeight="1">
      <c r="A17399" s="13" t="s">
        <v>208</v>
      </c>
      <c r="B17399" s="10" t="s">
        <v>42</v>
      </c>
      <c r="C17399" s="10" t="s">
        <v>43</v>
      </c>
      <c r="D17399" s="10" t="s">
        <v>209</v>
      </c>
      <c r="E17399" s="11"/>
      <c r="F17399" s="12">
        <f>ROUND(14.29*(1+G2/100),2)</f>
        <v>14.29</v>
      </c>
      <c r="G17399" s="11"/>
    </row>
    <row r="17400" ht="67.5" customHeight="1">
      <c r="A17400" s="11"/>
      <c r="B17400" s="11"/>
      <c r="C17400" s="11"/>
      <c r="D17400" s="10" t="s">
        <v>8142</v>
      </c>
    </row>
    <row r="17401" ht="30.0" customHeight="1">
      <c r="A17401" s="13" t="s">
        <v>1095</v>
      </c>
      <c r="B17401" s="10" t="s">
        <v>42</v>
      </c>
      <c r="C17401" s="10" t="s">
        <v>43</v>
      </c>
      <c r="D17401" s="10" t="s">
        <v>1096</v>
      </c>
      <c r="E17401" s="11"/>
      <c r="F17401" s="12">
        <f>ROUND(14.09*(1+G2/100),2)</f>
        <v>14.09</v>
      </c>
      <c r="G17401" s="11"/>
    </row>
    <row r="17402" ht="39.75" customHeight="1">
      <c r="A17402" s="11"/>
      <c r="B17402" s="11"/>
      <c r="C17402" s="11"/>
      <c r="D17402" s="10" t="s">
        <v>8143</v>
      </c>
    </row>
    <row r="17403" ht="30.0" customHeight="1">
      <c r="A17403" s="13" t="s">
        <v>8144</v>
      </c>
      <c r="B17403" s="10" t="s">
        <v>42</v>
      </c>
      <c r="C17403" s="10" t="s">
        <v>43</v>
      </c>
      <c r="D17403" s="10" t="s">
        <v>8145</v>
      </c>
      <c r="E17403" s="11"/>
      <c r="F17403" s="12">
        <f>ROUND(3.88*(1+G2/100),2)</f>
        <v>3.88</v>
      </c>
      <c r="G17403" s="11"/>
    </row>
    <row r="17404" ht="76.5" customHeight="1">
      <c r="A17404" s="11"/>
      <c r="B17404" s="11"/>
      <c r="C17404" s="11"/>
      <c r="D17404" s="10" t="s">
        <v>8146</v>
      </c>
    </row>
    <row r="17405" ht="30.0" customHeight="1">
      <c r="A17405" s="13" t="s">
        <v>8147</v>
      </c>
      <c r="B17405" s="10" t="s">
        <v>42</v>
      </c>
      <c r="C17405" s="10" t="s">
        <v>43</v>
      </c>
      <c r="D17405" s="10" t="s">
        <v>8148</v>
      </c>
      <c r="E17405" s="11"/>
      <c r="F17405" s="12">
        <f>ROUND(7.95*(1+G2/100),2)</f>
        <v>7.95</v>
      </c>
      <c r="G17405" s="11"/>
    </row>
    <row r="17406" ht="187.5" customHeight="1">
      <c r="A17406" s="11"/>
      <c r="B17406" s="11"/>
      <c r="C17406" s="11"/>
      <c r="D17406" s="10" t="s">
        <v>8149</v>
      </c>
    </row>
    <row r="17407" ht="30.0" customHeight="1">
      <c r="A17407" s="13" t="s">
        <v>4143</v>
      </c>
      <c r="B17407" s="10" t="s">
        <v>42</v>
      </c>
      <c r="C17407" s="10" t="s">
        <v>43</v>
      </c>
      <c r="D17407" s="10" t="s">
        <v>4144</v>
      </c>
      <c r="E17407" s="11"/>
      <c r="F17407" s="12">
        <f>ROUND(31.65*(1+G2/100),2)</f>
        <v>31.65</v>
      </c>
      <c r="G17407" s="11"/>
    </row>
    <row r="17408" ht="187.5" customHeight="1">
      <c r="A17408" s="11"/>
      <c r="B17408" s="11"/>
      <c r="C17408" s="11"/>
      <c r="D17408" s="10" t="s">
        <v>8150</v>
      </c>
    </row>
    <row r="17409" ht="39.75" customHeight="1">
      <c r="A17409" s="13" t="s">
        <v>41</v>
      </c>
      <c r="B17409" s="10" t="s">
        <v>42</v>
      </c>
      <c r="C17409" s="10" t="s">
        <v>43</v>
      </c>
      <c r="D17409" s="10" t="s">
        <v>44</v>
      </c>
      <c r="E17409" s="11"/>
      <c r="F17409" s="12">
        <f>ROUND(9.13*(1+G2/100),2)</f>
        <v>9.13</v>
      </c>
      <c r="G17409" s="11"/>
    </row>
    <row r="17410" ht="123.0" customHeight="1">
      <c r="A17410" s="11"/>
      <c r="B17410" s="11"/>
      <c r="C17410" s="11"/>
      <c r="D17410" s="10" t="s">
        <v>8151</v>
      </c>
    </row>
    <row r="17411" ht="30.0" customHeight="1">
      <c r="A17411" s="13" t="s">
        <v>4056</v>
      </c>
      <c r="B17411" s="10" t="s">
        <v>42</v>
      </c>
      <c r="C17411" s="10" t="s">
        <v>43</v>
      </c>
      <c r="D17411" s="10" t="s">
        <v>4057</v>
      </c>
      <c r="E17411" s="11"/>
      <c r="F17411" s="12">
        <f>ROUND(70.3*(1+G2/100),2)</f>
        <v>70.3</v>
      </c>
      <c r="G17411" s="11"/>
    </row>
    <row r="17412" ht="67.5" customHeight="1">
      <c r="A17412" s="11"/>
      <c r="B17412" s="11"/>
      <c r="C17412" s="11"/>
      <c r="D17412" s="10" t="s">
        <v>8152</v>
      </c>
    </row>
    <row r="17413" ht="30.0" customHeight="1">
      <c r="A17413" s="13" t="s">
        <v>8153</v>
      </c>
      <c r="B17413" s="10" t="s">
        <v>42</v>
      </c>
      <c r="C17413" s="10" t="s">
        <v>1245</v>
      </c>
      <c r="D17413" s="10" t="s">
        <v>8154</v>
      </c>
      <c r="E17413" s="11"/>
      <c r="F17413" s="12">
        <f>ROUND(4.59*(1+G2/100),2)</f>
        <v>4.59</v>
      </c>
      <c r="G17413" s="11"/>
    </row>
    <row r="17414" ht="57.75" customHeight="1">
      <c r="A17414" s="11"/>
      <c r="B17414" s="11"/>
      <c r="C17414" s="11"/>
      <c r="D17414" s="10" t="s">
        <v>8155</v>
      </c>
    </row>
    <row r="17415" ht="24.0" customHeight="1">
      <c r="A17415" s="13" t="s">
        <v>1053</v>
      </c>
      <c r="B17415" s="10" t="s">
        <v>42</v>
      </c>
      <c r="C17415" s="10" t="s">
        <v>43</v>
      </c>
      <c r="D17415" s="10" t="s">
        <v>1054</v>
      </c>
      <c r="E17415" s="11"/>
      <c r="F17415" s="12">
        <f>ROUND(4.63*(1+G2/100),2)</f>
        <v>4.63</v>
      </c>
      <c r="G17415" s="11"/>
    </row>
    <row r="17416" ht="39.75" customHeight="1">
      <c r="A17416" s="11"/>
      <c r="B17416" s="11"/>
      <c r="C17416" s="11"/>
      <c r="D17416" s="10" t="s">
        <v>8156</v>
      </c>
    </row>
    <row r="17417" ht="30.0" customHeight="1">
      <c r="A17417" s="13" t="s">
        <v>467</v>
      </c>
      <c r="B17417" s="10" t="s">
        <v>42</v>
      </c>
      <c r="C17417" s="10" t="s">
        <v>43</v>
      </c>
      <c r="D17417" s="10" t="s">
        <v>468</v>
      </c>
      <c r="E17417" s="11"/>
      <c r="F17417" s="12">
        <f>ROUND(6.09*(1+G2/100),2)</f>
        <v>6.09</v>
      </c>
      <c r="G17417" s="11"/>
    </row>
    <row r="17418" ht="30.0" customHeight="1">
      <c r="A17418" s="11"/>
      <c r="B17418" s="11"/>
      <c r="C17418" s="11"/>
      <c r="D17418" s="10" t="s">
        <v>8157</v>
      </c>
    </row>
    <row r="17419" ht="30.0" customHeight="1">
      <c r="A17419" s="13" t="s">
        <v>465</v>
      </c>
      <c r="B17419" s="10" t="s">
        <v>42</v>
      </c>
      <c r="C17419" s="10" t="s">
        <v>43</v>
      </c>
      <c r="D17419" s="10" t="s">
        <v>466</v>
      </c>
      <c r="E17419" s="11"/>
      <c r="F17419" s="12">
        <f>ROUND(4.58*(1+G2/100),2)</f>
        <v>4.58</v>
      </c>
      <c r="G17419" s="11"/>
    </row>
    <row r="17420" ht="30.0" customHeight="1">
      <c r="A17420" s="11"/>
      <c r="B17420" s="11"/>
      <c r="C17420" s="11"/>
      <c r="D17420" s="10" t="s">
        <v>8158</v>
      </c>
    </row>
    <row r="17421" ht="39.75" customHeight="1">
      <c r="A17421" s="13" t="s">
        <v>8159</v>
      </c>
      <c r="B17421" s="10" t="s">
        <v>42</v>
      </c>
      <c r="C17421" s="10" t="s">
        <v>43</v>
      </c>
      <c r="D17421" s="10" t="s">
        <v>8160</v>
      </c>
      <c r="E17421" s="11"/>
      <c r="F17421" s="12">
        <f>ROUND(31.25*(1+G2/100),2)</f>
        <v>31.25</v>
      </c>
      <c r="G17421" s="11"/>
    </row>
    <row r="17422" ht="168.75" customHeight="1">
      <c r="A17422" s="11"/>
      <c r="B17422" s="11"/>
      <c r="C17422" s="11"/>
      <c r="D17422" s="10" t="s">
        <v>8161</v>
      </c>
    </row>
    <row r="17423" ht="30.0" customHeight="1">
      <c r="A17423" s="13" t="s">
        <v>8162</v>
      </c>
      <c r="B17423" s="10" t="s">
        <v>42</v>
      </c>
      <c r="C17423" s="10" t="s">
        <v>43</v>
      </c>
      <c r="D17423" s="10" t="s">
        <v>8163</v>
      </c>
      <c r="E17423" s="11"/>
      <c r="F17423" s="12">
        <f>ROUND(24.7*(1+G2/100),2)</f>
        <v>24.7</v>
      </c>
      <c r="G17423" s="11"/>
    </row>
    <row r="17424" ht="298.5" customHeight="1">
      <c r="A17424" s="11"/>
      <c r="B17424" s="11"/>
      <c r="C17424" s="11"/>
      <c r="D17424" s="10" t="s">
        <v>8164</v>
      </c>
    </row>
    <row r="17425" ht="30.0" customHeight="1">
      <c r="A17425" s="13" t="s">
        <v>8165</v>
      </c>
      <c r="B17425" s="10" t="s">
        <v>42</v>
      </c>
      <c r="C17425" s="10" t="s">
        <v>43</v>
      </c>
      <c r="D17425" s="10" t="s">
        <v>8166</v>
      </c>
      <c r="E17425" s="11"/>
      <c r="F17425" s="12">
        <f>ROUND(82.56*(1+G2/100),2)</f>
        <v>82.56</v>
      </c>
      <c r="G17425" s="11"/>
    </row>
    <row r="17426" ht="298.5" customHeight="1">
      <c r="A17426" s="11"/>
      <c r="B17426" s="11"/>
      <c r="C17426" s="11"/>
      <c r="D17426" s="10" t="s">
        <v>8167</v>
      </c>
    </row>
    <row r="17427" ht="30.0" customHeight="1">
      <c r="A17427" s="13" t="s">
        <v>8168</v>
      </c>
      <c r="B17427" s="10" t="s">
        <v>42</v>
      </c>
      <c r="C17427" s="10" t="s">
        <v>276</v>
      </c>
      <c r="D17427" s="10" t="s">
        <v>8169</v>
      </c>
      <c r="E17427" s="11"/>
      <c r="F17427" s="12">
        <f>ROUND(247.85*(1+G2/100),2)</f>
        <v>247.85</v>
      </c>
      <c r="G17427" s="11"/>
    </row>
    <row r="17428" ht="298.5" customHeight="1">
      <c r="A17428" s="11"/>
      <c r="B17428" s="11"/>
      <c r="C17428" s="11"/>
      <c r="D17428" s="10" t="s">
        <v>8170</v>
      </c>
    </row>
    <row r="17429" ht="30.0" customHeight="1">
      <c r="A17429" s="13" t="s">
        <v>8171</v>
      </c>
      <c r="B17429" s="10" t="s">
        <v>42</v>
      </c>
      <c r="C17429" s="10" t="s">
        <v>43</v>
      </c>
      <c r="D17429" s="10" t="s">
        <v>8172</v>
      </c>
      <c r="E17429" s="11"/>
      <c r="F17429" s="12">
        <f>ROUND(5.29*(1+G2/100),2)</f>
        <v>5.29</v>
      </c>
      <c r="G17429" s="11"/>
    </row>
    <row r="17430" ht="48.75" customHeight="1">
      <c r="A17430" s="11"/>
      <c r="B17430" s="11"/>
      <c r="C17430" s="11"/>
      <c r="D17430" s="10" t="s">
        <v>8173</v>
      </c>
    </row>
    <row r="17431" ht="30.0" customHeight="1">
      <c r="A17431" s="13" t="s">
        <v>260</v>
      </c>
      <c r="B17431" s="10" t="s">
        <v>42</v>
      </c>
      <c r="C17431" s="10" t="s">
        <v>43</v>
      </c>
      <c r="D17431" s="10" t="s">
        <v>261</v>
      </c>
      <c r="E17431" s="11"/>
      <c r="F17431" s="12">
        <f>ROUND(24.47*(1+G2/100),2)</f>
        <v>24.47</v>
      </c>
      <c r="G17431" s="11"/>
    </row>
    <row r="17432" ht="21.0" customHeight="1">
      <c r="A17432" s="11"/>
      <c r="B17432" s="11"/>
      <c r="C17432" s="11"/>
      <c r="D17432" s="10" t="s">
        <v>8174</v>
      </c>
    </row>
    <row r="17433" ht="39.75" customHeight="1">
      <c r="A17433" s="13" t="s">
        <v>270</v>
      </c>
      <c r="B17433" s="10" t="s">
        <v>42</v>
      </c>
      <c r="C17433" s="10" t="s">
        <v>43</v>
      </c>
      <c r="D17433" s="10" t="s">
        <v>271</v>
      </c>
      <c r="E17433" s="11"/>
      <c r="F17433" s="12">
        <f>ROUND(40.99*(1+G2/100),2)</f>
        <v>40.99</v>
      </c>
      <c r="G17433" s="11"/>
    </row>
    <row r="17434" ht="261.0" customHeight="1">
      <c r="A17434" s="11"/>
      <c r="B17434" s="11"/>
      <c r="C17434" s="11"/>
      <c r="D17434" s="10" t="s">
        <v>8175</v>
      </c>
    </row>
    <row r="17435" ht="30.0" customHeight="1">
      <c r="A17435" s="13" t="s">
        <v>663</v>
      </c>
      <c r="B17435" s="10" t="s">
        <v>42</v>
      </c>
      <c r="C17435" s="10" t="s">
        <v>43</v>
      </c>
      <c r="D17435" s="10" t="s">
        <v>664</v>
      </c>
      <c r="E17435" s="11"/>
      <c r="F17435" s="12">
        <f>ROUND(23.48*(1+G2/100),2)</f>
        <v>23.48</v>
      </c>
      <c r="G17435" s="11"/>
    </row>
    <row r="17436" ht="270.75" customHeight="1">
      <c r="A17436" s="11"/>
      <c r="B17436" s="11"/>
      <c r="C17436" s="11"/>
      <c r="D17436" s="10" t="s">
        <v>8176</v>
      </c>
    </row>
    <row r="17437" ht="30.0" customHeight="1">
      <c r="A17437" s="13" t="s">
        <v>265</v>
      </c>
      <c r="B17437" s="10" t="s">
        <v>42</v>
      </c>
      <c r="C17437" s="10" t="s">
        <v>43</v>
      </c>
      <c r="D17437" s="10" t="s">
        <v>266</v>
      </c>
      <c r="E17437" s="11"/>
      <c r="F17437" s="12">
        <f>ROUND(48.9*(1+G2/100),2)</f>
        <v>48.9</v>
      </c>
      <c r="G17437" s="11"/>
    </row>
    <row r="17438" ht="205.5" customHeight="1">
      <c r="A17438" s="11"/>
      <c r="B17438" s="11"/>
      <c r="C17438" s="11"/>
      <c r="D17438" s="10" t="s">
        <v>8177</v>
      </c>
    </row>
    <row r="17439" ht="39.75" customHeight="1">
      <c r="A17439" s="13" t="s">
        <v>1274</v>
      </c>
      <c r="B17439" s="10" t="s">
        <v>42</v>
      </c>
      <c r="C17439" s="10" t="s">
        <v>43</v>
      </c>
      <c r="D17439" s="10" t="s">
        <v>1275</v>
      </c>
      <c r="E17439" s="11"/>
      <c r="F17439" s="12">
        <f>ROUND(11.83*(1+G2/100),2)</f>
        <v>11.83</v>
      </c>
      <c r="G17439" s="11"/>
    </row>
    <row r="17440" ht="39.75" customHeight="1">
      <c r="A17440" s="11"/>
      <c r="B17440" s="11"/>
      <c r="C17440" s="11"/>
      <c r="D17440" s="10" t="s">
        <v>8178</v>
      </c>
    </row>
    <row r="17441" ht="39.75" customHeight="1">
      <c r="A17441" s="13" t="s">
        <v>8179</v>
      </c>
      <c r="B17441" s="10" t="s">
        <v>42</v>
      </c>
      <c r="C17441" s="10" t="s">
        <v>276</v>
      </c>
      <c r="D17441" s="10" t="s">
        <v>8180</v>
      </c>
      <c r="E17441" s="11"/>
      <c r="F17441" s="12">
        <f>ROUND(96.4*(1+G2/100),2)</f>
        <v>96.4</v>
      </c>
      <c r="G17441" s="11"/>
    </row>
    <row r="17442" ht="85.5" customHeight="1">
      <c r="A17442" s="11"/>
      <c r="B17442" s="11"/>
      <c r="C17442" s="11"/>
      <c r="D17442" s="10" t="s">
        <v>8181</v>
      </c>
    </row>
    <row r="17443" ht="39.75" customHeight="1">
      <c r="A17443" s="13" t="s">
        <v>1761</v>
      </c>
      <c r="B17443" s="10" t="s">
        <v>42</v>
      </c>
      <c r="C17443" s="10" t="s">
        <v>1245</v>
      </c>
      <c r="D17443" s="10" t="s">
        <v>1762</v>
      </c>
      <c r="E17443" s="11"/>
      <c r="F17443" s="12">
        <f>ROUND(8.97*(1+G2/100),2)</f>
        <v>8.97</v>
      </c>
      <c r="G17443" s="11"/>
    </row>
    <row r="17444" ht="39.75" customHeight="1">
      <c r="A17444" s="11"/>
      <c r="B17444" s="11"/>
      <c r="C17444" s="11"/>
      <c r="D17444" s="10" t="s">
        <v>8182</v>
      </c>
    </row>
    <row r="17445" ht="15.0" customHeight="1">
      <c r="A17445" s="16"/>
      <c r="B17445" s="16"/>
      <c r="C17445" s="16"/>
      <c r="D17445" s="61" t="s">
        <v>8058</v>
      </c>
      <c r="E17445" s="62"/>
      <c r="F17445" s="62"/>
      <c r="G17445" s="62"/>
    </row>
    <row r="17446" ht="21.75" customHeight="1">
      <c r="A17446" s="34" t="s">
        <v>8183</v>
      </c>
      <c r="B17446" s="34" t="s">
        <v>10</v>
      </c>
      <c r="C17446" s="35"/>
      <c r="D17446" s="34" t="s">
        <v>8184</v>
      </c>
      <c r="E17446" s="35"/>
      <c r="F17446" s="35"/>
      <c r="G17446" s="35"/>
    </row>
    <row r="17447" ht="21.75" customHeight="1">
      <c r="A17447" s="42" t="s">
        <v>8185</v>
      </c>
      <c r="B17447" s="42" t="s">
        <v>10</v>
      </c>
      <c r="C17447" s="43"/>
      <c r="D17447" s="42" t="s">
        <v>8186</v>
      </c>
      <c r="E17447" s="43"/>
      <c r="F17447" s="43"/>
      <c r="G17447" s="43"/>
    </row>
    <row r="17448" ht="48.75" customHeight="1">
      <c r="A17448" s="13" t="s">
        <v>2092</v>
      </c>
      <c r="B17448" s="10" t="s">
        <v>42</v>
      </c>
      <c r="C17448" s="10" t="s">
        <v>341</v>
      </c>
      <c r="D17448" s="10" t="s">
        <v>2093</v>
      </c>
      <c r="E17448" s="11"/>
      <c r="F17448" s="12">
        <f>ROUND(80.15*(1+G2/100),2)</f>
        <v>80.15</v>
      </c>
      <c r="G17448" s="11"/>
    </row>
    <row r="17449" ht="67.5" customHeight="1">
      <c r="A17449" s="11"/>
      <c r="B17449" s="11"/>
      <c r="C17449" s="11"/>
      <c r="D17449" s="10" t="s">
        <v>8187</v>
      </c>
    </row>
    <row r="17450" ht="39.75" customHeight="1">
      <c r="A17450" s="13" t="s">
        <v>2100</v>
      </c>
      <c r="B17450" s="10" t="s">
        <v>42</v>
      </c>
      <c r="C17450" s="10" t="s">
        <v>341</v>
      </c>
      <c r="D17450" s="10" t="s">
        <v>2101</v>
      </c>
      <c r="E17450" s="11"/>
      <c r="F17450" s="12">
        <f>ROUND(68.65*(1+G2/100),2)</f>
        <v>68.65</v>
      </c>
      <c r="G17450" s="11"/>
    </row>
    <row r="17451" ht="39.75" customHeight="1">
      <c r="A17451" s="11"/>
      <c r="B17451" s="11"/>
      <c r="C17451" s="11"/>
      <c r="D17451" s="10" t="s">
        <v>8188</v>
      </c>
    </row>
    <row r="17452" ht="39.75" customHeight="1">
      <c r="A17452" s="13" t="s">
        <v>2096</v>
      </c>
      <c r="B17452" s="10" t="s">
        <v>42</v>
      </c>
      <c r="C17452" s="10" t="s">
        <v>226</v>
      </c>
      <c r="D17452" s="10" t="s">
        <v>2097</v>
      </c>
      <c r="E17452" s="11"/>
      <c r="F17452" s="12">
        <f>ROUND(67.6*(1+G2/100),2)</f>
        <v>67.6</v>
      </c>
      <c r="G17452" s="11"/>
    </row>
    <row r="17453" ht="39.75" customHeight="1">
      <c r="A17453" s="11"/>
      <c r="B17453" s="11"/>
      <c r="C17453" s="11"/>
      <c r="D17453" s="10" t="s">
        <v>8189</v>
      </c>
    </row>
    <row r="17454" ht="48.75" customHeight="1">
      <c r="A17454" s="13" t="s">
        <v>2102</v>
      </c>
      <c r="B17454" s="10" t="s">
        <v>42</v>
      </c>
      <c r="C17454" s="10" t="s">
        <v>325</v>
      </c>
      <c r="D17454" s="10" t="s">
        <v>2103</v>
      </c>
      <c r="E17454" s="11"/>
      <c r="F17454" s="12">
        <f>ROUND(113.25*(1+G2/100),2)</f>
        <v>113.25</v>
      </c>
      <c r="G17454" s="11"/>
    </row>
    <row r="17455" ht="30.0" customHeight="1">
      <c r="A17455" s="11"/>
      <c r="B17455" s="11"/>
      <c r="C17455" s="11"/>
      <c r="D17455" s="10" t="s">
        <v>8190</v>
      </c>
    </row>
    <row r="17456" ht="39.75" customHeight="1">
      <c r="A17456" s="13" t="s">
        <v>2094</v>
      </c>
      <c r="B17456" s="10" t="s">
        <v>42</v>
      </c>
      <c r="C17456" s="10" t="s">
        <v>184</v>
      </c>
      <c r="D17456" s="10" t="s">
        <v>2095</v>
      </c>
      <c r="E17456" s="11"/>
      <c r="F17456" s="12">
        <f>ROUND(22*(1+G2/100),2)</f>
        <v>22</v>
      </c>
      <c r="G17456" s="11"/>
    </row>
    <row r="17457" ht="85.5" customHeight="1">
      <c r="A17457" s="11"/>
      <c r="B17457" s="11"/>
      <c r="C17457" s="11"/>
      <c r="D17457" s="10" t="s">
        <v>8191</v>
      </c>
    </row>
    <row r="17458" ht="30.0" customHeight="1">
      <c r="A17458" s="13" t="s">
        <v>2098</v>
      </c>
      <c r="B17458" s="10" t="s">
        <v>42</v>
      </c>
      <c r="C17458" s="10" t="s">
        <v>226</v>
      </c>
      <c r="D17458" s="10" t="s">
        <v>2099</v>
      </c>
      <c r="E17458" s="11"/>
      <c r="F17458" s="12">
        <f>ROUND(69.2*(1+G2/100),2)</f>
        <v>69.2</v>
      </c>
      <c r="G17458" s="11"/>
    </row>
    <row r="17459" ht="39.75" customHeight="1">
      <c r="A17459" s="11"/>
      <c r="B17459" s="11"/>
      <c r="C17459" s="11"/>
      <c r="D17459" s="10" t="s">
        <v>8192</v>
      </c>
    </row>
    <row r="17460" ht="15.0" customHeight="1">
      <c r="A17460" s="16"/>
      <c r="B17460" s="16"/>
      <c r="C17460" s="16"/>
      <c r="D17460" s="45" t="s">
        <v>8185</v>
      </c>
      <c r="E17460" s="46"/>
      <c r="F17460" s="46"/>
      <c r="G17460" s="46"/>
    </row>
    <row r="17461" ht="21.75" customHeight="1">
      <c r="A17461" s="26" t="s">
        <v>8193</v>
      </c>
      <c r="B17461" s="26" t="s">
        <v>10</v>
      </c>
      <c r="C17461" s="27"/>
      <c r="D17461" s="26" t="s">
        <v>8194</v>
      </c>
      <c r="E17461" s="27"/>
      <c r="F17461" s="27"/>
      <c r="G17461" s="27"/>
    </row>
    <row r="17462" ht="39.75" customHeight="1">
      <c r="A17462" s="13" t="s">
        <v>8195</v>
      </c>
      <c r="B17462" s="10" t="s">
        <v>42</v>
      </c>
      <c r="C17462" s="10" t="s">
        <v>341</v>
      </c>
      <c r="D17462" s="10" t="s">
        <v>8196</v>
      </c>
      <c r="E17462" s="11"/>
      <c r="F17462" s="12">
        <f>ROUND(129*(1+G2/100),2)</f>
        <v>129</v>
      </c>
      <c r="G17462" s="11"/>
    </row>
    <row r="17463" ht="113.25" customHeight="1">
      <c r="A17463" s="11"/>
      <c r="B17463" s="11"/>
      <c r="C17463" s="11"/>
      <c r="D17463" s="10" t="s">
        <v>8197</v>
      </c>
    </row>
    <row r="17464" ht="39.75" customHeight="1">
      <c r="A17464" s="13" t="s">
        <v>2169</v>
      </c>
      <c r="B17464" s="10" t="s">
        <v>42</v>
      </c>
      <c r="C17464" s="10" t="s">
        <v>341</v>
      </c>
      <c r="D17464" s="10" t="s">
        <v>2170</v>
      </c>
      <c r="E17464" s="11"/>
      <c r="F17464" s="12">
        <f>ROUND(129*(1+G2/100),2)</f>
        <v>129</v>
      </c>
      <c r="G17464" s="11"/>
    </row>
    <row r="17465" ht="113.25" customHeight="1">
      <c r="A17465" s="11"/>
      <c r="B17465" s="11"/>
      <c r="C17465" s="11"/>
      <c r="D17465" s="10" t="s">
        <v>8198</v>
      </c>
    </row>
    <row r="17466" ht="39.75" customHeight="1">
      <c r="A17466" s="13" t="s">
        <v>8199</v>
      </c>
      <c r="B17466" s="10" t="s">
        <v>42</v>
      </c>
      <c r="C17466" s="10" t="s">
        <v>341</v>
      </c>
      <c r="D17466" s="10" t="s">
        <v>8200</v>
      </c>
      <c r="E17466" s="11"/>
      <c r="F17466" s="12">
        <f>ROUND(129*(1+G2/100),2)</f>
        <v>129</v>
      </c>
      <c r="G17466" s="11"/>
    </row>
    <row r="17467" ht="113.25" customHeight="1">
      <c r="A17467" s="11"/>
      <c r="B17467" s="11"/>
      <c r="C17467" s="11"/>
      <c r="D17467" s="10" t="s">
        <v>8201</v>
      </c>
    </row>
    <row r="17468" ht="39.75" customHeight="1">
      <c r="A17468" s="13" t="s">
        <v>8202</v>
      </c>
      <c r="B17468" s="10" t="s">
        <v>42</v>
      </c>
      <c r="C17468" s="10" t="s">
        <v>276</v>
      </c>
      <c r="D17468" s="10" t="s">
        <v>8203</v>
      </c>
      <c r="E17468" s="11"/>
      <c r="F17468" s="12">
        <f>ROUND(263.08*(1+G2/100),2)</f>
        <v>263.08</v>
      </c>
      <c r="G17468" s="11"/>
    </row>
    <row r="17469" ht="76.5" customHeight="1">
      <c r="A17469" s="11"/>
      <c r="B17469" s="11"/>
      <c r="C17469" s="11"/>
      <c r="D17469" s="10" t="s">
        <v>8204</v>
      </c>
    </row>
    <row r="17470" ht="48.75" customHeight="1">
      <c r="A17470" s="13" t="s">
        <v>2165</v>
      </c>
      <c r="B17470" s="10" t="s">
        <v>42</v>
      </c>
      <c r="C17470" s="10" t="s">
        <v>43</v>
      </c>
      <c r="D17470" s="10" t="s">
        <v>2166</v>
      </c>
      <c r="E17470" s="11"/>
      <c r="F17470" s="12">
        <f>ROUND(56.25*(1+G2/100),2)</f>
        <v>56.25</v>
      </c>
      <c r="G17470" s="11"/>
    </row>
    <row r="17471" ht="224.25" customHeight="1">
      <c r="A17471" s="11"/>
      <c r="B17471" s="11"/>
      <c r="C17471" s="11"/>
      <c r="D17471" s="10" t="s">
        <v>8205</v>
      </c>
    </row>
    <row r="17472" ht="48.75" customHeight="1">
      <c r="A17472" s="13" t="s">
        <v>2220</v>
      </c>
      <c r="B17472" s="10" t="s">
        <v>42</v>
      </c>
      <c r="C17472" s="10" t="s">
        <v>1245</v>
      </c>
      <c r="D17472" s="10" t="s">
        <v>2221</v>
      </c>
      <c r="E17472" s="11"/>
      <c r="F17472" s="12">
        <f>ROUND(11.83*(1+G2/100),2)</f>
        <v>11.83</v>
      </c>
      <c r="G17472" s="11"/>
    </row>
    <row r="17473" ht="57.75" customHeight="1">
      <c r="A17473" s="11"/>
      <c r="B17473" s="11"/>
      <c r="C17473" s="11"/>
      <c r="D17473" s="10" t="s">
        <v>8206</v>
      </c>
    </row>
    <row r="17474" ht="48.75" customHeight="1">
      <c r="A17474" s="13" t="s">
        <v>2159</v>
      </c>
      <c r="B17474" s="10" t="s">
        <v>42</v>
      </c>
      <c r="C17474" s="10" t="s">
        <v>184</v>
      </c>
      <c r="D17474" s="10" t="s">
        <v>2160</v>
      </c>
      <c r="E17474" s="11"/>
      <c r="F17474" s="12">
        <f>ROUND(21.75*(1+G2/100),2)</f>
        <v>21.75</v>
      </c>
      <c r="G17474" s="11"/>
    </row>
    <row r="17475" ht="141.0" customHeight="1">
      <c r="A17475" s="11"/>
      <c r="B17475" s="11"/>
      <c r="C17475" s="11"/>
      <c r="D17475" s="10" t="s">
        <v>8207</v>
      </c>
    </row>
    <row r="17476" ht="48.75" customHeight="1">
      <c r="A17476" s="13" t="s">
        <v>8208</v>
      </c>
      <c r="B17476" s="10" t="s">
        <v>42</v>
      </c>
      <c r="C17476" s="10" t="s">
        <v>341</v>
      </c>
      <c r="D17476" s="10" t="s">
        <v>8209</v>
      </c>
      <c r="E17476" s="11"/>
      <c r="F17476" s="12">
        <f>ROUND(168.67*(1+G2/100),2)</f>
        <v>168.67</v>
      </c>
      <c r="G17476" s="11"/>
    </row>
    <row r="17477" ht="95.25" customHeight="1">
      <c r="A17477" s="11"/>
      <c r="B17477" s="11"/>
      <c r="C17477" s="11"/>
      <c r="D17477" s="10" t="s">
        <v>8210</v>
      </c>
    </row>
    <row r="17478" ht="39.75" customHeight="1">
      <c r="A17478" s="13" t="s">
        <v>8211</v>
      </c>
      <c r="B17478" s="10" t="s">
        <v>42</v>
      </c>
      <c r="C17478" s="10" t="s">
        <v>276</v>
      </c>
      <c r="D17478" s="10" t="s">
        <v>8212</v>
      </c>
      <c r="E17478" s="11"/>
      <c r="F17478" s="12">
        <f>ROUND(138.02*(1+G2/100),2)</f>
        <v>138.02</v>
      </c>
      <c r="G17478" s="11"/>
    </row>
    <row r="17479" ht="85.5" customHeight="1">
      <c r="A17479" s="11"/>
      <c r="B17479" s="11"/>
      <c r="C17479" s="11"/>
      <c r="D17479" s="10" t="s">
        <v>8213</v>
      </c>
    </row>
    <row r="17480" ht="48.75" customHeight="1">
      <c r="A17480" s="13" t="s">
        <v>2167</v>
      </c>
      <c r="B17480" s="10" t="s">
        <v>42</v>
      </c>
      <c r="C17480" s="10" t="s">
        <v>226</v>
      </c>
      <c r="D17480" s="10" t="s">
        <v>2168</v>
      </c>
      <c r="E17480" s="11"/>
      <c r="F17480" s="12">
        <f>ROUND(83.54*(1+G2/100),2)</f>
        <v>83.54</v>
      </c>
      <c r="G17480" s="11"/>
    </row>
    <row r="17481" ht="30.0" customHeight="1">
      <c r="A17481" s="11"/>
      <c r="B17481" s="11"/>
      <c r="C17481" s="11"/>
      <c r="D17481" s="10" t="s">
        <v>8214</v>
      </c>
    </row>
    <row r="17482" ht="48.75" customHeight="1">
      <c r="A17482" s="13" t="s">
        <v>2173</v>
      </c>
      <c r="B17482" s="10" t="s">
        <v>42</v>
      </c>
      <c r="C17482" s="10" t="s">
        <v>344</v>
      </c>
      <c r="D17482" s="10" t="s">
        <v>2174</v>
      </c>
      <c r="E17482" s="11"/>
      <c r="F17482" s="12">
        <f>ROUND(3.16*(1+G2/100),2)</f>
        <v>3.16</v>
      </c>
      <c r="G17482" s="11"/>
    </row>
    <row r="17483" ht="39.75" customHeight="1">
      <c r="A17483" s="11"/>
      <c r="B17483" s="11"/>
      <c r="C17483" s="11"/>
      <c r="D17483" s="10" t="s">
        <v>8215</v>
      </c>
    </row>
    <row r="17484" ht="57.75" customHeight="1">
      <c r="A17484" s="13" t="s">
        <v>2226</v>
      </c>
      <c r="B17484" s="10" t="s">
        <v>42</v>
      </c>
      <c r="C17484" s="10" t="s">
        <v>330</v>
      </c>
      <c r="D17484" s="10" t="s">
        <v>2227</v>
      </c>
      <c r="E17484" s="11"/>
      <c r="F17484" s="12">
        <f>ROUND(16.04*(1+G2/100),2)</f>
        <v>16.04</v>
      </c>
      <c r="G17484" s="11"/>
    </row>
    <row r="17485" ht="39.75" customHeight="1">
      <c r="A17485" s="11"/>
      <c r="B17485" s="11"/>
      <c r="C17485" s="11"/>
      <c r="D17485" s="10" t="s">
        <v>8216</v>
      </c>
    </row>
    <row r="17486" ht="57.75" customHeight="1">
      <c r="A17486" s="13" t="s">
        <v>2224</v>
      </c>
      <c r="B17486" s="10" t="s">
        <v>42</v>
      </c>
      <c r="C17486" s="10" t="s">
        <v>330</v>
      </c>
      <c r="D17486" s="10" t="s">
        <v>2225</v>
      </c>
      <c r="E17486" s="11"/>
      <c r="F17486" s="12">
        <f>ROUND(14.51*(1+G2/100),2)</f>
        <v>14.51</v>
      </c>
      <c r="G17486" s="11"/>
    </row>
    <row r="17487" ht="39.75" customHeight="1">
      <c r="A17487" s="11"/>
      <c r="B17487" s="11"/>
      <c r="C17487" s="11"/>
      <c r="D17487" s="10" t="s">
        <v>8217</v>
      </c>
    </row>
    <row r="17488" ht="48.75" customHeight="1">
      <c r="A17488" s="13" t="s">
        <v>2222</v>
      </c>
      <c r="B17488" s="10" t="s">
        <v>42</v>
      </c>
      <c r="C17488" s="10" t="s">
        <v>341</v>
      </c>
      <c r="D17488" s="10" t="s">
        <v>2223</v>
      </c>
      <c r="E17488" s="11"/>
      <c r="F17488" s="12">
        <f>ROUND(21.38*(1+G2/100),2)</f>
        <v>21.38</v>
      </c>
      <c r="G17488" s="11"/>
    </row>
    <row r="17489" ht="30.0" customHeight="1">
      <c r="A17489" s="11"/>
      <c r="B17489" s="11"/>
      <c r="C17489" s="11"/>
      <c r="D17489" s="10" t="s">
        <v>8218</v>
      </c>
    </row>
    <row r="17490" ht="48.75" customHeight="1">
      <c r="A17490" s="13" t="s">
        <v>8219</v>
      </c>
      <c r="B17490" s="10" t="s">
        <v>42</v>
      </c>
      <c r="C17490" s="10" t="s">
        <v>341</v>
      </c>
      <c r="D17490" s="10" t="s">
        <v>8220</v>
      </c>
      <c r="E17490" s="11"/>
      <c r="F17490" s="12">
        <f>ROUND(125.33*(1+G2/100),2)</f>
        <v>125.33</v>
      </c>
      <c r="G17490" s="11"/>
    </row>
    <row r="17491" ht="132.0" customHeight="1">
      <c r="A17491" s="11"/>
      <c r="B17491" s="11"/>
      <c r="C17491" s="11"/>
      <c r="D17491" s="10" t="s">
        <v>8221</v>
      </c>
    </row>
    <row r="17492" ht="39.75" customHeight="1">
      <c r="A17492" s="13" t="s">
        <v>8222</v>
      </c>
      <c r="B17492" s="10" t="s">
        <v>42</v>
      </c>
      <c r="C17492" s="10" t="s">
        <v>184</v>
      </c>
      <c r="D17492" s="10" t="s">
        <v>8223</v>
      </c>
      <c r="E17492" s="11"/>
      <c r="F17492" s="12">
        <f>ROUND(42.85*(1+G2/100),2)</f>
        <v>42.85</v>
      </c>
      <c r="G17492" s="11"/>
    </row>
    <row r="17493" ht="85.5" customHeight="1">
      <c r="A17493" s="11"/>
      <c r="B17493" s="11"/>
      <c r="C17493" s="11"/>
      <c r="D17493" s="10" t="s">
        <v>8224</v>
      </c>
    </row>
    <row r="17494" ht="48.75" customHeight="1">
      <c r="A17494" s="13" t="s">
        <v>2218</v>
      </c>
      <c r="B17494" s="10" t="s">
        <v>42</v>
      </c>
      <c r="C17494" s="10" t="s">
        <v>344</v>
      </c>
      <c r="D17494" s="10" t="s">
        <v>2219</v>
      </c>
      <c r="E17494" s="11"/>
      <c r="F17494" s="12">
        <f>ROUND(0.23*(1+G2/100),2)</f>
        <v>0.23</v>
      </c>
      <c r="G17494" s="11"/>
    </row>
    <row r="17495" ht="76.5" customHeight="1">
      <c r="A17495" s="11"/>
      <c r="B17495" s="11"/>
      <c r="C17495" s="11"/>
      <c r="D17495" s="10" t="s">
        <v>8225</v>
      </c>
    </row>
    <row r="17496" ht="48.75" customHeight="1">
      <c r="A17496" s="13" t="s">
        <v>2163</v>
      </c>
      <c r="B17496" s="10" t="s">
        <v>42</v>
      </c>
      <c r="C17496" s="10" t="s">
        <v>344</v>
      </c>
      <c r="D17496" s="10" t="s">
        <v>2164</v>
      </c>
      <c r="E17496" s="11"/>
      <c r="F17496" s="12">
        <f>ROUND(0.254*(1+G2/100),2)</f>
        <v>0.25</v>
      </c>
      <c r="G17496" s="11"/>
    </row>
    <row r="17497" ht="76.5" customHeight="1">
      <c r="A17497" s="11"/>
      <c r="B17497" s="11"/>
      <c r="C17497" s="11"/>
      <c r="D17497" s="10" t="s">
        <v>8226</v>
      </c>
    </row>
    <row r="17498" ht="48.75" customHeight="1">
      <c r="A17498" s="13" t="s">
        <v>2175</v>
      </c>
      <c r="B17498" s="10" t="s">
        <v>42</v>
      </c>
      <c r="C17498" s="10" t="s">
        <v>344</v>
      </c>
      <c r="D17498" s="10" t="s">
        <v>2176</v>
      </c>
      <c r="E17498" s="11"/>
      <c r="F17498" s="12">
        <f>ROUND(7.54*(1+G2/100),2)</f>
        <v>7.54</v>
      </c>
      <c r="G17498" s="11"/>
    </row>
    <row r="17499" ht="39.75" customHeight="1">
      <c r="A17499" s="11"/>
      <c r="B17499" s="11"/>
      <c r="C17499" s="11"/>
      <c r="D17499" s="10" t="s">
        <v>8227</v>
      </c>
    </row>
    <row r="17500" ht="39.75" customHeight="1">
      <c r="A17500" s="13" t="s">
        <v>8228</v>
      </c>
      <c r="B17500" s="10" t="s">
        <v>42</v>
      </c>
      <c r="C17500" s="10" t="s">
        <v>1997</v>
      </c>
      <c r="D17500" s="10" t="s">
        <v>8229</v>
      </c>
      <c r="E17500" s="11"/>
      <c r="F17500" s="12">
        <f>ROUND(56*(1+G2/100),2)</f>
        <v>56</v>
      </c>
      <c r="G17500" s="11"/>
    </row>
    <row r="17501" ht="39.75" customHeight="1">
      <c r="A17501" s="11"/>
      <c r="B17501" s="11"/>
      <c r="C17501" s="11"/>
      <c r="D17501" s="10" t="s">
        <v>8230</v>
      </c>
    </row>
    <row r="17502" ht="48.75" customHeight="1">
      <c r="A17502" s="13" t="s">
        <v>2177</v>
      </c>
      <c r="B17502" s="10" t="s">
        <v>42</v>
      </c>
      <c r="C17502" s="10" t="s">
        <v>226</v>
      </c>
      <c r="D17502" s="10" t="s">
        <v>2178</v>
      </c>
      <c r="E17502" s="11"/>
      <c r="F17502" s="12">
        <f>ROUND(9.01*(1+G2/100),2)</f>
        <v>9.01</v>
      </c>
      <c r="G17502" s="11"/>
    </row>
    <row r="17503" ht="123.0" customHeight="1">
      <c r="A17503" s="11"/>
      <c r="B17503" s="11"/>
      <c r="C17503" s="11"/>
      <c r="D17503" s="10" t="s">
        <v>8231</v>
      </c>
    </row>
    <row r="17504" ht="39.75" customHeight="1">
      <c r="A17504" s="13" t="s">
        <v>8232</v>
      </c>
      <c r="B17504" s="10" t="s">
        <v>42</v>
      </c>
      <c r="C17504" s="10" t="s">
        <v>184</v>
      </c>
      <c r="D17504" s="10" t="s">
        <v>8233</v>
      </c>
      <c r="E17504" s="11"/>
      <c r="F17504" s="12">
        <f>ROUND(35.95*(1+G2/100),2)</f>
        <v>35.95</v>
      </c>
      <c r="G17504" s="11"/>
    </row>
    <row r="17505" ht="30.0" customHeight="1">
      <c r="A17505" s="11"/>
      <c r="B17505" s="11"/>
      <c r="C17505" s="11"/>
      <c r="D17505" s="10" t="s">
        <v>8234</v>
      </c>
    </row>
    <row r="17506" ht="39.75" customHeight="1">
      <c r="A17506" s="13" t="s">
        <v>2228</v>
      </c>
      <c r="B17506" s="10" t="s">
        <v>42</v>
      </c>
      <c r="C17506" s="10" t="s">
        <v>43</v>
      </c>
      <c r="D17506" s="10" t="s">
        <v>2229</v>
      </c>
      <c r="E17506" s="11"/>
      <c r="F17506" s="12">
        <f>ROUND(100*(1+G2/100),2)</f>
        <v>100</v>
      </c>
      <c r="G17506" s="11"/>
    </row>
    <row r="17507" ht="95.25" customHeight="1">
      <c r="A17507" s="11"/>
      <c r="B17507" s="11"/>
      <c r="C17507" s="11"/>
      <c r="D17507" s="10" t="s">
        <v>8235</v>
      </c>
    </row>
    <row r="17508" ht="48.75" customHeight="1">
      <c r="A17508" s="13" t="s">
        <v>2212</v>
      </c>
      <c r="B17508" s="10" t="s">
        <v>42</v>
      </c>
      <c r="C17508" s="10" t="s">
        <v>276</v>
      </c>
      <c r="D17508" s="10" t="s">
        <v>2213</v>
      </c>
      <c r="E17508" s="11"/>
      <c r="F17508" s="12">
        <f>ROUND(138.59*(1+G2/100),2)</f>
        <v>138.59</v>
      </c>
      <c r="G17508" s="11"/>
    </row>
    <row r="17509" ht="57.75" customHeight="1">
      <c r="A17509" s="11"/>
      <c r="B17509" s="11"/>
      <c r="C17509" s="11"/>
      <c r="D17509" s="10" t="s">
        <v>8236</v>
      </c>
    </row>
    <row r="17510" ht="48.75" customHeight="1">
      <c r="A17510" s="13" t="s">
        <v>2171</v>
      </c>
      <c r="B17510" s="10" t="s">
        <v>42</v>
      </c>
      <c r="C17510" s="10" t="s">
        <v>1997</v>
      </c>
      <c r="D17510" s="10" t="s">
        <v>2172</v>
      </c>
      <c r="E17510" s="11"/>
      <c r="F17510" s="12">
        <f>ROUND(15*(1+G2/100),2)</f>
        <v>15</v>
      </c>
      <c r="G17510" s="11"/>
    </row>
    <row r="17511" ht="30.0" customHeight="1">
      <c r="A17511" s="11"/>
      <c r="B17511" s="11"/>
      <c r="C17511" s="11"/>
      <c r="D17511" s="10" t="s">
        <v>8237</v>
      </c>
    </row>
    <row r="17512" ht="57.75" customHeight="1">
      <c r="A17512" s="13" t="s">
        <v>2216</v>
      </c>
      <c r="B17512" s="10" t="s">
        <v>42</v>
      </c>
      <c r="C17512" s="10" t="s">
        <v>1825</v>
      </c>
      <c r="D17512" s="10" t="s">
        <v>2217</v>
      </c>
      <c r="E17512" s="11"/>
      <c r="F17512" s="12">
        <f>ROUND(85.48*(1+G2/100),2)</f>
        <v>85.48</v>
      </c>
      <c r="G17512" s="11"/>
    </row>
    <row r="17513" ht="57.75" customHeight="1">
      <c r="A17513" s="11"/>
      <c r="B17513" s="11"/>
      <c r="C17513" s="11"/>
      <c r="D17513" s="10" t="s">
        <v>8238</v>
      </c>
    </row>
    <row r="17514" ht="57.75" customHeight="1">
      <c r="A17514" s="13" t="s">
        <v>8239</v>
      </c>
      <c r="B17514" s="10" t="s">
        <v>42</v>
      </c>
      <c r="C17514" s="10" t="s">
        <v>1825</v>
      </c>
      <c r="D17514" s="10" t="s">
        <v>8240</v>
      </c>
      <c r="E17514" s="11"/>
      <c r="F17514" s="12">
        <f>ROUND(85.48*(1+G2/100),2)</f>
        <v>85.48</v>
      </c>
      <c r="G17514" s="11"/>
    </row>
    <row r="17515" ht="76.5" customHeight="1">
      <c r="A17515" s="11"/>
      <c r="B17515" s="11"/>
      <c r="C17515" s="11"/>
      <c r="D17515" s="10" t="s">
        <v>8241</v>
      </c>
    </row>
    <row r="17516" ht="57.75" customHeight="1">
      <c r="A17516" s="13" t="s">
        <v>2214</v>
      </c>
      <c r="B17516" s="10" t="s">
        <v>42</v>
      </c>
      <c r="C17516" s="10" t="s">
        <v>1881</v>
      </c>
      <c r="D17516" s="10" t="s">
        <v>2215</v>
      </c>
      <c r="E17516" s="11"/>
      <c r="F17516" s="12">
        <f>ROUND(5.12*(1+G2/100),2)</f>
        <v>5.12</v>
      </c>
      <c r="G17516" s="11"/>
    </row>
    <row r="17517" ht="67.5" customHeight="1">
      <c r="A17517" s="11"/>
      <c r="B17517" s="11"/>
      <c r="C17517" s="11"/>
      <c r="D17517" s="10" t="s">
        <v>8242</v>
      </c>
    </row>
    <row r="17518" ht="67.5" customHeight="1">
      <c r="A17518" s="13" t="s">
        <v>2161</v>
      </c>
      <c r="B17518" s="10" t="s">
        <v>42</v>
      </c>
      <c r="C17518" s="10" t="s">
        <v>1825</v>
      </c>
      <c r="D17518" s="10" t="s">
        <v>2162</v>
      </c>
      <c r="E17518" s="11"/>
      <c r="F17518" s="12">
        <f>ROUND(47.87*(1+G2/100),2)</f>
        <v>47.87</v>
      </c>
      <c r="G17518" s="11"/>
    </row>
    <row r="17519" ht="76.5" customHeight="1">
      <c r="A17519" s="11"/>
      <c r="B17519" s="11"/>
      <c r="C17519" s="11"/>
      <c r="D17519" s="10" t="s">
        <v>8243</v>
      </c>
    </row>
    <row r="17520" ht="57.75" customHeight="1">
      <c r="A17520" s="13" t="s">
        <v>8244</v>
      </c>
      <c r="B17520" s="10" t="s">
        <v>42</v>
      </c>
      <c r="C17520" s="10" t="s">
        <v>1825</v>
      </c>
      <c r="D17520" s="10" t="s">
        <v>8245</v>
      </c>
      <c r="E17520" s="11"/>
      <c r="F17520" s="12">
        <f>ROUND(85.48*(1+G2/100),2)</f>
        <v>85.48</v>
      </c>
      <c r="G17520" s="11"/>
    </row>
    <row r="17521" ht="67.5" customHeight="1">
      <c r="A17521" s="11"/>
      <c r="B17521" s="11"/>
      <c r="C17521" s="11"/>
      <c r="D17521" s="10" t="s">
        <v>8246</v>
      </c>
    </row>
    <row r="17522" ht="48.75" customHeight="1">
      <c r="A17522" s="13" t="s">
        <v>8247</v>
      </c>
      <c r="B17522" s="10" t="s">
        <v>42</v>
      </c>
      <c r="C17522" s="10" t="s">
        <v>226</v>
      </c>
      <c r="D17522" s="10" t="s">
        <v>8248</v>
      </c>
      <c r="E17522" s="11"/>
      <c r="F17522" s="12">
        <f>ROUND(13.3*(1+G2/100),2)</f>
        <v>13.3</v>
      </c>
      <c r="G17522" s="11"/>
    </row>
    <row r="17523" ht="67.5" customHeight="1">
      <c r="A17523" s="11"/>
      <c r="B17523" s="11"/>
      <c r="C17523" s="11"/>
      <c r="D17523" s="10" t="s">
        <v>8249</v>
      </c>
    </row>
    <row r="17524" ht="15.0" customHeight="1">
      <c r="A17524" s="16"/>
      <c r="B17524" s="16"/>
      <c r="C17524" s="16"/>
      <c r="D17524" s="45" t="s">
        <v>8193</v>
      </c>
      <c r="E17524" s="46"/>
      <c r="F17524" s="46"/>
      <c r="G17524" s="46"/>
    </row>
    <row r="17525" ht="21.75" customHeight="1">
      <c r="A17525" s="26" t="s">
        <v>8250</v>
      </c>
      <c r="B17525" s="26" t="s">
        <v>10</v>
      </c>
      <c r="C17525" s="27"/>
      <c r="D17525" s="26" t="s">
        <v>8251</v>
      </c>
      <c r="E17525" s="27"/>
      <c r="F17525" s="27"/>
      <c r="G17525" s="27"/>
    </row>
    <row r="17526" ht="30.0" customHeight="1">
      <c r="A17526" s="13" t="s">
        <v>8252</v>
      </c>
      <c r="B17526" s="10" t="s">
        <v>42</v>
      </c>
      <c r="C17526" s="10" t="s">
        <v>1997</v>
      </c>
      <c r="D17526" s="10" t="s">
        <v>8253</v>
      </c>
      <c r="E17526" s="11"/>
      <c r="F17526" s="12">
        <f>ROUND(29.86*(1+G2/100),2)</f>
        <v>29.86</v>
      </c>
      <c r="G17526" s="11"/>
    </row>
    <row r="17527" ht="39.75" customHeight="1">
      <c r="A17527" s="11"/>
      <c r="B17527" s="11"/>
      <c r="C17527" s="11"/>
      <c r="D17527" s="10" t="s">
        <v>8254</v>
      </c>
    </row>
    <row r="17528" ht="30.0" customHeight="1">
      <c r="A17528" s="13" t="s">
        <v>8255</v>
      </c>
      <c r="B17528" s="10" t="s">
        <v>42</v>
      </c>
      <c r="C17528" s="10" t="s">
        <v>325</v>
      </c>
      <c r="D17528" s="10" t="s">
        <v>8256</v>
      </c>
      <c r="E17528" s="11"/>
      <c r="F17528" s="12">
        <f>ROUND(44.84*(1+G2/100),2)</f>
        <v>44.84</v>
      </c>
      <c r="G17528" s="11"/>
    </row>
    <row r="17529" ht="67.5" customHeight="1">
      <c r="A17529" s="11"/>
      <c r="B17529" s="11"/>
      <c r="C17529" s="11"/>
      <c r="D17529" s="10" t="s">
        <v>8257</v>
      </c>
    </row>
    <row r="17530" ht="21.0" customHeight="1">
      <c r="A17530" s="13" t="s">
        <v>8258</v>
      </c>
      <c r="B17530" s="10" t="s">
        <v>42</v>
      </c>
      <c r="C17530" s="10" t="s">
        <v>226</v>
      </c>
      <c r="D17530" s="10" t="s">
        <v>8259</v>
      </c>
      <c r="E17530" s="11"/>
      <c r="F17530" s="12">
        <f>ROUND(75.35*(1+G2/100),2)</f>
        <v>75.35</v>
      </c>
      <c r="G17530" s="11"/>
    </row>
    <row r="17531" ht="57.75" customHeight="1">
      <c r="A17531" s="11"/>
      <c r="B17531" s="11"/>
      <c r="C17531" s="11"/>
      <c r="D17531" s="10" t="s">
        <v>8260</v>
      </c>
    </row>
    <row r="17532" ht="30.0" customHeight="1">
      <c r="A17532" s="13" t="s">
        <v>8261</v>
      </c>
      <c r="B17532" s="10" t="s">
        <v>42</v>
      </c>
      <c r="C17532" s="10" t="s">
        <v>1997</v>
      </c>
      <c r="D17532" s="10" t="s">
        <v>8262</v>
      </c>
      <c r="E17532" s="11"/>
      <c r="F17532" s="12">
        <f>ROUND(2.9*(1+G2/100),2)</f>
        <v>2.9</v>
      </c>
      <c r="G17532" s="11"/>
    </row>
    <row r="17533" ht="57.75" customHeight="1">
      <c r="A17533" s="11"/>
      <c r="B17533" s="11"/>
      <c r="C17533" s="11"/>
      <c r="D17533" s="10" t="s">
        <v>8263</v>
      </c>
    </row>
    <row r="17534" ht="30.0" customHeight="1">
      <c r="A17534" s="13" t="s">
        <v>8264</v>
      </c>
      <c r="B17534" s="10" t="s">
        <v>42</v>
      </c>
      <c r="C17534" s="10" t="s">
        <v>1997</v>
      </c>
      <c r="D17534" s="10" t="s">
        <v>8265</v>
      </c>
      <c r="E17534" s="11"/>
      <c r="F17534" s="12">
        <f>ROUND(13.03*(1+G2/100),2)</f>
        <v>13.03</v>
      </c>
      <c r="G17534" s="11"/>
    </row>
    <row r="17535" ht="57.75" customHeight="1">
      <c r="A17535" s="11"/>
      <c r="B17535" s="11"/>
      <c r="C17535" s="11"/>
      <c r="D17535" s="10" t="s">
        <v>8266</v>
      </c>
    </row>
    <row r="17536" ht="48.75" customHeight="1">
      <c r="A17536" s="13" t="s">
        <v>8267</v>
      </c>
      <c r="B17536" s="10" t="s">
        <v>42</v>
      </c>
      <c r="C17536" s="10" t="s">
        <v>276</v>
      </c>
      <c r="D17536" s="10" t="s">
        <v>8268</v>
      </c>
      <c r="E17536" s="11"/>
      <c r="F17536" s="12">
        <f>ROUND(63.21*(1+G2/100),2)</f>
        <v>63.21</v>
      </c>
      <c r="G17536" s="11"/>
    </row>
    <row r="17537" ht="85.5" customHeight="1">
      <c r="A17537" s="11"/>
      <c r="B17537" s="11"/>
      <c r="C17537" s="11"/>
      <c r="D17537" s="10" t="s">
        <v>8269</v>
      </c>
    </row>
    <row r="17538" ht="39.75" customHeight="1">
      <c r="A17538" s="13" t="s">
        <v>8270</v>
      </c>
      <c r="B17538" s="10" t="s">
        <v>42</v>
      </c>
      <c r="C17538" s="10" t="s">
        <v>184</v>
      </c>
      <c r="D17538" s="10" t="s">
        <v>8271</v>
      </c>
      <c r="E17538" s="11"/>
      <c r="F17538" s="12">
        <f>ROUND(15.49*(1+G2/100),2)</f>
        <v>15.49</v>
      </c>
      <c r="G17538" s="11"/>
    </row>
    <row r="17539" ht="48.75" customHeight="1">
      <c r="A17539" s="11"/>
      <c r="B17539" s="11"/>
      <c r="C17539" s="11"/>
      <c r="D17539" s="10" t="s">
        <v>8272</v>
      </c>
    </row>
    <row r="17540" ht="30.0" customHeight="1">
      <c r="A17540" s="13" t="s">
        <v>8273</v>
      </c>
      <c r="B17540" s="10" t="s">
        <v>42</v>
      </c>
      <c r="C17540" s="10" t="s">
        <v>19</v>
      </c>
      <c r="D17540" s="10" t="s">
        <v>8274</v>
      </c>
      <c r="E17540" s="11"/>
      <c r="F17540" s="12">
        <f>ROUND(7.65*(1+G2/100),2)</f>
        <v>7.65</v>
      </c>
      <c r="G17540" s="11"/>
    </row>
    <row r="17541" ht="12.0" customHeight="1">
      <c r="A17541" s="11"/>
      <c r="B17541" s="11"/>
      <c r="C17541" s="11"/>
      <c r="D17541" s="10" t="s">
        <v>8274</v>
      </c>
    </row>
    <row r="17542" ht="30.0" customHeight="1">
      <c r="A17542" s="13" t="s">
        <v>8275</v>
      </c>
      <c r="B17542" s="10" t="s">
        <v>42</v>
      </c>
      <c r="C17542" s="10" t="s">
        <v>1997</v>
      </c>
      <c r="D17542" s="10" t="s">
        <v>8276</v>
      </c>
      <c r="E17542" s="11"/>
      <c r="F17542" s="12">
        <f>ROUND(10.1*(1+G2/100),2)</f>
        <v>10.1</v>
      </c>
      <c r="G17542" s="11"/>
    </row>
    <row r="17543" ht="57.75" customHeight="1">
      <c r="A17543" s="11"/>
      <c r="B17543" s="11"/>
      <c r="C17543" s="11"/>
      <c r="D17543" s="10" t="s">
        <v>8277</v>
      </c>
    </row>
    <row r="17544" ht="30.0" customHeight="1">
      <c r="A17544" s="13" t="s">
        <v>8278</v>
      </c>
      <c r="B17544" s="10" t="s">
        <v>42</v>
      </c>
      <c r="C17544" s="10" t="s">
        <v>325</v>
      </c>
      <c r="D17544" s="10" t="s">
        <v>8279</v>
      </c>
      <c r="E17544" s="11"/>
      <c r="F17544" s="12">
        <f>ROUND(36.65*(1+G2/100),2)</f>
        <v>36.65</v>
      </c>
      <c r="G17544" s="11"/>
    </row>
    <row r="17545" ht="76.5" customHeight="1">
      <c r="A17545" s="11"/>
      <c r="B17545" s="11"/>
      <c r="C17545" s="11"/>
      <c r="D17545" s="10" t="s">
        <v>8280</v>
      </c>
    </row>
    <row r="17546" ht="30.0" customHeight="1">
      <c r="A17546" s="13" t="s">
        <v>8281</v>
      </c>
      <c r="B17546" s="10" t="s">
        <v>42</v>
      </c>
      <c r="C17546" s="10" t="s">
        <v>276</v>
      </c>
      <c r="D17546" s="10" t="s">
        <v>8282</v>
      </c>
      <c r="E17546" s="11"/>
      <c r="F17546" s="12">
        <f>ROUND(97.71*(1+G2/100),2)</f>
        <v>97.71</v>
      </c>
      <c r="G17546" s="11"/>
    </row>
    <row r="17547" ht="57.75" customHeight="1">
      <c r="A17547" s="11"/>
      <c r="B17547" s="11"/>
      <c r="C17547" s="11"/>
      <c r="D17547" s="10" t="s">
        <v>8283</v>
      </c>
    </row>
    <row r="17548" ht="24.75" customHeight="1">
      <c r="A17548" s="13" t="s">
        <v>2184</v>
      </c>
      <c r="B17548" s="10" t="s">
        <v>42</v>
      </c>
      <c r="C17548" s="10" t="s">
        <v>19</v>
      </c>
      <c r="D17548" s="10" t="s">
        <v>2185</v>
      </c>
      <c r="E17548" s="11"/>
      <c r="F17548" s="12">
        <f>ROUND(6.55*(1+G2/100),2)</f>
        <v>6.55</v>
      </c>
      <c r="G17548" s="11"/>
    </row>
    <row r="17549" ht="12.0" customHeight="1">
      <c r="A17549" s="11"/>
      <c r="B17549" s="11"/>
      <c r="C17549" s="11"/>
      <c r="D17549" s="10" t="s">
        <v>8284</v>
      </c>
    </row>
    <row r="17550" ht="30.0" customHeight="1">
      <c r="A17550" s="13" t="s">
        <v>2188</v>
      </c>
      <c r="B17550" s="10" t="s">
        <v>42</v>
      </c>
      <c r="C17550" s="10" t="s">
        <v>19</v>
      </c>
      <c r="D17550" s="10" t="s">
        <v>2189</v>
      </c>
      <c r="E17550" s="11"/>
      <c r="F17550" s="12">
        <f>ROUND(4.31*(1+G2/100),2)</f>
        <v>4.31</v>
      </c>
      <c r="G17550" s="11"/>
    </row>
    <row r="17551" ht="12.0" customHeight="1">
      <c r="A17551" s="11"/>
      <c r="B17551" s="11"/>
      <c r="C17551" s="11"/>
      <c r="D17551" s="10" t="s">
        <v>2189</v>
      </c>
    </row>
    <row r="17552" ht="21.0" customHeight="1">
      <c r="A17552" s="13" t="s">
        <v>2186</v>
      </c>
      <c r="B17552" s="10" t="s">
        <v>42</v>
      </c>
      <c r="C17552" s="10" t="s">
        <v>226</v>
      </c>
      <c r="D17552" s="10" t="s">
        <v>2187</v>
      </c>
      <c r="E17552" s="11"/>
      <c r="F17552" s="12">
        <f>ROUND(63.25*(1+G2/100),2)</f>
        <v>63.25</v>
      </c>
      <c r="G17552" s="11"/>
    </row>
    <row r="17553" ht="12.0" customHeight="1">
      <c r="A17553" s="11"/>
      <c r="B17553" s="11"/>
      <c r="C17553" s="11"/>
      <c r="D17553" s="10" t="s">
        <v>2187</v>
      </c>
    </row>
    <row r="17554" ht="39.75" customHeight="1">
      <c r="A17554" s="13" t="s">
        <v>2206</v>
      </c>
      <c r="B17554" s="10" t="s">
        <v>42</v>
      </c>
      <c r="C17554" s="10" t="s">
        <v>276</v>
      </c>
      <c r="D17554" s="10" t="s">
        <v>2207</v>
      </c>
      <c r="E17554" s="11"/>
      <c r="F17554" s="12">
        <f>ROUND(53.23*(1+G2/100),2)</f>
        <v>53.23</v>
      </c>
      <c r="G17554" s="11"/>
    </row>
    <row r="17555" ht="57.75" customHeight="1">
      <c r="A17555" s="11"/>
      <c r="B17555" s="11"/>
      <c r="C17555" s="11"/>
      <c r="D17555" s="10" t="s">
        <v>8285</v>
      </c>
    </row>
    <row r="17556" ht="48.75" customHeight="1">
      <c r="A17556" s="13" t="s">
        <v>2208</v>
      </c>
      <c r="B17556" s="10" t="s">
        <v>42</v>
      </c>
      <c r="C17556" s="10" t="s">
        <v>276</v>
      </c>
      <c r="D17556" s="10" t="s">
        <v>2209</v>
      </c>
      <c r="E17556" s="11"/>
      <c r="F17556" s="12">
        <f>ROUND(53.35*(1+G2/100),2)</f>
        <v>53.35</v>
      </c>
      <c r="G17556" s="11"/>
    </row>
    <row r="17557" ht="21.0" customHeight="1">
      <c r="A17557" s="11"/>
      <c r="B17557" s="11"/>
      <c r="C17557" s="11"/>
      <c r="D17557" s="10" t="s">
        <v>2209</v>
      </c>
    </row>
    <row r="17558" ht="39.75" customHeight="1">
      <c r="A17558" s="13" t="s">
        <v>2182</v>
      </c>
      <c r="B17558" s="10" t="s">
        <v>42</v>
      </c>
      <c r="C17558" s="10" t="s">
        <v>184</v>
      </c>
      <c r="D17558" s="10" t="s">
        <v>2183</v>
      </c>
      <c r="E17558" s="11"/>
      <c r="F17558" s="12">
        <f>ROUND(14.85*(1+G2/100),2)</f>
        <v>14.85</v>
      </c>
      <c r="G17558" s="11"/>
    </row>
    <row r="17559" ht="21.0" customHeight="1">
      <c r="A17559" s="11"/>
      <c r="B17559" s="11"/>
      <c r="C17559" s="11"/>
      <c r="D17559" s="10" t="s">
        <v>2183</v>
      </c>
    </row>
    <row r="17560" ht="30.0" customHeight="1">
      <c r="A17560" s="13" t="s">
        <v>2194</v>
      </c>
      <c r="B17560" s="10" t="s">
        <v>42</v>
      </c>
      <c r="C17560" s="10" t="s">
        <v>1997</v>
      </c>
      <c r="D17560" s="10" t="s">
        <v>2195</v>
      </c>
      <c r="E17560" s="11"/>
      <c r="F17560" s="12">
        <f>ROUND(2.42*(1+G2/100),2)</f>
        <v>2.42</v>
      </c>
      <c r="G17560" s="11"/>
    </row>
    <row r="17561" ht="12.0" customHeight="1">
      <c r="A17561" s="11"/>
      <c r="B17561" s="11"/>
      <c r="C17561" s="11"/>
      <c r="D17561" s="10" t="s">
        <v>2195</v>
      </c>
    </row>
    <row r="17562" ht="30.0" customHeight="1">
      <c r="A17562" s="13" t="s">
        <v>2198</v>
      </c>
      <c r="B17562" s="10" t="s">
        <v>42</v>
      </c>
      <c r="C17562" s="10" t="s">
        <v>1997</v>
      </c>
      <c r="D17562" s="10" t="s">
        <v>2199</v>
      </c>
      <c r="E17562" s="11"/>
      <c r="F17562" s="12">
        <f>ROUND(5.76*(1+G2/100),2)</f>
        <v>5.76</v>
      </c>
      <c r="G17562" s="11"/>
    </row>
    <row r="17563" ht="21.0" customHeight="1">
      <c r="A17563" s="11"/>
      <c r="B17563" s="11"/>
      <c r="C17563" s="11"/>
      <c r="D17563" s="10" t="s">
        <v>2199</v>
      </c>
    </row>
    <row r="17564" ht="30.0" customHeight="1">
      <c r="A17564" s="13" t="s">
        <v>2192</v>
      </c>
      <c r="B17564" s="10" t="s">
        <v>42</v>
      </c>
      <c r="C17564" s="10" t="s">
        <v>1997</v>
      </c>
      <c r="D17564" s="10" t="s">
        <v>2193</v>
      </c>
      <c r="E17564" s="11"/>
      <c r="F17564" s="12">
        <f>ROUND(8.53*(1+G2/100),2)</f>
        <v>8.53</v>
      </c>
      <c r="G17564" s="11"/>
    </row>
    <row r="17565" ht="21.0" customHeight="1">
      <c r="A17565" s="11"/>
      <c r="B17565" s="11"/>
      <c r="C17565" s="11"/>
      <c r="D17565" s="10" t="s">
        <v>2193</v>
      </c>
    </row>
    <row r="17566" ht="39.75" customHeight="1">
      <c r="A17566" s="13" t="s">
        <v>2202</v>
      </c>
      <c r="B17566" s="10" t="s">
        <v>42</v>
      </c>
      <c r="C17566" s="10" t="s">
        <v>1997</v>
      </c>
      <c r="D17566" s="10" t="s">
        <v>2203</v>
      </c>
      <c r="E17566" s="11"/>
      <c r="F17566" s="12">
        <f>ROUND(9.99*(1+G2/100),2)</f>
        <v>9.99</v>
      </c>
      <c r="G17566" s="11"/>
    </row>
    <row r="17567" ht="21.0" customHeight="1">
      <c r="A17567" s="11"/>
      <c r="B17567" s="11"/>
      <c r="C17567" s="11"/>
      <c r="D17567" s="10" t="s">
        <v>2203</v>
      </c>
    </row>
    <row r="17568" ht="39.75" customHeight="1">
      <c r="A17568" s="13" t="s">
        <v>2204</v>
      </c>
      <c r="B17568" s="10" t="s">
        <v>42</v>
      </c>
      <c r="C17568" s="10" t="s">
        <v>1997</v>
      </c>
      <c r="D17568" s="10" t="s">
        <v>2205</v>
      </c>
      <c r="E17568" s="11"/>
      <c r="F17568" s="12">
        <f>ROUND(9.99*(1+G2/100),2)</f>
        <v>9.99</v>
      </c>
      <c r="G17568" s="11"/>
    </row>
    <row r="17569" ht="21.0" customHeight="1">
      <c r="A17569" s="11"/>
      <c r="B17569" s="11"/>
      <c r="C17569" s="11"/>
      <c r="D17569" s="10" t="s">
        <v>2205</v>
      </c>
    </row>
    <row r="17570" ht="30.0" customHeight="1">
      <c r="A17570" s="13" t="s">
        <v>2196</v>
      </c>
      <c r="B17570" s="10" t="s">
        <v>42</v>
      </c>
      <c r="C17570" s="10" t="s">
        <v>1997</v>
      </c>
      <c r="D17570" s="10" t="s">
        <v>2197</v>
      </c>
      <c r="E17570" s="11"/>
      <c r="F17570" s="12">
        <f>ROUND(11*(1+G2/100),2)</f>
        <v>11</v>
      </c>
      <c r="G17570" s="11"/>
    </row>
    <row r="17571" ht="21.0" customHeight="1">
      <c r="A17571" s="11"/>
      <c r="B17571" s="11"/>
      <c r="C17571" s="11"/>
      <c r="D17571" s="10" t="s">
        <v>2197</v>
      </c>
    </row>
    <row r="17572" ht="39.75" customHeight="1">
      <c r="A17572" s="13" t="s">
        <v>2200</v>
      </c>
      <c r="B17572" s="10" t="s">
        <v>42</v>
      </c>
      <c r="C17572" s="10" t="s">
        <v>1997</v>
      </c>
      <c r="D17572" s="10" t="s">
        <v>2201</v>
      </c>
      <c r="E17572" s="11"/>
      <c r="F17572" s="12">
        <f>ROUND(29.11*(1+G2/100),2)</f>
        <v>29.11</v>
      </c>
      <c r="G17572" s="11"/>
    </row>
    <row r="17573" ht="21.0" customHeight="1">
      <c r="A17573" s="11"/>
      <c r="B17573" s="11"/>
      <c r="C17573" s="11"/>
      <c r="D17573" s="10" t="s">
        <v>2201</v>
      </c>
    </row>
    <row r="17574" ht="39.75" customHeight="1">
      <c r="A17574" s="13" t="s">
        <v>2190</v>
      </c>
      <c r="B17574" s="10" t="s">
        <v>42</v>
      </c>
      <c r="C17574" s="10" t="s">
        <v>325</v>
      </c>
      <c r="D17574" s="10" t="s">
        <v>2191</v>
      </c>
      <c r="E17574" s="11"/>
      <c r="F17574" s="12">
        <f>ROUND(15.45*(1+G2/100),2)</f>
        <v>15.45</v>
      </c>
      <c r="G17574" s="11"/>
    </row>
    <row r="17575" ht="21.0" customHeight="1">
      <c r="A17575" s="11"/>
      <c r="B17575" s="11"/>
      <c r="C17575" s="11"/>
      <c r="D17575" s="10" t="s">
        <v>2191</v>
      </c>
    </row>
    <row r="17576" ht="15.0" customHeight="1">
      <c r="A17576" s="16"/>
      <c r="B17576" s="16"/>
      <c r="C17576" s="16"/>
      <c r="D17576" s="45" t="s">
        <v>8250</v>
      </c>
      <c r="E17576" s="46"/>
      <c r="F17576" s="46"/>
      <c r="G17576" s="46"/>
    </row>
    <row r="17577" ht="21.75" customHeight="1">
      <c r="A17577" s="26" t="s">
        <v>8286</v>
      </c>
      <c r="B17577" s="26" t="s">
        <v>10</v>
      </c>
      <c r="C17577" s="27"/>
      <c r="D17577" s="26" t="s">
        <v>8287</v>
      </c>
      <c r="E17577" s="27"/>
      <c r="F17577" s="27"/>
      <c r="G17577" s="27"/>
    </row>
    <row r="17578" ht="39.75" customHeight="1">
      <c r="A17578" s="13" t="s">
        <v>1996</v>
      </c>
      <c r="B17578" s="10" t="s">
        <v>42</v>
      </c>
      <c r="C17578" s="10" t="s">
        <v>1997</v>
      </c>
      <c r="D17578" s="10" t="s">
        <v>1998</v>
      </c>
      <c r="E17578" s="11"/>
      <c r="F17578" s="12">
        <f>ROUND(5.04*(1+G2/100),2)</f>
        <v>5.04</v>
      </c>
      <c r="G17578" s="11"/>
    </row>
    <row r="17579" ht="48.75" customHeight="1">
      <c r="A17579" s="11"/>
      <c r="B17579" s="11"/>
      <c r="C17579" s="11"/>
      <c r="D17579" s="10" t="s">
        <v>8288</v>
      </c>
    </row>
    <row r="17580" ht="48.75" customHeight="1">
      <c r="A17580" s="13" t="s">
        <v>1276</v>
      </c>
      <c r="B17580" s="10" t="s">
        <v>42</v>
      </c>
      <c r="C17580" s="10" t="s">
        <v>43</v>
      </c>
      <c r="D17580" s="10" t="s">
        <v>1277</v>
      </c>
      <c r="E17580" s="11"/>
      <c r="F17580" s="12">
        <f>ROUND(45.57*(1+G2/100),2)</f>
        <v>45.57</v>
      </c>
      <c r="G17580" s="11"/>
    </row>
    <row r="17581" ht="224.25" customHeight="1">
      <c r="A17581" s="11"/>
      <c r="B17581" s="11"/>
      <c r="C17581" s="11"/>
      <c r="D17581" s="10" t="s">
        <v>7721</v>
      </c>
    </row>
    <row r="17582" ht="39.75" customHeight="1">
      <c r="A17582" s="13" t="s">
        <v>2030</v>
      </c>
      <c r="B17582" s="10" t="s">
        <v>42</v>
      </c>
      <c r="C17582" s="10" t="s">
        <v>184</v>
      </c>
      <c r="D17582" s="10" t="s">
        <v>2031</v>
      </c>
      <c r="E17582" s="11"/>
      <c r="F17582" s="12">
        <f>ROUND(133.31*(1+G2/100),2)</f>
        <v>133.31</v>
      </c>
      <c r="G17582" s="11"/>
    </row>
    <row r="17583" ht="95.25" customHeight="1">
      <c r="A17583" s="11"/>
      <c r="B17583" s="11"/>
      <c r="C17583" s="11"/>
      <c r="D17583" s="10" t="s">
        <v>8289</v>
      </c>
    </row>
    <row r="17584" ht="30.0" customHeight="1">
      <c r="A17584" s="13" t="s">
        <v>8290</v>
      </c>
      <c r="B17584" s="10" t="s">
        <v>42</v>
      </c>
      <c r="C17584" s="10" t="s">
        <v>226</v>
      </c>
      <c r="D17584" s="10" t="s">
        <v>8291</v>
      </c>
      <c r="E17584" s="11"/>
      <c r="F17584" s="12">
        <f>ROUND(102*(1+G2/100),2)</f>
        <v>102</v>
      </c>
      <c r="G17584" s="11"/>
    </row>
    <row r="17585" ht="30.0" customHeight="1">
      <c r="A17585" s="11"/>
      <c r="B17585" s="11"/>
      <c r="C17585" s="11"/>
      <c r="D17585" s="10" t="s">
        <v>8292</v>
      </c>
    </row>
    <row r="17586" ht="39.75" customHeight="1">
      <c r="A17586" s="13" t="s">
        <v>8293</v>
      </c>
      <c r="B17586" s="10" t="s">
        <v>42</v>
      </c>
      <c r="C17586" s="10" t="s">
        <v>184</v>
      </c>
      <c r="D17586" s="10" t="s">
        <v>8294</v>
      </c>
      <c r="E17586" s="11"/>
      <c r="F17586" s="12">
        <f>ROUND(42.37*(1+G2/100),2)</f>
        <v>42.37</v>
      </c>
      <c r="G17586" s="11"/>
    </row>
    <row r="17587" ht="270.75" customHeight="1">
      <c r="A17587" s="11"/>
      <c r="B17587" s="11"/>
      <c r="C17587" s="11"/>
      <c r="D17587" s="10" t="s">
        <v>8295</v>
      </c>
    </row>
    <row r="17588" ht="48.75" customHeight="1">
      <c r="A17588" s="13" t="s">
        <v>8296</v>
      </c>
      <c r="B17588" s="10" t="s">
        <v>42</v>
      </c>
      <c r="C17588" s="10" t="s">
        <v>325</v>
      </c>
      <c r="D17588" s="10" t="s">
        <v>8297</v>
      </c>
      <c r="E17588" s="11"/>
      <c r="F17588" s="12">
        <f>ROUND(71.96*(1+G2/100),2)</f>
        <v>71.96</v>
      </c>
      <c r="G17588" s="11"/>
    </row>
    <row r="17589" ht="48.75" customHeight="1">
      <c r="A17589" s="11"/>
      <c r="B17589" s="11"/>
      <c r="C17589" s="11"/>
      <c r="D17589" s="10" t="s">
        <v>8298</v>
      </c>
    </row>
    <row r="17590" ht="48.75" customHeight="1">
      <c r="A17590" s="13" t="s">
        <v>1897</v>
      </c>
      <c r="B17590" s="10" t="s">
        <v>42</v>
      </c>
      <c r="C17590" s="10" t="s">
        <v>325</v>
      </c>
      <c r="D17590" s="10" t="s">
        <v>1898</v>
      </c>
      <c r="E17590" s="11"/>
      <c r="F17590" s="12">
        <f>ROUND(72.45*(1+G2/100),2)</f>
        <v>72.45</v>
      </c>
      <c r="G17590" s="11"/>
    </row>
    <row r="17591" ht="48.75" customHeight="1">
      <c r="A17591" s="11"/>
      <c r="B17591" s="11"/>
      <c r="C17591" s="11"/>
      <c r="D17591" s="10" t="s">
        <v>8299</v>
      </c>
    </row>
    <row r="17592" ht="48.75" customHeight="1">
      <c r="A17592" s="13" t="s">
        <v>8300</v>
      </c>
      <c r="B17592" s="10" t="s">
        <v>42</v>
      </c>
      <c r="C17592" s="10" t="s">
        <v>1825</v>
      </c>
      <c r="D17592" s="10" t="s">
        <v>8301</v>
      </c>
      <c r="E17592" s="11"/>
      <c r="F17592" s="12">
        <f>ROUND(119.71*(1+G2/100),2)</f>
        <v>119.71</v>
      </c>
      <c r="G17592" s="11"/>
    </row>
    <row r="17593" ht="48.75" customHeight="1">
      <c r="A17593" s="11"/>
      <c r="B17593" s="11"/>
      <c r="C17593" s="11"/>
      <c r="D17593" s="10" t="s">
        <v>8302</v>
      </c>
    </row>
    <row r="17594" ht="48.75" customHeight="1">
      <c r="A17594" s="13" t="s">
        <v>2242</v>
      </c>
      <c r="B17594" s="10" t="s">
        <v>42</v>
      </c>
      <c r="C17594" s="10" t="s">
        <v>1825</v>
      </c>
      <c r="D17594" s="10" t="s">
        <v>2243</v>
      </c>
      <c r="E17594" s="11"/>
      <c r="F17594" s="12">
        <f>ROUND(178.46*(1+G2/100),2)</f>
        <v>178.46</v>
      </c>
      <c r="G17594" s="11"/>
    </row>
    <row r="17595" ht="48.75" customHeight="1">
      <c r="A17595" s="11"/>
      <c r="B17595" s="11"/>
      <c r="C17595" s="11"/>
      <c r="D17595" s="10" t="s">
        <v>8302</v>
      </c>
    </row>
    <row r="17596" ht="48.75" customHeight="1">
      <c r="A17596" s="13" t="s">
        <v>8303</v>
      </c>
      <c r="B17596" s="10" t="s">
        <v>42</v>
      </c>
      <c r="C17596" s="10" t="s">
        <v>1825</v>
      </c>
      <c r="D17596" s="10" t="s">
        <v>8304</v>
      </c>
      <c r="E17596" s="11"/>
      <c r="F17596" s="12">
        <f>ROUND(92.2*(1+G2/100),2)</f>
        <v>92.2</v>
      </c>
      <c r="G17596" s="11"/>
    </row>
    <row r="17597" ht="76.5" customHeight="1">
      <c r="A17597" s="11"/>
      <c r="B17597" s="11"/>
      <c r="C17597" s="11"/>
      <c r="D17597" s="10" t="s">
        <v>8305</v>
      </c>
    </row>
    <row r="17598" ht="48.75" customHeight="1">
      <c r="A17598" s="13" t="s">
        <v>8306</v>
      </c>
      <c r="B17598" s="10" t="s">
        <v>42</v>
      </c>
      <c r="C17598" s="10" t="s">
        <v>1825</v>
      </c>
      <c r="D17598" s="10" t="s">
        <v>8307</v>
      </c>
      <c r="E17598" s="11"/>
      <c r="F17598" s="12">
        <f>ROUND(92.2*(1+G2/100),2)</f>
        <v>92.2</v>
      </c>
      <c r="G17598" s="11"/>
    </row>
    <row r="17599" ht="76.5" customHeight="1">
      <c r="A17599" s="11"/>
      <c r="B17599" s="11"/>
      <c r="C17599" s="11"/>
      <c r="D17599" s="10" t="s">
        <v>8305</v>
      </c>
    </row>
    <row r="17600" ht="48.75" customHeight="1">
      <c r="A17600" s="13" t="s">
        <v>5601</v>
      </c>
      <c r="B17600" s="10" t="s">
        <v>42</v>
      </c>
      <c r="C17600" s="10" t="s">
        <v>276</v>
      </c>
      <c r="D17600" s="10" t="s">
        <v>5602</v>
      </c>
      <c r="E17600" s="11"/>
      <c r="F17600" s="12">
        <f>ROUND(114.95*(1+G2/100),2)</f>
        <v>114.95</v>
      </c>
      <c r="G17600" s="11"/>
    </row>
    <row r="17601" ht="132.0" customHeight="1">
      <c r="A17601" s="11"/>
      <c r="B17601" s="11"/>
      <c r="C17601" s="11"/>
      <c r="D17601" s="10" t="s">
        <v>8308</v>
      </c>
    </row>
    <row r="17602" ht="30.0" customHeight="1">
      <c r="A17602" s="13" t="s">
        <v>1899</v>
      </c>
      <c r="B17602" s="10" t="s">
        <v>42</v>
      </c>
      <c r="C17602" s="10" t="s">
        <v>226</v>
      </c>
      <c r="D17602" s="10" t="s">
        <v>1900</v>
      </c>
      <c r="E17602" s="11"/>
      <c r="F17602" s="12">
        <f>ROUND(75.52*(1+G2/100),2)</f>
        <v>75.52</v>
      </c>
      <c r="G17602" s="11"/>
    </row>
    <row r="17603" ht="57.75" customHeight="1">
      <c r="A17603" s="11"/>
      <c r="B17603" s="11"/>
      <c r="C17603" s="11"/>
      <c r="D17603" s="10" t="s">
        <v>8309</v>
      </c>
    </row>
    <row r="17604" ht="39.75" customHeight="1">
      <c r="A17604" s="13" t="s">
        <v>8310</v>
      </c>
      <c r="B17604" s="10" t="s">
        <v>42</v>
      </c>
      <c r="C17604" s="10" t="s">
        <v>184</v>
      </c>
      <c r="D17604" s="10" t="s">
        <v>8311</v>
      </c>
      <c r="E17604" s="11"/>
      <c r="F17604" s="12">
        <f>ROUND(14.73*(1+G2/100),2)</f>
        <v>14.73</v>
      </c>
      <c r="G17604" s="11"/>
    </row>
    <row r="17605" ht="67.5" customHeight="1">
      <c r="A17605" s="11"/>
      <c r="B17605" s="11"/>
      <c r="C17605" s="11"/>
      <c r="D17605" s="10" t="s">
        <v>8312</v>
      </c>
    </row>
    <row r="17606" ht="30.0" customHeight="1">
      <c r="A17606" s="13" t="s">
        <v>2028</v>
      </c>
      <c r="B17606" s="10" t="s">
        <v>42</v>
      </c>
      <c r="C17606" s="10" t="s">
        <v>1997</v>
      </c>
      <c r="D17606" s="10" t="s">
        <v>2029</v>
      </c>
      <c r="E17606" s="11"/>
      <c r="F17606" s="12">
        <f>ROUND(2.8*(1+G2/100),2)</f>
        <v>2.8</v>
      </c>
      <c r="G17606" s="11"/>
    </row>
    <row r="17607" ht="30.0" customHeight="1">
      <c r="A17607" s="11"/>
      <c r="B17607" s="11"/>
      <c r="C17607" s="11"/>
      <c r="D17607" s="10" t="s">
        <v>8313</v>
      </c>
    </row>
    <row r="17608" ht="48.75" customHeight="1">
      <c r="A17608" s="13" t="s">
        <v>2244</v>
      </c>
      <c r="B17608" s="10" t="s">
        <v>42</v>
      </c>
      <c r="C17608" s="10" t="s">
        <v>325</v>
      </c>
      <c r="D17608" s="10" t="s">
        <v>2245</v>
      </c>
      <c r="E17608" s="11"/>
      <c r="F17608" s="12">
        <f>ROUND(52.27*(1+G2/100),2)</f>
        <v>52.27</v>
      </c>
      <c r="G17608" s="11"/>
    </row>
    <row r="17609" ht="48.75" customHeight="1">
      <c r="A17609" s="11"/>
      <c r="B17609" s="11"/>
      <c r="C17609" s="11"/>
      <c r="D17609" s="10" t="s">
        <v>8314</v>
      </c>
    </row>
    <row r="17610" ht="39.75" customHeight="1">
      <c r="A17610" s="13" t="s">
        <v>2251</v>
      </c>
      <c r="B17610" s="10" t="s">
        <v>42</v>
      </c>
      <c r="C17610" s="10" t="s">
        <v>1825</v>
      </c>
      <c r="D17610" s="10" t="s">
        <v>2252</v>
      </c>
      <c r="E17610" s="11"/>
      <c r="F17610" s="12">
        <f>ROUND(10.06*(1+G2/100),2)</f>
        <v>10.06</v>
      </c>
      <c r="G17610" s="11"/>
    </row>
    <row r="17611" ht="48.75" customHeight="1">
      <c r="A17611" s="11"/>
      <c r="B17611" s="11"/>
      <c r="C17611" s="11"/>
      <c r="D17611" s="10" t="s">
        <v>8315</v>
      </c>
    </row>
    <row r="17612" ht="39.75" customHeight="1">
      <c r="A17612" s="13" t="s">
        <v>2249</v>
      </c>
      <c r="B17612" s="10" t="s">
        <v>42</v>
      </c>
      <c r="C17612" s="10" t="s">
        <v>1825</v>
      </c>
      <c r="D17612" s="10" t="s">
        <v>2250</v>
      </c>
      <c r="E17612" s="11"/>
      <c r="F17612" s="12">
        <f>ROUND(19.11*(1+G2/100),2)</f>
        <v>19.11</v>
      </c>
      <c r="G17612" s="11"/>
    </row>
    <row r="17613" ht="48.75" customHeight="1">
      <c r="A17613" s="11"/>
      <c r="B17613" s="11"/>
      <c r="C17613" s="11"/>
      <c r="D17613" s="10" t="s">
        <v>8316</v>
      </c>
    </row>
    <row r="17614" ht="39.75" customHeight="1">
      <c r="A17614" s="13" t="s">
        <v>1901</v>
      </c>
      <c r="B17614" s="10" t="s">
        <v>42</v>
      </c>
      <c r="C17614" s="10" t="s">
        <v>276</v>
      </c>
      <c r="D17614" s="10" t="s">
        <v>1902</v>
      </c>
      <c r="E17614" s="11"/>
      <c r="F17614" s="12">
        <f>ROUND(94.92*(1+G2/100),2)</f>
        <v>94.92</v>
      </c>
      <c r="G17614" s="11"/>
    </row>
    <row r="17615" ht="48.75" customHeight="1">
      <c r="A17615" s="11"/>
      <c r="B17615" s="11"/>
      <c r="C17615" s="11"/>
      <c r="D17615" s="10" t="s">
        <v>8317</v>
      </c>
    </row>
    <row r="17616" ht="48.75" customHeight="1">
      <c r="A17616" s="13" t="s">
        <v>1903</v>
      </c>
      <c r="B17616" s="10" t="s">
        <v>42</v>
      </c>
      <c r="C17616" s="10" t="s">
        <v>276</v>
      </c>
      <c r="D17616" s="10" t="s">
        <v>1904</v>
      </c>
      <c r="E17616" s="11"/>
      <c r="F17616" s="12">
        <f>ROUND(123.34*(1+G2/100),2)</f>
        <v>123.34</v>
      </c>
      <c r="G17616" s="11"/>
    </row>
    <row r="17617" ht="39.75" customHeight="1">
      <c r="A17617" s="11"/>
      <c r="B17617" s="11"/>
      <c r="C17617" s="11"/>
      <c r="D17617" s="10" t="s">
        <v>8318</v>
      </c>
    </row>
    <row r="17618" ht="39.75" customHeight="1">
      <c r="A17618" s="13" t="s">
        <v>2240</v>
      </c>
      <c r="B17618" s="10" t="s">
        <v>42</v>
      </c>
      <c r="C17618" s="10" t="s">
        <v>344</v>
      </c>
      <c r="D17618" s="10" t="s">
        <v>2241</v>
      </c>
      <c r="E17618" s="11"/>
      <c r="F17618" s="12">
        <f>ROUND(10.49*(1+G2/100),2)</f>
        <v>10.49</v>
      </c>
      <c r="G17618" s="11"/>
    </row>
    <row r="17619" ht="57.75" customHeight="1">
      <c r="A17619" s="11"/>
      <c r="B17619" s="11"/>
      <c r="C17619" s="11"/>
      <c r="D17619" s="10" t="s">
        <v>8319</v>
      </c>
    </row>
    <row r="17620" ht="30.0" customHeight="1">
      <c r="A17620" s="13" t="s">
        <v>2026</v>
      </c>
      <c r="B17620" s="10" t="s">
        <v>42</v>
      </c>
      <c r="C17620" s="10" t="s">
        <v>1997</v>
      </c>
      <c r="D17620" s="10" t="s">
        <v>2027</v>
      </c>
      <c r="E17620" s="11"/>
      <c r="F17620" s="12">
        <f>ROUND(11.1*(1+G2/100),2)</f>
        <v>11.1</v>
      </c>
      <c r="G17620" s="11"/>
    </row>
    <row r="17621" ht="39.75" customHeight="1">
      <c r="A17621" s="11"/>
      <c r="B17621" s="11"/>
      <c r="C17621" s="11"/>
      <c r="D17621" s="10" t="s">
        <v>8320</v>
      </c>
    </row>
    <row r="17622" ht="39.75" customHeight="1">
      <c r="A17622" s="13" t="s">
        <v>2024</v>
      </c>
      <c r="B17622" s="10" t="s">
        <v>42</v>
      </c>
      <c r="C17622" s="10" t="s">
        <v>184</v>
      </c>
      <c r="D17622" s="10" t="s">
        <v>2025</v>
      </c>
      <c r="E17622" s="11"/>
      <c r="F17622" s="12">
        <f>ROUND(11.26*(1+G2/100),2)</f>
        <v>11.26</v>
      </c>
      <c r="G17622" s="11"/>
    </row>
    <row r="17623" ht="39.75" customHeight="1">
      <c r="A17623" s="11"/>
      <c r="B17623" s="11"/>
      <c r="C17623" s="11"/>
      <c r="D17623" s="10" t="s">
        <v>8321</v>
      </c>
    </row>
    <row r="17624" ht="30.0" customHeight="1">
      <c r="A17624" s="13" t="s">
        <v>1895</v>
      </c>
      <c r="B17624" s="10" t="s">
        <v>42</v>
      </c>
      <c r="C17624" s="10" t="s">
        <v>184</v>
      </c>
      <c r="D17624" s="10" t="s">
        <v>1896</v>
      </c>
      <c r="E17624" s="11"/>
      <c r="F17624" s="12">
        <f>ROUND(28*(1+G2/100),2)</f>
        <v>28</v>
      </c>
      <c r="G17624" s="11"/>
    </row>
    <row r="17625" ht="76.5" customHeight="1">
      <c r="A17625" s="11"/>
      <c r="B17625" s="11"/>
      <c r="C17625" s="11"/>
      <c r="D17625" s="10" t="s">
        <v>8322</v>
      </c>
    </row>
    <row r="17626" ht="39.75" customHeight="1">
      <c r="A17626" s="13" t="s">
        <v>2144</v>
      </c>
      <c r="B17626" s="10" t="s">
        <v>42</v>
      </c>
      <c r="C17626" s="10" t="s">
        <v>226</v>
      </c>
      <c r="D17626" s="10" t="s">
        <v>2145</v>
      </c>
      <c r="E17626" s="11"/>
      <c r="F17626" s="12">
        <f>ROUND(104.03*(1+G2/100),2)</f>
        <v>104.03</v>
      </c>
      <c r="G17626" s="11"/>
    </row>
    <row r="17627" ht="39.75" customHeight="1">
      <c r="A17627" s="11"/>
      <c r="B17627" s="11"/>
      <c r="C17627" s="11"/>
      <c r="D17627" s="10" t="s">
        <v>8323</v>
      </c>
    </row>
    <row r="17628" ht="48.75" customHeight="1">
      <c r="A17628" s="13" t="s">
        <v>2037</v>
      </c>
      <c r="B17628" s="10" t="s">
        <v>42</v>
      </c>
      <c r="C17628" s="10" t="s">
        <v>276</v>
      </c>
      <c r="D17628" s="10" t="s">
        <v>2038</v>
      </c>
      <c r="E17628" s="11"/>
      <c r="F17628" s="12">
        <f>ROUND(151.46*(1+G2/100),2)</f>
        <v>151.46</v>
      </c>
      <c r="G17628" s="11"/>
    </row>
    <row r="17629" ht="48.75" customHeight="1">
      <c r="A17629" s="11"/>
      <c r="B17629" s="11"/>
      <c r="C17629" s="11"/>
      <c r="D17629" s="10" t="s">
        <v>8324</v>
      </c>
    </row>
    <row r="17630" ht="39.75" customHeight="1">
      <c r="A17630" s="13" t="s">
        <v>2030</v>
      </c>
      <c r="B17630" s="10" t="s">
        <v>42</v>
      </c>
      <c r="C17630" s="10" t="s">
        <v>184</v>
      </c>
      <c r="D17630" s="10" t="s">
        <v>2031</v>
      </c>
      <c r="E17630" s="11"/>
      <c r="F17630" s="12">
        <f>ROUND(133.31*(1+G2/100),2)</f>
        <v>133.31</v>
      </c>
      <c r="G17630" s="11"/>
    </row>
    <row r="17631" ht="95.25" customHeight="1">
      <c r="A17631" s="11"/>
      <c r="B17631" s="11"/>
      <c r="C17631" s="11"/>
      <c r="D17631" s="10" t="s">
        <v>8289</v>
      </c>
    </row>
    <row r="17632" ht="39.75" customHeight="1">
      <c r="A17632" s="13" t="s">
        <v>2032</v>
      </c>
      <c r="B17632" s="10" t="s">
        <v>42</v>
      </c>
      <c r="C17632" s="10" t="s">
        <v>226</v>
      </c>
      <c r="D17632" s="10" t="s">
        <v>2033</v>
      </c>
      <c r="E17632" s="11"/>
      <c r="F17632" s="12">
        <f>ROUND(301.4*(1+G2/100),2)</f>
        <v>301.4</v>
      </c>
      <c r="G17632" s="11"/>
    </row>
    <row r="17633" ht="104.25" customHeight="1">
      <c r="A17633" s="11"/>
      <c r="B17633" s="11"/>
      <c r="C17633" s="11"/>
      <c r="D17633" s="10" t="s">
        <v>8325</v>
      </c>
    </row>
    <row r="17634" ht="39.75" customHeight="1">
      <c r="A17634" s="13" t="s">
        <v>1994</v>
      </c>
      <c r="B17634" s="10" t="s">
        <v>42</v>
      </c>
      <c r="C17634" s="10" t="s">
        <v>184</v>
      </c>
      <c r="D17634" s="10" t="s">
        <v>1995</v>
      </c>
      <c r="E17634" s="11"/>
      <c r="F17634" s="12">
        <f>ROUND(15.2*(1+G2/100),2)</f>
        <v>15.2</v>
      </c>
      <c r="G17634" s="11"/>
    </row>
    <row r="17635" ht="48.75" customHeight="1">
      <c r="A17635" s="11"/>
      <c r="B17635" s="11"/>
      <c r="C17635" s="11"/>
      <c r="D17635" s="10" t="s">
        <v>7722</v>
      </c>
    </row>
    <row r="17636" ht="48.75" customHeight="1">
      <c r="A17636" s="13" t="s">
        <v>8326</v>
      </c>
      <c r="B17636" s="10" t="s">
        <v>42</v>
      </c>
      <c r="C17636" s="10" t="s">
        <v>325</v>
      </c>
      <c r="D17636" s="10" t="s">
        <v>8327</v>
      </c>
      <c r="E17636" s="11"/>
      <c r="F17636" s="12">
        <f>ROUND(75.84*(1+G2/100),2)</f>
        <v>75.84</v>
      </c>
      <c r="G17636" s="11"/>
    </row>
    <row r="17637" ht="48.75" customHeight="1">
      <c r="A17637" s="11"/>
      <c r="B17637" s="11"/>
      <c r="C17637" s="11"/>
      <c r="D17637" s="10" t="s">
        <v>8328</v>
      </c>
    </row>
    <row r="17638" ht="48.75" customHeight="1">
      <c r="A17638" s="13" t="s">
        <v>8329</v>
      </c>
      <c r="B17638" s="10" t="s">
        <v>42</v>
      </c>
      <c r="C17638" s="10" t="s">
        <v>325</v>
      </c>
      <c r="D17638" s="10" t="s">
        <v>8330</v>
      </c>
      <c r="E17638" s="11"/>
      <c r="F17638" s="12">
        <f>ROUND(80.18*(1+G2/100),2)</f>
        <v>80.18</v>
      </c>
      <c r="G17638" s="11"/>
    </row>
    <row r="17639" ht="48.75" customHeight="1">
      <c r="A17639" s="11"/>
      <c r="B17639" s="11"/>
      <c r="C17639" s="11"/>
      <c r="D17639" s="10" t="s">
        <v>8331</v>
      </c>
    </row>
    <row r="17640" ht="48.75" customHeight="1">
      <c r="A17640" s="13" t="s">
        <v>8332</v>
      </c>
      <c r="B17640" s="10" t="s">
        <v>42</v>
      </c>
      <c r="C17640" s="10" t="s">
        <v>1825</v>
      </c>
      <c r="D17640" s="10" t="s">
        <v>8333</v>
      </c>
      <c r="E17640" s="11"/>
      <c r="F17640" s="12">
        <f>ROUND(118.61*(1+G2/100),2)</f>
        <v>118.61</v>
      </c>
      <c r="G17640" s="11"/>
    </row>
    <row r="17641" ht="48.75" customHeight="1">
      <c r="A17641" s="11"/>
      <c r="B17641" s="11"/>
      <c r="C17641" s="11"/>
      <c r="D17641" s="10" t="s">
        <v>8334</v>
      </c>
    </row>
    <row r="17642" ht="39.75" customHeight="1">
      <c r="A17642" s="13" t="s">
        <v>2238</v>
      </c>
      <c r="B17642" s="10" t="s">
        <v>42</v>
      </c>
      <c r="C17642" s="10" t="s">
        <v>184</v>
      </c>
      <c r="D17642" s="10" t="s">
        <v>2239</v>
      </c>
      <c r="E17642" s="11"/>
      <c r="F17642" s="12">
        <f>ROUND(93.67*(1+G2/100),2)</f>
        <v>93.67</v>
      </c>
      <c r="G17642" s="11"/>
    </row>
    <row r="17643" ht="57.75" customHeight="1">
      <c r="A17643" s="11"/>
      <c r="B17643" s="11"/>
      <c r="C17643" s="11"/>
      <c r="D17643" s="10" t="s">
        <v>8335</v>
      </c>
    </row>
    <row r="17644" ht="15.0" customHeight="1">
      <c r="A17644" s="16"/>
      <c r="B17644" s="16"/>
      <c r="C17644" s="16"/>
      <c r="D17644" s="45" t="s">
        <v>8286</v>
      </c>
      <c r="E17644" s="46"/>
      <c r="F17644" s="46"/>
      <c r="G17644" s="46"/>
    </row>
    <row r="17645" ht="39.75" customHeight="1">
      <c r="A17645" s="19" t="s">
        <v>8336</v>
      </c>
      <c r="B17645" s="20" t="s">
        <v>42</v>
      </c>
      <c r="C17645" s="20" t="s">
        <v>1881</v>
      </c>
      <c r="D17645" s="20" t="s">
        <v>8337</v>
      </c>
      <c r="E17645" s="21"/>
      <c r="F17645" s="22">
        <f>ROUND(9.08*(1+G2/100),2)</f>
        <v>9.08</v>
      </c>
      <c r="G17645" s="21"/>
    </row>
    <row r="17646" ht="48.75" customHeight="1">
      <c r="A17646" s="11"/>
      <c r="B17646" s="11"/>
      <c r="C17646" s="11"/>
      <c r="D17646" s="10" t="s">
        <v>8338</v>
      </c>
    </row>
    <row r="17647" ht="39.75" customHeight="1">
      <c r="A17647" s="13" t="s">
        <v>8339</v>
      </c>
      <c r="B17647" s="10" t="s">
        <v>42</v>
      </c>
      <c r="C17647" s="10" t="s">
        <v>1881</v>
      </c>
      <c r="D17647" s="10" t="s">
        <v>8340</v>
      </c>
      <c r="E17647" s="11"/>
      <c r="F17647" s="12">
        <f>ROUND(3.05*(1+G2/100),2)</f>
        <v>3.05</v>
      </c>
      <c r="G17647" s="11"/>
    </row>
    <row r="17648" ht="48.75" customHeight="1">
      <c r="A17648" s="11"/>
      <c r="B17648" s="11"/>
      <c r="C17648" s="11"/>
      <c r="D17648" s="10" t="s">
        <v>8341</v>
      </c>
    </row>
    <row r="17649" ht="39.75" customHeight="1">
      <c r="A17649" s="13" t="s">
        <v>8342</v>
      </c>
      <c r="B17649" s="10" t="s">
        <v>42</v>
      </c>
      <c r="C17649" s="10" t="s">
        <v>1881</v>
      </c>
      <c r="D17649" s="10" t="s">
        <v>8343</v>
      </c>
      <c r="E17649" s="11"/>
      <c r="F17649" s="12">
        <f>ROUND(4.12*(1+G2/100),2)</f>
        <v>4.12</v>
      </c>
      <c r="G17649" s="11"/>
    </row>
    <row r="17650" ht="48.75" customHeight="1">
      <c r="A17650" s="11"/>
      <c r="B17650" s="11"/>
      <c r="C17650" s="11"/>
      <c r="D17650" s="10" t="s">
        <v>8344</v>
      </c>
    </row>
    <row r="17651" ht="39.75" customHeight="1">
      <c r="A17651" s="13" t="s">
        <v>8345</v>
      </c>
      <c r="B17651" s="10" t="s">
        <v>42</v>
      </c>
      <c r="C17651" s="10" t="s">
        <v>1881</v>
      </c>
      <c r="D17651" s="10" t="s">
        <v>8346</v>
      </c>
      <c r="E17651" s="11"/>
      <c r="F17651" s="12">
        <f>ROUND(1.64*(1+G2/100),2)</f>
        <v>1.64</v>
      </c>
      <c r="G17651" s="11"/>
    </row>
    <row r="17652" ht="48.75" customHeight="1">
      <c r="A17652" s="11"/>
      <c r="B17652" s="11"/>
      <c r="C17652" s="11"/>
      <c r="D17652" s="10" t="s">
        <v>8347</v>
      </c>
    </row>
    <row r="17653" ht="57.75" customHeight="1">
      <c r="A17653" s="13" t="s">
        <v>8348</v>
      </c>
      <c r="B17653" s="10" t="s">
        <v>42</v>
      </c>
      <c r="C17653" s="10" t="s">
        <v>1825</v>
      </c>
      <c r="D17653" s="10" t="s">
        <v>8349</v>
      </c>
      <c r="E17653" s="11"/>
      <c r="F17653" s="12">
        <f>ROUND(106.07*(1+G2/100),2)</f>
        <v>106.07</v>
      </c>
      <c r="G17653" s="11"/>
    </row>
    <row r="17654" ht="21.0" customHeight="1">
      <c r="A17654" s="11"/>
      <c r="B17654" s="11"/>
      <c r="C17654" s="11"/>
      <c r="D17654" s="10" t="s">
        <v>8350</v>
      </c>
    </row>
    <row r="17655" ht="57.75" customHeight="1">
      <c r="A17655" s="13" t="s">
        <v>8351</v>
      </c>
      <c r="B17655" s="10" t="s">
        <v>42</v>
      </c>
      <c r="C17655" s="10" t="s">
        <v>1825</v>
      </c>
      <c r="D17655" s="10" t="s">
        <v>8352</v>
      </c>
      <c r="E17655" s="11"/>
      <c r="F17655" s="12">
        <f>ROUND(112.84*(1+G2/100),2)</f>
        <v>112.84</v>
      </c>
      <c r="G17655" s="11"/>
    </row>
    <row r="17656" ht="21.0" customHeight="1">
      <c r="A17656" s="11"/>
      <c r="B17656" s="11"/>
      <c r="C17656" s="11"/>
      <c r="D17656" s="10" t="s">
        <v>8353</v>
      </c>
    </row>
    <row r="17657" ht="39.75" customHeight="1">
      <c r="A17657" s="13" t="s">
        <v>8354</v>
      </c>
      <c r="B17657" s="10" t="s">
        <v>42</v>
      </c>
      <c r="C17657" s="10" t="s">
        <v>1825</v>
      </c>
      <c r="D17657" s="10" t="s">
        <v>8355</v>
      </c>
      <c r="E17657" s="11"/>
      <c r="F17657" s="12">
        <f>ROUND(63.66*(1+G2/100),2)</f>
        <v>63.66</v>
      </c>
      <c r="G17657" s="11"/>
    </row>
    <row r="17658" ht="85.5" customHeight="1">
      <c r="A17658" s="11"/>
      <c r="B17658" s="11"/>
      <c r="C17658" s="11"/>
      <c r="D17658" s="10" t="s">
        <v>8356</v>
      </c>
    </row>
    <row r="17659" ht="39.75" customHeight="1">
      <c r="A17659" s="13" t="s">
        <v>2150</v>
      </c>
      <c r="B17659" s="10" t="s">
        <v>42</v>
      </c>
      <c r="C17659" s="10" t="s">
        <v>1997</v>
      </c>
      <c r="D17659" s="10" t="s">
        <v>2151</v>
      </c>
      <c r="E17659" s="11"/>
      <c r="F17659" s="12">
        <f>ROUND(15.78*(1+G2/100),2)</f>
        <v>15.78</v>
      </c>
      <c r="G17659" s="11"/>
    </row>
    <row r="17660" ht="48.75" customHeight="1">
      <c r="A17660" s="11"/>
      <c r="B17660" s="11"/>
      <c r="C17660" s="11"/>
      <c r="D17660" s="10" t="s">
        <v>8357</v>
      </c>
    </row>
    <row r="17661" ht="39.75" customHeight="1">
      <c r="A17661" s="13" t="s">
        <v>8358</v>
      </c>
      <c r="B17661" s="10" t="s">
        <v>42</v>
      </c>
      <c r="C17661" s="10" t="s">
        <v>1997</v>
      </c>
      <c r="D17661" s="10" t="s">
        <v>8359</v>
      </c>
      <c r="E17661" s="11"/>
      <c r="F17661" s="12">
        <f>ROUND(9.92*(1+G2/100),2)</f>
        <v>9.92</v>
      </c>
      <c r="G17661" s="11"/>
    </row>
    <row r="17662" ht="48.75" customHeight="1">
      <c r="A17662" s="11"/>
      <c r="B17662" s="11"/>
      <c r="C17662" s="11"/>
      <c r="D17662" s="10" t="s">
        <v>8360</v>
      </c>
    </row>
    <row r="17663" ht="39.75" customHeight="1">
      <c r="A17663" s="13" t="s">
        <v>8361</v>
      </c>
      <c r="B17663" s="10" t="s">
        <v>42</v>
      </c>
      <c r="C17663" s="10" t="s">
        <v>1997</v>
      </c>
      <c r="D17663" s="10" t="s">
        <v>8362</v>
      </c>
      <c r="E17663" s="11"/>
      <c r="F17663" s="12">
        <f>ROUND(10.66*(1+G2/100),2)</f>
        <v>10.66</v>
      </c>
      <c r="G17663" s="11"/>
    </row>
    <row r="17664" ht="48.75" customHeight="1">
      <c r="A17664" s="11"/>
      <c r="B17664" s="11"/>
      <c r="C17664" s="11"/>
      <c r="D17664" s="10" t="s">
        <v>8363</v>
      </c>
    </row>
    <row r="17665" ht="39.75" customHeight="1">
      <c r="A17665" s="13" t="s">
        <v>8364</v>
      </c>
      <c r="B17665" s="10" t="s">
        <v>42</v>
      </c>
      <c r="C17665" s="10" t="s">
        <v>325</v>
      </c>
      <c r="D17665" s="10" t="s">
        <v>8365</v>
      </c>
      <c r="E17665" s="11"/>
      <c r="F17665" s="12">
        <f>ROUND(24.65*(1+G2/100),2)</f>
        <v>24.65</v>
      </c>
      <c r="G17665" s="11"/>
    </row>
    <row r="17666" ht="57.75" customHeight="1">
      <c r="A17666" s="11"/>
      <c r="B17666" s="11"/>
      <c r="C17666" s="11"/>
      <c r="D17666" s="10" t="s">
        <v>8366</v>
      </c>
    </row>
    <row r="17667" ht="39.75" customHeight="1">
      <c r="A17667" s="13" t="s">
        <v>324</v>
      </c>
      <c r="B17667" s="10" t="s">
        <v>42</v>
      </c>
      <c r="C17667" s="10" t="s">
        <v>325</v>
      </c>
      <c r="D17667" s="10" t="s">
        <v>326</v>
      </c>
      <c r="E17667" s="11"/>
      <c r="F17667" s="12">
        <f>ROUND(26.72*(1+G2/100),2)</f>
        <v>26.72</v>
      </c>
      <c r="G17667" s="11"/>
    </row>
    <row r="17668" ht="57.75" customHeight="1">
      <c r="A17668" s="11"/>
      <c r="B17668" s="11"/>
      <c r="C17668" s="11"/>
      <c r="D17668" s="10" t="s">
        <v>8367</v>
      </c>
    </row>
    <row r="17669" ht="30.0" customHeight="1">
      <c r="A17669" s="13" t="s">
        <v>2148</v>
      </c>
      <c r="B17669" s="10" t="s">
        <v>42</v>
      </c>
      <c r="C17669" s="10" t="s">
        <v>1881</v>
      </c>
      <c r="D17669" s="10" t="s">
        <v>2149</v>
      </c>
      <c r="E17669" s="11"/>
      <c r="F17669" s="12">
        <f>ROUND(3.38*(1+G2/100),2)</f>
        <v>3.38</v>
      </c>
      <c r="G17669" s="11"/>
    </row>
    <row r="17670" ht="76.5" customHeight="1">
      <c r="A17670" s="11"/>
      <c r="B17670" s="11"/>
      <c r="C17670" s="11"/>
      <c r="D17670" s="10" t="s">
        <v>8368</v>
      </c>
    </row>
    <row r="17671" ht="30.0" customHeight="1">
      <c r="A17671" s="13" t="s">
        <v>4416</v>
      </c>
      <c r="B17671" s="10" t="s">
        <v>42</v>
      </c>
      <c r="C17671" s="10" t="s">
        <v>1825</v>
      </c>
      <c r="D17671" s="10" t="s">
        <v>4417</v>
      </c>
      <c r="E17671" s="11"/>
      <c r="F17671" s="12">
        <f>ROUND(36.37*(1+G2/100),2)</f>
        <v>36.37</v>
      </c>
      <c r="G17671" s="11"/>
    </row>
    <row r="17672" ht="39.75" customHeight="1">
      <c r="A17672" s="11"/>
      <c r="B17672" s="11"/>
      <c r="C17672" s="11"/>
      <c r="D17672" s="10" t="s">
        <v>8369</v>
      </c>
    </row>
    <row r="17673" ht="30.0" customHeight="1">
      <c r="A17673" s="13" t="s">
        <v>8370</v>
      </c>
      <c r="B17673" s="10" t="s">
        <v>42</v>
      </c>
      <c r="C17673" s="10" t="s">
        <v>1825</v>
      </c>
      <c r="D17673" s="10" t="s">
        <v>8371</v>
      </c>
      <c r="E17673" s="11"/>
      <c r="F17673" s="12">
        <f>ROUND(28.5*(1+G2/100),2)</f>
        <v>28.5</v>
      </c>
      <c r="G17673" s="11"/>
    </row>
    <row r="17674" ht="39.75" customHeight="1">
      <c r="A17674" s="11"/>
      <c r="B17674" s="11"/>
      <c r="C17674" s="11"/>
      <c r="D17674" s="10" t="s">
        <v>8372</v>
      </c>
    </row>
    <row r="17675" ht="30.0" customHeight="1">
      <c r="A17675" s="13" t="s">
        <v>4422</v>
      </c>
      <c r="B17675" s="10" t="s">
        <v>42</v>
      </c>
      <c r="C17675" s="10" t="s">
        <v>1825</v>
      </c>
      <c r="D17675" s="10" t="s">
        <v>4423</v>
      </c>
      <c r="E17675" s="11"/>
      <c r="F17675" s="12">
        <f>ROUND(33.6*(1+G2/100),2)</f>
        <v>33.6</v>
      </c>
      <c r="G17675" s="11"/>
    </row>
    <row r="17676" ht="39.75" customHeight="1">
      <c r="A17676" s="11"/>
      <c r="B17676" s="11"/>
      <c r="C17676" s="11"/>
      <c r="D17676" s="10" t="s">
        <v>8373</v>
      </c>
    </row>
    <row r="17677" ht="30.0" customHeight="1">
      <c r="A17677" s="13" t="s">
        <v>4427</v>
      </c>
      <c r="B17677" s="10" t="s">
        <v>42</v>
      </c>
      <c r="C17677" s="10" t="s">
        <v>1825</v>
      </c>
      <c r="D17677" s="10" t="s">
        <v>4428</v>
      </c>
      <c r="E17677" s="11"/>
      <c r="F17677" s="12">
        <f>ROUND(31.99*(1+G2/100),2)</f>
        <v>31.99</v>
      </c>
      <c r="G17677" s="11"/>
    </row>
    <row r="17678" ht="39.75" customHeight="1">
      <c r="A17678" s="11"/>
      <c r="B17678" s="11"/>
      <c r="C17678" s="11"/>
      <c r="D17678" s="10" t="s">
        <v>8374</v>
      </c>
    </row>
    <row r="17679" ht="48.75" customHeight="1">
      <c r="A17679" s="13" t="s">
        <v>1885</v>
      </c>
      <c r="B17679" s="10" t="s">
        <v>42</v>
      </c>
      <c r="C17679" s="10" t="s">
        <v>325</v>
      </c>
      <c r="D17679" s="10" t="s">
        <v>1886</v>
      </c>
      <c r="E17679" s="11"/>
      <c r="F17679" s="12">
        <f>ROUND(35.69*(1+G2/100),2)</f>
        <v>35.69</v>
      </c>
      <c r="G17679" s="11"/>
    </row>
    <row r="17680" ht="30.0" customHeight="1">
      <c r="A17680" s="11"/>
      <c r="B17680" s="11"/>
      <c r="C17680" s="11"/>
      <c r="D17680" s="10" t="s">
        <v>8375</v>
      </c>
    </row>
    <row r="17681" ht="48.75" customHeight="1">
      <c r="A17681" s="13" t="s">
        <v>8376</v>
      </c>
      <c r="B17681" s="10" t="s">
        <v>42</v>
      </c>
      <c r="C17681" s="10" t="s">
        <v>4401</v>
      </c>
      <c r="D17681" s="10" t="s">
        <v>8377</v>
      </c>
      <c r="E17681" s="11"/>
      <c r="F17681" s="12">
        <f>ROUND(27.46*(1+G2/100),2)</f>
        <v>27.46</v>
      </c>
      <c r="G17681" s="11"/>
    </row>
    <row r="17682" ht="39.75" customHeight="1">
      <c r="A17682" s="11"/>
      <c r="B17682" s="11"/>
      <c r="C17682" s="11"/>
      <c r="D17682" s="10" t="s">
        <v>8378</v>
      </c>
    </row>
    <row r="17683" ht="39.75" customHeight="1">
      <c r="A17683" s="13" t="s">
        <v>8379</v>
      </c>
      <c r="B17683" s="10" t="s">
        <v>42</v>
      </c>
      <c r="C17683" s="10" t="s">
        <v>4401</v>
      </c>
      <c r="D17683" s="10" t="s">
        <v>8380</v>
      </c>
      <c r="E17683" s="11"/>
      <c r="F17683" s="12">
        <f>ROUND(22.48*(1+G2/100),2)</f>
        <v>22.48</v>
      </c>
      <c r="G17683" s="11"/>
    </row>
    <row r="17684" ht="48.75" customHeight="1">
      <c r="A17684" s="11"/>
      <c r="B17684" s="11"/>
      <c r="C17684" s="11"/>
      <c r="D17684" s="10" t="s">
        <v>8381</v>
      </c>
    </row>
    <row r="17685" ht="30.0" customHeight="1">
      <c r="A17685" s="13" t="s">
        <v>1880</v>
      </c>
      <c r="B17685" s="10" t="s">
        <v>42</v>
      </c>
      <c r="C17685" s="10" t="s">
        <v>1881</v>
      </c>
      <c r="D17685" s="10" t="s">
        <v>1882</v>
      </c>
      <c r="E17685" s="11"/>
      <c r="F17685" s="12">
        <f>ROUND(2.34*(1+G2/100),2)</f>
        <v>2.34</v>
      </c>
      <c r="G17685" s="11"/>
    </row>
    <row r="17686" ht="30.0" customHeight="1">
      <c r="A17686" s="11"/>
      <c r="B17686" s="11"/>
      <c r="C17686" s="11"/>
      <c r="D17686" s="10" t="s">
        <v>8382</v>
      </c>
    </row>
    <row r="17687" ht="30.0" customHeight="1">
      <c r="A17687" s="13" t="s">
        <v>1883</v>
      </c>
      <c r="B17687" s="10" t="s">
        <v>42</v>
      </c>
      <c r="C17687" s="10" t="s">
        <v>1881</v>
      </c>
      <c r="D17687" s="10" t="s">
        <v>1884</v>
      </c>
      <c r="E17687" s="11"/>
      <c r="F17687" s="12">
        <f>ROUND(4.68*(1+G2/100),2)</f>
        <v>4.68</v>
      </c>
      <c r="G17687" s="11"/>
    </row>
    <row r="17688" ht="30.0" customHeight="1">
      <c r="A17688" s="11"/>
      <c r="B17688" s="11"/>
      <c r="C17688" s="11"/>
      <c r="D17688" s="10" t="s">
        <v>8383</v>
      </c>
    </row>
    <row r="17689" ht="30.0" customHeight="1">
      <c r="A17689" s="13" t="s">
        <v>8384</v>
      </c>
      <c r="B17689" s="10" t="s">
        <v>42</v>
      </c>
      <c r="C17689" s="10" t="s">
        <v>1881</v>
      </c>
      <c r="D17689" s="10" t="s">
        <v>8385</v>
      </c>
      <c r="E17689" s="11"/>
      <c r="F17689" s="12">
        <f>ROUND(5.84*(1+G2/100),2)</f>
        <v>5.84</v>
      </c>
      <c r="G17689" s="11"/>
    </row>
    <row r="17690" ht="30.0" customHeight="1">
      <c r="A17690" s="11"/>
      <c r="B17690" s="11"/>
      <c r="C17690" s="11"/>
      <c r="D17690" s="10" t="s">
        <v>8386</v>
      </c>
    </row>
    <row r="17691" ht="30.0" customHeight="1">
      <c r="A17691" s="13" t="s">
        <v>1911</v>
      </c>
      <c r="B17691" s="10" t="s">
        <v>42</v>
      </c>
      <c r="C17691" s="10" t="s">
        <v>226</v>
      </c>
      <c r="D17691" s="10" t="s">
        <v>1912</v>
      </c>
      <c r="E17691" s="11"/>
      <c r="F17691" s="12">
        <f>ROUND(52.25*(1+G2/100),2)</f>
        <v>52.25</v>
      </c>
      <c r="G17691" s="11"/>
    </row>
    <row r="17692" ht="21.0" customHeight="1">
      <c r="A17692" s="11"/>
      <c r="B17692" s="11"/>
      <c r="C17692" s="11"/>
      <c r="D17692" s="10" t="s">
        <v>8387</v>
      </c>
    </row>
    <row r="17693" ht="39.75" customHeight="1">
      <c r="A17693" s="13" t="s">
        <v>8388</v>
      </c>
      <c r="B17693" s="10" t="s">
        <v>42</v>
      </c>
      <c r="C17693" s="10" t="s">
        <v>325</v>
      </c>
      <c r="D17693" s="10" t="s">
        <v>8389</v>
      </c>
      <c r="E17693" s="11"/>
      <c r="F17693" s="12">
        <f>ROUND(59.83*(1+G2/100),2)</f>
        <v>59.83</v>
      </c>
      <c r="G17693" s="11"/>
    </row>
    <row r="17694" ht="85.5" customHeight="1">
      <c r="A17694" s="11"/>
      <c r="B17694" s="11"/>
      <c r="C17694" s="11"/>
      <c r="D17694" s="10" t="s">
        <v>8390</v>
      </c>
    </row>
    <row r="17695" ht="39.75" customHeight="1">
      <c r="A17695" s="13" t="s">
        <v>8391</v>
      </c>
      <c r="B17695" s="10" t="s">
        <v>42</v>
      </c>
      <c r="C17695" s="10" t="s">
        <v>226</v>
      </c>
      <c r="D17695" s="10" t="s">
        <v>8392</v>
      </c>
      <c r="E17695" s="11"/>
      <c r="F17695" s="12">
        <f>ROUND(123.71*(1+G2/100),2)</f>
        <v>123.71</v>
      </c>
      <c r="G17695" s="11"/>
    </row>
    <row r="17696" ht="48.75" customHeight="1">
      <c r="A17696" s="11"/>
      <c r="B17696" s="11"/>
      <c r="C17696" s="11"/>
      <c r="D17696" s="10" t="s">
        <v>8393</v>
      </c>
    </row>
    <row r="17697" ht="48.75" customHeight="1">
      <c r="A17697" s="13" t="s">
        <v>8394</v>
      </c>
      <c r="B17697" s="10" t="s">
        <v>42</v>
      </c>
      <c r="C17697" s="10" t="s">
        <v>1825</v>
      </c>
      <c r="D17697" s="10" t="s">
        <v>8395</v>
      </c>
      <c r="E17697" s="11"/>
      <c r="F17697" s="12">
        <f>ROUND(43.55*(1+G2/100),2)</f>
        <v>43.55</v>
      </c>
      <c r="G17697" s="11"/>
    </row>
    <row r="17698" ht="39.75" customHeight="1">
      <c r="A17698" s="11"/>
      <c r="B17698" s="11"/>
      <c r="C17698" s="11"/>
      <c r="D17698" s="10" t="s">
        <v>8396</v>
      </c>
    </row>
    <row r="17699" ht="48.75" customHeight="1">
      <c r="A17699" s="13" t="s">
        <v>8397</v>
      </c>
      <c r="B17699" s="10" t="s">
        <v>42</v>
      </c>
      <c r="C17699" s="10" t="s">
        <v>1825</v>
      </c>
      <c r="D17699" s="10" t="s">
        <v>8398</v>
      </c>
      <c r="E17699" s="11"/>
      <c r="F17699" s="12">
        <f>ROUND(46.95*(1+G2/100),2)</f>
        <v>46.95</v>
      </c>
      <c r="G17699" s="11"/>
    </row>
    <row r="17700" ht="39.75" customHeight="1">
      <c r="A17700" s="11"/>
      <c r="B17700" s="11"/>
      <c r="C17700" s="11"/>
      <c r="D17700" s="10" t="s">
        <v>8399</v>
      </c>
    </row>
    <row r="17701" ht="15.0" customHeight="1">
      <c r="A17701" s="16"/>
      <c r="B17701" s="16"/>
      <c r="C17701" s="16"/>
      <c r="D17701" s="61" t="s">
        <v>8183</v>
      </c>
      <c r="E17701" s="62"/>
      <c r="F17701" s="62"/>
      <c r="G17701" s="62"/>
    </row>
    <row r="17702" ht="31.5" customHeight="1">
      <c r="A17702" s="34" t="s">
        <v>8400</v>
      </c>
      <c r="B17702" s="34" t="s">
        <v>10</v>
      </c>
      <c r="C17702" s="35"/>
      <c r="D17702" s="34" t="s">
        <v>8401</v>
      </c>
      <c r="E17702" s="35"/>
      <c r="F17702" s="35"/>
      <c r="G17702" s="35"/>
    </row>
    <row r="17703" ht="30.0" customHeight="1">
      <c r="A17703" s="13" t="s">
        <v>8402</v>
      </c>
      <c r="B17703" s="10" t="s">
        <v>42</v>
      </c>
      <c r="C17703" s="10" t="s">
        <v>231</v>
      </c>
      <c r="D17703" s="10" t="s">
        <v>8403</v>
      </c>
      <c r="E17703" s="11"/>
      <c r="F17703" s="12">
        <f>ROUND(188.66*(1+G2/100),2)</f>
        <v>188.66</v>
      </c>
      <c r="G17703" s="11"/>
    </row>
    <row r="17704" ht="76.5" customHeight="1">
      <c r="A17704" s="11"/>
      <c r="B17704" s="11"/>
      <c r="C17704" s="11"/>
      <c r="D17704" s="10" t="s">
        <v>8404</v>
      </c>
    </row>
    <row r="17705" ht="30.0" customHeight="1">
      <c r="A17705" s="13" t="s">
        <v>8405</v>
      </c>
      <c r="B17705" s="10" t="s">
        <v>42</v>
      </c>
      <c r="C17705" s="10" t="s">
        <v>231</v>
      </c>
      <c r="D17705" s="10" t="s">
        <v>8406</v>
      </c>
      <c r="E17705" s="11"/>
      <c r="F17705" s="12">
        <f>ROUND(2092.38*(1+G2/100),2)</f>
        <v>2092.38</v>
      </c>
      <c r="G17705" s="11"/>
    </row>
    <row r="17706" ht="39.75" customHeight="1">
      <c r="A17706" s="11"/>
      <c r="B17706" s="11"/>
      <c r="C17706" s="11"/>
      <c r="D17706" s="10" t="s">
        <v>8407</v>
      </c>
    </row>
    <row r="17707" ht="39.75" customHeight="1">
      <c r="A17707" s="13" t="s">
        <v>8408</v>
      </c>
      <c r="B17707" s="10" t="s">
        <v>42</v>
      </c>
      <c r="C17707" s="10" t="s">
        <v>231</v>
      </c>
      <c r="D17707" s="10" t="s">
        <v>8409</v>
      </c>
      <c r="E17707" s="11"/>
      <c r="F17707" s="12">
        <f>ROUND(291.29*(1+G2/100),2)</f>
        <v>291.29</v>
      </c>
      <c r="G17707" s="11"/>
    </row>
    <row r="17708" ht="67.5" customHeight="1">
      <c r="A17708" s="11"/>
      <c r="B17708" s="11"/>
      <c r="C17708" s="11"/>
      <c r="D17708" s="10" t="s">
        <v>8410</v>
      </c>
    </row>
    <row r="17709" ht="15.0" customHeight="1">
      <c r="A17709" s="16"/>
      <c r="B17709" s="16"/>
      <c r="C17709" s="16"/>
      <c r="D17709" s="61" t="s">
        <v>8400</v>
      </c>
      <c r="E17709" s="62"/>
      <c r="F17709" s="62"/>
      <c r="G17709" s="62"/>
    </row>
    <row r="17710" ht="31.5" customHeight="1">
      <c r="A17710" s="34" t="s">
        <v>8411</v>
      </c>
      <c r="B17710" s="34" t="s">
        <v>10</v>
      </c>
      <c r="C17710" s="35"/>
      <c r="D17710" s="34" t="s">
        <v>8412</v>
      </c>
      <c r="E17710" s="35"/>
      <c r="F17710" s="35"/>
      <c r="G17710" s="35"/>
    </row>
    <row r="17711" ht="39.75" customHeight="1">
      <c r="A17711" s="13" t="s">
        <v>8413</v>
      </c>
      <c r="B17711" s="10" t="s">
        <v>42</v>
      </c>
      <c r="C17711" s="10" t="s">
        <v>19</v>
      </c>
      <c r="D17711" s="10" t="s">
        <v>8414</v>
      </c>
      <c r="E17711" s="11"/>
      <c r="F17711" s="12">
        <f>ROUND(17.1*(1+G2/100),2)</f>
        <v>17.1</v>
      </c>
      <c r="G17711" s="11"/>
    </row>
    <row r="17712" ht="30.0" customHeight="1">
      <c r="A17712" s="11"/>
      <c r="B17712" s="11"/>
      <c r="C17712" s="11"/>
      <c r="D17712" s="10" t="s">
        <v>8415</v>
      </c>
    </row>
    <row r="17713" ht="39.75" customHeight="1">
      <c r="A17713" s="13" t="s">
        <v>8416</v>
      </c>
      <c r="B17713" s="10" t="s">
        <v>42</v>
      </c>
      <c r="C17713" s="10" t="s">
        <v>19</v>
      </c>
      <c r="D17713" s="10" t="s">
        <v>8417</v>
      </c>
      <c r="E17713" s="11"/>
      <c r="F17713" s="12">
        <f>ROUND(18.62*(1+G2/100),2)</f>
        <v>18.62</v>
      </c>
      <c r="G17713" s="11"/>
    </row>
    <row r="17714" ht="30.0" customHeight="1">
      <c r="A17714" s="11"/>
      <c r="B17714" s="11"/>
      <c r="C17714" s="11"/>
      <c r="D17714" s="10" t="s">
        <v>8418</v>
      </c>
    </row>
    <row r="17715" ht="39.75" customHeight="1">
      <c r="A17715" s="13" t="s">
        <v>8419</v>
      </c>
      <c r="B17715" s="10" t="s">
        <v>42</v>
      </c>
      <c r="C17715" s="10" t="s">
        <v>19</v>
      </c>
      <c r="D17715" s="10" t="s">
        <v>8420</v>
      </c>
      <c r="E17715" s="11"/>
      <c r="F17715" s="12">
        <f>ROUND(18.87*(1+G2/100),2)</f>
        <v>18.87</v>
      </c>
      <c r="G17715" s="11"/>
    </row>
    <row r="17716" ht="30.0" customHeight="1">
      <c r="A17716" s="11"/>
      <c r="B17716" s="11"/>
      <c r="C17716" s="11"/>
      <c r="D17716" s="10" t="s">
        <v>8421</v>
      </c>
    </row>
    <row r="17717" ht="39.75" customHeight="1">
      <c r="A17717" s="13" t="s">
        <v>8422</v>
      </c>
      <c r="B17717" s="10" t="s">
        <v>42</v>
      </c>
      <c r="C17717" s="10" t="s">
        <v>19</v>
      </c>
      <c r="D17717" s="10" t="s">
        <v>8423</v>
      </c>
      <c r="E17717" s="11"/>
      <c r="F17717" s="12">
        <f>ROUND(17.34*(1+G2/100),2)</f>
        <v>17.34</v>
      </c>
      <c r="G17717" s="11"/>
    </row>
    <row r="17718" ht="30.0" customHeight="1">
      <c r="A17718" s="11"/>
      <c r="B17718" s="11"/>
      <c r="C17718" s="11"/>
      <c r="D17718" s="10" t="s">
        <v>8424</v>
      </c>
    </row>
    <row r="17719" ht="30.0" customHeight="1">
      <c r="A17719" s="13" t="s">
        <v>8425</v>
      </c>
      <c r="B17719" s="10" t="s">
        <v>42</v>
      </c>
      <c r="C17719" s="10" t="s">
        <v>344</v>
      </c>
      <c r="D17719" s="10" t="s">
        <v>8426</v>
      </c>
      <c r="E17719" s="11"/>
      <c r="F17719" s="12">
        <f>ROUND(17.62*(1+G2/100),2)</f>
        <v>17.62</v>
      </c>
      <c r="G17719" s="11"/>
    </row>
    <row r="17720" ht="30.0" customHeight="1">
      <c r="A17720" s="11"/>
      <c r="B17720" s="11"/>
      <c r="C17720" s="11"/>
      <c r="D17720" s="10" t="s">
        <v>8427</v>
      </c>
    </row>
    <row r="17721" ht="30.0" customHeight="1">
      <c r="A17721" s="13" t="s">
        <v>8428</v>
      </c>
      <c r="B17721" s="10" t="s">
        <v>42</v>
      </c>
      <c r="C17721" s="10" t="s">
        <v>19</v>
      </c>
      <c r="D17721" s="10" t="s">
        <v>8429</v>
      </c>
      <c r="E17721" s="11"/>
      <c r="F17721" s="12">
        <f>ROUND(25.5*(1+G2/100),2)</f>
        <v>25.5</v>
      </c>
      <c r="G17721" s="11"/>
    </row>
    <row r="17722" ht="67.5" customHeight="1">
      <c r="A17722" s="11"/>
      <c r="B17722" s="11"/>
      <c r="C17722" s="11"/>
      <c r="D17722" s="10" t="s">
        <v>8430</v>
      </c>
    </row>
    <row r="17723" ht="30.0" customHeight="1">
      <c r="A17723" s="13" t="s">
        <v>8431</v>
      </c>
      <c r="B17723" s="10" t="s">
        <v>42</v>
      </c>
      <c r="C17723" s="10" t="s">
        <v>226</v>
      </c>
      <c r="D17723" s="10" t="s">
        <v>8432</v>
      </c>
      <c r="E17723" s="11"/>
      <c r="F17723" s="12">
        <f>ROUND(159.17*(1+G2/100),2)</f>
        <v>159.17</v>
      </c>
      <c r="G17723" s="11"/>
    </row>
    <row r="17724" ht="57.75" customHeight="1">
      <c r="A17724" s="11"/>
      <c r="B17724" s="11"/>
      <c r="C17724" s="11"/>
      <c r="D17724" s="10" t="s">
        <v>8433</v>
      </c>
    </row>
    <row r="17725" ht="30.0" customHeight="1">
      <c r="A17725" s="13" t="s">
        <v>8434</v>
      </c>
      <c r="B17725" s="10" t="s">
        <v>42</v>
      </c>
      <c r="C17725" s="10" t="s">
        <v>226</v>
      </c>
      <c r="D17725" s="10" t="s">
        <v>8435</v>
      </c>
      <c r="E17725" s="11"/>
      <c r="F17725" s="12">
        <f>ROUND(17.92*(1+G2/100),2)</f>
        <v>17.92</v>
      </c>
      <c r="G17725" s="11"/>
    </row>
    <row r="17726" ht="57.75" customHeight="1">
      <c r="A17726" s="11"/>
      <c r="B17726" s="11"/>
      <c r="C17726" s="11"/>
      <c r="D17726" s="10" t="s">
        <v>8436</v>
      </c>
    </row>
    <row r="17727" ht="30.0" customHeight="1">
      <c r="A17727" s="13" t="s">
        <v>8437</v>
      </c>
      <c r="B17727" s="10" t="s">
        <v>42</v>
      </c>
      <c r="C17727" s="10" t="s">
        <v>226</v>
      </c>
      <c r="D17727" s="10" t="s">
        <v>8438</v>
      </c>
      <c r="E17727" s="11"/>
      <c r="F17727" s="12">
        <f>ROUND(23.08*(1+G2/100),2)</f>
        <v>23.08</v>
      </c>
      <c r="G17727" s="11"/>
    </row>
    <row r="17728" ht="57.75" customHeight="1">
      <c r="A17728" s="11"/>
      <c r="B17728" s="11"/>
      <c r="C17728" s="11"/>
      <c r="D17728" s="10" t="s">
        <v>8439</v>
      </c>
    </row>
    <row r="17729" ht="30.0" customHeight="1">
      <c r="A17729" s="13" t="s">
        <v>8440</v>
      </c>
      <c r="B17729" s="10" t="s">
        <v>42</v>
      </c>
      <c r="C17729" s="10" t="s">
        <v>6662</v>
      </c>
      <c r="D17729" s="10" t="s">
        <v>8441</v>
      </c>
      <c r="E17729" s="11"/>
      <c r="F17729" s="12">
        <f>ROUND(7.7*(1+G2/100),2)</f>
        <v>7.7</v>
      </c>
      <c r="G17729" s="11"/>
    </row>
    <row r="17730" ht="67.5" customHeight="1">
      <c r="A17730" s="11"/>
      <c r="B17730" s="11"/>
      <c r="C17730" s="11"/>
      <c r="D17730" s="10" t="s">
        <v>8442</v>
      </c>
    </row>
    <row r="17731" ht="30.0" customHeight="1">
      <c r="A17731" s="13" t="s">
        <v>8443</v>
      </c>
      <c r="B17731" s="10" t="s">
        <v>42</v>
      </c>
      <c r="C17731" s="10" t="s">
        <v>226</v>
      </c>
      <c r="D17731" s="10" t="s">
        <v>8444</v>
      </c>
      <c r="E17731" s="11"/>
      <c r="F17731" s="12">
        <f>ROUND(86.15*(1+G2/100),2)</f>
        <v>86.15</v>
      </c>
      <c r="G17731" s="11"/>
    </row>
    <row r="17732" ht="67.5" customHeight="1">
      <c r="A17732" s="11"/>
      <c r="B17732" s="11"/>
      <c r="C17732" s="11"/>
      <c r="D17732" s="10" t="s">
        <v>8445</v>
      </c>
    </row>
    <row r="17733" ht="39.75" customHeight="1">
      <c r="A17733" s="13" t="s">
        <v>4400</v>
      </c>
      <c r="B17733" s="10" t="s">
        <v>42</v>
      </c>
      <c r="C17733" s="10" t="s">
        <v>4401</v>
      </c>
      <c r="D17733" s="10" t="s">
        <v>4402</v>
      </c>
      <c r="E17733" s="11"/>
      <c r="F17733" s="12">
        <f>ROUND(79.77*(1+G2/100),2)</f>
        <v>79.77</v>
      </c>
      <c r="G17733" s="11"/>
    </row>
    <row r="17734" ht="21.0" customHeight="1">
      <c r="A17734" s="11"/>
      <c r="B17734" s="11"/>
      <c r="C17734" s="11"/>
      <c r="D17734" s="10" t="s">
        <v>8446</v>
      </c>
    </row>
    <row r="17735" ht="30.0" customHeight="1">
      <c r="A17735" s="13" t="s">
        <v>4403</v>
      </c>
      <c r="B17735" s="10" t="s">
        <v>42</v>
      </c>
      <c r="C17735" s="10" t="s">
        <v>344</v>
      </c>
      <c r="D17735" s="10" t="s">
        <v>4404</v>
      </c>
      <c r="E17735" s="11"/>
      <c r="F17735" s="12">
        <f>ROUND(16.47*(1+G2/100),2)</f>
        <v>16.47</v>
      </c>
      <c r="G17735" s="11"/>
    </row>
    <row r="17736" ht="21.0" customHeight="1">
      <c r="A17736" s="11"/>
      <c r="B17736" s="11"/>
      <c r="C17736" s="11"/>
      <c r="D17736" s="10" t="s">
        <v>8447</v>
      </c>
    </row>
    <row r="17737" ht="30.0" customHeight="1">
      <c r="A17737" s="13" t="s">
        <v>4405</v>
      </c>
      <c r="B17737" s="10" t="s">
        <v>42</v>
      </c>
      <c r="C17737" s="10" t="s">
        <v>344</v>
      </c>
      <c r="D17737" s="10" t="s">
        <v>4406</v>
      </c>
      <c r="E17737" s="11"/>
      <c r="F17737" s="12">
        <f>ROUND(6.33*(1+G2/100),2)</f>
        <v>6.33</v>
      </c>
      <c r="G17737" s="11"/>
    </row>
    <row r="17738" ht="21.0" customHeight="1">
      <c r="A17738" s="11"/>
      <c r="B17738" s="11"/>
      <c r="C17738" s="11"/>
      <c r="D17738" s="10" t="s">
        <v>8448</v>
      </c>
    </row>
    <row r="17739" ht="30.0" customHeight="1">
      <c r="A17739" s="13" t="s">
        <v>4407</v>
      </c>
      <c r="B17739" s="10" t="s">
        <v>42</v>
      </c>
      <c r="C17739" s="10" t="s">
        <v>344</v>
      </c>
      <c r="D17739" s="10" t="s">
        <v>4408</v>
      </c>
      <c r="E17739" s="11"/>
      <c r="F17739" s="12">
        <f>ROUND(54.94*(1+G2/100),2)</f>
        <v>54.94</v>
      </c>
      <c r="G17739" s="11"/>
    </row>
    <row r="17740" ht="21.0" customHeight="1">
      <c r="A17740" s="11"/>
      <c r="B17740" s="11"/>
      <c r="C17740" s="11"/>
      <c r="D17740" s="10" t="s">
        <v>8449</v>
      </c>
    </row>
    <row r="17741" ht="39.75" customHeight="1">
      <c r="A17741" s="13" t="s">
        <v>4680</v>
      </c>
      <c r="B17741" s="10" t="s">
        <v>42</v>
      </c>
      <c r="C17741" s="10" t="s">
        <v>1881</v>
      </c>
      <c r="D17741" s="10" t="s">
        <v>4681</v>
      </c>
      <c r="E17741" s="11"/>
      <c r="F17741" s="12">
        <f>ROUND(61.39*(1+G2/100),2)</f>
        <v>61.39</v>
      </c>
      <c r="G17741" s="11"/>
    </row>
    <row r="17742" ht="21.0" customHeight="1">
      <c r="A17742" s="11"/>
      <c r="B17742" s="11"/>
      <c r="C17742" s="11"/>
      <c r="D17742" s="10" t="s">
        <v>8450</v>
      </c>
    </row>
    <row r="17743" ht="39.75" customHeight="1">
      <c r="A17743" s="13" t="s">
        <v>4306</v>
      </c>
      <c r="B17743" s="10" t="s">
        <v>42</v>
      </c>
      <c r="C17743" s="10" t="s">
        <v>344</v>
      </c>
      <c r="D17743" s="10" t="s">
        <v>4307</v>
      </c>
      <c r="E17743" s="11"/>
      <c r="F17743" s="12">
        <f>ROUND(9.75*(1+G2/100),2)</f>
        <v>9.75</v>
      </c>
      <c r="G17743" s="11"/>
    </row>
    <row r="17744" ht="21.0" customHeight="1">
      <c r="A17744" s="11"/>
      <c r="B17744" s="11"/>
      <c r="C17744" s="11"/>
      <c r="D17744" s="10" t="s">
        <v>4307</v>
      </c>
    </row>
    <row r="17745" ht="39.75" customHeight="1">
      <c r="A17745" s="13" t="s">
        <v>4323</v>
      </c>
      <c r="B17745" s="10" t="s">
        <v>42</v>
      </c>
      <c r="C17745" s="10" t="s">
        <v>344</v>
      </c>
      <c r="D17745" s="10" t="s">
        <v>4324</v>
      </c>
      <c r="E17745" s="11"/>
      <c r="F17745" s="12">
        <f>ROUND(11.34*(1+G2/100),2)</f>
        <v>11.34</v>
      </c>
      <c r="G17745" s="11"/>
    </row>
    <row r="17746" ht="21.0" customHeight="1">
      <c r="A17746" s="11"/>
      <c r="B17746" s="11"/>
      <c r="C17746" s="11"/>
      <c r="D17746" s="10" t="s">
        <v>4324</v>
      </c>
    </row>
    <row r="17747" ht="39.75" customHeight="1">
      <c r="A17747" s="13" t="s">
        <v>4332</v>
      </c>
      <c r="B17747" s="10" t="s">
        <v>42</v>
      </c>
      <c r="C17747" s="10" t="s">
        <v>344</v>
      </c>
      <c r="D17747" s="10" t="s">
        <v>4333</v>
      </c>
      <c r="E17747" s="11"/>
      <c r="F17747" s="12">
        <f>ROUND(16.68*(1+G2/100),2)</f>
        <v>16.68</v>
      </c>
      <c r="G17747" s="11"/>
    </row>
    <row r="17748" ht="21.0" customHeight="1">
      <c r="A17748" s="11"/>
      <c r="B17748" s="11"/>
      <c r="C17748" s="11"/>
      <c r="D17748" s="10" t="s">
        <v>4333</v>
      </c>
    </row>
    <row r="17749" ht="30.0" customHeight="1">
      <c r="A17749" s="13" t="s">
        <v>4308</v>
      </c>
      <c r="B17749" s="10" t="s">
        <v>42</v>
      </c>
      <c r="C17749" s="10" t="s">
        <v>344</v>
      </c>
      <c r="D17749" s="10" t="s">
        <v>4309</v>
      </c>
      <c r="E17749" s="11"/>
      <c r="F17749" s="12">
        <f>ROUND(2.92*(1+G2/100),2)</f>
        <v>2.92</v>
      </c>
      <c r="G17749" s="11"/>
    </row>
    <row r="17750" ht="21.0" customHeight="1">
      <c r="A17750" s="11"/>
      <c r="B17750" s="11"/>
      <c r="C17750" s="11"/>
      <c r="D17750" s="10" t="s">
        <v>4309</v>
      </c>
    </row>
    <row r="17751" ht="39.75" customHeight="1">
      <c r="A17751" s="13" t="s">
        <v>4325</v>
      </c>
      <c r="B17751" s="10" t="s">
        <v>42</v>
      </c>
      <c r="C17751" s="10" t="s">
        <v>344</v>
      </c>
      <c r="D17751" s="10" t="s">
        <v>4326</v>
      </c>
      <c r="E17751" s="11"/>
      <c r="F17751" s="12">
        <f>ROUND(3.7*(1+G2/100),2)</f>
        <v>3.7</v>
      </c>
      <c r="G17751" s="11"/>
    </row>
    <row r="17752" ht="21.0" customHeight="1">
      <c r="A17752" s="11"/>
      <c r="B17752" s="11"/>
      <c r="C17752" s="11"/>
      <c r="D17752" s="10" t="s">
        <v>4326</v>
      </c>
    </row>
    <row r="17753" ht="39.75" customHeight="1">
      <c r="A17753" s="13" t="s">
        <v>4334</v>
      </c>
      <c r="B17753" s="10" t="s">
        <v>42</v>
      </c>
      <c r="C17753" s="10" t="s">
        <v>344</v>
      </c>
      <c r="D17753" s="10" t="s">
        <v>4335</v>
      </c>
      <c r="E17753" s="11"/>
      <c r="F17753" s="12">
        <f>ROUND(5.84*(1+G2/100),2)</f>
        <v>5.84</v>
      </c>
      <c r="G17753" s="11"/>
    </row>
    <row r="17754" ht="21.0" customHeight="1">
      <c r="A17754" s="11"/>
      <c r="B17754" s="11"/>
      <c r="C17754" s="11"/>
      <c r="D17754" s="10" t="s">
        <v>4335</v>
      </c>
    </row>
    <row r="17755" ht="30.0" customHeight="1">
      <c r="A17755" s="13" t="s">
        <v>4310</v>
      </c>
      <c r="B17755" s="10" t="s">
        <v>42</v>
      </c>
      <c r="C17755" s="10" t="s">
        <v>226</v>
      </c>
      <c r="D17755" s="10" t="s">
        <v>4311</v>
      </c>
      <c r="E17755" s="11"/>
      <c r="F17755" s="12">
        <f>ROUND(57.88*(1+G2/100),2)</f>
        <v>57.88</v>
      </c>
      <c r="G17755" s="11"/>
    </row>
    <row r="17756" ht="21.0" customHeight="1">
      <c r="A17756" s="11"/>
      <c r="B17756" s="11"/>
      <c r="C17756" s="11"/>
      <c r="D17756" s="10" t="s">
        <v>8451</v>
      </c>
    </row>
    <row r="17757" ht="30.0" customHeight="1">
      <c r="A17757" s="13" t="s">
        <v>4312</v>
      </c>
      <c r="B17757" s="10" t="s">
        <v>42</v>
      </c>
      <c r="C17757" s="10" t="s">
        <v>226</v>
      </c>
      <c r="D17757" s="10" t="s">
        <v>4313</v>
      </c>
      <c r="E17757" s="11"/>
      <c r="F17757" s="12">
        <f>ROUND(20.55*(1+G2/100),2)</f>
        <v>20.55</v>
      </c>
      <c r="G17757" s="11"/>
    </row>
    <row r="17758" ht="12.0" customHeight="1">
      <c r="A17758" s="11"/>
      <c r="B17758" s="11"/>
      <c r="C17758" s="11"/>
      <c r="D17758" s="10" t="s">
        <v>4313</v>
      </c>
    </row>
    <row r="17759" ht="30.0" customHeight="1">
      <c r="A17759" s="13" t="s">
        <v>4304</v>
      </c>
      <c r="B17759" s="10" t="s">
        <v>42</v>
      </c>
      <c r="C17759" s="10" t="s">
        <v>1881</v>
      </c>
      <c r="D17759" s="10" t="s">
        <v>4305</v>
      </c>
      <c r="E17759" s="11"/>
      <c r="F17759" s="12">
        <f>ROUND(20.91*(1+G2/100),2)</f>
        <v>20.91</v>
      </c>
      <c r="G17759" s="11"/>
    </row>
    <row r="17760" ht="21.0" customHeight="1">
      <c r="A17760" s="11"/>
      <c r="B17760" s="11"/>
      <c r="C17760" s="11"/>
      <c r="D17760" s="10" t="s">
        <v>8452</v>
      </c>
    </row>
    <row r="17761" ht="30.0" customHeight="1">
      <c r="A17761" s="13" t="s">
        <v>4321</v>
      </c>
      <c r="B17761" s="10" t="s">
        <v>42</v>
      </c>
      <c r="C17761" s="10" t="s">
        <v>1881</v>
      </c>
      <c r="D17761" s="10" t="s">
        <v>4322</v>
      </c>
      <c r="E17761" s="11"/>
      <c r="F17761" s="12">
        <f>ROUND(40.6*(1+G2/100),2)</f>
        <v>40.6</v>
      </c>
      <c r="G17761" s="11"/>
    </row>
    <row r="17762" ht="21.0" customHeight="1">
      <c r="A17762" s="11"/>
      <c r="B17762" s="11"/>
      <c r="C17762" s="11"/>
      <c r="D17762" s="10" t="s">
        <v>8452</v>
      </c>
    </row>
    <row r="17763" ht="30.0" customHeight="1">
      <c r="A17763" s="13" t="s">
        <v>8453</v>
      </c>
      <c r="B17763" s="10" t="s">
        <v>42</v>
      </c>
      <c r="C17763" s="10" t="s">
        <v>1881</v>
      </c>
      <c r="D17763" s="10" t="s">
        <v>8454</v>
      </c>
      <c r="E17763" s="11"/>
      <c r="F17763" s="12">
        <f>ROUND(32.59*(1+G2/100),2)</f>
        <v>32.59</v>
      </c>
      <c r="G17763" s="11"/>
    </row>
    <row r="17764" ht="21.0" customHeight="1">
      <c r="A17764" s="11"/>
      <c r="B17764" s="11"/>
      <c r="C17764" s="11"/>
      <c r="D17764" s="10" t="s">
        <v>8455</v>
      </c>
    </row>
    <row r="17765" ht="39.75" customHeight="1">
      <c r="A17765" s="13" t="s">
        <v>4330</v>
      </c>
      <c r="B17765" s="10" t="s">
        <v>42</v>
      </c>
      <c r="C17765" s="10" t="s">
        <v>1881</v>
      </c>
      <c r="D17765" s="10" t="s">
        <v>4331</v>
      </c>
      <c r="E17765" s="11"/>
      <c r="F17765" s="12">
        <f>ROUND(48.89*(1+G2/100),2)</f>
        <v>48.89</v>
      </c>
      <c r="G17765" s="11"/>
    </row>
    <row r="17766" ht="21.0" customHeight="1">
      <c r="A17766" s="11"/>
      <c r="B17766" s="11"/>
      <c r="C17766" s="11"/>
      <c r="D17766" s="10" t="s">
        <v>8456</v>
      </c>
    </row>
    <row r="17767" ht="30.0" customHeight="1">
      <c r="A17767" s="13" t="s">
        <v>8457</v>
      </c>
      <c r="B17767" s="10" t="s">
        <v>42</v>
      </c>
      <c r="C17767" s="10" t="s">
        <v>1881</v>
      </c>
      <c r="D17767" s="10" t="s">
        <v>8458</v>
      </c>
      <c r="E17767" s="11"/>
      <c r="F17767" s="12">
        <f>ROUND(27.07*(1+G2/100),2)</f>
        <v>27.07</v>
      </c>
      <c r="G17767" s="11"/>
    </row>
    <row r="17768" ht="21.0" customHeight="1">
      <c r="A17768" s="11"/>
      <c r="B17768" s="11"/>
      <c r="C17768" s="11"/>
      <c r="D17768" s="10" t="s">
        <v>8459</v>
      </c>
    </row>
    <row r="17769" ht="21.0" customHeight="1">
      <c r="A17769" s="13" t="s">
        <v>8460</v>
      </c>
      <c r="B17769" s="10" t="s">
        <v>42</v>
      </c>
      <c r="C17769" s="10" t="s">
        <v>19</v>
      </c>
      <c r="D17769" s="10" t="s">
        <v>8461</v>
      </c>
      <c r="E17769" s="11"/>
      <c r="F17769" s="12">
        <f>ROUND(34.09*(1+G2/100),2)</f>
        <v>34.09</v>
      </c>
      <c r="G17769" s="11"/>
    </row>
    <row r="17770" ht="177.75" customHeight="1">
      <c r="A17770" s="11"/>
      <c r="B17770" s="11"/>
      <c r="C17770" s="11"/>
      <c r="D17770" s="10" t="s">
        <v>8462</v>
      </c>
    </row>
    <row r="17771" ht="21.0" customHeight="1">
      <c r="A17771" s="13" t="s">
        <v>8463</v>
      </c>
      <c r="B17771" s="10" t="s">
        <v>42</v>
      </c>
      <c r="C17771" s="10" t="s">
        <v>19</v>
      </c>
      <c r="D17771" s="10" t="s">
        <v>8464</v>
      </c>
      <c r="E17771" s="11"/>
      <c r="F17771" s="12">
        <f>ROUND(27.97*(1+G2/100),2)</f>
        <v>27.97</v>
      </c>
      <c r="G17771" s="11"/>
    </row>
    <row r="17772" ht="177.75" customHeight="1">
      <c r="A17772" s="11"/>
      <c r="B17772" s="11"/>
      <c r="C17772" s="11"/>
      <c r="D17772" s="10" t="s">
        <v>8465</v>
      </c>
    </row>
    <row r="17773" ht="21.0" customHeight="1">
      <c r="A17773" s="13" t="s">
        <v>8466</v>
      </c>
      <c r="B17773" s="10" t="s">
        <v>42</v>
      </c>
      <c r="C17773" s="10" t="s">
        <v>19</v>
      </c>
      <c r="D17773" s="10" t="s">
        <v>8467</v>
      </c>
      <c r="E17773" s="11"/>
      <c r="F17773" s="12">
        <f>ROUND(31.07*(1+G2/100),2)</f>
        <v>31.07</v>
      </c>
      <c r="G17773" s="11"/>
    </row>
    <row r="17774" ht="177.75" customHeight="1">
      <c r="A17774" s="11"/>
      <c r="B17774" s="11"/>
      <c r="C17774" s="11"/>
      <c r="D17774" s="10" t="s">
        <v>8468</v>
      </c>
    </row>
    <row r="17775" ht="39.75" customHeight="1">
      <c r="A17775" s="13" t="s">
        <v>8469</v>
      </c>
      <c r="B17775" s="10" t="s">
        <v>42</v>
      </c>
      <c r="C17775" s="10" t="s">
        <v>344</v>
      </c>
      <c r="D17775" s="10" t="s">
        <v>8470</v>
      </c>
      <c r="E17775" s="11"/>
      <c r="F17775" s="12">
        <f>ROUND(64*(1+G2/100),2)</f>
        <v>64</v>
      </c>
      <c r="G17775" s="11"/>
    </row>
    <row r="17776" ht="132.0" customHeight="1">
      <c r="A17776" s="11"/>
      <c r="B17776" s="11"/>
      <c r="C17776" s="11"/>
      <c r="D17776" s="10" t="s">
        <v>8471</v>
      </c>
    </row>
    <row r="17777" ht="15.0" customHeight="1">
      <c r="A17777" s="16"/>
      <c r="B17777" s="16"/>
      <c r="C17777" s="16"/>
      <c r="D17777" s="61" t="s">
        <v>8411</v>
      </c>
      <c r="E17777" s="62"/>
      <c r="F17777" s="62"/>
      <c r="G17777" s="62"/>
    </row>
    <row r="17778" ht="24.75" customHeight="1">
      <c r="A17778" s="34" t="s">
        <v>8472</v>
      </c>
      <c r="B17778" s="34" t="s">
        <v>10</v>
      </c>
      <c r="C17778" s="35"/>
      <c r="D17778" s="34" t="s">
        <v>8473</v>
      </c>
      <c r="E17778" s="35"/>
      <c r="F17778" s="35"/>
      <c r="G17778" s="35"/>
    </row>
    <row r="17779" ht="30.0" customHeight="1">
      <c r="A17779" s="13" t="s">
        <v>340</v>
      </c>
      <c r="B17779" s="10" t="s">
        <v>42</v>
      </c>
      <c r="C17779" s="10" t="s">
        <v>341</v>
      </c>
      <c r="D17779" s="10" t="s">
        <v>342</v>
      </c>
      <c r="E17779" s="11"/>
      <c r="F17779" s="12">
        <f>ROUND(15.87*(1+G2/100),2)</f>
        <v>15.87</v>
      </c>
      <c r="G17779" s="11"/>
    </row>
    <row r="17780" ht="30.0" customHeight="1">
      <c r="A17780" s="11"/>
      <c r="B17780" s="11"/>
      <c r="C17780" s="11"/>
      <c r="D17780" s="10" t="s">
        <v>8474</v>
      </c>
    </row>
    <row r="17781" ht="30.0" customHeight="1">
      <c r="A17781" s="13" t="s">
        <v>8475</v>
      </c>
      <c r="B17781" s="10" t="s">
        <v>42</v>
      </c>
      <c r="C17781" s="10" t="s">
        <v>231</v>
      </c>
      <c r="D17781" s="10" t="s">
        <v>8476</v>
      </c>
      <c r="E17781" s="11"/>
      <c r="F17781" s="12">
        <f>ROUND(3.99*(1+G2/100),2)</f>
        <v>3.99</v>
      </c>
      <c r="G17781" s="11"/>
    </row>
    <row r="17782" ht="39.75" customHeight="1">
      <c r="A17782" s="11"/>
      <c r="B17782" s="11"/>
      <c r="C17782" s="11"/>
      <c r="D17782" s="10" t="s">
        <v>8477</v>
      </c>
    </row>
    <row r="17783" ht="30.0" customHeight="1">
      <c r="A17783" s="13" t="s">
        <v>8478</v>
      </c>
      <c r="B17783" s="10" t="s">
        <v>42</v>
      </c>
      <c r="C17783" s="10" t="s">
        <v>231</v>
      </c>
      <c r="D17783" s="10" t="s">
        <v>8479</v>
      </c>
      <c r="E17783" s="11"/>
      <c r="F17783" s="12">
        <f>ROUND(24.99*(1+G2/100),2)</f>
        <v>24.99</v>
      </c>
      <c r="G17783" s="11"/>
    </row>
    <row r="17784" ht="104.25" customHeight="1">
      <c r="A17784" s="11"/>
      <c r="B17784" s="11"/>
      <c r="C17784" s="11"/>
      <c r="D17784" s="10" t="s">
        <v>8480</v>
      </c>
    </row>
    <row r="17785" ht="30.0" customHeight="1">
      <c r="A17785" s="13" t="s">
        <v>8481</v>
      </c>
      <c r="B17785" s="10" t="s">
        <v>42</v>
      </c>
      <c r="C17785" s="10" t="s">
        <v>330</v>
      </c>
      <c r="D17785" s="10" t="s">
        <v>8482</v>
      </c>
      <c r="E17785" s="11"/>
      <c r="F17785" s="12">
        <f>ROUND(2.41*(1+G2/100),2)</f>
        <v>2.41</v>
      </c>
      <c r="G17785" s="11"/>
    </row>
    <row r="17786" ht="39.75" customHeight="1">
      <c r="A17786" s="11"/>
      <c r="B17786" s="11"/>
      <c r="C17786" s="11"/>
      <c r="D17786" s="10" t="s">
        <v>8483</v>
      </c>
    </row>
    <row r="17787" ht="39.75" customHeight="1">
      <c r="A17787" s="13" t="s">
        <v>8484</v>
      </c>
      <c r="B17787" s="10" t="s">
        <v>42</v>
      </c>
      <c r="C17787" s="10" t="s">
        <v>226</v>
      </c>
      <c r="D17787" s="10" t="s">
        <v>8485</v>
      </c>
      <c r="E17787" s="11"/>
      <c r="F17787" s="12">
        <f>ROUND(4.29*(1+G2/100),2)</f>
        <v>4.29</v>
      </c>
      <c r="G17787" s="11"/>
    </row>
    <row r="17788" ht="39.75" customHeight="1">
      <c r="A17788" s="11"/>
      <c r="B17788" s="11"/>
      <c r="C17788" s="11"/>
      <c r="D17788" s="10" t="s">
        <v>8486</v>
      </c>
    </row>
    <row r="17789" ht="21.0" customHeight="1">
      <c r="A17789" s="13" t="s">
        <v>230</v>
      </c>
      <c r="B17789" s="10" t="s">
        <v>42</v>
      </c>
      <c r="C17789" s="10" t="s">
        <v>231</v>
      </c>
      <c r="D17789" s="10" t="s">
        <v>232</v>
      </c>
      <c r="E17789" s="11"/>
      <c r="F17789" s="12">
        <f>ROUND(3.47*(1+G2/100),2)</f>
        <v>3.47</v>
      </c>
      <c r="G17789" s="11"/>
    </row>
    <row r="17790" ht="39.75" customHeight="1">
      <c r="A17790" s="11"/>
      <c r="B17790" s="11"/>
      <c r="C17790" s="11"/>
      <c r="D17790" s="10" t="s">
        <v>8487</v>
      </c>
    </row>
    <row r="17791" ht="30.0" customHeight="1">
      <c r="A17791" s="13" t="s">
        <v>658</v>
      </c>
      <c r="B17791" s="10" t="s">
        <v>42</v>
      </c>
      <c r="C17791" s="10" t="s">
        <v>231</v>
      </c>
      <c r="D17791" s="10" t="s">
        <v>659</v>
      </c>
      <c r="E17791" s="11"/>
      <c r="F17791" s="12">
        <f>ROUND(30.26*(1+G2/100),2)</f>
        <v>30.26</v>
      </c>
      <c r="G17791" s="11"/>
    </row>
    <row r="17792" ht="30.0" customHeight="1">
      <c r="A17792" s="11"/>
      <c r="B17792" s="11"/>
      <c r="C17792" s="11"/>
      <c r="D17792" s="10" t="s">
        <v>8488</v>
      </c>
    </row>
    <row r="17793" ht="30.0" customHeight="1">
      <c r="A17793" s="13" t="s">
        <v>8489</v>
      </c>
      <c r="B17793" s="10" t="s">
        <v>42</v>
      </c>
      <c r="C17793" s="10" t="s">
        <v>344</v>
      </c>
      <c r="D17793" s="10" t="s">
        <v>8490</v>
      </c>
      <c r="E17793" s="11"/>
      <c r="F17793" s="12">
        <f>ROUND(7.81*(1+G2/100),2)</f>
        <v>7.81</v>
      </c>
      <c r="G17793" s="11"/>
    </row>
    <row r="17794" ht="30.0" customHeight="1">
      <c r="A17794" s="11"/>
      <c r="B17794" s="11"/>
      <c r="C17794" s="11"/>
      <c r="D17794" s="10" t="s">
        <v>8491</v>
      </c>
    </row>
    <row r="17795" ht="39.75" customHeight="1">
      <c r="A17795" s="13" t="s">
        <v>8492</v>
      </c>
      <c r="B17795" s="10" t="s">
        <v>42</v>
      </c>
      <c r="C17795" s="10" t="s">
        <v>226</v>
      </c>
      <c r="D17795" s="10" t="s">
        <v>8493</v>
      </c>
      <c r="E17795" s="11"/>
      <c r="F17795" s="12">
        <f>ROUND(3.72*(1+G2/100),2)</f>
        <v>3.72</v>
      </c>
      <c r="G17795" s="11"/>
    </row>
    <row r="17796" ht="21.0" customHeight="1">
      <c r="A17796" s="11"/>
      <c r="B17796" s="11"/>
      <c r="C17796" s="11"/>
      <c r="D17796" s="10" t="s">
        <v>8493</v>
      </c>
    </row>
    <row r="17797" ht="30.0" customHeight="1">
      <c r="A17797" s="13" t="s">
        <v>8494</v>
      </c>
      <c r="B17797" s="10" t="s">
        <v>42</v>
      </c>
      <c r="C17797" s="10" t="s">
        <v>344</v>
      </c>
      <c r="D17797" s="10" t="s">
        <v>8495</v>
      </c>
      <c r="E17797" s="11"/>
      <c r="F17797" s="12">
        <f>ROUND(3.61*(1+G2/100),2)</f>
        <v>3.61</v>
      </c>
      <c r="G17797" s="11"/>
    </row>
    <row r="17798" ht="39.75" customHeight="1">
      <c r="A17798" s="11"/>
      <c r="B17798" s="11"/>
      <c r="C17798" s="11"/>
      <c r="D17798" s="10" t="s">
        <v>8496</v>
      </c>
    </row>
    <row r="17799" ht="30.0" customHeight="1">
      <c r="A17799" s="13" t="s">
        <v>8497</v>
      </c>
      <c r="B17799" s="10" t="s">
        <v>42</v>
      </c>
      <c r="C17799" s="10" t="s">
        <v>231</v>
      </c>
      <c r="D17799" s="10" t="s">
        <v>8498</v>
      </c>
      <c r="E17799" s="11"/>
      <c r="F17799" s="12">
        <f>ROUND(13.46*(1+G2/100),2)</f>
        <v>13.46</v>
      </c>
      <c r="G17799" s="11"/>
    </row>
    <row r="17800" ht="21.0" customHeight="1">
      <c r="A17800" s="11"/>
      <c r="B17800" s="11"/>
      <c r="C17800" s="11"/>
      <c r="D17800" s="10" t="s">
        <v>8499</v>
      </c>
    </row>
    <row r="17801" ht="30.0" customHeight="1">
      <c r="A17801" s="13" t="s">
        <v>1229</v>
      </c>
      <c r="B17801" s="10" t="s">
        <v>42</v>
      </c>
      <c r="C17801" s="10" t="s">
        <v>231</v>
      </c>
      <c r="D17801" s="10" t="s">
        <v>1230</v>
      </c>
      <c r="E17801" s="11"/>
      <c r="F17801" s="12">
        <f>ROUND(21.5*(1+G2/100),2)</f>
        <v>21.5</v>
      </c>
      <c r="G17801" s="11"/>
    </row>
    <row r="17802" ht="57.75" customHeight="1">
      <c r="A17802" s="11"/>
      <c r="B17802" s="11"/>
      <c r="C17802" s="11"/>
      <c r="D17802" s="10" t="s">
        <v>8500</v>
      </c>
    </row>
    <row r="17803" ht="21.0" customHeight="1">
      <c r="A17803" s="13" t="s">
        <v>311</v>
      </c>
      <c r="B17803" s="10" t="s">
        <v>42</v>
      </c>
      <c r="C17803" s="10" t="s">
        <v>231</v>
      </c>
      <c r="D17803" s="10" t="s">
        <v>312</v>
      </c>
      <c r="E17803" s="11"/>
      <c r="F17803" s="12">
        <f>ROUND(28.5*(1+G2/100),2)</f>
        <v>28.5</v>
      </c>
      <c r="G17803" s="11"/>
    </row>
    <row r="17804" ht="12.0" customHeight="1">
      <c r="A17804" s="11"/>
      <c r="B17804" s="11"/>
      <c r="C17804" s="11"/>
      <c r="D17804" s="10" t="s">
        <v>312</v>
      </c>
    </row>
    <row r="17805" ht="30.0" customHeight="1">
      <c r="A17805" s="13" t="s">
        <v>8501</v>
      </c>
      <c r="B17805" s="10" t="s">
        <v>42</v>
      </c>
      <c r="C17805" s="10" t="s">
        <v>344</v>
      </c>
      <c r="D17805" s="10" t="s">
        <v>8502</v>
      </c>
      <c r="E17805" s="11"/>
      <c r="F17805" s="12">
        <f>ROUND(3.1*(1+G2/100),2)</f>
        <v>3.1</v>
      </c>
      <c r="G17805" s="11"/>
    </row>
    <row r="17806" ht="21.0" customHeight="1">
      <c r="A17806" s="11"/>
      <c r="B17806" s="11"/>
      <c r="C17806" s="11"/>
      <c r="D17806" s="10" t="s">
        <v>8503</v>
      </c>
    </row>
    <row r="17807" ht="30.0" customHeight="1">
      <c r="A17807" s="13" t="s">
        <v>8504</v>
      </c>
      <c r="B17807" s="10" t="s">
        <v>42</v>
      </c>
      <c r="C17807" s="10" t="s">
        <v>344</v>
      </c>
      <c r="D17807" s="10" t="s">
        <v>8505</v>
      </c>
      <c r="E17807" s="11"/>
      <c r="F17807" s="12">
        <f>ROUND(3.1*(1+G2/100),2)</f>
        <v>3.1</v>
      </c>
      <c r="G17807" s="11"/>
    </row>
    <row r="17808" ht="21.0" customHeight="1">
      <c r="A17808" s="11"/>
      <c r="B17808" s="11"/>
      <c r="C17808" s="11"/>
      <c r="D17808" s="10" t="s">
        <v>8506</v>
      </c>
    </row>
    <row r="17809" ht="30.0" customHeight="1">
      <c r="A17809" s="13" t="s">
        <v>8507</v>
      </c>
      <c r="B17809" s="10" t="s">
        <v>42</v>
      </c>
      <c r="C17809" s="10" t="s">
        <v>344</v>
      </c>
      <c r="D17809" s="10" t="s">
        <v>8508</v>
      </c>
      <c r="E17809" s="11"/>
      <c r="F17809" s="12">
        <f>ROUND(3.1*(1+G2/100),2)</f>
        <v>3.1</v>
      </c>
      <c r="G17809" s="11"/>
    </row>
    <row r="17810" ht="21.0" customHeight="1">
      <c r="A17810" s="11"/>
      <c r="B17810" s="11"/>
      <c r="C17810" s="11"/>
      <c r="D17810" s="10" t="s">
        <v>8509</v>
      </c>
    </row>
    <row r="17811" ht="30.0" customHeight="1">
      <c r="A17811" s="13" t="s">
        <v>569</v>
      </c>
      <c r="B17811" s="10" t="s">
        <v>42</v>
      </c>
      <c r="C17811" s="10" t="s">
        <v>231</v>
      </c>
      <c r="D17811" s="10" t="s">
        <v>570</v>
      </c>
      <c r="E17811" s="11"/>
      <c r="F17811" s="12">
        <f>ROUND(32.94*(1+G2/100),2)</f>
        <v>32.94</v>
      </c>
      <c r="G17811" s="11"/>
    </row>
    <row r="17812" ht="48.75" customHeight="1">
      <c r="A17812" s="11"/>
      <c r="B17812" s="11"/>
      <c r="C17812" s="11"/>
      <c r="D17812" s="10" t="s">
        <v>8510</v>
      </c>
    </row>
    <row r="17813" ht="39.75" customHeight="1">
      <c r="A17813" s="13" t="s">
        <v>8511</v>
      </c>
      <c r="B17813" s="10" t="s">
        <v>42</v>
      </c>
      <c r="C17813" s="10" t="s">
        <v>231</v>
      </c>
      <c r="D17813" s="10" t="s">
        <v>8512</v>
      </c>
      <c r="E17813" s="11"/>
      <c r="F17813" s="12">
        <f>ROUND(35.7*(1+G2/100),2)</f>
        <v>35.7</v>
      </c>
      <c r="G17813" s="11"/>
    </row>
    <row r="17814" ht="48.75" customHeight="1">
      <c r="A17814" s="11"/>
      <c r="B17814" s="11"/>
      <c r="C17814" s="11"/>
      <c r="D17814" s="10" t="s">
        <v>8513</v>
      </c>
    </row>
    <row r="17815" ht="30.0" customHeight="1">
      <c r="A17815" s="13" t="s">
        <v>327</v>
      </c>
      <c r="B17815" s="10" t="s">
        <v>42</v>
      </c>
      <c r="C17815" s="10" t="s">
        <v>231</v>
      </c>
      <c r="D17815" s="10" t="s">
        <v>328</v>
      </c>
      <c r="E17815" s="11"/>
      <c r="F17815" s="12">
        <f>ROUND(92.03*(1+G2/100),2)</f>
        <v>92.03</v>
      </c>
      <c r="G17815" s="11"/>
    </row>
    <row r="17816" ht="39.75" customHeight="1">
      <c r="A17816" s="11"/>
      <c r="B17816" s="11"/>
      <c r="C17816" s="11"/>
      <c r="D17816" s="10" t="s">
        <v>8514</v>
      </c>
    </row>
    <row r="17817" ht="21.0" customHeight="1">
      <c r="A17817" s="13" t="s">
        <v>8515</v>
      </c>
      <c r="B17817" s="10" t="s">
        <v>42</v>
      </c>
      <c r="C17817" s="10" t="s">
        <v>231</v>
      </c>
      <c r="D17817" s="10" t="s">
        <v>8516</v>
      </c>
      <c r="E17817" s="11"/>
      <c r="F17817" s="12">
        <f>ROUND(49.98*(1+G2/100),2)</f>
        <v>49.98</v>
      </c>
      <c r="G17817" s="11"/>
    </row>
    <row r="17818" ht="57.75" customHeight="1">
      <c r="A17818" s="11"/>
      <c r="B17818" s="11"/>
      <c r="C17818" s="11"/>
      <c r="D17818" s="10" t="s">
        <v>8517</v>
      </c>
    </row>
    <row r="17819" ht="30.0" customHeight="1">
      <c r="A17819" s="13" t="s">
        <v>583</v>
      </c>
      <c r="B17819" s="10" t="s">
        <v>42</v>
      </c>
      <c r="C17819" s="10" t="s">
        <v>584</v>
      </c>
      <c r="D17819" s="10" t="s">
        <v>585</v>
      </c>
      <c r="E17819" s="11"/>
      <c r="F17819" s="12">
        <f>ROUND(30.77*(1+G2/100),2)</f>
        <v>30.77</v>
      </c>
      <c r="G17819" s="11"/>
    </row>
    <row r="17820" ht="39.75" customHeight="1">
      <c r="A17820" s="11"/>
      <c r="B17820" s="11"/>
      <c r="C17820" s="11"/>
      <c r="D17820" s="10" t="s">
        <v>8518</v>
      </c>
    </row>
    <row r="17821" ht="30.0" customHeight="1">
      <c r="A17821" s="13" t="s">
        <v>588</v>
      </c>
      <c r="B17821" s="10" t="s">
        <v>42</v>
      </c>
      <c r="C17821" s="10" t="s">
        <v>231</v>
      </c>
      <c r="D17821" s="10" t="s">
        <v>589</v>
      </c>
      <c r="E17821" s="11"/>
      <c r="F17821" s="12">
        <f>ROUND(42*(1+G2/100),2)</f>
        <v>42</v>
      </c>
      <c r="G17821" s="11"/>
    </row>
    <row r="17822" ht="76.5" customHeight="1">
      <c r="A17822" s="11"/>
      <c r="B17822" s="11"/>
      <c r="C17822" s="11"/>
      <c r="D17822" s="10" t="s">
        <v>8519</v>
      </c>
    </row>
    <row r="17823" ht="30.0" customHeight="1">
      <c r="A17823" s="13" t="s">
        <v>3948</v>
      </c>
      <c r="B17823" s="10" t="s">
        <v>42</v>
      </c>
      <c r="C17823" s="10" t="s">
        <v>226</v>
      </c>
      <c r="D17823" s="10" t="s">
        <v>3949</v>
      </c>
      <c r="E17823" s="11"/>
      <c r="F17823" s="12">
        <f>ROUND(26.68*(1+G2/100),2)</f>
        <v>26.68</v>
      </c>
      <c r="G17823" s="11"/>
    </row>
    <row r="17824" ht="30.0" customHeight="1">
      <c r="A17824" s="11"/>
      <c r="B17824" s="11"/>
      <c r="C17824" s="11"/>
      <c r="D17824" s="10" t="s">
        <v>8520</v>
      </c>
    </row>
    <row r="17825" ht="30.0" customHeight="1">
      <c r="A17825" s="13" t="s">
        <v>8521</v>
      </c>
      <c r="B17825" s="10" t="s">
        <v>42</v>
      </c>
      <c r="C17825" s="10" t="s">
        <v>226</v>
      </c>
      <c r="D17825" s="10" t="s">
        <v>8522</v>
      </c>
      <c r="E17825" s="11"/>
      <c r="F17825" s="12">
        <f>ROUND(37.28*(1+G2/100),2)</f>
        <v>37.28</v>
      </c>
      <c r="G17825" s="11"/>
    </row>
    <row r="17826" ht="30.0" customHeight="1">
      <c r="A17826" s="11"/>
      <c r="B17826" s="11"/>
      <c r="C17826" s="11"/>
      <c r="D17826" s="10" t="s">
        <v>8523</v>
      </c>
    </row>
    <row r="17827" ht="30.0" customHeight="1">
      <c r="A17827" s="13" t="s">
        <v>8524</v>
      </c>
      <c r="B17827" s="10" t="s">
        <v>42</v>
      </c>
      <c r="C17827" s="10" t="s">
        <v>226</v>
      </c>
      <c r="D17827" s="10" t="s">
        <v>8525</v>
      </c>
      <c r="E17827" s="11"/>
      <c r="F17827" s="12">
        <f>ROUND(41.94*(1+G2/100),2)</f>
        <v>41.94</v>
      </c>
      <c r="G17827" s="11"/>
    </row>
    <row r="17828" ht="30.0" customHeight="1">
      <c r="A17828" s="11"/>
      <c r="B17828" s="11"/>
      <c r="C17828" s="11"/>
      <c r="D17828" s="10" t="s">
        <v>8526</v>
      </c>
    </row>
    <row r="17829" ht="21.0" customHeight="1">
      <c r="A17829" s="13" t="s">
        <v>237</v>
      </c>
      <c r="B17829" s="10" t="s">
        <v>42</v>
      </c>
      <c r="C17829" s="10" t="s">
        <v>231</v>
      </c>
      <c r="D17829" s="10" t="s">
        <v>238</v>
      </c>
      <c r="E17829" s="11"/>
      <c r="F17829" s="12">
        <f>ROUND(6.32*(1+G2/100),2)</f>
        <v>6.32</v>
      </c>
      <c r="G17829" s="11"/>
    </row>
    <row r="17830" ht="21.0" customHeight="1">
      <c r="A17830" s="11"/>
      <c r="B17830" s="11"/>
      <c r="C17830" s="11"/>
      <c r="D17830" s="10" t="s">
        <v>8527</v>
      </c>
    </row>
    <row r="17831" ht="30.0" customHeight="1">
      <c r="A17831" s="13" t="s">
        <v>590</v>
      </c>
      <c r="B17831" s="10" t="s">
        <v>42</v>
      </c>
      <c r="C17831" s="10" t="s">
        <v>231</v>
      </c>
      <c r="D17831" s="10" t="s">
        <v>591</v>
      </c>
      <c r="E17831" s="11"/>
      <c r="F17831" s="12">
        <f>ROUND(119*(1+G2/100),2)</f>
        <v>119</v>
      </c>
      <c r="G17831" s="11"/>
    </row>
    <row r="17832" ht="21.0" customHeight="1">
      <c r="A17832" s="11"/>
      <c r="B17832" s="11"/>
      <c r="C17832" s="11"/>
      <c r="D17832" s="10" t="s">
        <v>8528</v>
      </c>
    </row>
    <row r="17833" ht="21.0" customHeight="1">
      <c r="A17833" s="13" t="s">
        <v>576</v>
      </c>
      <c r="B17833" s="10" t="s">
        <v>42</v>
      </c>
      <c r="C17833" s="10" t="s">
        <v>231</v>
      </c>
      <c r="D17833" s="10" t="s">
        <v>577</v>
      </c>
      <c r="E17833" s="11"/>
      <c r="F17833" s="12">
        <f>ROUND(12.12*(1+G2/100),2)</f>
        <v>12.12</v>
      </c>
      <c r="G17833" s="11"/>
    </row>
    <row r="17834" ht="12.0" customHeight="1">
      <c r="A17834" s="11"/>
      <c r="B17834" s="11"/>
      <c r="C17834" s="11"/>
      <c r="D17834" s="10" t="s">
        <v>577</v>
      </c>
    </row>
    <row r="17835" ht="30.0" customHeight="1">
      <c r="A17835" s="13" t="s">
        <v>8529</v>
      </c>
      <c r="B17835" s="10" t="s">
        <v>42</v>
      </c>
      <c r="C17835" s="10" t="s">
        <v>485</v>
      </c>
      <c r="D17835" s="10" t="s">
        <v>8530</v>
      </c>
      <c r="E17835" s="11"/>
      <c r="F17835" s="12">
        <f>ROUND(23.06*(1+G2/100),2)</f>
        <v>23.06</v>
      </c>
      <c r="G17835" s="11"/>
    </row>
    <row r="17836" ht="21.0" customHeight="1">
      <c r="A17836" s="11"/>
      <c r="B17836" s="11"/>
      <c r="C17836" s="11"/>
      <c r="D17836" s="10" t="s">
        <v>8531</v>
      </c>
    </row>
    <row r="17837" ht="30.0" customHeight="1">
      <c r="A17837" s="13" t="s">
        <v>581</v>
      </c>
      <c r="B17837" s="10" t="s">
        <v>42</v>
      </c>
      <c r="C17837" s="10" t="s">
        <v>231</v>
      </c>
      <c r="D17837" s="10" t="s">
        <v>582</v>
      </c>
      <c r="E17837" s="11"/>
      <c r="F17837" s="12">
        <f>ROUND(172*(1+G2/100),2)</f>
        <v>172</v>
      </c>
      <c r="G17837" s="11"/>
    </row>
    <row r="17838" ht="12.0" customHeight="1">
      <c r="A17838" s="11"/>
      <c r="B17838" s="11"/>
      <c r="C17838" s="11"/>
      <c r="D17838" s="10" t="s">
        <v>582</v>
      </c>
    </row>
    <row r="17839" ht="30.0" customHeight="1">
      <c r="A17839" s="13" t="s">
        <v>8532</v>
      </c>
      <c r="B17839" s="10" t="s">
        <v>42</v>
      </c>
      <c r="C17839" s="10" t="s">
        <v>485</v>
      </c>
      <c r="D17839" s="10" t="s">
        <v>8533</v>
      </c>
      <c r="E17839" s="11"/>
      <c r="F17839" s="12">
        <f>ROUND(1*(1+G2/100),2)</f>
        <v>1</v>
      </c>
      <c r="G17839" s="11"/>
    </row>
    <row r="17840" ht="30.0" customHeight="1">
      <c r="A17840" s="11"/>
      <c r="B17840" s="11"/>
      <c r="C17840" s="11"/>
      <c r="D17840" s="10" t="s">
        <v>8534</v>
      </c>
    </row>
    <row r="17841" ht="21.0" customHeight="1">
      <c r="A17841" s="13" t="s">
        <v>8535</v>
      </c>
      <c r="B17841" s="10" t="s">
        <v>42</v>
      </c>
      <c r="C17841" s="10" t="s">
        <v>485</v>
      </c>
      <c r="D17841" s="10" t="s">
        <v>8536</v>
      </c>
      <c r="E17841" s="11"/>
      <c r="F17841" s="12">
        <f>ROUND(3.2*(1+G2/100),2)</f>
        <v>3.2</v>
      </c>
      <c r="G17841" s="11"/>
    </row>
    <row r="17842" ht="21.0" customHeight="1">
      <c r="A17842" s="11"/>
      <c r="B17842" s="11"/>
      <c r="C17842" s="11"/>
      <c r="D17842" s="10" t="s">
        <v>8537</v>
      </c>
    </row>
    <row r="17843" ht="30.0" customHeight="1">
      <c r="A17843" s="13" t="s">
        <v>8538</v>
      </c>
      <c r="B17843" s="10" t="s">
        <v>42</v>
      </c>
      <c r="C17843" s="10" t="s">
        <v>457</v>
      </c>
      <c r="D17843" s="10" t="s">
        <v>8539</v>
      </c>
      <c r="E17843" s="11"/>
      <c r="F17843" s="12">
        <f>ROUND(7.98*(1+G2/100),2)</f>
        <v>7.98</v>
      </c>
      <c r="G17843" s="11"/>
    </row>
    <row r="17844" ht="30.0" customHeight="1">
      <c r="A17844" s="11"/>
      <c r="B17844" s="11"/>
      <c r="C17844" s="11"/>
      <c r="D17844" s="10" t="s">
        <v>8540</v>
      </c>
    </row>
    <row r="17845" ht="30.0" customHeight="1">
      <c r="A17845" s="13" t="s">
        <v>8541</v>
      </c>
      <c r="B17845" s="10" t="s">
        <v>42</v>
      </c>
      <c r="C17845" s="10" t="s">
        <v>457</v>
      </c>
      <c r="D17845" s="10" t="s">
        <v>8542</v>
      </c>
      <c r="E17845" s="11"/>
      <c r="F17845" s="12">
        <f>ROUND(17.18*(1+G2/100),2)</f>
        <v>17.18</v>
      </c>
      <c r="G17845" s="11"/>
    </row>
    <row r="17846" ht="30.0" customHeight="1">
      <c r="A17846" s="11"/>
      <c r="B17846" s="11"/>
      <c r="C17846" s="11"/>
      <c r="D17846" s="10" t="s">
        <v>8543</v>
      </c>
    </row>
    <row r="17847" ht="39.75" customHeight="1">
      <c r="A17847" s="13" t="s">
        <v>456</v>
      </c>
      <c r="B17847" s="10" t="s">
        <v>42</v>
      </c>
      <c r="C17847" s="10" t="s">
        <v>457</v>
      </c>
      <c r="D17847" s="10" t="s">
        <v>458</v>
      </c>
      <c r="E17847" s="11"/>
      <c r="F17847" s="12">
        <f>ROUND(36.98*(1+G2/100),2)</f>
        <v>36.98</v>
      </c>
      <c r="G17847" s="11"/>
    </row>
    <row r="17848" ht="30.0" customHeight="1">
      <c r="A17848" s="11"/>
      <c r="B17848" s="11"/>
      <c r="C17848" s="11"/>
      <c r="D17848" s="10" t="s">
        <v>8544</v>
      </c>
    </row>
    <row r="17849" ht="39.75" customHeight="1">
      <c r="A17849" s="13" t="s">
        <v>8545</v>
      </c>
      <c r="B17849" s="10" t="s">
        <v>42</v>
      </c>
      <c r="C17849" s="10" t="s">
        <v>1825</v>
      </c>
      <c r="D17849" s="10" t="s">
        <v>8546</v>
      </c>
      <c r="E17849" s="11"/>
      <c r="F17849" s="12">
        <f>ROUND(20*(1+G2/100),2)</f>
        <v>20</v>
      </c>
      <c r="G17849" s="11"/>
    </row>
    <row r="17850" ht="48.75" customHeight="1">
      <c r="A17850" s="11"/>
      <c r="B17850" s="11"/>
      <c r="C17850" s="11"/>
      <c r="D17850" s="10" t="s">
        <v>8547</v>
      </c>
    </row>
    <row r="17851" ht="30.0" customHeight="1">
      <c r="A17851" s="13" t="s">
        <v>8548</v>
      </c>
      <c r="B17851" s="10" t="s">
        <v>42</v>
      </c>
      <c r="C17851" s="10" t="s">
        <v>226</v>
      </c>
      <c r="D17851" s="10" t="s">
        <v>8549</v>
      </c>
      <c r="E17851" s="11"/>
      <c r="F17851" s="12">
        <f>ROUND(130*(1+G2/100),2)</f>
        <v>130</v>
      </c>
      <c r="G17851" s="11"/>
    </row>
    <row r="17852" ht="48.75" customHeight="1">
      <c r="A17852" s="11"/>
      <c r="B17852" s="11"/>
      <c r="C17852" s="11"/>
      <c r="D17852" s="10" t="s">
        <v>8550</v>
      </c>
    </row>
    <row r="17853" ht="15.0" customHeight="1">
      <c r="A17853" s="16"/>
      <c r="B17853" s="16"/>
      <c r="C17853" s="16"/>
      <c r="D17853" s="61" t="s">
        <v>8472</v>
      </c>
      <c r="E17853" s="62"/>
      <c r="F17853" s="62"/>
      <c r="G17853" s="62"/>
    </row>
    <row r="17854" ht="24.75" customHeight="1">
      <c r="A17854" s="34" t="s">
        <v>8551</v>
      </c>
      <c r="B17854" s="34" t="s">
        <v>10</v>
      </c>
      <c r="C17854" s="35"/>
      <c r="D17854" s="34" t="s">
        <v>8552</v>
      </c>
      <c r="E17854" s="35"/>
      <c r="F17854" s="35"/>
      <c r="G17854" s="35"/>
    </row>
    <row r="17855" ht="39.75" customHeight="1">
      <c r="A17855" s="13" t="s">
        <v>8553</v>
      </c>
      <c r="B17855" s="10" t="s">
        <v>42</v>
      </c>
      <c r="C17855" s="10" t="s">
        <v>344</v>
      </c>
      <c r="D17855" s="10" t="s">
        <v>8554</v>
      </c>
      <c r="E17855" s="11"/>
      <c r="F17855" s="12">
        <f>ROUND(17.3*(1+G2/100),2)</f>
        <v>17.3</v>
      </c>
      <c r="G17855" s="11"/>
    </row>
    <row r="17856" ht="57.75" customHeight="1">
      <c r="A17856" s="11"/>
      <c r="B17856" s="11"/>
      <c r="C17856" s="11"/>
      <c r="D17856" s="10" t="s">
        <v>8555</v>
      </c>
    </row>
    <row r="17857" ht="30.0" customHeight="1">
      <c r="A17857" s="13" t="s">
        <v>8556</v>
      </c>
      <c r="B17857" s="10" t="s">
        <v>42</v>
      </c>
      <c r="C17857" s="10" t="s">
        <v>344</v>
      </c>
      <c r="D17857" s="10" t="s">
        <v>8557</v>
      </c>
      <c r="E17857" s="11"/>
      <c r="F17857" s="12">
        <f>ROUND(8.68*(1+G2/100),2)</f>
        <v>8.68</v>
      </c>
      <c r="G17857" s="11"/>
    </row>
    <row r="17858" ht="57.75" customHeight="1">
      <c r="A17858" s="11"/>
      <c r="B17858" s="11"/>
      <c r="C17858" s="11"/>
      <c r="D17858" s="10" t="s">
        <v>8558</v>
      </c>
    </row>
    <row r="17859" ht="30.0" customHeight="1">
      <c r="A17859" s="13" t="s">
        <v>2652</v>
      </c>
      <c r="B17859" s="10" t="s">
        <v>42</v>
      </c>
      <c r="C17859" s="10" t="s">
        <v>344</v>
      </c>
      <c r="D17859" s="10" t="s">
        <v>2653</v>
      </c>
      <c r="E17859" s="11"/>
      <c r="F17859" s="12">
        <f>ROUND(4.92*(1+G2/100),2)</f>
        <v>4.92</v>
      </c>
      <c r="G17859" s="11"/>
    </row>
    <row r="17860" ht="21.0" customHeight="1">
      <c r="A17860" s="11"/>
      <c r="B17860" s="11"/>
      <c r="C17860" s="11"/>
      <c r="D17860" s="10" t="s">
        <v>8559</v>
      </c>
    </row>
    <row r="17861" ht="30.0" customHeight="1">
      <c r="A17861" s="13" t="s">
        <v>8560</v>
      </c>
      <c r="B17861" s="10" t="s">
        <v>42</v>
      </c>
      <c r="C17861" s="10" t="s">
        <v>344</v>
      </c>
      <c r="D17861" s="10" t="s">
        <v>8561</v>
      </c>
      <c r="E17861" s="11"/>
      <c r="F17861" s="12">
        <f>ROUND(7.89*(1+G2/100),2)</f>
        <v>7.89</v>
      </c>
      <c r="G17861" s="11"/>
    </row>
    <row r="17862" ht="21.0" customHeight="1">
      <c r="A17862" s="11"/>
      <c r="B17862" s="11"/>
      <c r="C17862" s="11"/>
      <c r="D17862" s="10" t="s">
        <v>8562</v>
      </c>
    </row>
    <row r="17863" ht="30.0" customHeight="1">
      <c r="A17863" s="13" t="s">
        <v>8563</v>
      </c>
      <c r="B17863" s="10" t="s">
        <v>42</v>
      </c>
      <c r="C17863" s="10" t="s">
        <v>344</v>
      </c>
      <c r="D17863" s="10" t="s">
        <v>8564</v>
      </c>
      <c r="E17863" s="11"/>
      <c r="F17863" s="12">
        <f>ROUND(6.82*(1+G2/100),2)</f>
        <v>6.82</v>
      </c>
      <c r="G17863" s="11"/>
    </row>
    <row r="17864" ht="21.0" customHeight="1">
      <c r="A17864" s="11"/>
      <c r="B17864" s="11"/>
      <c r="C17864" s="11"/>
      <c r="D17864" s="10" t="s">
        <v>8565</v>
      </c>
    </row>
    <row r="17865" ht="30.0" customHeight="1">
      <c r="A17865" s="13" t="s">
        <v>2654</v>
      </c>
      <c r="B17865" s="10" t="s">
        <v>42</v>
      </c>
      <c r="C17865" s="10" t="s">
        <v>344</v>
      </c>
      <c r="D17865" s="10" t="s">
        <v>2655</v>
      </c>
      <c r="E17865" s="11"/>
      <c r="F17865" s="12">
        <f>ROUND(15.74*(1+G2/100),2)</f>
        <v>15.74</v>
      </c>
      <c r="G17865" s="11"/>
    </row>
    <row r="17866" ht="21.0" customHeight="1">
      <c r="A17866" s="11"/>
      <c r="B17866" s="11"/>
      <c r="C17866" s="11"/>
      <c r="D17866" s="10" t="s">
        <v>8566</v>
      </c>
    </row>
    <row r="17867" ht="48.75" customHeight="1">
      <c r="A17867" s="13" t="s">
        <v>3873</v>
      </c>
      <c r="B17867" s="10" t="s">
        <v>42</v>
      </c>
      <c r="C17867" s="10" t="s">
        <v>344</v>
      </c>
      <c r="D17867" s="10" t="s">
        <v>3874</v>
      </c>
      <c r="E17867" s="11"/>
      <c r="F17867" s="12">
        <f>ROUND(59.84*(1+G2/100),2)</f>
        <v>59.84</v>
      </c>
      <c r="G17867" s="11"/>
    </row>
    <row r="17868" ht="21.0" customHeight="1">
      <c r="A17868" s="11"/>
      <c r="B17868" s="11"/>
      <c r="C17868" s="11"/>
      <c r="D17868" s="10" t="s">
        <v>8567</v>
      </c>
    </row>
    <row r="17869" ht="39.75" customHeight="1">
      <c r="A17869" s="13" t="s">
        <v>3862</v>
      </c>
      <c r="B17869" s="10" t="s">
        <v>42</v>
      </c>
      <c r="C17869" s="10" t="s">
        <v>344</v>
      </c>
      <c r="D17869" s="10" t="s">
        <v>3863</v>
      </c>
      <c r="E17869" s="11"/>
      <c r="F17869" s="12">
        <f>ROUND(56.04*(1+G2/100),2)</f>
        <v>56.04</v>
      </c>
      <c r="G17869" s="11"/>
    </row>
    <row r="17870" ht="168.75" customHeight="1">
      <c r="A17870" s="11"/>
      <c r="B17870" s="11"/>
      <c r="C17870" s="11"/>
      <c r="D17870" s="10" t="s">
        <v>8568</v>
      </c>
    </row>
    <row r="17871" ht="39.75" customHeight="1">
      <c r="A17871" s="13" t="s">
        <v>3860</v>
      </c>
      <c r="B17871" s="10" t="s">
        <v>42</v>
      </c>
      <c r="C17871" s="10" t="s">
        <v>344</v>
      </c>
      <c r="D17871" s="10" t="s">
        <v>3861</v>
      </c>
      <c r="E17871" s="11"/>
      <c r="F17871" s="12">
        <f>ROUND(45.52*(1+G2/100),2)</f>
        <v>45.52</v>
      </c>
      <c r="G17871" s="11"/>
    </row>
    <row r="17872" ht="168.75" customHeight="1">
      <c r="A17872" s="11"/>
      <c r="B17872" s="11"/>
      <c r="C17872" s="11"/>
      <c r="D17872" s="10" t="s">
        <v>8569</v>
      </c>
    </row>
    <row r="17873" ht="39.75" customHeight="1">
      <c r="A17873" s="13" t="s">
        <v>3858</v>
      </c>
      <c r="B17873" s="10" t="s">
        <v>42</v>
      </c>
      <c r="C17873" s="10" t="s">
        <v>344</v>
      </c>
      <c r="D17873" s="10" t="s">
        <v>3859</v>
      </c>
      <c r="E17873" s="11"/>
      <c r="F17873" s="12">
        <f>ROUND(76.27*(1+G2/100),2)</f>
        <v>76.27</v>
      </c>
      <c r="G17873" s="11"/>
    </row>
    <row r="17874" ht="168.75" customHeight="1">
      <c r="A17874" s="11"/>
      <c r="B17874" s="11"/>
      <c r="C17874" s="11"/>
      <c r="D17874" s="10" t="s">
        <v>8570</v>
      </c>
    </row>
    <row r="17875" ht="48.75" customHeight="1">
      <c r="A17875" s="13" t="s">
        <v>8571</v>
      </c>
      <c r="B17875" s="10" t="s">
        <v>42</v>
      </c>
      <c r="C17875" s="10" t="s">
        <v>344</v>
      </c>
      <c r="D17875" s="10" t="s">
        <v>8572</v>
      </c>
      <c r="E17875" s="11"/>
      <c r="F17875" s="12">
        <f>ROUND(47.89*(1+G2/100),2)</f>
        <v>47.89</v>
      </c>
      <c r="G17875" s="11"/>
    </row>
    <row r="17876" ht="21.0" customHeight="1">
      <c r="A17876" s="11"/>
      <c r="B17876" s="11"/>
      <c r="C17876" s="11"/>
      <c r="D17876" s="10" t="s">
        <v>8572</v>
      </c>
    </row>
    <row r="17877" ht="39.75" customHeight="1">
      <c r="A17877" s="13" t="s">
        <v>8573</v>
      </c>
      <c r="B17877" s="10" t="s">
        <v>42</v>
      </c>
      <c r="C17877" s="10" t="s">
        <v>344</v>
      </c>
      <c r="D17877" s="10" t="s">
        <v>8574</v>
      </c>
      <c r="E17877" s="11"/>
      <c r="F17877" s="12">
        <f>ROUND(69.3*(1+G2/100),2)</f>
        <v>69.3</v>
      </c>
      <c r="G17877" s="11"/>
    </row>
    <row r="17878" ht="168.75" customHeight="1">
      <c r="A17878" s="11"/>
      <c r="B17878" s="11"/>
      <c r="C17878" s="11"/>
      <c r="D17878" s="10" t="s">
        <v>8575</v>
      </c>
    </row>
    <row r="17879" ht="39.75" customHeight="1">
      <c r="A17879" s="13" t="s">
        <v>8576</v>
      </c>
      <c r="B17879" s="10" t="s">
        <v>42</v>
      </c>
      <c r="C17879" s="10" t="s">
        <v>344</v>
      </c>
      <c r="D17879" s="10" t="s">
        <v>8577</v>
      </c>
      <c r="E17879" s="11"/>
      <c r="F17879" s="12">
        <f>ROUND(106.97*(1+G2/100),2)</f>
        <v>106.97</v>
      </c>
      <c r="G17879" s="11"/>
    </row>
    <row r="17880" ht="168.75" customHeight="1">
      <c r="A17880" s="11"/>
      <c r="B17880" s="11"/>
      <c r="C17880" s="11"/>
      <c r="D17880" s="10" t="s">
        <v>8578</v>
      </c>
    </row>
    <row r="17881" ht="48.75" customHeight="1">
      <c r="A17881" s="13" t="s">
        <v>8579</v>
      </c>
      <c r="B17881" s="10" t="s">
        <v>42</v>
      </c>
      <c r="C17881" s="10" t="s">
        <v>344</v>
      </c>
      <c r="D17881" s="10" t="s">
        <v>8580</v>
      </c>
      <c r="E17881" s="11"/>
      <c r="F17881" s="12">
        <f>ROUND(59.84*(1+G2/100),2)</f>
        <v>59.84</v>
      </c>
      <c r="G17881" s="11"/>
    </row>
    <row r="17882" ht="21.0" customHeight="1">
      <c r="A17882" s="11"/>
      <c r="B17882" s="11"/>
      <c r="C17882" s="11"/>
      <c r="D17882" s="10" t="s">
        <v>8580</v>
      </c>
    </row>
    <row r="17883" ht="48.75" customHeight="1">
      <c r="A17883" s="13" t="s">
        <v>8581</v>
      </c>
      <c r="B17883" s="10" t="s">
        <v>42</v>
      </c>
      <c r="C17883" s="10" t="s">
        <v>344</v>
      </c>
      <c r="D17883" s="10" t="s">
        <v>8582</v>
      </c>
      <c r="E17883" s="11"/>
      <c r="F17883" s="12">
        <f>ROUND(214.14*(1+G2/100),2)</f>
        <v>214.14</v>
      </c>
      <c r="G17883" s="11"/>
    </row>
    <row r="17884" ht="21.0" customHeight="1">
      <c r="A17884" s="11"/>
      <c r="B17884" s="11"/>
      <c r="C17884" s="11"/>
      <c r="D17884" s="10" t="s">
        <v>8582</v>
      </c>
    </row>
    <row r="17885" ht="48.75" customHeight="1">
      <c r="A17885" s="13" t="s">
        <v>8583</v>
      </c>
      <c r="B17885" s="10" t="s">
        <v>42</v>
      </c>
      <c r="C17885" s="10" t="s">
        <v>344</v>
      </c>
      <c r="D17885" s="10" t="s">
        <v>8584</v>
      </c>
      <c r="E17885" s="11"/>
      <c r="F17885" s="12">
        <f>ROUND(235.38*(1+G2/100),2)</f>
        <v>235.38</v>
      </c>
      <c r="G17885" s="11"/>
    </row>
    <row r="17886" ht="21.0" customHeight="1">
      <c r="A17886" s="11"/>
      <c r="B17886" s="11"/>
      <c r="C17886" s="11"/>
      <c r="D17886" s="10" t="s">
        <v>8584</v>
      </c>
    </row>
    <row r="17887" ht="39.75" customHeight="1">
      <c r="A17887" s="13" t="s">
        <v>8585</v>
      </c>
      <c r="B17887" s="10" t="s">
        <v>42</v>
      </c>
      <c r="C17887" s="10" t="s">
        <v>344</v>
      </c>
      <c r="D17887" s="10" t="s">
        <v>8586</v>
      </c>
      <c r="E17887" s="11"/>
      <c r="F17887" s="12">
        <f>ROUND(59.72*(1+G2/100),2)</f>
        <v>59.72</v>
      </c>
      <c r="G17887" s="11"/>
    </row>
    <row r="17888" ht="168.75" customHeight="1">
      <c r="A17888" s="11"/>
      <c r="B17888" s="11"/>
      <c r="C17888" s="11"/>
      <c r="D17888" s="10" t="s">
        <v>8587</v>
      </c>
    </row>
    <row r="17889" ht="39.75" customHeight="1">
      <c r="A17889" s="13" t="s">
        <v>3866</v>
      </c>
      <c r="B17889" s="10" t="s">
        <v>42</v>
      </c>
      <c r="C17889" s="10" t="s">
        <v>344</v>
      </c>
      <c r="D17889" s="10" t="s">
        <v>3867</v>
      </c>
      <c r="E17889" s="11"/>
      <c r="F17889" s="12">
        <f>ROUND(35.42*(1+G2/100),2)</f>
        <v>35.42</v>
      </c>
      <c r="G17889" s="11"/>
    </row>
    <row r="17890" ht="168.75" customHeight="1">
      <c r="A17890" s="11"/>
      <c r="B17890" s="11"/>
      <c r="C17890" s="11"/>
      <c r="D17890" s="10" t="s">
        <v>8588</v>
      </c>
    </row>
    <row r="17891" ht="39.75" customHeight="1">
      <c r="A17891" s="13" t="s">
        <v>8589</v>
      </c>
      <c r="B17891" s="10" t="s">
        <v>42</v>
      </c>
      <c r="C17891" s="10" t="s">
        <v>344</v>
      </c>
      <c r="D17891" s="10" t="s">
        <v>8590</v>
      </c>
      <c r="E17891" s="11"/>
      <c r="F17891" s="12">
        <f>ROUND(43.46*(1+G2/100),2)</f>
        <v>43.46</v>
      </c>
      <c r="G17891" s="11"/>
    </row>
    <row r="17892" ht="168.75" customHeight="1">
      <c r="A17892" s="11"/>
      <c r="B17892" s="11"/>
      <c r="C17892" s="11"/>
      <c r="D17892" s="10" t="s">
        <v>8591</v>
      </c>
    </row>
    <row r="17893" ht="39.75" customHeight="1">
      <c r="A17893" s="13" t="s">
        <v>3864</v>
      </c>
      <c r="B17893" s="10" t="s">
        <v>42</v>
      </c>
      <c r="C17893" s="10" t="s">
        <v>344</v>
      </c>
      <c r="D17893" s="10" t="s">
        <v>3865</v>
      </c>
      <c r="E17893" s="11"/>
      <c r="F17893" s="12">
        <f>ROUND(82.03*(1+G2/100),2)</f>
        <v>82.03</v>
      </c>
      <c r="G17893" s="11"/>
    </row>
    <row r="17894" ht="168.75" customHeight="1">
      <c r="A17894" s="11"/>
      <c r="B17894" s="11"/>
      <c r="C17894" s="11"/>
      <c r="D17894" s="10" t="s">
        <v>8592</v>
      </c>
    </row>
    <row r="17895" ht="39.75" customHeight="1">
      <c r="A17895" s="13" t="s">
        <v>8593</v>
      </c>
      <c r="B17895" s="10" t="s">
        <v>42</v>
      </c>
      <c r="C17895" s="10" t="s">
        <v>344</v>
      </c>
      <c r="D17895" s="10" t="s">
        <v>8594</v>
      </c>
      <c r="E17895" s="11"/>
      <c r="F17895" s="12">
        <f>ROUND(110.3*(1+G2/100),2)</f>
        <v>110.3</v>
      </c>
      <c r="G17895" s="11"/>
    </row>
    <row r="17896" ht="168.75" customHeight="1">
      <c r="A17896" s="11"/>
      <c r="B17896" s="11"/>
      <c r="C17896" s="11"/>
      <c r="D17896" s="10" t="s">
        <v>8595</v>
      </c>
    </row>
    <row r="17897" ht="39.75" customHeight="1">
      <c r="A17897" s="13" t="s">
        <v>3906</v>
      </c>
      <c r="B17897" s="10" t="s">
        <v>42</v>
      </c>
      <c r="C17897" s="10" t="s">
        <v>351</v>
      </c>
      <c r="D17897" s="10" t="s">
        <v>3907</v>
      </c>
      <c r="E17897" s="11"/>
      <c r="F17897" s="12">
        <f>ROUND(15*(1+G2/100),2)</f>
        <v>15</v>
      </c>
      <c r="G17897" s="11"/>
    </row>
    <row r="17898" ht="21.0" customHeight="1">
      <c r="A17898" s="11"/>
      <c r="B17898" s="11"/>
      <c r="C17898" s="11"/>
      <c r="D17898" s="10" t="s">
        <v>3907</v>
      </c>
    </row>
    <row r="17899" ht="39.75" customHeight="1">
      <c r="A17899" s="13" t="s">
        <v>3920</v>
      </c>
      <c r="B17899" s="10" t="s">
        <v>42</v>
      </c>
      <c r="C17899" s="10" t="s">
        <v>351</v>
      </c>
      <c r="D17899" s="10" t="s">
        <v>3921</v>
      </c>
      <c r="E17899" s="11"/>
      <c r="F17899" s="12">
        <f>ROUND(31*(1+G2/100),2)</f>
        <v>31</v>
      </c>
      <c r="G17899" s="11"/>
    </row>
    <row r="17900" ht="21.0" customHeight="1">
      <c r="A17900" s="11"/>
      <c r="B17900" s="11"/>
      <c r="C17900" s="11"/>
      <c r="D17900" s="10" t="s">
        <v>3921</v>
      </c>
    </row>
    <row r="17901" ht="39.75" customHeight="1">
      <c r="A17901" s="13" t="s">
        <v>3908</v>
      </c>
      <c r="B17901" s="10" t="s">
        <v>42</v>
      </c>
      <c r="C17901" s="10" t="s">
        <v>344</v>
      </c>
      <c r="D17901" s="10" t="s">
        <v>3909</v>
      </c>
      <c r="E17901" s="11"/>
      <c r="F17901" s="12">
        <f>ROUND(5*(1+G2/100),2)</f>
        <v>5</v>
      </c>
      <c r="G17901" s="11"/>
    </row>
    <row r="17902" ht="21.0" customHeight="1">
      <c r="A17902" s="11"/>
      <c r="B17902" s="11"/>
      <c r="C17902" s="11"/>
      <c r="D17902" s="10" t="s">
        <v>3909</v>
      </c>
    </row>
    <row r="17903" ht="39.75" customHeight="1">
      <c r="A17903" s="13" t="s">
        <v>3922</v>
      </c>
      <c r="B17903" s="10" t="s">
        <v>42</v>
      </c>
      <c r="C17903" s="10" t="s">
        <v>344</v>
      </c>
      <c r="D17903" s="10" t="s">
        <v>3923</v>
      </c>
      <c r="E17903" s="11"/>
      <c r="F17903" s="12">
        <f>ROUND(6*(1+G2/100),2)</f>
        <v>6</v>
      </c>
      <c r="G17903" s="11"/>
    </row>
    <row r="17904" ht="21.0" customHeight="1">
      <c r="A17904" s="11"/>
      <c r="B17904" s="11"/>
      <c r="C17904" s="11"/>
      <c r="D17904" s="10" t="s">
        <v>3923</v>
      </c>
    </row>
    <row r="17905" ht="30.0" customHeight="1">
      <c r="A17905" s="13" t="s">
        <v>8596</v>
      </c>
      <c r="B17905" s="10" t="s">
        <v>42</v>
      </c>
      <c r="C17905" s="10" t="s">
        <v>344</v>
      </c>
      <c r="D17905" s="10" t="s">
        <v>8597</v>
      </c>
      <c r="E17905" s="11"/>
      <c r="F17905" s="12">
        <f>ROUND(4*(1+G2/100),2)</f>
        <v>4</v>
      </c>
      <c r="G17905" s="11"/>
    </row>
    <row r="17906" ht="21.0" customHeight="1">
      <c r="A17906" s="11"/>
      <c r="B17906" s="11"/>
      <c r="C17906" s="11"/>
      <c r="D17906" s="10" t="s">
        <v>8597</v>
      </c>
    </row>
    <row r="17907" ht="30.0" customHeight="1">
      <c r="A17907" s="13" t="s">
        <v>8598</v>
      </c>
      <c r="B17907" s="10" t="s">
        <v>42</v>
      </c>
      <c r="C17907" s="10" t="s">
        <v>344</v>
      </c>
      <c r="D17907" s="10" t="s">
        <v>8599</v>
      </c>
      <c r="E17907" s="11"/>
      <c r="F17907" s="12">
        <f>ROUND(7*(1+G2/100),2)</f>
        <v>7</v>
      </c>
      <c r="G17907" s="11"/>
    </row>
    <row r="17908" ht="21.0" customHeight="1">
      <c r="A17908" s="11"/>
      <c r="B17908" s="11"/>
      <c r="C17908" s="11"/>
      <c r="D17908" s="10" t="s">
        <v>8599</v>
      </c>
    </row>
    <row r="17909" ht="39.75" customHeight="1">
      <c r="A17909" s="13" t="s">
        <v>3916</v>
      </c>
      <c r="B17909" s="10" t="s">
        <v>42</v>
      </c>
      <c r="C17909" s="10" t="s">
        <v>344</v>
      </c>
      <c r="D17909" s="10" t="s">
        <v>3917</v>
      </c>
      <c r="E17909" s="11"/>
      <c r="F17909" s="12">
        <f>ROUND(29*(1+G2/100),2)</f>
        <v>29</v>
      </c>
      <c r="G17909" s="11"/>
    </row>
    <row r="17910" ht="21.0" customHeight="1">
      <c r="A17910" s="11"/>
      <c r="B17910" s="11"/>
      <c r="C17910" s="11"/>
      <c r="D17910" s="10" t="s">
        <v>3917</v>
      </c>
    </row>
    <row r="17911" ht="39.75" customHeight="1">
      <c r="A17911" s="13" t="s">
        <v>8600</v>
      </c>
      <c r="B17911" s="10" t="s">
        <v>42</v>
      </c>
      <c r="C17911" s="10" t="s">
        <v>344</v>
      </c>
      <c r="D17911" s="10" t="s">
        <v>8601</v>
      </c>
      <c r="E17911" s="11"/>
      <c r="F17911" s="12">
        <f>ROUND(46*(1+G2/100),2)</f>
        <v>46</v>
      </c>
      <c r="G17911" s="11"/>
    </row>
    <row r="17912" ht="21.0" customHeight="1">
      <c r="A17912" s="11"/>
      <c r="B17912" s="11"/>
      <c r="C17912" s="11"/>
      <c r="D17912" s="10" t="s">
        <v>8601</v>
      </c>
    </row>
    <row r="17913" ht="39.75" customHeight="1">
      <c r="A17913" s="13" t="s">
        <v>3914</v>
      </c>
      <c r="B17913" s="10" t="s">
        <v>42</v>
      </c>
      <c r="C17913" s="10" t="s">
        <v>344</v>
      </c>
      <c r="D17913" s="10" t="s">
        <v>3915</v>
      </c>
      <c r="E17913" s="11"/>
      <c r="F17913" s="12">
        <f>ROUND(12*(1+G2/100),2)</f>
        <v>12</v>
      </c>
      <c r="G17913" s="11"/>
    </row>
    <row r="17914" ht="21.0" customHeight="1">
      <c r="A17914" s="11"/>
      <c r="B17914" s="11"/>
      <c r="C17914" s="11"/>
      <c r="D17914" s="10" t="s">
        <v>3915</v>
      </c>
    </row>
    <row r="17915" ht="39.75" customHeight="1">
      <c r="A17915" s="13" t="s">
        <v>3926</v>
      </c>
      <c r="B17915" s="10" t="s">
        <v>42</v>
      </c>
      <c r="C17915" s="10" t="s">
        <v>344</v>
      </c>
      <c r="D17915" s="10" t="s">
        <v>3927</v>
      </c>
      <c r="E17915" s="11"/>
      <c r="F17915" s="12">
        <f>ROUND(23*(1+G2/100),2)</f>
        <v>23</v>
      </c>
      <c r="G17915" s="11"/>
    </row>
    <row r="17916" ht="21.0" customHeight="1">
      <c r="A17916" s="11"/>
      <c r="B17916" s="11"/>
      <c r="C17916" s="11"/>
      <c r="D17916" s="10" t="s">
        <v>3927</v>
      </c>
    </row>
    <row r="17917" ht="39.75" customHeight="1">
      <c r="A17917" s="13" t="s">
        <v>3912</v>
      </c>
      <c r="B17917" s="10" t="s">
        <v>42</v>
      </c>
      <c r="C17917" s="10" t="s">
        <v>344</v>
      </c>
      <c r="D17917" s="10" t="s">
        <v>3913</v>
      </c>
      <c r="E17917" s="11"/>
      <c r="F17917" s="12">
        <f>ROUND(18*(1+G2/100),2)</f>
        <v>18</v>
      </c>
      <c r="G17917" s="11"/>
    </row>
    <row r="17918" ht="21.0" customHeight="1">
      <c r="A17918" s="11"/>
      <c r="B17918" s="11"/>
      <c r="C17918" s="11"/>
      <c r="D17918" s="10" t="s">
        <v>3913</v>
      </c>
    </row>
    <row r="17919" ht="39.75" customHeight="1">
      <c r="A17919" s="13" t="s">
        <v>3928</v>
      </c>
      <c r="B17919" s="10" t="s">
        <v>42</v>
      </c>
      <c r="C17919" s="10" t="s">
        <v>344</v>
      </c>
      <c r="D17919" s="10" t="s">
        <v>3929</v>
      </c>
      <c r="E17919" s="11"/>
      <c r="F17919" s="12">
        <f>ROUND(44*(1+G2/100),2)</f>
        <v>44</v>
      </c>
      <c r="G17919" s="11"/>
    </row>
    <row r="17920" ht="21.0" customHeight="1">
      <c r="A17920" s="11"/>
      <c r="B17920" s="11"/>
      <c r="C17920" s="11"/>
      <c r="D17920" s="10" t="s">
        <v>3929</v>
      </c>
    </row>
    <row r="17921" ht="39.75" customHeight="1">
      <c r="A17921" s="13" t="s">
        <v>3910</v>
      </c>
      <c r="B17921" s="10" t="s">
        <v>42</v>
      </c>
      <c r="C17921" s="10" t="s">
        <v>344</v>
      </c>
      <c r="D17921" s="10" t="s">
        <v>3911</v>
      </c>
      <c r="E17921" s="11"/>
      <c r="F17921" s="12">
        <f>ROUND(30*(1+G2/100),2)</f>
        <v>30</v>
      </c>
      <c r="G17921" s="11"/>
    </row>
    <row r="17922" ht="21.0" customHeight="1">
      <c r="A17922" s="11"/>
      <c r="B17922" s="11"/>
      <c r="C17922" s="11"/>
      <c r="D17922" s="10" t="s">
        <v>3911</v>
      </c>
    </row>
    <row r="17923" ht="39.75" customHeight="1">
      <c r="A17923" s="13" t="s">
        <v>3924</v>
      </c>
      <c r="B17923" s="10" t="s">
        <v>42</v>
      </c>
      <c r="C17923" s="10" t="s">
        <v>344</v>
      </c>
      <c r="D17923" s="10" t="s">
        <v>3925</v>
      </c>
      <c r="E17923" s="11"/>
      <c r="F17923" s="12">
        <f>ROUND(71*(1+G2/100),2)</f>
        <v>71</v>
      </c>
      <c r="G17923" s="11"/>
    </row>
    <row r="17924" ht="21.0" customHeight="1">
      <c r="A17924" s="11"/>
      <c r="B17924" s="11"/>
      <c r="C17924" s="11"/>
      <c r="D17924" s="10" t="s">
        <v>3925</v>
      </c>
    </row>
    <row r="17925" ht="39.75" customHeight="1">
      <c r="A17925" s="13" t="s">
        <v>8602</v>
      </c>
      <c r="B17925" s="10" t="s">
        <v>42</v>
      </c>
      <c r="C17925" s="10" t="s">
        <v>344</v>
      </c>
      <c r="D17925" s="10" t="s">
        <v>8603</v>
      </c>
      <c r="E17925" s="11"/>
      <c r="F17925" s="12">
        <f>ROUND(30*(1+G2/100),2)</f>
        <v>30</v>
      </c>
      <c r="G17925" s="11"/>
    </row>
    <row r="17926" ht="21.0" customHeight="1">
      <c r="A17926" s="11"/>
      <c r="B17926" s="11"/>
      <c r="C17926" s="11"/>
      <c r="D17926" s="10" t="s">
        <v>8603</v>
      </c>
    </row>
    <row r="17927" ht="39.75" customHeight="1">
      <c r="A17927" s="13" t="s">
        <v>8604</v>
      </c>
      <c r="B17927" s="10" t="s">
        <v>42</v>
      </c>
      <c r="C17927" s="10" t="s">
        <v>344</v>
      </c>
      <c r="D17927" s="10" t="s">
        <v>8605</v>
      </c>
      <c r="E17927" s="11"/>
      <c r="F17927" s="12">
        <f>ROUND(71*(1+G2/100),2)</f>
        <v>71</v>
      </c>
      <c r="G17927" s="11"/>
    </row>
    <row r="17928" ht="21.0" customHeight="1">
      <c r="A17928" s="11"/>
      <c r="B17928" s="11"/>
      <c r="C17928" s="11"/>
      <c r="D17928" s="10" t="s">
        <v>8605</v>
      </c>
    </row>
    <row r="17929" ht="39.75" customHeight="1">
      <c r="A17929" s="13" t="s">
        <v>3848</v>
      </c>
      <c r="B17929" s="10" t="s">
        <v>42</v>
      </c>
      <c r="C17929" s="10" t="s">
        <v>344</v>
      </c>
      <c r="D17929" s="10" t="s">
        <v>3849</v>
      </c>
      <c r="E17929" s="11"/>
      <c r="F17929" s="12">
        <f>ROUND(10.98*(1+G2/100),2)</f>
        <v>10.98</v>
      </c>
      <c r="G17929" s="11"/>
    </row>
    <row r="17930" ht="30.0" customHeight="1">
      <c r="A17930" s="11"/>
      <c r="B17930" s="11"/>
      <c r="C17930" s="11"/>
      <c r="D17930" s="10" t="s">
        <v>8606</v>
      </c>
    </row>
    <row r="17931" ht="30.0" customHeight="1">
      <c r="A17931" s="13" t="s">
        <v>3834</v>
      </c>
      <c r="B17931" s="10" t="s">
        <v>42</v>
      </c>
      <c r="C17931" s="10" t="s">
        <v>344</v>
      </c>
      <c r="D17931" s="10" t="s">
        <v>3835</v>
      </c>
      <c r="E17931" s="11"/>
      <c r="F17931" s="12">
        <f>ROUND(47.1*(1+G2/100),2)</f>
        <v>47.1</v>
      </c>
      <c r="G17931" s="11"/>
    </row>
    <row r="17932" ht="30.0" customHeight="1">
      <c r="A17932" s="11"/>
      <c r="B17932" s="11"/>
      <c r="C17932" s="11"/>
      <c r="D17932" s="10" t="s">
        <v>8607</v>
      </c>
    </row>
    <row r="17933" ht="39.75" customHeight="1">
      <c r="A17933" s="13" t="s">
        <v>3840</v>
      </c>
      <c r="B17933" s="10" t="s">
        <v>42</v>
      </c>
      <c r="C17933" s="10" t="s">
        <v>344</v>
      </c>
      <c r="D17933" s="10" t="s">
        <v>3841</v>
      </c>
      <c r="E17933" s="11"/>
      <c r="F17933" s="12">
        <f>ROUND(37.18*(1+G2/100),2)</f>
        <v>37.18</v>
      </c>
      <c r="G17933" s="11"/>
    </row>
    <row r="17934" ht="30.0" customHeight="1">
      <c r="A17934" s="11"/>
      <c r="B17934" s="11"/>
      <c r="C17934" s="11"/>
      <c r="D17934" s="10" t="s">
        <v>8608</v>
      </c>
    </row>
    <row r="17935" ht="30.0" customHeight="1">
      <c r="A17935" s="13" t="s">
        <v>8609</v>
      </c>
      <c r="B17935" s="10" t="s">
        <v>42</v>
      </c>
      <c r="C17935" s="10" t="s">
        <v>344</v>
      </c>
      <c r="D17935" s="10" t="s">
        <v>8610</v>
      </c>
      <c r="E17935" s="11"/>
      <c r="F17935" s="12">
        <f>ROUND(52.88*(1+G2/100),2)</f>
        <v>52.88</v>
      </c>
      <c r="G17935" s="11"/>
    </row>
    <row r="17936" ht="30.0" customHeight="1">
      <c r="A17936" s="11"/>
      <c r="B17936" s="11"/>
      <c r="C17936" s="11"/>
      <c r="D17936" s="10" t="s">
        <v>8611</v>
      </c>
    </row>
    <row r="17937" ht="30.0" customHeight="1">
      <c r="A17937" s="13" t="s">
        <v>3852</v>
      </c>
      <c r="B17937" s="10" t="s">
        <v>42</v>
      </c>
      <c r="C17937" s="10" t="s">
        <v>344</v>
      </c>
      <c r="D17937" s="10" t="s">
        <v>3853</v>
      </c>
      <c r="E17937" s="11"/>
      <c r="F17937" s="12">
        <f>ROUND(27.27*(1+G2/100),2)</f>
        <v>27.27</v>
      </c>
      <c r="G17937" s="11"/>
    </row>
    <row r="17938" ht="30.0" customHeight="1">
      <c r="A17938" s="11"/>
      <c r="B17938" s="11"/>
      <c r="C17938" s="11"/>
      <c r="D17938" s="10" t="s">
        <v>8612</v>
      </c>
    </row>
    <row r="17939" ht="30.0" customHeight="1">
      <c r="A17939" s="13" t="s">
        <v>3846</v>
      </c>
      <c r="B17939" s="10" t="s">
        <v>42</v>
      </c>
      <c r="C17939" s="10" t="s">
        <v>344</v>
      </c>
      <c r="D17939" s="10" t="s">
        <v>3847</v>
      </c>
      <c r="E17939" s="11"/>
      <c r="F17939" s="12">
        <f>ROUND(5.36*(1+G2/100),2)</f>
        <v>5.36</v>
      </c>
      <c r="G17939" s="11"/>
    </row>
    <row r="17940" ht="30.0" customHeight="1">
      <c r="A17940" s="11"/>
      <c r="B17940" s="11"/>
      <c r="C17940" s="11"/>
      <c r="D17940" s="10" t="s">
        <v>8613</v>
      </c>
    </row>
    <row r="17941" ht="39.75" customHeight="1">
      <c r="A17941" s="13" t="s">
        <v>3842</v>
      </c>
      <c r="B17941" s="10" t="s">
        <v>42</v>
      </c>
      <c r="C17941" s="10" t="s">
        <v>344</v>
      </c>
      <c r="D17941" s="10" t="s">
        <v>3843</v>
      </c>
      <c r="E17941" s="11"/>
      <c r="F17941" s="12">
        <f>ROUND(19*(1+G2/100),2)</f>
        <v>19</v>
      </c>
      <c r="G17941" s="11"/>
    </row>
    <row r="17942" ht="30.0" customHeight="1">
      <c r="A17942" s="11"/>
      <c r="B17942" s="11"/>
      <c r="C17942" s="11"/>
      <c r="D17942" s="10" t="s">
        <v>8614</v>
      </c>
    </row>
    <row r="17943" ht="30.0" customHeight="1">
      <c r="A17943" s="13" t="s">
        <v>3838</v>
      </c>
      <c r="B17943" s="10" t="s">
        <v>42</v>
      </c>
      <c r="C17943" s="10" t="s">
        <v>344</v>
      </c>
      <c r="D17943" s="10" t="s">
        <v>3839</v>
      </c>
      <c r="E17943" s="11"/>
      <c r="F17943" s="12">
        <f>ROUND(42.14*(1+G2/100),2)</f>
        <v>42.14</v>
      </c>
      <c r="G17943" s="11"/>
    </row>
    <row r="17944" ht="30.0" customHeight="1">
      <c r="A17944" s="11"/>
      <c r="B17944" s="11"/>
      <c r="C17944" s="11"/>
      <c r="D17944" s="10" t="s">
        <v>8615</v>
      </c>
    </row>
    <row r="17945" ht="30.0" customHeight="1">
      <c r="A17945" s="13" t="s">
        <v>8616</v>
      </c>
      <c r="B17945" s="10" t="s">
        <v>42</v>
      </c>
      <c r="C17945" s="10" t="s">
        <v>344</v>
      </c>
      <c r="D17945" s="10" t="s">
        <v>8617</v>
      </c>
      <c r="E17945" s="11"/>
      <c r="F17945" s="12">
        <f>ROUND(21.48*(1+G2/100),2)</f>
        <v>21.48</v>
      </c>
      <c r="G17945" s="11"/>
    </row>
    <row r="17946" ht="30.0" customHeight="1">
      <c r="A17946" s="11"/>
      <c r="B17946" s="11"/>
      <c r="C17946" s="11"/>
      <c r="D17946" s="10" t="s">
        <v>8618</v>
      </c>
    </row>
    <row r="17947" ht="30.0" customHeight="1">
      <c r="A17947" s="13" t="s">
        <v>3836</v>
      </c>
      <c r="B17947" s="10" t="s">
        <v>42</v>
      </c>
      <c r="C17947" s="10" t="s">
        <v>344</v>
      </c>
      <c r="D17947" s="10" t="s">
        <v>3837</v>
      </c>
      <c r="E17947" s="11"/>
      <c r="F17947" s="12">
        <f>ROUND(61.15*(1+G2/100),2)</f>
        <v>61.15</v>
      </c>
      <c r="G17947" s="11"/>
    </row>
    <row r="17948" ht="30.0" customHeight="1">
      <c r="A17948" s="11"/>
      <c r="B17948" s="11"/>
      <c r="C17948" s="11"/>
      <c r="D17948" s="10" t="s">
        <v>8619</v>
      </c>
    </row>
    <row r="17949" ht="30.0" customHeight="1">
      <c r="A17949" s="13" t="s">
        <v>3844</v>
      </c>
      <c r="B17949" s="10" t="s">
        <v>42</v>
      </c>
      <c r="C17949" s="10" t="s">
        <v>344</v>
      </c>
      <c r="D17949" s="10" t="s">
        <v>3845</v>
      </c>
      <c r="E17949" s="11"/>
      <c r="F17949" s="12">
        <f>ROUND(23.79*(1+G2/100),2)</f>
        <v>23.79</v>
      </c>
      <c r="G17949" s="11"/>
    </row>
    <row r="17950" ht="30.0" customHeight="1">
      <c r="A17950" s="11"/>
      <c r="B17950" s="11"/>
      <c r="C17950" s="11"/>
      <c r="D17950" s="10" t="s">
        <v>8620</v>
      </c>
    </row>
    <row r="17951" ht="39.75" customHeight="1">
      <c r="A17951" s="13" t="s">
        <v>8621</v>
      </c>
      <c r="B17951" s="10" t="s">
        <v>42</v>
      </c>
      <c r="C17951" s="10" t="s">
        <v>344</v>
      </c>
      <c r="D17951" s="10" t="s">
        <v>8622</v>
      </c>
      <c r="E17951" s="11"/>
      <c r="F17951" s="12">
        <f>ROUND(35.53*(1+G2/100),2)</f>
        <v>35.53</v>
      </c>
      <c r="G17951" s="11"/>
    </row>
    <row r="17952" ht="30.0" customHeight="1">
      <c r="A17952" s="11"/>
      <c r="B17952" s="11"/>
      <c r="C17952" s="11"/>
      <c r="D17952" s="10" t="s">
        <v>8623</v>
      </c>
    </row>
    <row r="17953" ht="30.0" customHeight="1">
      <c r="A17953" s="13" t="s">
        <v>8624</v>
      </c>
      <c r="B17953" s="10" t="s">
        <v>42</v>
      </c>
      <c r="C17953" s="10" t="s">
        <v>344</v>
      </c>
      <c r="D17953" s="10" t="s">
        <v>8625</v>
      </c>
      <c r="E17953" s="11"/>
      <c r="F17953" s="12">
        <f>ROUND(82.65*(1+G2/100),2)</f>
        <v>82.65</v>
      </c>
      <c r="G17953" s="11"/>
    </row>
    <row r="17954" ht="30.0" customHeight="1">
      <c r="A17954" s="11"/>
      <c r="B17954" s="11"/>
      <c r="C17954" s="11"/>
      <c r="D17954" s="10" t="s">
        <v>8626</v>
      </c>
    </row>
    <row r="17955" ht="39.75" customHeight="1">
      <c r="A17955" s="13" t="s">
        <v>8627</v>
      </c>
      <c r="B17955" s="10" t="s">
        <v>42</v>
      </c>
      <c r="C17955" s="10" t="s">
        <v>344</v>
      </c>
      <c r="D17955" s="10" t="s">
        <v>8628</v>
      </c>
      <c r="E17955" s="11"/>
      <c r="F17955" s="12">
        <f>ROUND(15.28*(1+G2/100),2)</f>
        <v>15.28</v>
      </c>
      <c r="G17955" s="11"/>
    </row>
    <row r="17956" ht="30.0" customHeight="1">
      <c r="A17956" s="11"/>
      <c r="B17956" s="11"/>
      <c r="C17956" s="11"/>
      <c r="D17956" s="10" t="s">
        <v>8629</v>
      </c>
    </row>
    <row r="17957" ht="30.0" customHeight="1">
      <c r="A17957" s="13" t="s">
        <v>3850</v>
      </c>
      <c r="B17957" s="10" t="s">
        <v>42</v>
      </c>
      <c r="C17957" s="10" t="s">
        <v>344</v>
      </c>
      <c r="D17957" s="10" t="s">
        <v>3851</v>
      </c>
      <c r="E17957" s="11"/>
      <c r="F17957" s="12">
        <f>ROUND(57.84*(1+G2/100),2)</f>
        <v>57.84</v>
      </c>
      <c r="G17957" s="11"/>
    </row>
    <row r="17958" ht="30.0" customHeight="1">
      <c r="A17958" s="11"/>
      <c r="B17958" s="11"/>
      <c r="C17958" s="11"/>
      <c r="D17958" s="10" t="s">
        <v>8630</v>
      </c>
    </row>
    <row r="17959" ht="30.0" customHeight="1">
      <c r="A17959" s="13" t="s">
        <v>3884</v>
      </c>
      <c r="B17959" s="10" t="s">
        <v>42</v>
      </c>
      <c r="C17959" s="10" t="s">
        <v>344</v>
      </c>
      <c r="D17959" s="10" t="s">
        <v>3885</v>
      </c>
      <c r="E17959" s="11"/>
      <c r="F17959" s="12">
        <f>ROUND(12.34*(1+G2/100),2)</f>
        <v>12.34</v>
      </c>
      <c r="G17959" s="11"/>
    </row>
    <row r="17960" ht="21.0" customHeight="1">
      <c r="A17960" s="11"/>
      <c r="B17960" s="11"/>
      <c r="C17960" s="11"/>
      <c r="D17960" s="10" t="s">
        <v>8631</v>
      </c>
    </row>
    <row r="17961" ht="30.0" customHeight="1">
      <c r="A17961" s="13" t="s">
        <v>3882</v>
      </c>
      <c r="B17961" s="10" t="s">
        <v>42</v>
      </c>
      <c r="C17961" s="10" t="s">
        <v>344</v>
      </c>
      <c r="D17961" s="10" t="s">
        <v>3883</v>
      </c>
      <c r="E17961" s="11"/>
      <c r="F17961" s="12">
        <f>ROUND(13.64*(1+G2/100),2)</f>
        <v>13.64</v>
      </c>
      <c r="G17961" s="11"/>
    </row>
    <row r="17962" ht="21.0" customHeight="1">
      <c r="A17962" s="11"/>
      <c r="B17962" s="11"/>
      <c r="C17962" s="11"/>
      <c r="D17962" s="10" t="s">
        <v>8632</v>
      </c>
    </row>
    <row r="17963" ht="30.0" customHeight="1">
      <c r="A17963" s="13" t="s">
        <v>3886</v>
      </c>
      <c r="B17963" s="10" t="s">
        <v>42</v>
      </c>
      <c r="C17963" s="10" t="s">
        <v>344</v>
      </c>
      <c r="D17963" s="10" t="s">
        <v>3887</v>
      </c>
      <c r="E17963" s="11"/>
      <c r="F17963" s="12">
        <f>ROUND(4.67*(1+G2/100),2)</f>
        <v>4.67</v>
      </c>
      <c r="G17963" s="11"/>
    </row>
    <row r="17964" ht="21.0" customHeight="1">
      <c r="A17964" s="11"/>
      <c r="B17964" s="11"/>
      <c r="C17964" s="11"/>
      <c r="D17964" s="10" t="s">
        <v>8633</v>
      </c>
    </row>
    <row r="17965" ht="30.0" customHeight="1">
      <c r="A17965" s="13" t="s">
        <v>8634</v>
      </c>
      <c r="B17965" s="10" t="s">
        <v>42</v>
      </c>
      <c r="C17965" s="10" t="s">
        <v>344</v>
      </c>
      <c r="D17965" s="10" t="s">
        <v>8635</v>
      </c>
      <c r="E17965" s="11"/>
      <c r="F17965" s="12">
        <f>ROUND(24.37*(1+G2/100),2)</f>
        <v>24.37</v>
      </c>
      <c r="G17965" s="11"/>
    </row>
    <row r="17966" ht="21.0" customHeight="1">
      <c r="A17966" s="11"/>
      <c r="B17966" s="11"/>
      <c r="C17966" s="11"/>
      <c r="D17966" s="10" t="s">
        <v>8636</v>
      </c>
    </row>
    <row r="17967" ht="30.0" customHeight="1">
      <c r="A17967" s="13" t="s">
        <v>3825</v>
      </c>
      <c r="B17967" s="10" t="s">
        <v>42</v>
      </c>
      <c r="C17967" s="10" t="s">
        <v>344</v>
      </c>
      <c r="D17967" s="10" t="s">
        <v>3826</v>
      </c>
      <c r="E17967" s="11"/>
      <c r="F17967" s="12">
        <f>ROUND(11.03*(1+G2/100),2)</f>
        <v>11.03</v>
      </c>
      <c r="G17967" s="11"/>
    </row>
    <row r="17968" ht="21.0" customHeight="1">
      <c r="A17968" s="11"/>
      <c r="B17968" s="11"/>
      <c r="C17968" s="11"/>
      <c r="D17968" s="10" t="s">
        <v>8637</v>
      </c>
    </row>
    <row r="17969" ht="30.0" customHeight="1">
      <c r="A17969" s="13" t="s">
        <v>3878</v>
      </c>
      <c r="B17969" s="10" t="s">
        <v>42</v>
      </c>
      <c r="C17969" s="10" t="s">
        <v>344</v>
      </c>
      <c r="D17969" s="10" t="s">
        <v>3879</v>
      </c>
      <c r="E17969" s="11"/>
      <c r="F17969" s="12">
        <f>ROUND(20.5*(1+G2/100),2)</f>
        <v>20.5</v>
      </c>
      <c r="G17969" s="11"/>
    </row>
    <row r="17970" ht="21.0" customHeight="1">
      <c r="A17970" s="11"/>
      <c r="B17970" s="11"/>
      <c r="C17970" s="11"/>
      <c r="D17970" s="10" t="s">
        <v>8638</v>
      </c>
    </row>
    <row r="17971" ht="39.75" customHeight="1">
      <c r="A17971" s="13" t="s">
        <v>2559</v>
      </c>
      <c r="B17971" s="10" t="s">
        <v>42</v>
      </c>
      <c r="C17971" s="10" t="s">
        <v>344</v>
      </c>
      <c r="D17971" s="10" t="s">
        <v>2560</v>
      </c>
      <c r="E17971" s="11"/>
      <c r="F17971" s="12">
        <f>ROUND(19.46*(1+G2/100),2)</f>
        <v>19.46</v>
      </c>
      <c r="G17971" s="11"/>
    </row>
    <row r="17972" ht="39.75" customHeight="1">
      <c r="A17972" s="11"/>
      <c r="B17972" s="11"/>
      <c r="C17972" s="11"/>
      <c r="D17972" s="10" t="s">
        <v>8639</v>
      </c>
    </row>
    <row r="17973" ht="39.75" customHeight="1">
      <c r="A17973" s="13" t="s">
        <v>8640</v>
      </c>
      <c r="B17973" s="10" t="s">
        <v>42</v>
      </c>
      <c r="C17973" s="10" t="s">
        <v>344</v>
      </c>
      <c r="D17973" s="10" t="s">
        <v>8641</v>
      </c>
      <c r="E17973" s="11"/>
      <c r="F17973" s="12">
        <f>ROUND(19.02*(1+G2/100),2)</f>
        <v>19.02</v>
      </c>
      <c r="G17973" s="11"/>
    </row>
    <row r="17974" ht="39.75" customHeight="1">
      <c r="A17974" s="11"/>
      <c r="B17974" s="11"/>
      <c r="C17974" s="11"/>
      <c r="D17974" s="10" t="s">
        <v>8642</v>
      </c>
    </row>
    <row r="17975" ht="39.75" customHeight="1">
      <c r="A17975" s="13" t="s">
        <v>8643</v>
      </c>
      <c r="B17975" s="10" t="s">
        <v>42</v>
      </c>
      <c r="C17975" s="10" t="s">
        <v>344</v>
      </c>
      <c r="D17975" s="10" t="s">
        <v>8644</v>
      </c>
      <c r="E17975" s="11"/>
      <c r="F17975" s="12">
        <f>ROUND(2.31*(1+G2/100),2)</f>
        <v>2.31</v>
      </c>
      <c r="G17975" s="11"/>
    </row>
    <row r="17976" ht="21.0" customHeight="1">
      <c r="A17976" s="11"/>
      <c r="B17976" s="11"/>
      <c r="C17976" s="11"/>
      <c r="D17976" s="10" t="s">
        <v>8645</v>
      </c>
    </row>
    <row r="17977" ht="39.75" customHeight="1">
      <c r="A17977" s="13" t="s">
        <v>2659</v>
      </c>
      <c r="B17977" s="10" t="s">
        <v>42</v>
      </c>
      <c r="C17977" s="10" t="s">
        <v>344</v>
      </c>
      <c r="D17977" s="10" t="s">
        <v>2660</v>
      </c>
      <c r="E17977" s="11"/>
      <c r="F17977" s="12">
        <f>ROUND(3.84*(1+G2/100),2)</f>
        <v>3.84</v>
      </c>
      <c r="G17977" s="11"/>
    </row>
    <row r="17978" ht="21.0" customHeight="1">
      <c r="A17978" s="11"/>
      <c r="B17978" s="11"/>
      <c r="C17978" s="11"/>
      <c r="D17978" s="10" t="s">
        <v>8646</v>
      </c>
    </row>
    <row r="17979" ht="39.75" customHeight="1">
      <c r="A17979" s="13" t="s">
        <v>2667</v>
      </c>
      <c r="B17979" s="10" t="s">
        <v>42</v>
      </c>
      <c r="C17979" s="10" t="s">
        <v>344</v>
      </c>
      <c r="D17979" s="10" t="s">
        <v>2668</v>
      </c>
      <c r="E17979" s="11"/>
      <c r="F17979" s="12">
        <f>ROUND(5*(1+G2/100),2)</f>
        <v>5</v>
      </c>
      <c r="G17979" s="11"/>
    </row>
    <row r="17980" ht="21.0" customHeight="1">
      <c r="A17980" s="11"/>
      <c r="B17980" s="11"/>
      <c r="C17980" s="11"/>
      <c r="D17980" s="10" t="s">
        <v>8647</v>
      </c>
    </row>
    <row r="17981" ht="39.75" customHeight="1">
      <c r="A17981" s="13" t="s">
        <v>3894</v>
      </c>
      <c r="B17981" s="10" t="s">
        <v>42</v>
      </c>
      <c r="C17981" s="10" t="s">
        <v>344</v>
      </c>
      <c r="D17981" s="10" t="s">
        <v>3895</v>
      </c>
      <c r="E17981" s="11"/>
      <c r="F17981" s="12">
        <f>ROUND(9.16*(1+G2/100),2)</f>
        <v>9.16</v>
      </c>
      <c r="G17981" s="11"/>
    </row>
    <row r="17982" ht="21.0" customHeight="1">
      <c r="A17982" s="11"/>
      <c r="B17982" s="11"/>
      <c r="C17982" s="11"/>
      <c r="D17982" s="10" t="s">
        <v>8648</v>
      </c>
    </row>
    <row r="17983" ht="39.75" customHeight="1">
      <c r="A17983" s="13" t="s">
        <v>3896</v>
      </c>
      <c r="B17983" s="10" t="s">
        <v>42</v>
      </c>
      <c r="C17983" s="10" t="s">
        <v>344</v>
      </c>
      <c r="D17983" s="10" t="s">
        <v>3897</v>
      </c>
      <c r="E17983" s="11"/>
      <c r="F17983" s="12">
        <f>ROUND(3.16*(1+G2/100),2)</f>
        <v>3.16</v>
      </c>
      <c r="G17983" s="11"/>
    </row>
    <row r="17984" ht="21.0" customHeight="1">
      <c r="A17984" s="11"/>
      <c r="B17984" s="11"/>
      <c r="C17984" s="11"/>
      <c r="D17984" s="10" t="s">
        <v>8649</v>
      </c>
    </row>
    <row r="17985" ht="39.75" customHeight="1">
      <c r="A17985" s="13" t="s">
        <v>3898</v>
      </c>
      <c r="B17985" s="10" t="s">
        <v>42</v>
      </c>
      <c r="C17985" s="10" t="s">
        <v>344</v>
      </c>
      <c r="D17985" s="10" t="s">
        <v>3899</v>
      </c>
      <c r="E17985" s="11"/>
      <c r="F17985" s="12">
        <f>ROUND(6.84*(1+G2/100),2)</f>
        <v>6.84</v>
      </c>
      <c r="G17985" s="11"/>
    </row>
    <row r="17986" ht="21.0" customHeight="1">
      <c r="A17986" s="11"/>
      <c r="B17986" s="11"/>
      <c r="C17986" s="11"/>
      <c r="D17986" s="10" t="s">
        <v>8650</v>
      </c>
    </row>
    <row r="17987" ht="39.75" customHeight="1">
      <c r="A17987" s="13" t="s">
        <v>3900</v>
      </c>
      <c r="B17987" s="10" t="s">
        <v>42</v>
      </c>
      <c r="C17987" s="10" t="s">
        <v>344</v>
      </c>
      <c r="D17987" s="10" t="s">
        <v>3901</v>
      </c>
      <c r="E17987" s="11"/>
      <c r="F17987" s="12">
        <f>ROUND(6.84*(1+G2/100),2)</f>
        <v>6.84</v>
      </c>
      <c r="G17987" s="11"/>
    </row>
    <row r="17988" ht="21.0" customHeight="1">
      <c r="A17988" s="11"/>
      <c r="B17988" s="11"/>
      <c r="C17988" s="11"/>
      <c r="D17988" s="10" t="s">
        <v>8651</v>
      </c>
    </row>
    <row r="17989" ht="39.75" customHeight="1">
      <c r="A17989" s="13" t="s">
        <v>3880</v>
      </c>
      <c r="B17989" s="10" t="s">
        <v>42</v>
      </c>
      <c r="C17989" s="10" t="s">
        <v>344</v>
      </c>
      <c r="D17989" s="10" t="s">
        <v>3881</v>
      </c>
      <c r="E17989" s="11"/>
      <c r="F17989" s="12">
        <f>ROUND(27.73*(1+G2/100),2)</f>
        <v>27.73</v>
      </c>
      <c r="G17989" s="11"/>
    </row>
    <row r="17990" ht="21.0" customHeight="1">
      <c r="A17990" s="11"/>
      <c r="B17990" s="11"/>
      <c r="C17990" s="11"/>
      <c r="D17990" s="10" t="s">
        <v>8652</v>
      </c>
    </row>
    <row r="17991" ht="15.0" customHeight="1">
      <c r="A17991" s="16"/>
      <c r="B17991" s="16"/>
      <c r="C17991" s="16"/>
      <c r="D17991" s="61" t="s">
        <v>8551</v>
      </c>
      <c r="E17991" s="62"/>
      <c r="F17991" s="62"/>
      <c r="G17991" s="62"/>
    </row>
    <row r="17992" ht="39.75" customHeight="1">
      <c r="A17992" s="19" t="s">
        <v>8653</v>
      </c>
      <c r="B17992" s="20" t="s">
        <v>42</v>
      </c>
      <c r="C17992" s="20" t="s">
        <v>226</v>
      </c>
      <c r="D17992" s="20" t="s">
        <v>8654</v>
      </c>
      <c r="E17992" s="21"/>
      <c r="F17992" s="22">
        <f>ROUND(29.5*(1+G2/100),2)</f>
        <v>29.5</v>
      </c>
      <c r="G17992" s="21"/>
    </row>
    <row r="17993" ht="95.25" customHeight="1">
      <c r="A17993" s="11"/>
      <c r="B17993" s="11"/>
      <c r="C17993" s="11"/>
      <c r="D17993" s="10" t="s">
        <v>8655</v>
      </c>
    </row>
    <row r="17994" ht="48.75" customHeight="1">
      <c r="A17994" s="13" t="s">
        <v>8656</v>
      </c>
      <c r="B17994" s="10" t="s">
        <v>42</v>
      </c>
      <c r="C17994" s="10" t="s">
        <v>344</v>
      </c>
      <c r="D17994" s="10" t="s">
        <v>8657</v>
      </c>
      <c r="E17994" s="11"/>
      <c r="F17994" s="12">
        <f>ROUND(5.25*(1+G2/100),2)</f>
        <v>5.25</v>
      </c>
      <c r="G17994" s="11"/>
    </row>
    <row r="17995" ht="48.75" customHeight="1">
      <c r="A17995" s="11"/>
      <c r="B17995" s="11"/>
      <c r="C17995" s="11"/>
      <c r="D17995" s="10" t="s">
        <v>8658</v>
      </c>
    </row>
    <row r="17996" ht="39.75" customHeight="1">
      <c r="A17996" s="13" t="s">
        <v>8659</v>
      </c>
      <c r="B17996" s="10" t="s">
        <v>42</v>
      </c>
      <c r="C17996" s="10" t="s">
        <v>226</v>
      </c>
      <c r="D17996" s="10" t="s">
        <v>8660</v>
      </c>
      <c r="E17996" s="11"/>
      <c r="F17996" s="12">
        <f>ROUND(133.2*(1+G2/100),2)</f>
        <v>133.2</v>
      </c>
      <c r="G17996" s="11"/>
    </row>
    <row r="17997" ht="132.0" customHeight="1">
      <c r="A17997" s="11"/>
      <c r="B17997" s="11"/>
      <c r="C17997" s="11"/>
      <c r="D17997" s="10" t="s">
        <v>8661</v>
      </c>
    </row>
    <row r="17998" ht="30.0" customHeight="1">
      <c r="A17998" s="13" t="s">
        <v>1864</v>
      </c>
      <c r="B17998" s="10" t="s">
        <v>42</v>
      </c>
      <c r="C17998" s="10" t="s">
        <v>351</v>
      </c>
      <c r="D17998" s="10" t="s">
        <v>1865</v>
      </c>
      <c r="E17998" s="11"/>
      <c r="F17998" s="12">
        <f>ROUND(0.63*(1+G2/100),2)</f>
        <v>0.63</v>
      </c>
      <c r="G17998" s="11"/>
    </row>
    <row r="17999" ht="48.75" customHeight="1">
      <c r="A17999" s="11"/>
      <c r="B17999" s="11"/>
      <c r="C17999" s="11"/>
      <c r="D17999" s="10" t="s">
        <v>8662</v>
      </c>
    </row>
    <row r="18000" ht="30.0" customHeight="1">
      <c r="A18000" s="13" t="s">
        <v>8663</v>
      </c>
      <c r="B18000" s="10" t="s">
        <v>42</v>
      </c>
      <c r="C18000" s="10" t="s">
        <v>344</v>
      </c>
      <c r="D18000" s="10" t="s">
        <v>8664</v>
      </c>
      <c r="E18000" s="11"/>
      <c r="F18000" s="12">
        <f>ROUND(5.79*(1+G2/100),2)</f>
        <v>5.79</v>
      </c>
      <c r="G18000" s="11"/>
    </row>
    <row r="18001" ht="48.75" customHeight="1">
      <c r="A18001" s="11"/>
      <c r="B18001" s="11"/>
      <c r="C18001" s="11"/>
      <c r="D18001" s="10" t="s">
        <v>8665</v>
      </c>
    </row>
    <row r="18002" ht="30.0" customHeight="1">
      <c r="A18002" s="13" t="s">
        <v>6037</v>
      </c>
      <c r="B18002" s="10" t="s">
        <v>42</v>
      </c>
      <c r="C18002" s="10" t="s">
        <v>344</v>
      </c>
      <c r="D18002" s="10" t="s">
        <v>6038</v>
      </c>
      <c r="E18002" s="11"/>
      <c r="F18002" s="12">
        <f>ROUND(1.57*(1+G2/100),2)</f>
        <v>1.57</v>
      </c>
      <c r="G18002" s="11"/>
    </row>
    <row r="18003" ht="21.0" customHeight="1">
      <c r="A18003" s="11"/>
      <c r="B18003" s="11"/>
      <c r="C18003" s="11"/>
      <c r="D18003" s="10" t="s">
        <v>6038</v>
      </c>
    </row>
    <row r="18004" ht="30.0" customHeight="1">
      <c r="A18004" s="13" t="s">
        <v>2554</v>
      </c>
      <c r="B18004" s="10" t="s">
        <v>42</v>
      </c>
      <c r="C18004" s="10" t="s">
        <v>231</v>
      </c>
      <c r="D18004" s="10" t="s">
        <v>2555</v>
      </c>
      <c r="E18004" s="11"/>
      <c r="F18004" s="12">
        <f>ROUND(706.99*(1+G2/100),2)</f>
        <v>706.99</v>
      </c>
      <c r="G18004" s="11"/>
    </row>
    <row r="18005" ht="123.0" customHeight="1">
      <c r="A18005" s="11"/>
      <c r="B18005" s="11"/>
      <c r="C18005" s="11"/>
      <c r="D18005" s="10" t="s">
        <v>8666</v>
      </c>
    </row>
    <row r="18006" ht="39.75" customHeight="1">
      <c r="A18006" s="13" t="s">
        <v>8667</v>
      </c>
      <c r="B18006" s="10" t="s">
        <v>42</v>
      </c>
      <c r="C18006" s="10" t="s">
        <v>344</v>
      </c>
      <c r="D18006" s="10" t="s">
        <v>8668</v>
      </c>
      <c r="E18006" s="11"/>
      <c r="F18006" s="12">
        <f>ROUND(14.02*(1+G2/100),2)</f>
        <v>14.02</v>
      </c>
      <c r="G18006" s="11"/>
    </row>
    <row r="18007" ht="21.0" customHeight="1">
      <c r="A18007" s="11"/>
      <c r="B18007" s="11"/>
      <c r="C18007" s="11"/>
      <c r="D18007" s="10" t="s">
        <v>8668</v>
      </c>
    </row>
    <row r="18008" ht="39.75" customHeight="1">
      <c r="A18008" s="13" t="s">
        <v>8669</v>
      </c>
      <c r="B18008" s="10" t="s">
        <v>42</v>
      </c>
      <c r="C18008" s="10" t="s">
        <v>276</v>
      </c>
      <c r="D18008" s="10" t="s">
        <v>8670</v>
      </c>
      <c r="E18008" s="11"/>
      <c r="F18008" s="12">
        <f>ROUND(79*(1+G2/100),2)</f>
        <v>79</v>
      </c>
      <c r="G18008" s="11"/>
    </row>
    <row r="18009" ht="177.75" customHeight="1">
      <c r="A18009" s="11"/>
      <c r="B18009" s="11"/>
      <c r="C18009" s="11"/>
      <c r="D18009" s="10" t="s">
        <v>8671</v>
      </c>
    </row>
    <row r="18010" ht="39.75" customHeight="1">
      <c r="A18010" s="13" t="s">
        <v>8672</v>
      </c>
      <c r="B18010" s="10" t="s">
        <v>42</v>
      </c>
      <c r="C18010" s="10" t="s">
        <v>43</v>
      </c>
      <c r="D18010" s="10" t="s">
        <v>8673</v>
      </c>
      <c r="E18010" s="11"/>
      <c r="F18010" s="12">
        <f>ROUND(34.5*(1+G2/100),2)</f>
        <v>34.5</v>
      </c>
      <c r="G18010" s="11"/>
    </row>
    <row r="18011" ht="177.75" customHeight="1">
      <c r="A18011" s="11"/>
      <c r="B18011" s="11"/>
      <c r="C18011" s="11"/>
      <c r="D18011" s="10" t="s">
        <v>8674</v>
      </c>
    </row>
    <row r="18012" ht="39.75" customHeight="1">
      <c r="A18012" s="13" t="s">
        <v>8675</v>
      </c>
      <c r="B18012" s="10" t="s">
        <v>42</v>
      </c>
      <c r="C18012" s="10" t="s">
        <v>276</v>
      </c>
      <c r="D18012" s="10" t="s">
        <v>8676</v>
      </c>
      <c r="E18012" s="11"/>
      <c r="F18012" s="12">
        <f>ROUND(94.39*(1+G2/100),2)</f>
        <v>94.39</v>
      </c>
      <c r="G18012" s="11"/>
    </row>
    <row r="18013" ht="76.5" customHeight="1">
      <c r="A18013" s="11"/>
      <c r="B18013" s="11"/>
      <c r="C18013" s="11"/>
      <c r="D18013" s="10" t="s">
        <v>8677</v>
      </c>
    </row>
    <row r="18014" ht="39.75" customHeight="1">
      <c r="A18014" s="13" t="s">
        <v>8678</v>
      </c>
      <c r="B18014" s="10" t="s">
        <v>42</v>
      </c>
      <c r="C18014" s="10" t="s">
        <v>43</v>
      </c>
      <c r="D18014" s="10" t="s">
        <v>8679</v>
      </c>
      <c r="E18014" s="11"/>
      <c r="F18014" s="12">
        <f>ROUND(37.76*(1+G2/100),2)</f>
        <v>37.76</v>
      </c>
      <c r="G18014" s="11"/>
    </row>
    <row r="18015" ht="76.5" customHeight="1">
      <c r="A18015" s="11"/>
      <c r="B18015" s="11"/>
      <c r="C18015" s="11"/>
      <c r="D18015" s="10" t="s">
        <v>8680</v>
      </c>
    </row>
    <row r="18016" ht="39.75" customHeight="1">
      <c r="A18016" s="13" t="s">
        <v>8681</v>
      </c>
      <c r="B18016" s="10" t="s">
        <v>42</v>
      </c>
      <c r="C18016" s="10" t="s">
        <v>344</v>
      </c>
      <c r="D18016" s="10" t="s">
        <v>8682</v>
      </c>
      <c r="E18016" s="11"/>
      <c r="F18016" s="12">
        <f>ROUND(109*(1+G2/100),2)</f>
        <v>109</v>
      </c>
      <c r="G18016" s="11"/>
    </row>
    <row r="18017" ht="21.0" customHeight="1">
      <c r="A18017" s="11"/>
      <c r="B18017" s="11"/>
      <c r="C18017" s="11"/>
      <c r="D18017" s="10" t="s">
        <v>8682</v>
      </c>
    </row>
    <row r="18018" ht="48.75" customHeight="1">
      <c r="A18018" s="13" t="s">
        <v>2234</v>
      </c>
      <c r="B18018" s="10" t="s">
        <v>42</v>
      </c>
      <c r="C18018" s="10" t="s">
        <v>1825</v>
      </c>
      <c r="D18018" s="10" t="s">
        <v>2235</v>
      </c>
      <c r="E18018" s="11"/>
      <c r="F18018" s="12">
        <f>ROUND(65.37*(1+G2/100),2)</f>
        <v>65.37</v>
      </c>
      <c r="G18018" s="11"/>
    </row>
    <row r="18019" ht="21.0" customHeight="1">
      <c r="A18019" s="11"/>
      <c r="B18019" s="11"/>
      <c r="C18019" s="11"/>
      <c r="D18019" s="10" t="s">
        <v>2235</v>
      </c>
    </row>
    <row r="18020" ht="48.75" customHeight="1">
      <c r="A18020" s="13" t="s">
        <v>8683</v>
      </c>
      <c r="B18020" s="10" t="s">
        <v>42</v>
      </c>
      <c r="C18020" s="10" t="s">
        <v>1825</v>
      </c>
      <c r="D18020" s="10" t="s">
        <v>8684</v>
      </c>
      <c r="E18020" s="11"/>
      <c r="F18020" s="12">
        <f>ROUND(51.26*(1+G2/100),2)</f>
        <v>51.26</v>
      </c>
      <c r="G18020" s="11"/>
    </row>
    <row r="18021" ht="21.0" customHeight="1">
      <c r="A18021" s="11"/>
      <c r="B18021" s="11"/>
      <c r="C18021" s="11"/>
      <c r="D18021" s="10" t="s">
        <v>8684</v>
      </c>
    </row>
    <row r="18022" ht="48.75" customHeight="1">
      <c r="A18022" s="13" t="s">
        <v>8685</v>
      </c>
      <c r="B18022" s="10" t="s">
        <v>42</v>
      </c>
      <c r="C18022" s="10" t="s">
        <v>1825</v>
      </c>
      <c r="D18022" s="10" t="s">
        <v>8686</v>
      </c>
      <c r="E18022" s="11"/>
      <c r="F18022" s="12">
        <f>ROUND(51.78*(1+G2/100),2)</f>
        <v>51.78</v>
      </c>
      <c r="G18022" s="11"/>
    </row>
    <row r="18023" ht="21.0" customHeight="1">
      <c r="A18023" s="11"/>
      <c r="B18023" s="11"/>
      <c r="C18023" s="11"/>
      <c r="D18023" s="10" t="s">
        <v>8686</v>
      </c>
    </row>
    <row r="18024" ht="30.0" customHeight="1">
      <c r="A18024" s="13" t="s">
        <v>8687</v>
      </c>
      <c r="B18024" s="10" t="s">
        <v>42</v>
      </c>
      <c r="C18024" s="10" t="s">
        <v>226</v>
      </c>
      <c r="D18024" s="10" t="s">
        <v>8688</v>
      </c>
      <c r="E18024" s="11"/>
      <c r="F18024" s="12">
        <f>ROUND(30.61*(1+G2/100),2)</f>
        <v>30.61</v>
      </c>
      <c r="G18024" s="11"/>
    </row>
    <row r="18025" ht="21.0" customHeight="1">
      <c r="A18025" s="11"/>
      <c r="B18025" s="11"/>
      <c r="C18025" s="11"/>
      <c r="D18025" s="10" t="s">
        <v>8688</v>
      </c>
    </row>
    <row r="18026" ht="30.0" customHeight="1">
      <c r="A18026" s="13" t="s">
        <v>8689</v>
      </c>
      <c r="B18026" s="10" t="s">
        <v>42</v>
      </c>
      <c r="C18026" s="10" t="s">
        <v>226</v>
      </c>
      <c r="D18026" s="10" t="s">
        <v>8690</v>
      </c>
      <c r="E18026" s="11"/>
      <c r="F18026" s="12">
        <f>ROUND(17.81*(1+G2/100),2)</f>
        <v>17.81</v>
      </c>
      <c r="G18026" s="11"/>
    </row>
    <row r="18027" ht="21.0" customHeight="1">
      <c r="A18027" s="11"/>
      <c r="B18027" s="11"/>
      <c r="C18027" s="11"/>
      <c r="D18027" s="10" t="s">
        <v>8690</v>
      </c>
    </row>
    <row r="18028" ht="30.0" customHeight="1">
      <c r="A18028" s="13" t="s">
        <v>8691</v>
      </c>
      <c r="B18028" s="10" t="s">
        <v>42</v>
      </c>
      <c r="C18028" s="10" t="s">
        <v>226</v>
      </c>
      <c r="D18028" s="10" t="s">
        <v>8692</v>
      </c>
      <c r="E18028" s="11"/>
      <c r="F18028" s="12">
        <f>ROUND(12.47*(1+G2/100),2)</f>
        <v>12.47</v>
      </c>
      <c r="G18028" s="11"/>
    </row>
    <row r="18029" ht="21.0" customHeight="1">
      <c r="A18029" s="11"/>
      <c r="B18029" s="11"/>
      <c r="C18029" s="11"/>
      <c r="D18029" s="10" t="s">
        <v>8692</v>
      </c>
    </row>
    <row r="18030" ht="39.75" customHeight="1">
      <c r="A18030" s="13" t="s">
        <v>8693</v>
      </c>
      <c r="B18030" s="10" t="s">
        <v>42</v>
      </c>
      <c r="C18030" s="10" t="s">
        <v>344</v>
      </c>
      <c r="D18030" s="10" t="s">
        <v>8694</v>
      </c>
      <c r="E18030" s="11"/>
      <c r="F18030" s="12">
        <f>ROUND(2.22*(1+G2/100),2)</f>
        <v>2.22</v>
      </c>
      <c r="G18030" s="11"/>
    </row>
    <row r="18031" ht="95.25" customHeight="1">
      <c r="A18031" s="11"/>
      <c r="B18031" s="11"/>
      <c r="C18031" s="11"/>
      <c r="D18031" s="10" t="s">
        <v>8695</v>
      </c>
    </row>
    <row r="18032" ht="30.0" customHeight="1">
      <c r="A18032" s="13" t="s">
        <v>8696</v>
      </c>
      <c r="B18032" s="10" t="s">
        <v>42</v>
      </c>
      <c r="C18032" s="10" t="s">
        <v>344</v>
      </c>
      <c r="D18032" s="10" t="s">
        <v>8697</v>
      </c>
      <c r="E18032" s="11"/>
      <c r="F18032" s="12">
        <f>ROUND(8.18*(1+G2/100),2)</f>
        <v>8.18</v>
      </c>
      <c r="G18032" s="11"/>
    </row>
    <row r="18033" ht="30.0" customHeight="1">
      <c r="A18033" s="11"/>
      <c r="B18033" s="11"/>
      <c r="C18033" s="11"/>
      <c r="D18033" s="10" t="s">
        <v>8698</v>
      </c>
    </row>
    <row r="18034" ht="30.0" customHeight="1">
      <c r="A18034" s="13" t="s">
        <v>8699</v>
      </c>
      <c r="B18034" s="10" t="s">
        <v>42</v>
      </c>
      <c r="C18034" s="10" t="s">
        <v>184</v>
      </c>
      <c r="D18034" s="10" t="s">
        <v>8700</v>
      </c>
      <c r="E18034" s="11"/>
      <c r="F18034" s="12">
        <f>ROUND(4.99*(1+G2/100),2)</f>
        <v>4.99</v>
      </c>
      <c r="G18034" s="11"/>
    </row>
    <row r="18035" ht="39.75" customHeight="1">
      <c r="A18035" s="11"/>
      <c r="B18035" s="11"/>
      <c r="C18035" s="11"/>
      <c r="D18035" s="10" t="s">
        <v>8701</v>
      </c>
    </row>
    <row r="18036" ht="30.0" customHeight="1">
      <c r="A18036" s="13" t="s">
        <v>8702</v>
      </c>
      <c r="B18036" s="10" t="s">
        <v>42</v>
      </c>
      <c r="C18036" s="10" t="s">
        <v>3247</v>
      </c>
      <c r="D18036" s="10" t="s">
        <v>8703</v>
      </c>
      <c r="E18036" s="11"/>
      <c r="F18036" s="12">
        <f>ROUND(10.7*(1+G2/100),2)</f>
        <v>10.7</v>
      </c>
      <c r="G18036" s="11"/>
    </row>
    <row r="18037" ht="39.75" customHeight="1">
      <c r="A18037" s="11"/>
      <c r="B18037" s="11"/>
      <c r="C18037" s="11"/>
      <c r="D18037" s="10" t="s">
        <v>8704</v>
      </c>
    </row>
    <row r="18038" ht="30.0" customHeight="1">
      <c r="A18038" s="13" t="s">
        <v>8705</v>
      </c>
      <c r="B18038" s="10" t="s">
        <v>42</v>
      </c>
      <c r="C18038" s="10" t="s">
        <v>1881</v>
      </c>
      <c r="D18038" s="10" t="s">
        <v>8706</v>
      </c>
      <c r="E18038" s="11"/>
      <c r="F18038" s="12">
        <f>ROUND(0.95*(1+G2/100),2)</f>
        <v>0.95</v>
      </c>
      <c r="G18038" s="11"/>
    </row>
    <row r="18039" ht="30.0" customHeight="1">
      <c r="A18039" s="11"/>
      <c r="B18039" s="11"/>
      <c r="C18039" s="11"/>
      <c r="D18039" s="10" t="s">
        <v>8707</v>
      </c>
    </row>
    <row r="18040" ht="30.0" customHeight="1">
      <c r="A18040" s="13" t="s">
        <v>8708</v>
      </c>
      <c r="B18040" s="10" t="s">
        <v>42</v>
      </c>
      <c r="C18040" s="10" t="s">
        <v>8709</v>
      </c>
      <c r="D18040" s="10" t="s">
        <v>8710</v>
      </c>
      <c r="E18040" s="11"/>
      <c r="F18040" s="12">
        <f>ROUND(0.56*(1+G2/100),2)</f>
        <v>0.56</v>
      </c>
      <c r="G18040" s="11"/>
    </row>
    <row r="18041" ht="30.0" customHeight="1">
      <c r="A18041" s="11"/>
      <c r="B18041" s="11"/>
      <c r="C18041" s="11"/>
      <c r="D18041" s="10" t="s">
        <v>8711</v>
      </c>
    </row>
    <row r="18042" ht="24.0" customHeight="1">
      <c r="A18042" s="13" t="s">
        <v>316</v>
      </c>
      <c r="B18042" s="10" t="s">
        <v>42</v>
      </c>
      <c r="C18042" s="10" t="s">
        <v>43</v>
      </c>
      <c r="D18042" s="10" t="s">
        <v>317</v>
      </c>
      <c r="E18042" s="11"/>
      <c r="F18042" s="12">
        <f>ROUND(27.23*(1+G2/100),2)</f>
        <v>27.23</v>
      </c>
      <c r="G18042" s="11"/>
    </row>
    <row r="18043" ht="233.25" customHeight="1">
      <c r="A18043" s="11"/>
      <c r="B18043" s="11"/>
      <c r="C18043" s="11"/>
      <c r="D18043" s="10" t="s">
        <v>8712</v>
      </c>
    </row>
    <row r="18044" ht="30.0" customHeight="1">
      <c r="A18044" s="13" t="s">
        <v>8713</v>
      </c>
      <c r="B18044" s="10" t="s">
        <v>42</v>
      </c>
      <c r="C18044" s="10" t="s">
        <v>231</v>
      </c>
      <c r="D18044" s="10" t="s">
        <v>8714</v>
      </c>
      <c r="E18044" s="11"/>
      <c r="F18044" s="12">
        <f>ROUND(35.53*(1+G2/100),2)</f>
        <v>35.53</v>
      </c>
      <c r="G18044" s="11"/>
    </row>
    <row r="18045" ht="39.75" customHeight="1">
      <c r="A18045" s="11"/>
      <c r="B18045" s="11"/>
      <c r="C18045" s="11"/>
      <c r="D18045" s="10" t="s">
        <v>8715</v>
      </c>
    </row>
    <row r="18046" ht="39.75" customHeight="1">
      <c r="A18046" s="13" t="s">
        <v>2936</v>
      </c>
      <c r="B18046" s="10" t="s">
        <v>42</v>
      </c>
      <c r="C18046" s="10" t="s">
        <v>43</v>
      </c>
      <c r="D18046" s="10" t="s">
        <v>2937</v>
      </c>
      <c r="E18046" s="11"/>
      <c r="F18046" s="12">
        <f>ROUND(31.41*(1+G2/100),2)</f>
        <v>31.41</v>
      </c>
      <c r="G18046" s="11"/>
    </row>
    <row r="18047" ht="57.75" customHeight="1">
      <c r="A18047" s="11"/>
      <c r="B18047" s="11"/>
      <c r="C18047" s="11"/>
      <c r="D18047" s="10" t="s">
        <v>8716</v>
      </c>
    </row>
    <row r="18048" ht="30.0" customHeight="1">
      <c r="A18048" s="13" t="s">
        <v>2569</v>
      </c>
      <c r="B18048" s="10" t="s">
        <v>42</v>
      </c>
      <c r="C18048" s="10" t="s">
        <v>43</v>
      </c>
      <c r="D18048" s="10" t="s">
        <v>2570</v>
      </c>
      <c r="E18048" s="11"/>
      <c r="F18048" s="12">
        <f>ROUND(86.31*(1+G2/100),2)</f>
        <v>86.31</v>
      </c>
      <c r="G18048" s="11"/>
    </row>
    <row r="18049" ht="48.75" customHeight="1">
      <c r="A18049" s="11"/>
      <c r="B18049" s="11"/>
      <c r="C18049" s="11"/>
      <c r="D18049" s="10" t="s">
        <v>8717</v>
      </c>
    </row>
    <row r="18050" ht="30.0" customHeight="1">
      <c r="A18050" s="13" t="s">
        <v>6035</v>
      </c>
      <c r="B18050" s="10" t="s">
        <v>42</v>
      </c>
      <c r="C18050" s="10" t="s">
        <v>231</v>
      </c>
      <c r="D18050" s="10" t="s">
        <v>6036</v>
      </c>
      <c r="E18050" s="11"/>
      <c r="F18050" s="12">
        <f>ROUND(39.5*(1+G2/100),2)</f>
        <v>39.5</v>
      </c>
      <c r="G18050" s="11"/>
    </row>
    <row r="18051" ht="21.0" customHeight="1">
      <c r="A18051" s="11"/>
      <c r="B18051" s="11"/>
      <c r="C18051" s="11"/>
      <c r="D18051" s="10" t="s">
        <v>6036</v>
      </c>
    </row>
    <row r="18052" ht="30.0" customHeight="1">
      <c r="A18052" s="13" t="s">
        <v>8718</v>
      </c>
      <c r="B18052" s="10" t="s">
        <v>42</v>
      </c>
      <c r="C18052" s="10" t="s">
        <v>226</v>
      </c>
      <c r="D18052" s="10" t="s">
        <v>8719</v>
      </c>
      <c r="E18052" s="11"/>
      <c r="F18052" s="12">
        <f>ROUND(54.2*(1+G2/100),2)</f>
        <v>54.2</v>
      </c>
      <c r="G18052" s="11"/>
    </row>
    <row r="18053" ht="57.75" customHeight="1">
      <c r="A18053" s="11"/>
      <c r="B18053" s="11"/>
      <c r="C18053" s="11"/>
      <c r="D18053" s="10" t="s">
        <v>8720</v>
      </c>
    </row>
    <row r="18054" ht="30.0" customHeight="1">
      <c r="A18054" s="13" t="s">
        <v>8721</v>
      </c>
      <c r="B18054" s="10" t="s">
        <v>42</v>
      </c>
      <c r="C18054" s="10" t="s">
        <v>226</v>
      </c>
      <c r="D18054" s="10" t="s">
        <v>8722</v>
      </c>
      <c r="E18054" s="11"/>
      <c r="F18054" s="12">
        <f>ROUND(9*(1+G2/100),2)</f>
        <v>9</v>
      </c>
      <c r="G18054" s="11"/>
    </row>
    <row r="18055" ht="48.75" customHeight="1">
      <c r="A18055" s="11"/>
      <c r="B18055" s="11"/>
      <c r="C18055" s="11"/>
      <c r="D18055" s="10" t="s">
        <v>8723</v>
      </c>
    </row>
    <row r="18056" ht="21.0" customHeight="1">
      <c r="A18056" s="13" t="s">
        <v>1857</v>
      </c>
      <c r="B18056" s="10" t="s">
        <v>42</v>
      </c>
      <c r="C18056" s="10" t="s">
        <v>231</v>
      </c>
      <c r="D18056" s="10" t="s">
        <v>1858</v>
      </c>
      <c r="E18056" s="11"/>
      <c r="F18056" s="12">
        <f>ROUND(1.05*(1+G2/100),2)</f>
        <v>1.05</v>
      </c>
      <c r="G18056" s="11"/>
    </row>
    <row r="18057" ht="21.0" customHeight="1">
      <c r="A18057" s="11"/>
      <c r="B18057" s="11"/>
      <c r="C18057" s="11"/>
      <c r="D18057" s="10" t="s">
        <v>8724</v>
      </c>
    </row>
    <row r="18058" ht="30.0" customHeight="1">
      <c r="A18058" s="13" t="s">
        <v>1787</v>
      </c>
      <c r="B18058" s="10" t="s">
        <v>42</v>
      </c>
      <c r="C18058" s="10" t="s">
        <v>226</v>
      </c>
      <c r="D18058" s="10" t="s">
        <v>1788</v>
      </c>
      <c r="E18058" s="11"/>
      <c r="F18058" s="12">
        <f>ROUND(30.51*(1+G2/100),2)</f>
        <v>30.51</v>
      </c>
      <c r="G18058" s="11"/>
    </row>
    <row r="18059" ht="30.0" customHeight="1">
      <c r="A18059" s="11"/>
      <c r="B18059" s="11"/>
      <c r="C18059" s="11"/>
      <c r="D18059" s="10" t="s">
        <v>8725</v>
      </c>
    </row>
    <row r="18060" ht="30.0" customHeight="1">
      <c r="A18060" s="13" t="s">
        <v>1227</v>
      </c>
      <c r="B18060" s="10" t="s">
        <v>42</v>
      </c>
      <c r="C18060" s="10" t="s">
        <v>226</v>
      </c>
      <c r="D18060" s="10" t="s">
        <v>1228</v>
      </c>
      <c r="E18060" s="11"/>
      <c r="F18060" s="12">
        <f>ROUND(27.5*(1+G2/100),2)</f>
        <v>27.5</v>
      </c>
      <c r="G18060" s="11"/>
    </row>
    <row r="18061" ht="205.5" customHeight="1">
      <c r="A18061" s="11"/>
      <c r="B18061" s="11"/>
      <c r="C18061" s="11"/>
      <c r="D18061" s="10" t="s">
        <v>8726</v>
      </c>
    </row>
    <row r="18062" ht="30.0" customHeight="1">
      <c r="A18062" s="13" t="s">
        <v>1679</v>
      </c>
      <c r="B18062" s="10" t="s">
        <v>42</v>
      </c>
      <c r="C18062" s="10" t="s">
        <v>226</v>
      </c>
      <c r="D18062" s="10" t="s">
        <v>1680</v>
      </c>
      <c r="E18062" s="11"/>
      <c r="F18062" s="12">
        <f>ROUND(39.5*(1+G2/100),2)</f>
        <v>39.5</v>
      </c>
      <c r="G18062" s="11"/>
    </row>
    <row r="18063" ht="67.5" customHeight="1">
      <c r="A18063" s="11"/>
      <c r="B18063" s="11"/>
      <c r="C18063" s="11"/>
      <c r="D18063" s="10" t="s">
        <v>8727</v>
      </c>
    </row>
    <row r="18064" ht="30.0" customHeight="1">
      <c r="A18064" s="13" t="s">
        <v>2303</v>
      </c>
      <c r="B18064" s="10" t="s">
        <v>42</v>
      </c>
      <c r="C18064" s="10" t="s">
        <v>231</v>
      </c>
      <c r="D18064" s="10" t="s">
        <v>2304</v>
      </c>
      <c r="E18064" s="11"/>
      <c r="F18064" s="12">
        <f>ROUND(28.6*(1+G2/100),2)</f>
        <v>28.6</v>
      </c>
      <c r="G18064" s="11"/>
    </row>
    <row r="18065" ht="39.75" customHeight="1">
      <c r="A18065" s="11"/>
      <c r="B18065" s="11"/>
      <c r="C18065" s="11"/>
      <c r="D18065" s="10" t="s">
        <v>8728</v>
      </c>
    </row>
    <row r="18066" ht="30.0" customHeight="1">
      <c r="A18066" s="13" t="s">
        <v>8729</v>
      </c>
      <c r="B18066" s="10" t="s">
        <v>42</v>
      </c>
      <c r="C18066" s="10" t="s">
        <v>231</v>
      </c>
      <c r="D18066" s="10" t="s">
        <v>8730</v>
      </c>
      <c r="E18066" s="11"/>
      <c r="F18066" s="12">
        <f>ROUND(449*(1+G2/100),2)</f>
        <v>449</v>
      </c>
      <c r="G18066" s="11"/>
    </row>
    <row r="18067" ht="95.25" customHeight="1">
      <c r="A18067" s="11"/>
      <c r="B18067" s="11"/>
      <c r="C18067" s="11"/>
      <c r="D18067" s="10" t="s">
        <v>8731</v>
      </c>
    </row>
    <row r="18068" ht="30.0" customHeight="1">
      <c r="A18068" s="13" t="s">
        <v>8732</v>
      </c>
      <c r="B18068" s="10" t="s">
        <v>42</v>
      </c>
      <c r="C18068" s="10" t="s">
        <v>1825</v>
      </c>
      <c r="D18068" s="10" t="s">
        <v>8733</v>
      </c>
      <c r="E18068" s="11"/>
      <c r="F18068" s="12">
        <f>ROUND(6.52*(1+G2/100),2)</f>
        <v>6.52</v>
      </c>
      <c r="G18068" s="11"/>
    </row>
    <row r="18069" ht="30.0" customHeight="1">
      <c r="A18069" s="11"/>
      <c r="B18069" s="11"/>
      <c r="C18069" s="11"/>
      <c r="D18069" s="10" t="s">
        <v>8734</v>
      </c>
    </row>
    <row r="18070" ht="21.0" customHeight="1">
      <c r="A18070" s="13" t="s">
        <v>1959</v>
      </c>
      <c r="B18070" s="10" t="s">
        <v>42</v>
      </c>
      <c r="C18070" s="10" t="s">
        <v>231</v>
      </c>
      <c r="D18070" s="10" t="s">
        <v>1960</v>
      </c>
      <c r="E18070" s="11"/>
      <c r="F18070" s="12">
        <f>ROUND(0.84*(1+G2/100),2)</f>
        <v>0.84</v>
      </c>
      <c r="G18070" s="11"/>
    </row>
    <row r="18071" ht="21.0" customHeight="1">
      <c r="A18071" s="11"/>
      <c r="B18071" s="11"/>
      <c r="C18071" s="11"/>
      <c r="D18071" s="10" t="s">
        <v>8735</v>
      </c>
    </row>
    <row r="18072" ht="30.0" customHeight="1">
      <c r="A18072" s="13" t="s">
        <v>363</v>
      </c>
      <c r="B18072" s="10" t="s">
        <v>42</v>
      </c>
      <c r="C18072" s="10" t="s">
        <v>231</v>
      </c>
      <c r="D18072" s="10" t="s">
        <v>364</v>
      </c>
      <c r="E18072" s="11"/>
      <c r="F18072" s="12">
        <f>ROUND(0.17*(1+G2/100),2)</f>
        <v>0.17</v>
      </c>
      <c r="G18072" s="11"/>
    </row>
    <row r="18073" ht="30.0" customHeight="1">
      <c r="A18073" s="11"/>
      <c r="B18073" s="11"/>
      <c r="C18073" s="11"/>
      <c r="D18073" s="10" t="s">
        <v>8736</v>
      </c>
    </row>
    <row r="18074" ht="21.0" customHeight="1">
      <c r="A18074" s="13" t="s">
        <v>225</v>
      </c>
      <c r="B18074" s="10" t="s">
        <v>42</v>
      </c>
      <c r="C18074" s="10" t="s">
        <v>226</v>
      </c>
      <c r="D18074" s="10" t="s">
        <v>227</v>
      </c>
      <c r="E18074" s="11"/>
      <c r="F18074" s="12">
        <f>ROUND(13.14*(1+G2/100),2)</f>
        <v>13.14</v>
      </c>
      <c r="G18074" s="11"/>
    </row>
    <row r="18075" ht="30.0" customHeight="1">
      <c r="A18075" s="11"/>
      <c r="B18075" s="11"/>
      <c r="C18075" s="11"/>
      <c r="D18075" s="10" t="s">
        <v>8737</v>
      </c>
    </row>
    <row r="18076" ht="30.0" customHeight="1">
      <c r="A18076" s="13" t="s">
        <v>5847</v>
      </c>
      <c r="B18076" s="10" t="s">
        <v>42</v>
      </c>
      <c r="C18076" s="10" t="s">
        <v>344</v>
      </c>
      <c r="D18076" s="10" t="s">
        <v>5848</v>
      </c>
      <c r="E18076" s="11"/>
      <c r="F18076" s="12">
        <f>ROUND(1.76*(1+G2/100),2)</f>
        <v>1.76</v>
      </c>
      <c r="G18076" s="11"/>
    </row>
    <row r="18077" ht="21.0" customHeight="1">
      <c r="A18077" s="11"/>
      <c r="B18077" s="11"/>
      <c r="C18077" s="11"/>
      <c r="D18077" s="10" t="s">
        <v>8738</v>
      </c>
    </row>
    <row r="18078" ht="30.0" customHeight="1">
      <c r="A18078" s="13" t="s">
        <v>1683</v>
      </c>
      <c r="B18078" s="10" t="s">
        <v>42</v>
      </c>
      <c r="C18078" s="10" t="s">
        <v>344</v>
      </c>
      <c r="D18078" s="10" t="s">
        <v>1684</v>
      </c>
      <c r="E18078" s="11"/>
      <c r="F18078" s="12">
        <f>ROUND(1.19*(1+G2/100),2)</f>
        <v>1.19</v>
      </c>
      <c r="G18078" s="11"/>
    </row>
    <row r="18079" ht="21.0" customHeight="1">
      <c r="A18079" s="11"/>
      <c r="B18079" s="11"/>
      <c r="C18079" s="11"/>
      <c r="D18079" s="10" t="s">
        <v>8739</v>
      </c>
    </row>
    <row r="18080" ht="30.0" customHeight="1">
      <c r="A18080" s="13" t="s">
        <v>2638</v>
      </c>
      <c r="B18080" s="10" t="s">
        <v>42</v>
      </c>
      <c r="C18080" s="10" t="s">
        <v>231</v>
      </c>
      <c r="D18080" s="10" t="s">
        <v>2639</v>
      </c>
      <c r="E18080" s="11"/>
      <c r="F18080" s="12">
        <f>ROUND(216.23*(1+G2/100),2)</f>
        <v>216.23</v>
      </c>
      <c r="G18080" s="11"/>
    </row>
    <row r="18081" ht="57.75" customHeight="1">
      <c r="A18081" s="11"/>
      <c r="B18081" s="11"/>
      <c r="C18081" s="11"/>
      <c r="D18081" s="10" t="s">
        <v>8740</v>
      </c>
    </row>
    <row r="18082" ht="30.0" customHeight="1">
      <c r="A18082" s="13" t="s">
        <v>8741</v>
      </c>
      <c r="B18082" s="10" t="s">
        <v>42</v>
      </c>
      <c r="C18082" s="10" t="s">
        <v>231</v>
      </c>
      <c r="D18082" s="10" t="s">
        <v>8742</v>
      </c>
      <c r="E18082" s="11"/>
      <c r="F18082" s="12">
        <f>ROUND(216.23*(1+G2/100),2)</f>
        <v>216.23</v>
      </c>
      <c r="G18082" s="11"/>
    </row>
    <row r="18083" ht="57.75" customHeight="1">
      <c r="A18083" s="11"/>
      <c r="B18083" s="11"/>
      <c r="C18083" s="11"/>
      <c r="D18083" s="10" t="s">
        <v>8743</v>
      </c>
    </row>
    <row r="18084" ht="39.75" customHeight="1">
      <c r="A18084" s="13" t="s">
        <v>4123</v>
      </c>
      <c r="B18084" s="10" t="s">
        <v>42</v>
      </c>
      <c r="C18084" s="10" t="s">
        <v>226</v>
      </c>
      <c r="D18084" s="10" t="s">
        <v>4124</v>
      </c>
      <c r="E18084" s="11"/>
      <c r="F18084" s="12">
        <f>ROUND(41.25*(1+G2/100),2)</f>
        <v>41.25</v>
      </c>
      <c r="G18084" s="11"/>
    </row>
    <row r="18085" ht="67.5" customHeight="1">
      <c r="A18085" s="11"/>
      <c r="B18085" s="11"/>
      <c r="C18085" s="11"/>
      <c r="D18085" s="10" t="s">
        <v>8744</v>
      </c>
    </row>
    <row r="18086" ht="21.0" customHeight="1">
      <c r="A18086" s="13" t="s">
        <v>8745</v>
      </c>
      <c r="B18086" s="10" t="s">
        <v>42</v>
      </c>
      <c r="C18086" s="10" t="s">
        <v>226</v>
      </c>
      <c r="D18086" s="10" t="s">
        <v>8746</v>
      </c>
      <c r="E18086" s="11"/>
      <c r="F18086" s="12">
        <f>ROUND(28.25*(1+G2/100),2)</f>
        <v>28.25</v>
      </c>
      <c r="G18086" s="11"/>
    </row>
    <row r="18087" ht="48.75" customHeight="1">
      <c r="A18087" s="11"/>
      <c r="B18087" s="11"/>
      <c r="C18087" s="11"/>
      <c r="D18087" s="10" t="s">
        <v>8747</v>
      </c>
    </row>
    <row r="18088" ht="30.0" customHeight="1">
      <c r="A18088" s="13" t="s">
        <v>4624</v>
      </c>
      <c r="B18088" s="10" t="s">
        <v>42</v>
      </c>
      <c r="C18088" s="10" t="s">
        <v>4625</v>
      </c>
      <c r="D18088" s="10" t="s">
        <v>4626</v>
      </c>
      <c r="E18088" s="11"/>
      <c r="F18088" s="12">
        <f>ROUND(0.16*(1+G2/100),2)</f>
        <v>0.16</v>
      </c>
      <c r="G18088" s="11"/>
    </row>
    <row r="18089" ht="21.0" customHeight="1">
      <c r="A18089" s="11"/>
      <c r="B18089" s="11"/>
      <c r="C18089" s="11"/>
      <c r="D18089" s="10" t="s">
        <v>8748</v>
      </c>
    </row>
    <row r="18090" ht="39.75" customHeight="1">
      <c r="A18090" s="13" t="s">
        <v>1315</v>
      </c>
      <c r="B18090" s="10" t="s">
        <v>42</v>
      </c>
      <c r="C18090" s="10" t="s">
        <v>231</v>
      </c>
      <c r="D18090" s="10" t="s">
        <v>1316</v>
      </c>
      <c r="E18090" s="11"/>
      <c r="F18090" s="12">
        <f>ROUND(2.63*(1+G2/100),2)</f>
        <v>2.63</v>
      </c>
      <c r="G18090" s="11"/>
    </row>
    <row r="18091" ht="39.75" customHeight="1">
      <c r="A18091" s="11"/>
      <c r="B18091" s="11"/>
      <c r="C18091" s="11"/>
      <c r="D18091" s="10" t="s">
        <v>8749</v>
      </c>
    </row>
    <row r="18092" ht="30.0" customHeight="1">
      <c r="A18092" s="13" t="s">
        <v>1437</v>
      </c>
      <c r="B18092" s="10" t="s">
        <v>42</v>
      </c>
      <c r="C18092" s="10" t="s">
        <v>325</v>
      </c>
      <c r="D18092" s="10" t="s">
        <v>1438</v>
      </c>
      <c r="E18092" s="11"/>
      <c r="F18092" s="12">
        <f>ROUND(30.45*(1+G2/100),2)</f>
        <v>30.45</v>
      </c>
      <c r="G18092" s="11"/>
    </row>
    <row r="18093" ht="132.0" customHeight="1">
      <c r="A18093" s="11"/>
      <c r="B18093" s="11"/>
      <c r="C18093" s="11"/>
      <c r="D18093" s="10" t="s">
        <v>8750</v>
      </c>
    </row>
    <row r="18094" ht="39.75" customHeight="1">
      <c r="A18094" s="13" t="s">
        <v>4287</v>
      </c>
      <c r="B18094" s="10" t="s">
        <v>42</v>
      </c>
      <c r="C18094" s="10" t="s">
        <v>325</v>
      </c>
      <c r="D18094" s="10" t="s">
        <v>4288</v>
      </c>
      <c r="E18094" s="11"/>
      <c r="F18094" s="12">
        <f>ROUND(23.83*(1+G2/100),2)</f>
        <v>23.83</v>
      </c>
      <c r="G18094" s="11"/>
    </row>
    <row r="18095" ht="30.0" customHeight="1">
      <c r="A18095" s="11"/>
      <c r="B18095" s="11"/>
      <c r="C18095" s="11"/>
      <c r="D18095" s="10" t="s">
        <v>8751</v>
      </c>
    </row>
    <row r="18096" ht="30.0" customHeight="1">
      <c r="A18096" s="13" t="s">
        <v>8752</v>
      </c>
      <c r="B18096" s="10" t="s">
        <v>42</v>
      </c>
      <c r="C18096" s="10" t="s">
        <v>226</v>
      </c>
      <c r="D18096" s="10" t="s">
        <v>8753</v>
      </c>
      <c r="E18096" s="11"/>
      <c r="F18096" s="12">
        <f>ROUND(221.4*(1+G2/100),2)</f>
        <v>221.4</v>
      </c>
      <c r="G18096" s="11"/>
    </row>
    <row r="18097" ht="12.0" customHeight="1">
      <c r="A18097" s="11"/>
      <c r="B18097" s="11"/>
      <c r="C18097" s="11"/>
      <c r="D18097" s="10" t="s">
        <v>8753</v>
      </c>
    </row>
    <row r="18098" ht="30.0" customHeight="1">
      <c r="A18098" s="13" t="s">
        <v>4092</v>
      </c>
      <c r="B18098" s="10" t="s">
        <v>42</v>
      </c>
      <c r="C18098" s="10" t="s">
        <v>226</v>
      </c>
      <c r="D18098" s="10" t="s">
        <v>4093</v>
      </c>
      <c r="E18098" s="11"/>
      <c r="F18098" s="12">
        <f>ROUND(49.5*(1+G2/100),2)</f>
        <v>49.5</v>
      </c>
      <c r="G18098" s="11"/>
    </row>
    <row r="18099" ht="67.5" customHeight="1">
      <c r="A18099" s="11"/>
      <c r="B18099" s="11"/>
      <c r="C18099" s="11"/>
      <c r="D18099" s="10" t="s">
        <v>8754</v>
      </c>
    </row>
    <row r="18100" ht="39.75" customHeight="1">
      <c r="A18100" s="13" t="s">
        <v>1349</v>
      </c>
      <c r="B18100" s="10" t="s">
        <v>42</v>
      </c>
      <c r="C18100" s="10" t="s">
        <v>231</v>
      </c>
      <c r="D18100" s="10" t="s">
        <v>1350</v>
      </c>
      <c r="E18100" s="11"/>
      <c r="F18100" s="12">
        <f>ROUND(4.05*(1+G2/100),2)</f>
        <v>4.05</v>
      </c>
      <c r="G18100" s="11"/>
    </row>
    <row r="18101" ht="48.75" customHeight="1">
      <c r="A18101" s="11"/>
      <c r="B18101" s="11"/>
      <c r="C18101" s="11"/>
      <c r="D18101" s="10" t="s">
        <v>8755</v>
      </c>
    </row>
    <row r="18102" ht="39.75" customHeight="1">
      <c r="A18102" s="13" t="s">
        <v>8756</v>
      </c>
      <c r="B18102" s="10" t="s">
        <v>42</v>
      </c>
      <c r="C18102" s="10" t="s">
        <v>226</v>
      </c>
      <c r="D18102" s="10" t="s">
        <v>8757</v>
      </c>
      <c r="E18102" s="11"/>
      <c r="F18102" s="12">
        <f>ROUND(59.63*(1+G2/100),2)</f>
        <v>59.63</v>
      </c>
      <c r="G18102" s="11"/>
    </row>
    <row r="18103" ht="30.0" customHeight="1">
      <c r="A18103" s="11"/>
      <c r="B18103" s="11"/>
      <c r="C18103" s="11"/>
      <c r="D18103" s="10" t="s">
        <v>8758</v>
      </c>
    </row>
    <row r="18104" ht="21.0" customHeight="1">
      <c r="A18104" s="13" t="s">
        <v>228</v>
      </c>
      <c r="B18104" s="10" t="s">
        <v>42</v>
      </c>
      <c r="C18104" s="10" t="s">
        <v>226</v>
      </c>
      <c r="D18104" s="10" t="s">
        <v>229</v>
      </c>
      <c r="E18104" s="11"/>
      <c r="F18104" s="12">
        <f>ROUND(1.32*(1+G2/100),2)</f>
        <v>1.32</v>
      </c>
      <c r="G18104" s="11"/>
    </row>
    <row r="18105" ht="48.75" customHeight="1">
      <c r="A18105" s="11"/>
      <c r="B18105" s="11"/>
      <c r="C18105" s="11"/>
      <c r="D18105" s="10" t="s">
        <v>8759</v>
      </c>
    </row>
    <row r="18106" ht="21.0" customHeight="1">
      <c r="A18106" s="13" t="s">
        <v>298</v>
      </c>
      <c r="B18106" s="10" t="s">
        <v>42</v>
      </c>
      <c r="C18106" s="10" t="s">
        <v>226</v>
      </c>
      <c r="D18106" s="10" t="s">
        <v>299</v>
      </c>
      <c r="E18106" s="11"/>
      <c r="F18106" s="12">
        <f>ROUND(1.28*(1+G2/100),2)</f>
        <v>1.28</v>
      </c>
      <c r="G18106" s="11"/>
    </row>
    <row r="18107" ht="48.75" customHeight="1">
      <c r="A18107" s="11"/>
      <c r="B18107" s="11"/>
      <c r="C18107" s="11"/>
      <c r="D18107" s="10" t="s">
        <v>8760</v>
      </c>
    </row>
    <row r="18108" ht="21.0" customHeight="1">
      <c r="A18108" s="13" t="s">
        <v>242</v>
      </c>
      <c r="B18108" s="10" t="s">
        <v>42</v>
      </c>
      <c r="C18108" s="10" t="s">
        <v>226</v>
      </c>
      <c r="D18108" s="10" t="s">
        <v>243</v>
      </c>
      <c r="E18108" s="11"/>
      <c r="F18108" s="12">
        <f>ROUND(1.32*(1+G2/100),2)</f>
        <v>1.32</v>
      </c>
      <c r="G18108" s="11"/>
    </row>
    <row r="18109" ht="48.75" customHeight="1">
      <c r="A18109" s="11"/>
      <c r="B18109" s="11"/>
      <c r="C18109" s="11"/>
      <c r="D18109" s="10" t="s">
        <v>8761</v>
      </c>
    </row>
    <row r="18110" ht="39.75" customHeight="1">
      <c r="A18110" s="13" t="s">
        <v>2541</v>
      </c>
      <c r="B18110" s="10" t="s">
        <v>42</v>
      </c>
      <c r="C18110" s="10" t="s">
        <v>226</v>
      </c>
      <c r="D18110" s="10" t="s">
        <v>2542</v>
      </c>
      <c r="E18110" s="11"/>
      <c r="F18110" s="12">
        <f>ROUND(19.53*(1+G2/100),2)</f>
        <v>19.53</v>
      </c>
      <c r="G18110" s="11"/>
    </row>
    <row r="18111" ht="30.0" customHeight="1">
      <c r="A18111" s="11"/>
      <c r="B18111" s="11"/>
      <c r="C18111" s="11"/>
      <c r="D18111" s="10" t="s">
        <v>8762</v>
      </c>
    </row>
    <row r="18112" ht="39.75" customHeight="1">
      <c r="A18112" s="13" t="s">
        <v>8763</v>
      </c>
      <c r="B18112" s="10" t="s">
        <v>42</v>
      </c>
      <c r="C18112" s="10" t="s">
        <v>3869</v>
      </c>
      <c r="D18112" s="10" t="s">
        <v>8764</v>
      </c>
      <c r="E18112" s="11"/>
      <c r="F18112" s="12">
        <f>ROUND(36.75*(1+G2/100),2)</f>
        <v>36.75</v>
      </c>
      <c r="G18112" s="11"/>
    </row>
    <row r="18113" ht="30.0" customHeight="1">
      <c r="A18113" s="11"/>
      <c r="B18113" s="11"/>
      <c r="C18113" s="11"/>
      <c r="D18113" s="10" t="s">
        <v>8765</v>
      </c>
    </row>
    <row r="18114" ht="48.75" customHeight="1">
      <c r="A18114" s="13" t="s">
        <v>3868</v>
      </c>
      <c r="B18114" s="10" t="s">
        <v>42</v>
      </c>
      <c r="C18114" s="10" t="s">
        <v>3869</v>
      </c>
      <c r="D18114" s="10" t="s">
        <v>3870</v>
      </c>
      <c r="E18114" s="11"/>
      <c r="F18114" s="12">
        <f>ROUND(41.18*(1+G2/100),2)</f>
        <v>41.18</v>
      </c>
      <c r="G18114" s="11"/>
    </row>
    <row r="18115" ht="30.0" customHeight="1">
      <c r="A18115" s="11"/>
      <c r="B18115" s="11"/>
      <c r="C18115" s="11"/>
      <c r="D18115" s="10" t="s">
        <v>8766</v>
      </c>
    </row>
    <row r="18116" ht="30.0" customHeight="1">
      <c r="A18116" s="13" t="s">
        <v>4153</v>
      </c>
      <c r="B18116" s="10" t="s">
        <v>42</v>
      </c>
      <c r="C18116" s="10" t="s">
        <v>344</v>
      </c>
      <c r="D18116" s="10" t="s">
        <v>4154</v>
      </c>
      <c r="E18116" s="11"/>
      <c r="F18116" s="12">
        <f>ROUND(1.06*(1+G2/100),2)</f>
        <v>1.06</v>
      </c>
      <c r="G18116" s="11"/>
    </row>
    <row r="18117" ht="39.75" customHeight="1">
      <c r="A18117" s="11"/>
      <c r="B18117" s="11"/>
      <c r="C18117" s="11"/>
      <c r="D18117" s="10" t="s">
        <v>8767</v>
      </c>
    </row>
    <row r="18118" ht="30.0" customHeight="1">
      <c r="A18118" s="13" t="s">
        <v>2943</v>
      </c>
      <c r="B18118" s="10" t="s">
        <v>42</v>
      </c>
      <c r="C18118" s="10" t="s">
        <v>344</v>
      </c>
      <c r="D18118" s="10" t="s">
        <v>2944</v>
      </c>
      <c r="E18118" s="11"/>
      <c r="F18118" s="12">
        <f>ROUND(0.44*(1+G2/100),2)</f>
        <v>0.44</v>
      </c>
      <c r="G18118" s="11"/>
    </row>
    <row r="18119" ht="39.75" customHeight="1">
      <c r="A18119" s="11"/>
      <c r="B18119" s="11"/>
      <c r="C18119" s="11"/>
      <c r="D18119" s="10" t="s">
        <v>8768</v>
      </c>
    </row>
    <row r="18120" ht="39.75" customHeight="1">
      <c r="A18120" s="13" t="s">
        <v>8769</v>
      </c>
      <c r="B18120" s="10" t="s">
        <v>42</v>
      </c>
      <c r="C18120" s="10" t="s">
        <v>231</v>
      </c>
      <c r="D18120" s="10" t="s">
        <v>8770</v>
      </c>
      <c r="E18120" s="11"/>
      <c r="F18120" s="12">
        <f>ROUND(229*(1+G2/100),2)</f>
        <v>229</v>
      </c>
      <c r="G18120" s="11"/>
    </row>
    <row r="18121" ht="104.25" customHeight="1">
      <c r="A18121" s="11"/>
      <c r="B18121" s="11"/>
      <c r="C18121" s="11"/>
      <c r="D18121" s="10" t="s">
        <v>8771</v>
      </c>
    </row>
    <row r="18122" ht="39.75" customHeight="1">
      <c r="A18122" s="13" t="s">
        <v>8772</v>
      </c>
      <c r="B18122" s="10" t="s">
        <v>42</v>
      </c>
      <c r="C18122" s="10" t="s">
        <v>231</v>
      </c>
      <c r="D18122" s="10" t="s">
        <v>8773</v>
      </c>
      <c r="E18122" s="11"/>
      <c r="F18122" s="12">
        <f>ROUND(137.95*(1+G2/100),2)</f>
        <v>137.95</v>
      </c>
      <c r="G18122" s="11"/>
    </row>
    <row r="18123" ht="95.25" customHeight="1">
      <c r="A18123" s="11"/>
      <c r="B18123" s="11"/>
      <c r="C18123" s="11"/>
      <c r="D18123" s="10" t="s">
        <v>8774</v>
      </c>
    </row>
    <row r="18124" ht="39.75" customHeight="1">
      <c r="A18124" s="13" t="s">
        <v>8775</v>
      </c>
      <c r="B18124" s="10" t="s">
        <v>42</v>
      </c>
      <c r="C18124" s="10" t="s">
        <v>231</v>
      </c>
      <c r="D18124" s="10" t="s">
        <v>8776</v>
      </c>
      <c r="E18124" s="11"/>
      <c r="F18124" s="12">
        <f>ROUND(145.95*(1+G2/100),2)</f>
        <v>145.95</v>
      </c>
      <c r="G18124" s="11"/>
    </row>
    <row r="18125" ht="95.25" customHeight="1">
      <c r="A18125" s="11"/>
      <c r="B18125" s="11"/>
      <c r="C18125" s="11"/>
      <c r="D18125" s="10" t="s">
        <v>8777</v>
      </c>
    </row>
    <row r="18126" ht="21.0" customHeight="1">
      <c r="A18126" s="13" t="s">
        <v>8778</v>
      </c>
      <c r="B18126" s="10" t="s">
        <v>42</v>
      </c>
      <c r="C18126" s="10" t="s">
        <v>231</v>
      </c>
      <c r="D18126" s="10" t="s">
        <v>8779</v>
      </c>
      <c r="E18126" s="11"/>
      <c r="F18126" s="12">
        <f>ROUND(3*(1+G2/100),2)</f>
        <v>3</v>
      </c>
      <c r="G18126" s="11"/>
    </row>
    <row r="18127" ht="12.0" customHeight="1">
      <c r="A18127" s="11"/>
      <c r="B18127" s="11"/>
      <c r="C18127" s="11"/>
      <c r="D18127" s="10" t="s">
        <v>8779</v>
      </c>
    </row>
    <row r="18128" ht="21.0" customHeight="1">
      <c r="A18128" s="13" t="s">
        <v>8780</v>
      </c>
      <c r="B18128" s="10" t="s">
        <v>42</v>
      </c>
      <c r="C18128" s="10" t="s">
        <v>231</v>
      </c>
      <c r="D18128" s="10" t="s">
        <v>8781</v>
      </c>
      <c r="E18128" s="11"/>
      <c r="F18128" s="12">
        <f>ROUND(3.26*(1+G2/100),2)</f>
        <v>3.26</v>
      </c>
      <c r="G18128" s="11"/>
    </row>
    <row r="18129" ht="12.0" customHeight="1">
      <c r="A18129" s="11"/>
      <c r="B18129" s="11"/>
      <c r="C18129" s="11"/>
      <c r="D18129" s="10" t="s">
        <v>8781</v>
      </c>
    </row>
    <row r="18130" ht="30.0" customHeight="1">
      <c r="A18130" s="13" t="s">
        <v>2298</v>
      </c>
      <c r="B18130" s="10" t="s">
        <v>42</v>
      </c>
      <c r="C18130" s="10" t="s">
        <v>231</v>
      </c>
      <c r="D18130" s="10" t="s">
        <v>2299</v>
      </c>
      <c r="E18130" s="11"/>
      <c r="F18130" s="12">
        <f>ROUND(70.3*(1+G2/100),2)</f>
        <v>70.3</v>
      </c>
      <c r="G18130" s="11"/>
    </row>
    <row r="18131" ht="39.75" customHeight="1">
      <c r="A18131" s="11"/>
      <c r="B18131" s="11"/>
      <c r="C18131" s="11"/>
      <c r="D18131" s="10" t="s">
        <v>8782</v>
      </c>
    </row>
    <row r="18132" ht="30.0" customHeight="1">
      <c r="A18132" s="13" t="s">
        <v>2266</v>
      </c>
      <c r="B18132" s="10" t="s">
        <v>42</v>
      </c>
      <c r="C18132" s="10" t="s">
        <v>226</v>
      </c>
      <c r="D18132" s="10" t="s">
        <v>2267</v>
      </c>
      <c r="E18132" s="11"/>
      <c r="F18132" s="12">
        <f>ROUND(10.4*(1+G2/100),2)</f>
        <v>10.4</v>
      </c>
      <c r="G18132" s="11"/>
    </row>
    <row r="18133" ht="48.75" customHeight="1">
      <c r="A18133" s="11"/>
      <c r="B18133" s="11"/>
      <c r="C18133" s="11"/>
      <c r="D18133" s="10" t="s">
        <v>8783</v>
      </c>
    </row>
    <row r="18134" ht="30.0" customHeight="1">
      <c r="A18134" s="13" t="s">
        <v>8784</v>
      </c>
      <c r="B18134" s="10" t="s">
        <v>42</v>
      </c>
      <c r="C18134" s="10" t="s">
        <v>1825</v>
      </c>
      <c r="D18134" s="10" t="s">
        <v>8785</v>
      </c>
      <c r="E18134" s="11"/>
      <c r="F18134" s="12">
        <f>ROUND(3.42*(1+G2/100),2)</f>
        <v>3.42</v>
      </c>
      <c r="G18134" s="11"/>
    </row>
    <row r="18135" ht="12.0" customHeight="1">
      <c r="A18135" s="11"/>
      <c r="B18135" s="11"/>
      <c r="C18135" s="11"/>
      <c r="D18135" s="10" t="s">
        <v>8786</v>
      </c>
    </row>
    <row r="18136" ht="21.0" customHeight="1">
      <c r="A18136" s="13" t="s">
        <v>8787</v>
      </c>
      <c r="B18136" s="10" t="s">
        <v>42</v>
      </c>
      <c r="C18136" s="10" t="s">
        <v>226</v>
      </c>
      <c r="D18136" s="10" t="s">
        <v>8788</v>
      </c>
      <c r="E18136" s="11"/>
      <c r="F18136" s="12">
        <f>ROUND(12.75*(1+G2/100),2)</f>
        <v>12.75</v>
      </c>
      <c r="G18136" s="11"/>
    </row>
    <row r="18137" ht="12.0" customHeight="1">
      <c r="A18137" s="11"/>
      <c r="B18137" s="11"/>
      <c r="C18137" s="11"/>
      <c r="D18137" s="10" t="s">
        <v>8788</v>
      </c>
    </row>
    <row r="18138" ht="30.0" customHeight="1">
      <c r="A18138" s="13" t="s">
        <v>2539</v>
      </c>
      <c r="B18138" s="10" t="s">
        <v>42</v>
      </c>
      <c r="C18138" s="10" t="s">
        <v>231</v>
      </c>
      <c r="D18138" s="10" t="s">
        <v>2540</v>
      </c>
      <c r="E18138" s="11"/>
      <c r="F18138" s="12">
        <f>ROUND(280.99*(1+G2/100),2)</f>
        <v>280.99</v>
      </c>
      <c r="G18138" s="11"/>
    </row>
    <row r="18139" ht="30.0" customHeight="1">
      <c r="A18139" s="11"/>
      <c r="B18139" s="11"/>
      <c r="C18139" s="11"/>
      <c r="D18139" s="10" t="s">
        <v>8789</v>
      </c>
    </row>
    <row r="18140" ht="30.0" customHeight="1">
      <c r="A18140" s="13" t="s">
        <v>8790</v>
      </c>
      <c r="B18140" s="10" t="s">
        <v>42</v>
      </c>
      <c r="C18140" s="10" t="s">
        <v>276</v>
      </c>
      <c r="D18140" s="10" t="s">
        <v>8791</v>
      </c>
      <c r="E18140" s="11"/>
      <c r="F18140" s="12">
        <f>ROUND(53.25*(1+G2/100),2)</f>
        <v>53.25</v>
      </c>
      <c r="G18140" s="11"/>
    </row>
    <row r="18141" ht="85.5" customHeight="1">
      <c r="A18141" s="11"/>
      <c r="B18141" s="11"/>
      <c r="C18141" s="11"/>
      <c r="D18141" s="10" t="s">
        <v>8792</v>
      </c>
    </row>
    <row r="18142" ht="48.75" customHeight="1">
      <c r="A18142" s="13" t="s">
        <v>8793</v>
      </c>
      <c r="B18142" s="10" t="s">
        <v>42</v>
      </c>
      <c r="C18142" s="10" t="s">
        <v>8794</v>
      </c>
      <c r="D18142" s="10" t="s">
        <v>8795</v>
      </c>
      <c r="E18142" s="11"/>
      <c r="F18142" s="12">
        <f>ROUND(650.2*(1+G2/100),2)</f>
        <v>650.2</v>
      </c>
      <c r="G18142" s="11"/>
    </row>
    <row r="18143" ht="48.75" customHeight="1">
      <c r="A18143" s="11"/>
      <c r="B18143" s="11"/>
      <c r="C18143" s="11"/>
      <c r="D18143" s="10" t="s">
        <v>8796</v>
      </c>
    </row>
    <row r="18144" ht="30.0" customHeight="1">
      <c r="A18144" s="13" t="s">
        <v>8797</v>
      </c>
      <c r="B18144" s="10" t="s">
        <v>42</v>
      </c>
      <c r="C18144" s="10" t="s">
        <v>226</v>
      </c>
      <c r="D18144" s="10" t="s">
        <v>8798</v>
      </c>
      <c r="E18144" s="11"/>
      <c r="F18144" s="12">
        <f>ROUND(2.65*(1+G2/100),2)</f>
        <v>2.65</v>
      </c>
      <c r="G18144" s="11"/>
    </row>
    <row r="18145" ht="95.25" customHeight="1">
      <c r="A18145" s="11"/>
      <c r="B18145" s="11"/>
      <c r="C18145" s="11"/>
      <c r="D18145" s="10" t="s">
        <v>8799</v>
      </c>
    </row>
    <row r="18146" ht="30.0" customHeight="1">
      <c r="A18146" s="13" t="s">
        <v>8800</v>
      </c>
      <c r="B18146" s="10" t="s">
        <v>42</v>
      </c>
      <c r="C18146" s="10" t="s">
        <v>8801</v>
      </c>
      <c r="D18146" s="10" t="s">
        <v>8802</v>
      </c>
      <c r="E18146" s="11"/>
      <c r="F18146" s="12">
        <f>ROUND(2.03*(1+G2/100),2)</f>
        <v>2.03</v>
      </c>
      <c r="G18146" s="11"/>
    </row>
    <row r="18147" ht="104.25" customHeight="1">
      <c r="A18147" s="11"/>
      <c r="B18147" s="11"/>
      <c r="C18147" s="11"/>
      <c r="D18147" s="10" t="s">
        <v>8803</v>
      </c>
    </row>
    <row r="18148" ht="30.0" customHeight="1">
      <c r="A18148" s="13" t="s">
        <v>8804</v>
      </c>
      <c r="B18148" s="10" t="s">
        <v>42</v>
      </c>
      <c r="C18148" s="10" t="s">
        <v>8801</v>
      </c>
      <c r="D18148" s="10" t="s">
        <v>8805</v>
      </c>
      <c r="E18148" s="11"/>
      <c r="F18148" s="12">
        <f>ROUND(5.37*(1+G2/100),2)</f>
        <v>5.37</v>
      </c>
      <c r="G18148" s="11"/>
    </row>
    <row r="18149" ht="104.25" customHeight="1">
      <c r="A18149" s="11"/>
      <c r="B18149" s="11"/>
      <c r="C18149" s="11"/>
      <c r="D18149" s="10" t="s">
        <v>8806</v>
      </c>
    </row>
    <row r="18150" ht="30.0" customHeight="1">
      <c r="A18150" s="13" t="s">
        <v>8807</v>
      </c>
      <c r="B18150" s="10" t="s">
        <v>42</v>
      </c>
      <c r="C18150" s="10" t="s">
        <v>8801</v>
      </c>
      <c r="D18150" s="10" t="s">
        <v>8808</v>
      </c>
      <c r="E18150" s="11"/>
      <c r="F18150" s="12">
        <f>ROUND(6.78*(1+G2/100),2)</f>
        <v>6.78</v>
      </c>
      <c r="G18150" s="11"/>
    </row>
    <row r="18151" ht="104.25" customHeight="1">
      <c r="A18151" s="11"/>
      <c r="B18151" s="11"/>
      <c r="C18151" s="11"/>
      <c r="D18151" s="10" t="s">
        <v>8809</v>
      </c>
    </row>
    <row r="18152" ht="30.0" customHeight="1">
      <c r="A18152" s="13" t="s">
        <v>8810</v>
      </c>
      <c r="B18152" s="10" t="s">
        <v>42</v>
      </c>
      <c r="C18152" s="10" t="s">
        <v>8801</v>
      </c>
      <c r="D18152" s="10" t="s">
        <v>8811</v>
      </c>
      <c r="E18152" s="11"/>
      <c r="F18152" s="12">
        <f>ROUND(8.84*(1+G2/100),2)</f>
        <v>8.84</v>
      </c>
      <c r="G18152" s="11"/>
    </row>
    <row r="18153" ht="104.25" customHeight="1">
      <c r="A18153" s="11"/>
      <c r="B18153" s="11"/>
      <c r="C18153" s="11"/>
      <c r="D18153" s="10" t="s">
        <v>8812</v>
      </c>
    </row>
    <row r="18154" ht="30.0" customHeight="1">
      <c r="A18154" s="13" t="s">
        <v>8813</v>
      </c>
      <c r="B18154" s="10" t="s">
        <v>42</v>
      </c>
      <c r="C18154" s="10" t="s">
        <v>8801</v>
      </c>
      <c r="D18154" s="10" t="s">
        <v>8814</v>
      </c>
      <c r="E18154" s="11"/>
      <c r="F18154" s="12">
        <f>ROUND(10.74*(1+G2/100),2)</f>
        <v>10.74</v>
      </c>
      <c r="G18154" s="11"/>
    </row>
    <row r="18155" ht="104.25" customHeight="1">
      <c r="A18155" s="11"/>
      <c r="B18155" s="11"/>
      <c r="C18155" s="11"/>
      <c r="D18155" s="10" t="s">
        <v>8815</v>
      </c>
    </row>
    <row r="18156" ht="30.0" customHeight="1">
      <c r="A18156" s="13" t="s">
        <v>8816</v>
      </c>
      <c r="B18156" s="10" t="s">
        <v>42</v>
      </c>
      <c r="C18156" s="10" t="s">
        <v>8801</v>
      </c>
      <c r="D18156" s="10" t="s">
        <v>8817</v>
      </c>
      <c r="E18156" s="11"/>
      <c r="F18156" s="12">
        <f>ROUND(18.84*(1+G2/100),2)</f>
        <v>18.84</v>
      </c>
      <c r="G18156" s="11"/>
    </row>
    <row r="18157" ht="104.25" customHeight="1">
      <c r="A18157" s="11"/>
      <c r="B18157" s="11"/>
      <c r="C18157" s="11"/>
      <c r="D18157" s="10" t="s">
        <v>8818</v>
      </c>
    </row>
    <row r="18158" ht="30.0" customHeight="1">
      <c r="A18158" s="13" t="s">
        <v>8819</v>
      </c>
      <c r="B18158" s="10" t="s">
        <v>42</v>
      </c>
      <c r="C18158" s="10" t="s">
        <v>8801</v>
      </c>
      <c r="D18158" s="10" t="s">
        <v>8820</v>
      </c>
      <c r="E18158" s="11"/>
      <c r="F18158" s="12">
        <f>ROUND(38.8*(1+G2/100),2)</f>
        <v>38.8</v>
      </c>
      <c r="G18158" s="11"/>
    </row>
    <row r="18159" ht="104.25" customHeight="1">
      <c r="A18159" s="11"/>
      <c r="B18159" s="11"/>
      <c r="C18159" s="11"/>
      <c r="D18159" s="10" t="s">
        <v>8821</v>
      </c>
    </row>
    <row r="18160" ht="30.0" customHeight="1">
      <c r="A18160" s="13" t="s">
        <v>2307</v>
      </c>
      <c r="B18160" s="10" t="s">
        <v>42</v>
      </c>
      <c r="C18160" s="10" t="s">
        <v>231</v>
      </c>
      <c r="D18160" s="10" t="s">
        <v>2308</v>
      </c>
      <c r="E18160" s="11"/>
      <c r="F18160" s="12">
        <f>ROUND(110.58*(1+G2/100),2)</f>
        <v>110.58</v>
      </c>
      <c r="G18160" s="11"/>
    </row>
    <row r="18161" ht="95.25" customHeight="1">
      <c r="A18161" s="11"/>
      <c r="B18161" s="11"/>
      <c r="C18161" s="11"/>
      <c r="D18161" s="10" t="s">
        <v>8822</v>
      </c>
    </row>
    <row r="18162" ht="30.0" customHeight="1">
      <c r="A18162" s="13" t="s">
        <v>8823</v>
      </c>
      <c r="B18162" s="10" t="s">
        <v>42</v>
      </c>
      <c r="C18162" s="10" t="s">
        <v>8801</v>
      </c>
      <c r="D18162" s="10" t="s">
        <v>8824</v>
      </c>
      <c r="E18162" s="11"/>
      <c r="F18162" s="12">
        <f>ROUND(87.5*(1+G2/100),2)</f>
        <v>87.5</v>
      </c>
      <c r="G18162" s="11"/>
    </row>
    <row r="18163" ht="57.75" customHeight="1">
      <c r="A18163" s="11"/>
      <c r="B18163" s="11"/>
      <c r="C18163" s="11"/>
      <c r="D18163" s="10" t="s">
        <v>8825</v>
      </c>
    </row>
    <row r="18164" ht="30.0" customHeight="1">
      <c r="A18164" s="13" t="s">
        <v>8826</v>
      </c>
      <c r="B18164" s="10" t="s">
        <v>42</v>
      </c>
      <c r="C18164" s="10" t="s">
        <v>8801</v>
      </c>
      <c r="D18164" s="10" t="s">
        <v>8827</v>
      </c>
      <c r="E18164" s="11"/>
      <c r="F18164" s="12">
        <f>ROUND(13.96*(1+G2/100),2)</f>
        <v>13.96</v>
      </c>
      <c r="G18164" s="11"/>
    </row>
    <row r="18165" ht="57.75" customHeight="1">
      <c r="A18165" s="11"/>
      <c r="B18165" s="11"/>
      <c r="C18165" s="11"/>
      <c r="D18165" s="10" t="s">
        <v>8828</v>
      </c>
    </row>
    <row r="18166" ht="30.0" customHeight="1">
      <c r="A18166" s="13" t="s">
        <v>8829</v>
      </c>
      <c r="B18166" s="10" t="s">
        <v>42</v>
      </c>
      <c r="C18166" s="10" t="s">
        <v>8801</v>
      </c>
      <c r="D18166" s="10" t="s">
        <v>8830</v>
      </c>
      <c r="E18166" s="11"/>
      <c r="F18166" s="12">
        <f>ROUND(31.45*(1+G2/100),2)</f>
        <v>31.45</v>
      </c>
      <c r="G18166" s="11"/>
    </row>
    <row r="18167" ht="57.75" customHeight="1">
      <c r="A18167" s="11"/>
      <c r="B18167" s="11"/>
      <c r="C18167" s="11"/>
      <c r="D18167" s="10" t="s">
        <v>8831</v>
      </c>
    </row>
    <row r="18168" ht="30.0" customHeight="1">
      <c r="A18168" s="13" t="s">
        <v>8832</v>
      </c>
      <c r="B18168" s="10" t="s">
        <v>42</v>
      </c>
      <c r="C18168" s="10" t="s">
        <v>8801</v>
      </c>
      <c r="D18168" s="10" t="s">
        <v>8833</v>
      </c>
      <c r="E18168" s="11"/>
      <c r="F18168" s="12">
        <f>ROUND(55.91*(1+G2/100),2)</f>
        <v>55.91</v>
      </c>
      <c r="G18168" s="11"/>
    </row>
    <row r="18169" ht="57.75" customHeight="1">
      <c r="A18169" s="11"/>
      <c r="B18169" s="11"/>
      <c r="C18169" s="11"/>
      <c r="D18169" s="10" t="s">
        <v>8834</v>
      </c>
    </row>
    <row r="18170" ht="15.0" customHeight="1">
      <c r="A18170" s="16"/>
      <c r="B18170" s="16"/>
      <c r="C18170" s="16"/>
      <c r="D18170" s="58" t="s">
        <v>6242</v>
      </c>
      <c r="E18170" s="59"/>
      <c r="F18170" s="59"/>
      <c r="G18170" s="59"/>
    </row>
    <row r="18171" ht="15.0" customHeight="1">
      <c r="A18171" s="38" t="s">
        <v>8835</v>
      </c>
      <c r="B18171" s="38" t="s">
        <v>10</v>
      </c>
      <c r="C18171" s="39"/>
      <c r="D18171" s="38" t="s">
        <v>8836</v>
      </c>
      <c r="E18171" s="39"/>
      <c r="F18171" s="39"/>
      <c r="G18171" s="39"/>
    </row>
    <row r="18172" ht="24.75" customHeight="1">
      <c r="A18172" s="40" t="s">
        <v>8837</v>
      </c>
      <c r="B18172" s="40" t="s">
        <v>10</v>
      </c>
      <c r="C18172" s="41"/>
      <c r="D18172" s="40" t="s">
        <v>8837</v>
      </c>
      <c r="E18172" s="41"/>
      <c r="F18172" s="64">
        <v>0.0</v>
      </c>
      <c r="G18172" s="41"/>
    </row>
    <row r="18173" ht="15.0" customHeight="1">
      <c r="A18173" s="16"/>
      <c r="B18173" s="16"/>
      <c r="C18173" s="16"/>
      <c r="D18173" s="61" t="s">
        <v>8837</v>
      </c>
      <c r="E18173" s="62"/>
      <c r="F18173" s="62"/>
      <c r="G18173" s="62"/>
    </row>
    <row r="18174" ht="15.0" customHeight="1">
      <c r="A18174" s="34" t="s">
        <v>8838</v>
      </c>
      <c r="B18174" s="34" t="s">
        <v>10</v>
      </c>
      <c r="C18174" s="35"/>
      <c r="D18174" s="34" t="s">
        <v>8838</v>
      </c>
      <c r="E18174" s="35"/>
      <c r="F18174" s="35"/>
      <c r="G18174" s="35"/>
    </row>
    <row r="18175" ht="24.75" customHeight="1">
      <c r="A18175" s="13" t="s">
        <v>8839</v>
      </c>
      <c r="B18175" s="10" t="s">
        <v>26</v>
      </c>
      <c r="C18175" s="10" t="s">
        <v>23</v>
      </c>
      <c r="D18175" s="10" t="s">
        <v>8840</v>
      </c>
      <c r="E18175" s="11"/>
      <c r="F18175" s="12">
        <f>ROUND(19*(1+G2/100),2)</f>
        <v>19</v>
      </c>
      <c r="G18175" s="11"/>
    </row>
    <row r="18176" ht="12.0" customHeight="1">
      <c r="A18176" s="11"/>
      <c r="B18176" s="11"/>
      <c r="C18176" s="11"/>
      <c r="D18176" s="10" t="s">
        <v>8840</v>
      </c>
    </row>
    <row r="18177" ht="24.75" customHeight="1">
      <c r="A18177" s="13" t="s">
        <v>8841</v>
      </c>
      <c r="B18177" s="10" t="s">
        <v>26</v>
      </c>
      <c r="C18177" s="10" t="s">
        <v>23</v>
      </c>
      <c r="D18177" s="10" t="s">
        <v>8842</v>
      </c>
      <c r="E18177" s="11"/>
      <c r="F18177" s="12">
        <f>ROUND(21*(1+G2/100),2)</f>
        <v>21</v>
      </c>
      <c r="G18177" s="11"/>
    </row>
    <row r="18178" ht="12.0" customHeight="1">
      <c r="A18178" s="11"/>
      <c r="B18178" s="11"/>
      <c r="C18178" s="11"/>
      <c r="D18178" s="10" t="s">
        <v>8842</v>
      </c>
    </row>
    <row r="18179" ht="24.75" customHeight="1">
      <c r="A18179" s="13" t="s">
        <v>3070</v>
      </c>
      <c r="B18179" s="10" t="s">
        <v>26</v>
      </c>
      <c r="C18179" s="10" t="s">
        <v>23</v>
      </c>
      <c r="D18179" s="10" t="s">
        <v>3071</v>
      </c>
      <c r="E18179" s="11"/>
      <c r="F18179" s="12">
        <f>ROUND(19*(1+G2/100),2)</f>
        <v>19</v>
      </c>
      <c r="G18179" s="11"/>
    </row>
    <row r="18180" ht="12.0" customHeight="1">
      <c r="A18180" s="11"/>
      <c r="B18180" s="11"/>
      <c r="C18180" s="11"/>
      <c r="D18180" s="10" t="s">
        <v>3071</v>
      </c>
    </row>
    <row r="18181" ht="24.75" customHeight="1">
      <c r="A18181" s="13" t="s">
        <v>3068</v>
      </c>
      <c r="B18181" s="10" t="s">
        <v>26</v>
      </c>
      <c r="C18181" s="10" t="s">
        <v>23</v>
      </c>
      <c r="D18181" s="10" t="s">
        <v>3069</v>
      </c>
      <c r="E18181" s="11"/>
      <c r="F18181" s="12">
        <f>ROUND(21*(1+G2/100),2)</f>
        <v>21</v>
      </c>
      <c r="G18181" s="11"/>
    </row>
    <row r="18182" ht="12.0" customHeight="1">
      <c r="A18182" s="11"/>
      <c r="B18182" s="11"/>
      <c r="C18182" s="11"/>
      <c r="D18182" s="10" t="s">
        <v>3069</v>
      </c>
    </row>
    <row r="18183" ht="24.75" customHeight="1">
      <c r="A18183" s="13" t="s">
        <v>6233</v>
      </c>
      <c r="B18183" s="10" t="s">
        <v>26</v>
      </c>
      <c r="C18183" s="10" t="s">
        <v>23</v>
      </c>
      <c r="D18183" s="10" t="s">
        <v>6234</v>
      </c>
      <c r="E18183" s="11"/>
      <c r="F18183" s="12">
        <f>ROUND(19*(1+G2/100),2)</f>
        <v>19</v>
      </c>
      <c r="G18183" s="11"/>
    </row>
    <row r="18184" ht="12.0" customHeight="1">
      <c r="A18184" s="11"/>
      <c r="B18184" s="11"/>
      <c r="C18184" s="11"/>
      <c r="D18184" s="10" t="s">
        <v>6234</v>
      </c>
    </row>
    <row r="18185" ht="24.75" customHeight="1">
      <c r="A18185" s="13" t="s">
        <v>6231</v>
      </c>
      <c r="B18185" s="10" t="s">
        <v>26</v>
      </c>
      <c r="C18185" s="10" t="s">
        <v>23</v>
      </c>
      <c r="D18185" s="10" t="s">
        <v>6232</v>
      </c>
      <c r="E18185" s="11"/>
      <c r="F18185" s="12">
        <f>ROUND(21*(1+G2/100),2)</f>
        <v>21</v>
      </c>
      <c r="G18185" s="11"/>
    </row>
    <row r="18186" ht="12.0" customHeight="1">
      <c r="A18186" s="11"/>
      <c r="B18186" s="11"/>
      <c r="C18186" s="11"/>
      <c r="D18186" s="10" t="s">
        <v>6232</v>
      </c>
    </row>
    <row r="18187" ht="24.75" customHeight="1">
      <c r="A18187" s="13" t="s">
        <v>6206</v>
      </c>
      <c r="B18187" s="10" t="s">
        <v>26</v>
      </c>
      <c r="C18187" s="10" t="s">
        <v>23</v>
      </c>
      <c r="D18187" s="10" t="s">
        <v>6207</v>
      </c>
      <c r="E18187" s="11"/>
      <c r="F18187" s="12">
        <f>ROUND(19*(1+G2/100),2)</f>
        <v>19</v>
      </c>
      <c r="G18187" s="11"/>
    </row>
    <row r="18188" ht="12.0" customHeight="1">
      <c r="A18188" s="11"/>
      <c r="B18188" s="11"/>
      <c r="C18188" s="11"/>
      <c r="D18188" s="10" t="s">
        <v>6207</v>
      </c>
    </row>
    <row r="18189" ht="24.75" customHeight="1">
      <c r="A18189" s="13" t="s">
        <v>6204</v>
      </c>
      <c r="B18189" s="10" t="s">
        <v>26</v>
      </c>
      <c r="C18189" s="10" t="s">
        <v>23</v>
      </c>
      <c r="D18189" s="10" t="s">
        <v>6205</v>
      </c>
      <c r="E18189" s="11"/>
      <c r="F18189" s="12">
        <f>ROUND(21*(1+G2/100),2)</f>
        <v>21</v>
      </c>
      <c r="G18189" s="11"/>
    </row>
    <row r="18190" ht="12.0" customHeight="1">
      <c r="A18190" s="11"/>
      <c r="B18190" s="11"/>
      <c r="C18190" s="11"/>
      <c r="D18190" s="10" t="s">
        <v>6205</v>
      </c>
    </row>
    <row r="18191" ht="24.75" customHeight="1">
      <c r="A18191" s="13" t="s">
        <v>3211</v>
      </c>
      <c r="B18191" s="10" t="s">
        <v>26</v>
      </c>
      <c r="C18191" s="10" t="s">
        <v>23</v>
      </c>
      <c r="D18191" s="10" t="s">
        <v>3212</v>
      </c>
      <c r="E18191" s="11"/>
      <c r="F18191" s="12">
        <f>ROUND(19*(1+G2/100),2)</f>
        <v>19</v>
      </c>
      <c r="G18191" s="11"/>
    </row>
    <row r="18192" ht="12.0" customHeight="1">
      <c r="A18192" s="11"/>
      <c r="B18192" s="11"/>
      <c r="C18192" s="11"/>
      <c r="D18192" s="10" t="s">
        <v>3212</v>
      </c>
    </row>
    <row r="18193" ht="24.75" customHeight="1">
      <c r="A18193" s="13" t="s">
        <v>3209</v>
      </c>
      <c r="B18193" s="10" t="s">
        <v>26</v>
      </c>
      <c r="C18193" s="10" t="s">
        <v>23</v>
      </c>
      <c r="D18193" s="10" t="s">
        <v>3210</v>
      </c>
      <c r="E18193" s="11"/>
      <c r="F18193" s="12">
        <f>ROUND(24*(1+G2/100),2)</f>
        <v>24</v>
      </c>
      <c r="G18193" s="11"/>
    </row>
    <row r="18194" ht="12.0" customHeight="1">
      <c r="A18194" s="11"/>
      <c r="B18194" s="11"/>
      <c r="C18194" s="11"/>
      <c r="D18194" s="10" t="s">
        <v>8843</v>
      </c>
    </row>
    <row r="18195" ht="24.75" customHeight="1">
      <c r="A18195" s="13" t="s">
        <v>8844</v>
      </c>
      <c r="B18195" s="10" t="s">
        <v>26</v>
      </c>
      <c r="C18195" s="10" t="s">
        <v>23</v>
      </c>
      <c r="D18195" s="10" t="s">
        <v>8845</v>
      </c>
      <c r="E18195" s="11"/>
      <c r="F18195" s="12">
        <f>ROUND(19*(1+G2/100),2)</f>
        <v>19</v>
      </c>
      <c r="G18195" s="11"/>
    </row>
    <row r="18196" ht="12.0" customHeight="1">
      <c r="A18196" s="11"/>
      <c r="B18196" s="11"/>
      <c r="C18196" s="11"/>
      <c r="D18196" s="10" t="s">
        <v>8845</v>
      </c>
    </row>
    <row r="18197" ht="24.0" customHeight="1">
      <c r="A18197" s="13" t="s">
        <v>8846</v>
      </c>
      <c r="B18197" s="10" t="s">
        <v>26</v>
      </c>
      <c r="C18197" s="10" t="s">
        <v>23</v>
      </c>
      <c r="D18197" s="10" t="s">
        <v>8847</v>
      </c>
      <c r="E18197" s="11"/>
      <c r="F18197" s="12">
        <f>ROUND(21*(1+G2/100),2)</f>
        <v>21</v>
      </c>
      <c r="G18197" s="11"/>
    </row>
    <row r="18198" ht="12.0" customHeight="1">
      <c r="A18198" s="11"/>
      <c r="B18198" s="11"/>
      <c r="C18198" s="11"/>
      <c r="D18198" s="10" t="s">
        <v>8847</v>
      </c>
    </row>
    <row r="18199" ht="24.0" customHeight="1">
      <c r="A18199" s="13" t="s">
        <v>1418</v>
      </c>
      <c r="B18199" s="10" t="s">
        <v>26</v>
      </c>
      <c r="C18199" s="10" t="s">
        <v>23</v>
      </c>
      <c r="D18199" s="10" t="s">
        <v>1419</v>
      </c>
      <c r="E18199" s="11"/>
      <c r="F18199" s="12">
        <f>ROUND(21*(1+G2/100),2)</f>
        <v>21</v>
      </c>
      <c r="G18199" s="11"/>
    </row>
    <row r="18200" ht="12.0" customHeight="1">
      <c r="A18200" s="11"/>
      <c r="B18200" s="11"/>
      <c r="C18200" s="11"/>
      <c r="D18200" s="10" t="s">
        <v>1419</v>
      </c>
    </row>
    <row r="18201" ht="24.75" customHeight="1">
      <c r="A18201" s="13" t="s">
        <v>28</v>
      </c>
      <c r="B18201" s="10" t="s">
        <v>26</v>
      </c>
      <c r="C18201" s="10" t="s">
        <v>23</v>
      </c>
      <c r="D18201" s="10" t="s">
        <v>29</v>
      </c>
      <c r="E18201" s="11"/>
      <c r="F18201" s="12">
        <f>ROUND(19*(1+G2/100),2)</f>
        <v>19</v>
      </c>
      <c r="G18201" s="11"/>
    </row>
    <row r="18202" ht="12.0" customHeight="1">
      <c r="A18202" s="11"/>
      <c r="B18202" s="11"/>
      <c r="C18202" s="11"/>
      <c r="D18202" s="10" t="s">
        <v>29</v>
      </c>
    </row>
    <row r="18203" ht="24.0" customHeight="1">
      <c r="A18203" s="13" t="s">
        <v>8848</v>
      </c>
      <c r="B18203" s="10" t="s">
        <v>26</v>
      </c>
      <c r="C18203" s="10" t="s">
        <v>23</v>
      </c>
      <c r="D18203" s="10" t="s">
        <v>8849</v>
      </c>
      <c r="E18203" s="11"/>
      <c r="F18203" s="12">
        <f>ROUND(21*(1+G2/100),2)</f>
        <v>21</v>
      </c>
      <c r="G18203" s="11"/>
    </row>
    <row r="18204" ht="12.0" customHeight="1">
      <c r="A18204" s="11"/>
      <c r="B18204" s="11"/>
      <c r="C18204" s="11"/>
      <c r="D18204" s="10" t="s">
        <v>8849</v>
      </c>
    </row>
    <row r="18205" ht="24.75" customHeight="1">
      <c r="A18205" s="13" t="s">
        <v>8850</v>
      </c>
      <c r="B18205" s="10" t="s">
        <v>26</v>
      </c>
      <c r="C18205" s="10" t="s">
        <v>23</v>
      </c>
      <c r="D18205" s="10" t="s">
        <v>8851</v>
      </c>
      <c r="E18205" s="11"/>
      <c r="F18205" s="12">
        <f>ROUND(25*(1+G2/100),2)</f>
        <v>25</v>
      </c>
      <c r="G18205" s="11"/>
    </row>
    <row r="18206" ht="12.0" customHeight="1">
      <c r="A18206" s="11"/>
      <c r="B18206" s="11"/>
      <c r="C18206" s="11"/>
      <c r="D18206" s="10" t="s">
        <v>8851</v>
      </c>
    </row>
    <row r="18207" ht="24.0" customHeight="1">
      <c r="A18207" s="13" t="s">
        <v>25</v>
      </c>
      <c r="B18207" s="10" t="s">
        <v>26</v>
      </c>
      <c r="C18207" s="10" t="s">
        <v>23</v>
      </c>
      <c r="D18207" s="10" t="s">
        <v>27</v>
      </c>
      <c r="E18207" s="11"/>
      <c r="F18207" s="12">
        <f>ROUND(21*(1+G2/100),2)</f>
        <v>21</v>
      </c>
      <c r="G18207" s="11"/>
    </row>
    <row r="18208" ht="12.0" customHeight="1">
      <c r="A18208" s="11"/>
      <c r="B18208" s="11"/>
      <c r="C18208" s="11"/>
      <c r="D18208" s="10" t="s">
        <v>27</v>
      </c>
    </row>
    <row r="18209" ht="24.0" customHeight="1">
      <c r="A18209" s="13" t="s">
        <v>8852</v>
      </c>
      <c r="B18209" s="10" t="s">
        <v>26</v>
      </c>
      <c r="C18209" s="10" t="s">
        <v>23</v>
      </c>
      <c r="D18209" s="10" t="s">
        <v>8853</v>
      </c>
      <c r="E18209" s="11"/>
      <c r="F18209" s="12">
        <f>ROUND(19*(1+G2/100),2)</f>
        <v>19</v>
      </c>
      <c r="G18209" s="11"/>
    </row>
    <row r="18210" ht="12.0" customHeight="1">
      <c r="A18210" s="11"/>
      <c r="B18210" s="11"/>
      <c r="C18210" s="11"/>
      <c r="D18210" s="10" t="s">
        <v>8853</v>
      </c>
    </row>
    <row r="18211" ht="24.0" customHeight="1">
      <c r="A18211" s="13" t="s">
        <v>8854</v>
      </c>
      <c r="B18211" s="10" t="s">
        <v>26</v>
      </c>
      <c r="C18211" s="10" t="s">
        <v>23</v>
      </c>
      <c r="D18211" s="10" t="s">
        <v>8855</v>
      </c>
      <c r="E18211" s="11"/>
      <c r="F18211" s="12">
        <f>ROUND(19*(1+G2/100),2)</f>
        <v>19</v>
      </c>
      <c r="G18211" s="11"/>
    </row>
    <row r="18212" ht="12.0" customHeight="1">
      <c r="A18212" s="11"/>
      <c r="B18212" s="11"/>
      <c r="C18212" s="11"/>
      <c r="D18212" s="10" t="s">
        <v>8855</v>
      </c>
    </row>
    <row r="18213" ht="24.75" customHeight="1">
      <c r="A18213" s="13" t="s">
        <v>571</v>
      </c>
      <c r="B18213" s="10" t="s">
        <v>26</v>
      </c>
      <c r="C18213" s="10" t="s">
        <v>23</v>
      </c>
      <c r="D18213" s="10" t="s">
        <v>572</v>
      </c>
      <c r="E18213" s="11"/>
      <c r="F18213" s="12">
        <f>ROUND(17*(1+G2/100),2)</f>
        <v>17</v>
      </c>
      <c r="G18213" s="11"/>
    </row>
    <row r="18214" ht="12.0" customHeight="1">
      <c r="A18214" s="11"/>
      <c r="B18214" s="11"/>
      <c r="C18214" s="11"/>
      <c r="D18214" s="10" t="s">
        <v>572</v>
      </c>
    </row>
    <row r="18215" ht="24.75" customHeight="1">
      <c r="A18215" s="13" t="s">
        <v>8856</v>
      </c>
      <c r="B18215" s="10" t="s">
        <v>26</v>
      </c>
      <c r="C18215" s="10" t="s">
        <v>23</v>
      </c>
      <c r="D18215" s="10" t="s">
        <v>8857</v>
      </c>
      <c r="E18215" s="11"/>
      <c r="F18215" s="12">
        <f>ROUND(19*(1+G2/100),2)</f>
        <v>19</v>
      </c>
      <c r="G18215" s="11"/>
    </row>
    <row r="18216" ht="12.0" customHeight="1">
      <c r="A18216" s="11"/>
      <c r="B18216" s="11"/>
      <c r="C18216" s="11"/>
      <c r="D18216" s="10" t="s">
        <v>8857</v>
      </c>
    </row>
    <row r="18217" ht="21.0" customHeight="1">
      <c r="A18217" s="13" t="s">
        <v>451</v>
      </c>
      <c r="B18217" s="10" t="s">
        <v>18</v>
      </c>
      <c r="C18217" s="10" t="s">
        <v>23</v>
      </c>
      <c r="D18217" s="10" t="s">
        <v>452</v>
      </c>
      <c r="E18217" s="11"/>
      <c r="F18217" s="12">
        <f>F18220</f>
        <v>40</v>
      </c>
      <c r="G18217" s="11"/>
    </row>
    <row r="18218" ht="12.0" customHeight="1">
      <c r="A18218" s="11"/>
      <c r="B18218" s="11"/>
      <c r="C18218" s="11"/>
      <c r="D18218" s="10" t="s">
        <v>452</v>
      </c>
    </row>
    <row r="18219" ht="24.0" customHeight="1">
      <c r="A18219" s="10" t="s">
        <v>407</v>
      </c>
      <c r="B18219" s="10" t="s">
        <v>26</v>
      </c>
      <c r="C18219" s="10" t="s">
        <v>23</v>
      </c>
      <c r="D18219" s="10" t="s">
        <v>408</v>
      </c>
      <c r="E18219" s="14">
        <v>1.0</v>
      </c>
      <c r="F18219" s="15">
        <f>ROUND(40,3)</f>
        <v>40</v>
      </c>
      <c r="G18219" s="12">
        <f>ROUND(E18219*F18219,2)</f>
        <v>40</v>
      </c>
    </row>
    <row r="18220" ht="15.0" customHeight="1">
      <c r="A18220" s="16"/>
      <c r="B18220" s="16"/>
      <c r="C18220" s="16"/>
      <c r="D18220" s="17" t="s">
        <v>451</v>
      </c>
      <c r="E18220" s="16"/>
      <c r="F18220" s="18">
        <f>ROUND((G18219)*(1+G2/100),2)</f>
        <v>40</v>
      </c>
      <c r="G18220" s="16"/>
    </row>
    <row r="18221" ht="30.0" customHeight="1">
      <c r="A18221" s="19" t="s">
        <v>3066</v>
      </c>
      <c r="B18221" s="20" t="s">
        <v>18</v>
      </c>
      <c r="C18221" s="20" t="s">
        <v>23</v>
      </c>
      <c r="D18221" s="20" t="s">
        <v>3067</v>
      </c>
      <c r="E18221" s="21"/>
      <c r="F18221" s="22">
        <f>F18225</f>
        <v>40</v>
      </c>
      <c r="G18221" s="21"/>
    </row>
    <row r="18222" ht="12.0" customHeight="1">
      <c r="A18222" s="11"/>
      <c r="B18222" s="11"/>
      <c r="C18222" s="11"/>
      <c r="D18222" s="10" t="s">
        <v>3067</v>
      </c>
    </row>
    <row r="18223" ht="24.0" customHeight="1">
      <c r="A18223" s="10" t="s">
        <v>3068</v>
      </c>
      <c r="B18223" s="10" t="s">
        <v>26</v>
      </c>
      <c r="C18223" s="10" t="s">
        <v>23</v>
      </c>
      <c r="D18223" s="10" t="s">
        <v>3069</v>
      </c>
      <c r="E18223" s="14">
        <v>1.0</v>
      </c>
      <c r="F18223" s="15">
        <f>ROUND(21,3)</f>
        <v>21</v>
      </c>
      <c r="G18223" s="12">
        <f t="shared" ref="G18223:G18224" si="2333">ROUND(E18223*F18223,2)</f>
        <v>21</v>
      </c>
    </row>
    <row r="18224" ht="24.0" customHeight="1">
      <c r="A18224" s="10" t="s">
        <v>3070</v>
      </c>
      <c r="B18224" s="10" t="s">
        <v>26</v>
      </c>
      <c r="C18224" s="10" t="s">
        <v>23</v>
      </c>
      <c r="D18224" s="10" t="s">
        <v>3071</v>
      </c>
      <c r="E18224" s="14">
        <v>1.0</v>
      </c>
      <c r="F18224" s="15">
        <f>ROUND(19,3)</f>
        <v>19</v>
      </c>
      <c r="G18224" s="12">
        <f t="shared" si="2333"/>
        <v>19</v>
      </c>
    </row>
    <row r="18225" ht="15.0" customHeight="1">
      <c r="A18225" s="16"/>
      <c r="B18225" s="16"/>
      <c r="C18225" s="16"/>
      <c r="D18225" s="17" t="s">
        <v>3066</v>
      </c>
      <c r="E18225" s="16"/>
      <c r="F18225" s="18">
        <f>ROUND((G18223+G18224)*(1+G2/100),2)</f>
        <v>40</v>
      </c>
      <c r="G18225" s="16"/>
    </row>
    <row r="18226" ht="30.0" customHeight="1">
      <c r="A18226" s="19" t="s">
        <v>6184</v>
      </c>
      <c r="B18226" s="20" t="s">
        <v>18</v>
      </c>
      <c r="C18226" s="20" t="s">
        <v>23</v>
      </c>
      <c r="D18226" s="20" t="s">
        <v>6185</v>
      </c>
      <c r="E18226" s="21"/>
      <c r="F18226" s="22">
        <f>F18230</f>
        <v>40</v>
      </c>
      <c r="G18226" s="21"/>
    </row>
    <row r="18227" ht="12.0" customHeight="1">
      <c r="A18227" s="11"/>
      <c r="B18227" s="11"/>
      <c r="C18227" s="11"/>
      <c r="D18227" s="10" t="s">
        <v>6185</v>
      </c>
    </row>
    <row r="18228" ht="24.0" customHeight="1">
      <c r="A18228" s="10" t="s">
        <v>6231</v>
      </c>
      <c r="B18228" s="10" t="s">
        <v>26</v>
      </c>
      <c r="C18228" s="10" t="s">
        <v>23</v>
      </c>
      <c r="D18228" s="10" t="s">
        <v>6232</v>
      </c>
      <c r="E18228" s="14">
        <v>1.0</v>
      </c>
      <c r="F18228" s="15">
        <f>ROUND(21,3)</f>
        <v>21</v>
      </c>
      <c r="G18228" s="12">
        <f t="shared" ref="G18228:G18229" si="2334">ROUND(E18228*F18228,2)</f>
        <v>21</v>
      </c>
    </row>
    <row r="18229" ht="24.0" customHeight="1">
      <c r="A18229" s="10" t="s">
        <v>6233</v>
      </c>
      <c r="B18229" s="10" t="s">
        <v>26</v>
      </c>
      <c r="C18229" s="10" t="s">
        <v>23</v>
      </c>
      <c r="D18229" s="10" t="s">
        <v>6234</v>
      </c>
      <c r="E18229" s="14">
        <v>1.0</v>
      </c>
      <c r="F18229" s="15">
        <f>ROUND(19,3)</f>
        <v>19</v>
      </c>
      <c r="G18229" s="12">
        <f t="shared" si="2334"/>
        <v>19</v>
      </c>
    </row>
    <row r="18230" ht="15.0" customHeight="1">
      <c r="A18230" s="16"/>
      <c r="B18230" s="16"/>
      <c r="C18230" s="16"/>
      <c r="D18230" s="17" t="s">
        <v>6184</v>
      </c>
      <c r="E18230" s="16"/>
      <c r="F18230" s="18">
        <f>ROUND((G18228+G18229)*(1+G2/100),2)</f>
        <v>40</v>
      </c>
      <c r="G18230" s="16"/>
    </row>
    <row r="18231" ht="30.0" customHeight="1">
      <c r="A18231" s="19" t="s">
        <v>6202</v>
      </c>
      <c r="B18231" s="20" t="s">
        <v>18</v>
      </c>
      <c r="C18231" s="20" t="s">
        <v>23</v>
      </c>
      <c r="D18231" s="20" t="s">
        <v>6203</v>
      </c>
      <c r="E18231" s="21"/>
      <c r="F18231" s="22">
        <f>F18235</f>
        <v>40</v>
      </c>
      <c r="G18231" s="21"/>
    </row>
    <row r="18232" ht="12.0" customHeight="1">
      <c r="A18232" s="11"/>
      <c r="B18232" s="11"/>
      <c r="C18232" s="11"/>
      <c r="D18232" s="10" t="s">
        <v>6203</v>
      </c>
    </row>
    <row r="18233" ht="24.0" customHeight="1">
      <c r="A18233" s="10" t="s">
        <v>6204</v>
      </c>
      <c r="B18233" s="10" t="s">
        <v>26</v>
      </c>
      <c r="C18233" s="10" t="s">
        <v>23</v>
      </c>
      <c r="D18233" s="10" t="s">
        <v>6205</v>
      </c>
      <c r="E18233" s="14">
        <v>1.0</v>
      </c>
      <c r="F18233" s="15">
        <f>ROUND(21,3)</f>
        <v>21</v>
      </c>
      <c r="G18233" s="12">
        <f t="shared" ref="G18233:G18234" si="2335">ROUND(E18233*F18233,2)</f>
        <v>21</v>
      </c>
    </row>
    <row r="18234" ht="24.0" customHeight="1">
      <c r="A18234" s="10" t="s">
        <v>6206</v>
      </c>
      <c r="B18234" s="10" t="s">
        <v>26</v>
      </c>
      <c r="C18234" s="10" t="s">
        <v>23</v>
      </c>
      <c r="D18234" s="10" t="s">
        <v>6207</v>
      </c>
      <c r="E18234" s="14">
        <v>1.0</v>
      </c>
      <c r="F18234" s="15">
        <f>ROUND(19,3)</f>
        <v>19</v>
      </c>
      <c r="G18234" s="12">
        <f t="shared" si="2335"/>
        <v>19</v>
      </c>
    </row>
    <row r="18235" ht="15.0" customHeight="1">
      <c r="A18235" s="16"/>
      <c r="B18235" s="16"/>
      <c r="C18235" s="16"/>
      <c r="D18235" s="17" t="s">
        <v>6202</v>
      </c>
      <c r="E18235" s="16"/>
      <c r="F18235" s="18">
        <f>ROUND((G18233+G18234)*(1+G2/100),2)</f>
        <v>40</v>
      </c>
      <c r="G18235" s="16"/>
    </row>
    <row r="18236" ht="30.0" customHeight="1">
      <c r="A18236" s="19" t="s">
        <v>3207</v>
      </c>
      <c r="B18236" s="20" t="s">
        <v>18</v>
      </c>
      <c r="C18236" s="20" t="s">
        <v>23</v>
      </c>
      <c r="D18236" s="20" t="s">
        <v>3208</v>
      </c>
      <c r="E18236" s="21"/>
      <c r="F18236" s="22">
        <f>F18240</f>
        <v>43</v>
      </c>
      <c r="G18236" s="21"/>
    </row>
    <row r="18237" ht="12.0" customHeight="1">
      <c r="A18237" s="11"/>
      <c r="B18237" s="11"/>
      <c r="C18237" s="11"/>
      <c r="D18237" s="10" t="s">
        <v>3208</v>
      </c>
    </row>
    <row r="18238" ht="24.0" customHeight="1">
      <c r="A18238" s="10" t="s">
        <v>3209</v>
      </c>
      <c r="B18238" s="10" t="s">
        <v>26</v>
      </c>
      <c r="C18238" s="10" t="s">
        <v>23</v>
      </c>
      <c r="D18238" s="10" t="s">
        <v>3210</v>
      </c>
      <c r="E18238" s="14">
        <v>1.0</v>
      </c>
      <c r="F18238" s="15">
        <f>ROUND(24,3)</f>
        <v>24</v>
      </c>
      <c r="G18238" s="12">
        <f t="shared" ref="G18238:G18239" si="2336">ROUND(E18238*F18238,2)</f>
        <v>24</v>
      </c>
    </row>
    <row r="18239" ht="24.0" customHeight="1">
      <c r="A18239" s="10" t="s">
        <v>3211</v>
      </c>
      <c r="B18239" s="10" t="s">
        <v>26</v>
      </c>
      <c r="C18239" s="10" t="s">
        <v>23</v>
      </c>
      <c r="D18239" s="10" t="s">
        <v>3212</v>
      </c>
      <c r="E18239" s="14">
        <v>1.0</v>
      </c>
      <c r="F18239" s="15">
        <f>ROUND(19,3)</f>
        <v>19</v>
      </c>
      <c r="G18239" s="12">
        <f t="shared" si="2336"/>
        <v>19</v>
      </c>
    </row>
    <row r="18240" ht="15.0" customHeight="1">
      <c r="A18240" s="16"/>
      <c r="B18240" s="16"/>
      <c r="C18240" s="16"/>
      <c r="D18240" s="17" t="s">
        <v>3207</v>
      </c>
      <c r="E18240" s="16"/>
      <c r="F18240" s="18">
        <f>ROUND((G18238+G18239)*(1+G2/100),2)</f>
        <v>43</v>
      </c>
      <c r="G18240" s="16"/>
    </row>
    <row r="18241" ht="21.0" customHeight="1">
      <c r="A18241" s="19" t="s">
        <v>22</v>
      </c>
      <c r="B18241" s="20" t="s">
        <v>18</v>
      </c>
      <c r="C18241" s="20" t="s">
        <v>23</v>
      </c>
      <c r="D18241" s="20" t="s">
        <v>24</v>
      </c>
      <c r="E18241" s="21"/>
      <c r="F18241" s="22">
        <f>F18246</f>
        <v>43.8</v>
      </c>
      <c r="G18241" s="21"/>
    </row>
    <row r="18242" ht="12.0" customHeight="1">
      <c r="A18242" s="11"/>
      <c r="B18242" s="11"/>
      <c r="C18242" s="11"/>
      <c r="D18242" s="10" t="s">
        <v>8858</v>
      </c>
    </row>
    <row r="18243" ht="24.0" customHeight="1">
      <c r="A18243" s="10" t="s">
        <v>25</v>
      </c>
      <c r="B18243" s="10" t="s">
        <v>26</v>
      </c>
      <c r="C18243" s="10" t="s">
        <v>23</v>
      </c>
      <c r="D18243" s="10" t="s">
        <v>27</v>
      </c>
      <c r="E18243" s="14">
        <v>1.0</v>
      </c>
      <c r="F18243" s="15">
        <f>ROUND(21,3)</f>
        <v>21</v>
      </c>
      <c r="G18243" s="12">
        <f t="shared" ref="G18243:G18245" si="2337">ROUND(E18243*F18243,2)</f>
        <v>21</v>
      </c>
    </row>
    <row r="18244" ht="24.0" customHeight="1">
      <c r="A18244" s="10" t="s">
        <v>28</v>
      </c>
      <c r="B18244" s="10" t="s">
        <v>26</v>
      </c>
      <c r="C18244" s="10" t="s">
        <v>23</v>
      </c>
      <c r="D18244" s="10" t="s">
        <v>29</v>
      </c>
      <c r="E18244" s="14">
        <v>1.0</v>
      </c>
      <c r="F18244" s="15">
        <f t="shared" ref="F18244:F18245" si="2338">ROUND(19,3)</f>
        <v>19</v>
      </c>
      <c r="G18244" s="12">
        <f t="shared" si="2337"/>
        <v>19</v>
      </c>
    </row>
    <row r="18245" ht="24.0" customHeight="1">
      <c r="A18245" s="10" t="s">
        <v>30</v>
      </c>
      <c r="B18245" s="10" t="s">
        <v>26</v>
      </c>
      <c r="C18245" s="10" t="s">
        <v>23</v>
      </c>
      <c r="D18245" s="10" t="s">
        <v>31</v>
      </c>
      <c r="E18245" s="14">
        <v>0.2</v>
      </c>
      <c r="F18245" s="15">
        <f t="shared" si="2338"/>
        <v>19</v>
      </c>
      <c r="G18245" s="12">
        <f t="shared" si="2337"/>
        <v>3.8</v>
      </c>
    </row>
    <row r="18246" ht="15.0" customHeight="1">
      <c r="A18246" s="16"/>
      <c r="B18246" s="16"/>
      <c r="C18246" s="16"/>
      <c r="D18246" s="17" t="s">
        <v>22</v>
      </c>
      <c r="E18246" s="16"/>
      <c r="F18246" s="18">
        <f>ROUND((G18243+G18244+G18245)*(1+G2/100),2)</f>
        <v>43.8</v>
      </c>
      <c r="G18246" s="16"/>
    </row>
    <row r="18247" ht="21.0" customHeight="1">
      <c r="A18247" s="19" t="s">
        <v>1416</v>
      </c>
      <c r="B18247" s="20" t="s">
        <v>18</v>
      </c>
      <c r="C18247" s="20" t="s">
        <v>23</v>
      </c>
      <c r="D18247" s="20" t="s">
        <v>1417</v>
      </c>
      <c r="E18247" s="21"/>
      <c r="F18247" s="22">
        <f>F18252</f>
        <v>43.8</v>
      </c>
      <c r="G18247" s="21"/>
    </row>
    <row r="18248" ht="12.0" customHeight="1">
      <c r="A18248" s="11"/>
      <c r="B18248" s="11"/>
      <c r="C18248" s="11"/>
      <c r="D18248" s="10" t="s">
        <v>8859</v>
      </c>
    </row>
    <row r="18249" ht="24.0" customHeight="1">
      <c r="A18249" s="10" t="s">
        <v>1418</v>
      </c>
      <c r="B18249" s="10" t="s">
        <v>26</v>
      </c>
      <c r="C18249" s="10" t="s">
        <v>23</v>
      </c>
      <c r="D18249" s="10" t="s">
        <v>1419</v>
      </c>
      <c r="E18249" s="14">
        <v>1.0</v>
      </c>
      <c r="F18249" s="15">
        <f>ROUND(21,3)</f>
        <v>21</v>
      </c>
      <c r="G18249" s="12">
        <f t="shared" ref="G18249:G18251" si="2339">ROUND(E18249*F18249,2)</f>
        <v>21</v>
      </c>
    </row>
    <row r="18250" ht="24.0" customHeight="1">
      <c r="A18250" s="10" t="s">
        <v>1420</v>
      </c>
      <c r="B18250" s="10" t="s">
        <v>26</v>
      </c>
      <c r="C18250" s="10" t="s">
        <v>23</v>
      </c>
      <c r="D18250" s="10" t="s">
        <v>1421</v>
      </c>
      <c r="E18250" s="14">
        <v>1.0</v>
      </c>
      <c r="F18250" s="15">
        <f t="shared" ref="F18250:F18251" si="2340">ROUND(19,3)</f>
        <v>19</v>
      </c>
      <c r="G18250" s="12">
        <f t="shared" si="2339"/>
        <v>19</v>
      </c>
    </row>
    <row r="18251" ht="24.0" customHeight="1">
      <c r="A18251" s="10" t="s">
        <v>30</v>
      </c>
      <c r="B18251" s="10" t="s">
        <v>26</v>
      </c>
      <c r="C18251" s="10" t="s">
        <v>23</v>
      </c>
      <c r="D18251" s="10" t="s">
        <v>31</v>
      </c>
      <c r="E18251" s="14">
        <v>0.2</v>
      </c>
      <c r="F18251" s="15">
        <f t="shared" si="2340"/>
        <v>19</v>
      </c>
      <c r="G18251" s="12">
        <f t="shared" si="2339"/>
        <v>3.8</v>
      </c>
    </row>
    <row r="18252" ht="15.0" customHeight="1">
      <c r="A18252" s="16"/>
      <c r="B18252" s="16"/>
      <c r="C18252" s="16"/>
      <c r="D18252" s="17" t="s">
        <v>1416</v>
      </c>
      <c r="E18252" s="16"/>
      <c r="F18252" s="18">
        <f>ROUND((G18249+G18250+G18251)*(1+G2/100),2)</f>
        <v>43.8</v>
      </c>
      <c r="G18252" s="16"/>
    </row>
    <row r="18253" ht="30.0" customHeight="1">
      <c r="A18253" s="19" t="s">
        <v>2458</v>
      </c>
      <c r="B18253" s="20" t="s">
        <v>18</v>
      </c>
      <c r="C18253" s="20" t="s">
        <v>23</v>
      </c>
      <c r="D18253" s="20" t="s">
        <v>2459</v>
      </c>
      <c r="E18253" s="21"/>
      <c r="F18253" s="22" t="str">
        <f>F18255</f>
        <v>#ERROR!</v>
      </c>
      <c r="G18253" s="21"/>
    </row>
    <row r="18254" ht="12.0" customHeight="1">
      <c r="A18254" s="11"/>
      <c r="B18254" s="11"/>
      <c r="C18254" s="11"/>
      <c r="D18254" s="10" t="s">
        <v>8860</v>
      </c>
    </row>
    <row r="18255" ht="15.0" customHeight="1">
      <c r="A18255" s="16"/>
      <c r="B18255" s="16"/>
      <c r="C18255" s="16"/>
      <c r="D18255" s="17" t="s">
        <v>2458</v>
      </c>
      <c r="E18255" s="16"/>
      <c r="F18255" s="18" t="str">
        <f>ROUND(()*(1+G2/100),2)</f>
        <v>#ERROR!</v>
      </c>
      <c r="G18255" s="16"/>
    </row>
    <row r="18256" ht="24.75" customHeight="1">
      <c r="A18256" s="19" t="s">
        <v>8861</v>
      </c>
      <c r="B18256" s="20" t="s">
        <v>18</v>
      </c>
      <c r="C18256" s="20" t="s">
        <v>23</v>
      </c>
      <c r="D18256" s="20" t="s">
        <v>8862</v>
      </c>
      <c r="E18256" s="21"/>
      <c r="F18256" s="22">
        <f>F18260</f>
        <v>40</v>
      </c>
      <c r="G18256" s="21"/>
    </row>
    <row r="18257" ht="12.0" customHeight="1">
      <c r="A18257" s="11"/>
      <c r="B18257" s="11"/>
      <c r="C18257" s="11"/>
      <c r="D18257" s="10" t="s">
        <v>8862</v>
      </c>
    </row>
    <row r="18258" ht="24.0" customHeight="1">
      <c r="A18258" s="10" t="s">
        <v>25</v>
      </c>
      <c r="B18258" s="10" t="s">
        <v>26</v>
      </c>
      <c r="C18258" s="10" t="s">
        <v>23</v>
      </c>
      <c r="D18258" s="10" t="s">
        <v>27</v>
      </c>
      <c r="E18258" s="14">
        <v>1.0</v>
      </c>
      <c r="F18258" s="15">
        <f>ROUND(21,3)</f>
        <v>21</v>
      </c>
      <c r="G18258" s="12">
        <f t="shared" ref="G18258:G18259" si="2341">ROUND(E18258*F18258,2)</f>
        <v>21</v>
      </c>
    </row>
    <row r="18259" ht="24.0" customHeight="1">
      <c r="A18259" s="10" t="s">
        <v>28</v>
      </c>
      <c r="B18259" s="10" t="s">
        <v>26</v>
      </c>
      <c r="C18259" s="10" t="s">
        <v>23</v>
      </c>
      <c r="D18259" s="10" t="s">
        <v>29</v>
      </c>
      <c r="E18259" s="14">
        <v>1.0</v>
      </c>
      <c r="F18259" s="15">
        <f>ROUND(19,3)</f>
        <v>19</v>
      </c>
      <c r="G18259" s="12">
        <f t="shared" si="2341"/>
        <v>19</v>
      </c>
    </row>
    <row r="18260" ht="15.0" customHeight="1">
      <c r="A18260" s="16"/>
      <c r="B18260" s="16"/>
      <c r="C18260" s="16"/>
      <c r="D18260" s="17" t="s">
        <v>8861</v>
      </c>
      <c r="E18260" s="16"/>
      <c r="F18260" s="18">
        <f>ROUND((G18258+G18259)*(1+G2/100),2)</f>
        <v>40</v>
      </c>
      <c r="G18260" s="16"/>
    </row>
    <row r="18261" ht="21.0" customHeight="1">
      <c r="A18261" s="19" t="s">
        <v>1046</v>
      </c>
      <c r="B18261" s="20" t="s">
        <v>18</v>
      </c>
      <c r="C18261" s="20" t="s">
        <v>23</v>
      </c>
      <c r="D18261" s="20" t="s">
        <v>1047</v>
      </c>
      <c r="E18261" s="21"/>
      <c r="F18261" s="22">
        <f>F18265</f>
        <v>40</v>
      </c>
      <c r="G18261" s="21"/>
    </row>
    <row r="18262" ht="12.0" customHeight="1">
      <c r="A18262" s="11"/>
      <c r="B18262" s="11"/>
      <c r="C18262" s="11"/>
      <c r="D18262" s="10" t="s">
        <v>1047</v>
      </c>
    </row>
    <row r="18263" ht="24.0" customHeight="1">
      <c r="A18263" s="10" t="s">
        <v>25</v>
      </c>
      <c r="B18263" s="10" t="s">
        <v>26</v>
      </c>
      <c r="C18263" s="10" t="s">
        <v>23</v>
      </c>
      <c r="D18263" s="10" t="s">
        <v>27</v>
      </c>
      <c r="E18263" s="14">
        <v>1.0</v>
      </c>
      <c r="F18263" s="15">
        <f>ROUND(21,3)</f>
        <v>21</v>
      </c>
      <c r="G18263" s="12">
        <f t="shared" ref="G18263:G18264" si="2342">ROUND(E18263*F18263,2)</f>
        <v>21</v>
      </c>
    </row>
    <row r="18264" ht="24.0" customHeight="1">
      <c r="A18264" s="10" t="s">
        <v>28</v>
      </c>
      <c r="B18264" s="10" t="s">
        <v>26</v>
      </c>
      <c r="C18264" s="10" t="s">
        <v>23</v>
      </c>
      <c r="D18264" s="10" t="s">
        <v>29</v>
      </c>
      <c r="E18264" s="14">
        <v>1.0</v>
      </c>
      <c r="F18264" s="15">
        <f>ROUND(19,3)</f>
        <v>19</v>
      </c>
      <c r="G18264" s="12">
        <f t="shared" si="2342"/>
        <v>19</v>
      </c>
    </row>
    <row r="18265" ht="15.0" customHeight="1">
      <c r="A18265" s="16"/>
      <c r="B18265" s="16"/>
      <c r="C18265" s="16"/>
      <c r="D18265" s="17" t="s">
        <v>1046</v>
      </c>
      <c r="E18265" s="16"/>
      <c r="F18265" s="18">
        <f>ROUND((G18263+G18264)*(1+G2/100),2)</f>
        <v>40</v>
      </c>
      <c r="G18265" s="16"/>
    </row>
    <row r="18266" ht="24.75" customHeight="1">
      <c r="A18266" s="19" t="s">
        <v>286</v>
      </c>
      <c r="B18266" s="20" t="s">
        <v>18</v>
      </c>
      <c r="C18266" s="20" t="s">
        <v>23</v>
      </c>
      <c r="D18266" s="20" t="s">
        <v>287</v>
      </c>
      <c r="E18266" s="21"/>
      <c r="F18266" s="22">
        <f>F18271</f>
        <v>49.5</v>
      </c>
      <c r="G18266" s="21"/>
    </row>
    <row r="18267" ht="12.0" customHeight="1">
      <c r="A18267" s="11"/>
      <c r="B18267" s="11"/>
      <c r="C18267" s="11"/>
      <c r="D18267" s="10" t="s">
        <v>8863</v>
      </c>
    </row>
    <row r="18268" ht="24.0" customHeight="1">
      <c r="A18268" s="10" t="s">
        <v>288</v>
      </c>
      <c r="B18268" s="10" t="s">
        <v>26</v>
      </c>
      <c r="C18268" s="10" t="s">
        <v>23</v>
      </c>
      <c r="D18268" s="10" t="s">
        <v>289</v>
      </c>
      <c r="E18268" s="14">
        <v>1.0</v>
      </c>
      <c r="F18268" s="15">
        <f>ROUND(21,3)</f>
        <v>21</v>
      </c>
      <c r="G18268" s="12">
        <f t="shared" ref="G18268:G18270" si="2343">ROUND(E18268*F18268,2)</f>
        <v>21</v>
      </c>
    </row>
    <row r="18269" ht="24.0" customHeight="1">
      <c r="A18269" s="10" t="s">
        <v>290</v>
      </c>
      <c r="B18269" s="10" t="s">
        <v>26</v>
      </c>
      <c r="C18269" s="10" t="s">
        <v>23</v>
      </c>
      <c r="D18269" s="10" t="s">
        <v>291</v>
      </c>
      <c r="E18269" s="14">
        <v>1.0</v>
      </c>
      <c r="F18269" s="15">
        <f t="shared" ref="F18269:F18270" si="2344">ROUND(19,3)</f>
        <v>19</v>
      </c>
      <c r="G18269" s="12">
        <f t="shared" si="2343"/>
        <v>19</v>
      </c>
    </row>
    <row r="18270" ht="24.0" customHeight="1">
      <c r="A18270" s="10" t="s">
        <v>292</v>
      </c>
      <c r="B18270" s="10" t="s">
        <v>26</v>
      </c>
      <c r="C18270" s="10" t="s">
        <v>23</v>
      </c>
      <c r="D18270" s="10" t="s">
        <v>293</v>
      </c>
      <c r="E18270" s="14">
        <v>0.5</v>
      </c>
      <c r="F18270" s="15">
        <f t="shared" si="2344"/>
        <v>19</v>
      </c>
      <c r="G18270" s="12">
        <f t="shared" si="2343"/>
        <v>9.5</v>
      </c>
    </row>
    <row r="18271" ht="15.0" customHeight="1">
      <c r="A18271" s="16"/>
      <c r="B18271" s="16"/>
      <c r="C18271" s="16"/>
      <c r="D18271" s="17" t="s">
        <v>286</v>
      </c>
      <c r="E18271" s="16"/>
      <c r="F18271" s="18">
        <f>ROUND((G18268+G18269+G18270)*(1+G2/100),2)</f>
        <v>49.5</v>
      </c>
      <c r="G18271" s="16"/>
    </row>
    <row r="18272" ht="15.0" customHeight="1">
      <c r="A18272" s="23"/>
      <c r="B18272" s="23"/>
      <c r="C18272" s="23"/>
      <c r="D18272" s="32" t="s">
        <v>8838</v>
      </c>
      <c r="E18272" s="33"/>
      <c r="F18272" s="33"/>
      <c r="G18272" s="33"/>
    </row>
    <row r="18273" ht="15.0" customHeight="1">
      <c r="A18273" s="23"/>
      <c r="B18273" s="23"/>
      <c r="C18273" s="23"/>
      <c r="D18273" s="36" t="s">
        <v>8835</v>
      </c>
      <c r="E18273" s="37"/>
      <c r="F18273" s="37"/>
      <c r="G18273" s="37"/>
    </row>
    <row r="18274" ht="15.0" customHeight="1">
      <c r="A18274" s="38" t="s">
        <v>8864</v>
      </c>
      <c r="B18274" s="38" t="s">
        <v>10</v>
      </c>
      <c r="C18274" s="39"/>
      <c r="D18274" s="38" t="s">
        <v>8865</v>
      </c>
      <c r="E18274" s="39"/>
      <c r="F18274" s="39"/>
      <c r="G18274" s="39"/>
    </row>
    <row r="18275" ht="21.75" customHeight="1">
      <c r="A18275" s="40" t="s">
        <v>8866</v>
      </c>
      <c r="B18275" s="40" t="s">
        <v>10</v>
      </c>
      <c r="C18275" s="41"/>
      <c r="D18275" s="40" t="s">
        <v>8867</v>
      </c>
      <c r="E18275" s="41"/>
      <c r="F18275" s="41"/>
      <c r="G18275" s="41"/>
    </row>
    <row r="18276" ht="76.5" customHeight="1">
      <c r="A18276" s="13" t="s">
        <v>8868</v>
      </c>
      <c r="B18276" s="10" t="s">
        <v>18</v>
      </c>
      <c r="C18276" s="10" t="s">
        <v>231</v>
      </c>
      <c r="D18276" s="10" t="s">
        <v>8869</v>
      </c>
      <c r="E18276" s="11"/>
      <c r="F18276" s="12">
        <f>F18289</f>
        <v>106.17</v>
      </c>
      <c r="G18276" s="11"/>
    </row>
    <row r="18277" ht="30.0" customHeight="1">
      <c r="A18277" s="11"/>
      <c r="B18277" s="11"/>
      <c r="C18277" s="11"/>
      <c r="D18277" s="10" t="s">
        <v>8870</v>
      </c>
    </row>
    <row r="18278" ht="30.0" customHeight="1">
      <c r="A18278" s="10" t="s">
        <v>6675</v>
      </c>
      <c r="B18278" s="10" t="s">
        <v>42</v>
      </c>
      <c r="C18278" s="10" t="s">
        <v>344</v>
      </c>
      <c r="D18278" s="10" t="s">
        <v>6676</v>
      </c>
      <c r="E18278" s="14">
        <v>2.0</v>
      </c>
      <c r="F18278" s="15">
        <f>ROUND(4.98,3)</f>
        <v>4.98</v>
      </c>
      <c r="G18278" s="12">
        <f t="shared" ref="G18278:G18287" si="2345">ROUND(E18278*F18278,2)</f>
        <v>9.96</v>
      </c>
    </row>
    <row r="18279" ht="21.0" customHeight="1">
      <c r="A18279" s="10" t="s">
        <v>967</v>
      </c>
      <c r="B18279" s="10" t="s">
        <v>42</v>
      </c>
      <c r="C18279" s="10" t="s">
        <v>325</v>
      </c>
      <c r="D18279" s="10" t="s">
        <v>968</v>
      </c>
      <c r="E18279" s="14">
        <v>0.16</v>
      </c>
      <c r="F18279" s="15">
        <f>ROUND(6.49,3)</f>
        <v>6.49</v>
      </c>
      <c r="G18279" s="12">
        <f t="shared" si="2345"/>
        <v>1.04</v>
      </c>
    </row>
    <row r="18280" ht="30.0" customHeight="1">
      <c r="A18280" s="10" t="s">
        <v>6673</v>
      </c>
      <c r="B18280" s="10" t="s">
        <v>42</v>
      </c>
      <c r="C18280" s="10" t="s">
        <v>226</v>
      </c>
      <c r="D18280" s="10" t="s">
        <v>6674</v>
      </c>
      <c r="E18280" s="14">
        <v>0.44</v>
      </c>
      <c r="F18280" s="15">
        <f>ROUND(3.86,3)</f>
        <v>3.86</v>
      </c>
      <c r="G18280" s="12">
        <f t="shared" si="2345"/>
        <v>1.7</v>
      </c>
    </row>
    <row r="18281" ht="21.0" customHeight="1">
      <c r="A18281" s="10" t="s">
        <v>969</v>
      </c>
      <c r="B18281" s="10" t="s">
        <v>112</v>
      </c>
      <c r="C18281" s="10" t="s">
        <v>23</v>
      </c>
      <c r="D18281" s="10" t="s">
        <v>970</v>
      </c>
      <c r="E18281" s="14">
        <v>0.5</v>
      </c>
      <c r="F18281" s="15">
        <f>ROUND(2,3)</f>
        <v>2</v>
      </c>
      <c r="G18281" s="12">
        <f t="shared" si="2345"/>
        <v>1</v>
      </c>
    </row>
    <row r="18282" ht="30.0" customHeight="1">
      <c r="A18282" s="10" t="s">
        <v>971</v>
      </c>
      <c r="B18282" s="10" t="s">
        <v>42</v>
      </c>
      <c r="C18282" s="10" t="s">
        <v>231</v>
      </c>
      <c r="D18282" s="10" t="s">
        <v>972</v>
      </c>
      <c r="E18282" s="14">
        <v>0.1</v>
      </c>
      <c r="F18282" s="15">
        <f>ROUND(4.92,3)</f>
        <v>4.92</v>
      </c>
      <c r="G18282" s="12">
        <f t="shared" si="2345"/>
        <v>0.49</v>
      </c>
    </row>
    <row r="18283" ht="21.0" customHeight="1">
      <c r="A18283" s="10" t="s">
        <v>22</v>
      </c>
      <c r="B18283" s="10" t="s">
        <v>18</v>
      </c>
      <c r="C18283" s="10" t="s">
        <v>23</v>
      </c>
      <c r="D18283" s="10" t="s">
        <v>24</v>
      </c>
      <c r="E18283" s="14">
        <v>2.0</v>
      </c>
      <c r="F18283" s="15">
        <f>F18287</f>
        <v>43.8</v>
      </c>
      <c r="G18283" s="12">
        <f t="shared" si="2345"/>
        <v>87.6</v>
      </c>
    </row>
    <row r="18284" ht="24.0" customHeight="1">
      <c r="A18284" s="10" t="s">
        <v>25</v>
      </c>
      <c r="B18284" s="10" t="s">
        <v>26</v>
      </c>
      <c r="C18284" s="10" t="s">
        <v>23</v>
      </c>
      <c r="D18284" s="10" t="s">
        <v>27</v>
      </c>
      <c r="E18284" s="14">
        <v>1.0</v>
      </c>
      <c r="F18284" s="15">
        <f>ROUND(21,3)</f>
        <v>21</v>
      </c>
      <c r="G18284" s="12">
        <f t="shared" si="2345"/>
        <v>21</v>
      </c>
    </row>
    <row r="18285" ht="24.0" customHeight="1">
      <c r="A18285" s="10" t="s">
        <v>28</v>
      </c>
      <c r="B18285" s="10" t="s">
        <v>26</v>
      </c>
      <c r="C18285" s="10" t="s">
        <v>23</v>
      </c>
      <c r="D18285" s="10" t="s">
        <v>29</v>
      </c>
      <c r="E18285" s="14">
        <v>1.0</v>
      </c>
      <c r="F18285" s="15">
        <f t="shared" ref="F18285:F18286" si="2346">ROUND(19,3)</f>
        <v>19</v>
      </c>
      <c r="G18285" s="12">
        <f t="shared" si="2345"/>
        <v>19</v>
      </c>
    </row>
    <row r="18286" ht="24.0" customHeight="1">
      <c r="A18286" s="10" t="s">
        <v>30</v>
      </c>
      <c r="B18286" s="10" t="s">
        <v>26</v>
      </c>
      <c r="C18286" s="10" t="s">
        <v>23</v>
      </c>
      <c r="D18286" s="10" t="s">
        <v>31</v>
      </c>
      <c r="E18286" s="14">
        <v>0.2</v>
      </c>
      <c r="F18286" s="15">
        <f t="shared" si="2346"/>
        <v>19</v>
      </c>
      <c r="G18286" s="12">
        <f t="shared" si="2345"/>
        <v>3.8</v>
      </c>
    </row>
    <row r="18287" ht="15.0" customHeight="1">
      <c r="A18287" s="11"/>
      <c r="B18287" s="11"/>
      <c r="C18287" s="11"/>
      <c r="D18287" s="10" t="s">
        <v>22</v>
      </c>
      <c r="E18287" s="14">
        <v>2.0</v>
      </c>
      <c r="F18287" s="15">
        <f>ROUND((G18284+G18285+G18286),3)</f>
        <v>43.8</v>
      </c>
      <c r="G18287" s="12">
        <f t="shared" si="2345"/>
        <v>87.6</v>
      </c>
    </row>
    <row r="18288" ht="15.0" customHeight="1">
      <c r="A18288" s="10" t="s">
        <v>32</v>
      </c>
      <c r="B18288" s="10"/>
      <c r="C18288" s="10" t="s">
        <v>33</v>
      </c>
      <c r="D18288" s="10" t="s">
        <v>34</v>
      </c>
      <c r="E18288" s="14">
        <v>5.0</v>
      </c>
      <c r="F18288" s="15">
        <f>ROUND(87.6,3)</f>
        <v>87.6</v>
      </c>
      <c r="G18288" s="12">
        <f>ROUND((E18288*F18288)/100,2)</f>
        <v>4.38</v>
      </c>
    </row>
    <row r="18289" ht="24.75" customHeight="1">
      <c r="A18289" s="16"/>
      <c r="B18289" s="16"/>
      <c r="C18289" s="16"/>
      <c r="D18289" s="17" t="s">
        <v>8868</v>
      </c>
      <c r="E18289" s="16"/>
      <c r="F18289" s="18">
        <f>ROUND((G18278+G18279+G18280+G18281+G18282+G18283+G18288)*(1+G2/100),2)</f>
        <v>106.17</v>
      </c>
      <c r="G18289" s="16"/>
    </row>
    <row r="18290" ht="76.5" customHeight="1">
      <c r="A18290" s="19" t="s">
        <v>8871</v>
      </c>
      <c r="B18290" s="20" t="s">
        <v>18</v>
      </c>
      <c r="C18290" s="20" t="s">
        <v>231</v>
      </c>
      <c r="D18290" s="20" t="s">
        <v>8872</v>
      </c>
      <c r="E18290" s="21"/>
      <c r="F18290" s="22">
        <f>F18303</f>
        <v>129.17</v>
      </c>
      <c r="G18290" s="21"/>
    </row>
    <row r="18291" ht="39.75" customHeight="1">
      <c r="A18291" s="11"/>
      <c r="B18291" s="11"/>
      <c r="C18291" s="11"/>
      <c r="D18291" s="10" t="s">
        <v>8872</v>
      </c>
    </row>
    <row r="18292" ht="30.0" customHeight="1">
      <c r="A18292" s="10" t="s">
        <v>6675</v>
      </c>
      <c r="B18292" s="10" t="s">
        <v>42</v>
      </c>
      <c r="C18292" s="10" t="s">
        <v>344</v>
      </c>
      <c r="D18292" s="10" t="s">
        <v>6676</v>
      </c>
      <c r="E18292" s="14">
        <v>2.0</v>
      </c>
      <c r="F18292" s="15">
        <f>ROUND(4.98,3)</f>
        <v>4.98</v>
      </c>
      <c r="G18292" s="12">
        <f t="shared" ref="G18292:G18301" si="2347">ROUND(E18292*F18292,2)</f>
        <v>9.96</v>
      </c>
    </row>
    <row r="18293" ht="21.0" customHeight="1">
      <c r="A18293" s="10" t="s">
        <v>967</v>
      </c>
      <c r="B18293" s="10" t="s">
        <v>42</v>
      </c>
      <c r="C18293" s="10" t="s">
        <v>325</v>
      </c>
      <c r="D18293" s="10" t="s">
        <v>968</v>
      </c>
      <c r="E18293" s="14">
        <v>0.16</v>
      </c>
      <c r="F18293" s="15">
        <f>ROUND(6.49,3)</f>
        <v>6.49</v>
      </c>
      <c r="G18293" s="12">
        <f t="shared" si="2347"/>
        <v>1.04</v>
      </c>
    </row>
    <row r="18294" ht="30.0" customHeight="1">
      <c r="A18294" s="10" t="s">
        <v>6673</v>
      </c>
      <c r="B18294" s="10" t="s">
        <v>42</v>
      </c>
      <c r="C18294" s="10" t="s">
        <v>226</v>
      </c>
      <c r="D18294" s="10" t="s">
        <v>6674</v>
      </c>
      <c r="E18294" s="14">
        <v>0.44</v>
      </c>
      <c r="F18294" s="15">
        <f>ROUND(3.86,3)</f>
        <v>3.86</v>
      </c>
      <c r="G18294" s="12">
        <f t="shared" si="2347"/>
        <v>1.7</v>
      </c>
    </row>
    <row r="18295" ht="21.0" customHeight="1">
      <c r="A18295" s="10" t="s">
        <v>969</v>
      </c>
      <c r="B18295" s="10" t="s">
        <v>112</v>
      </c>
      <c r="C18295" s="10" t="s">
        <v>23</v>
      </c>
      <c r="D18295" s="10" t="s">
        <v>970</v>
      </c>
      <c r="E18295" s="14">
        <v>0.5</v>
      </c>
      <c r="F18295" s="15">
        <f>ROUND(2,3)</f>
        <v>2</v>
      </c>
      <c r="G18295" s="12">
        <f t="shared" si="2347"/>
        <v>1</v>
      </c>
    </row>
    <row r="18296" ht="30.0" customHeight="1">
      <c r="A18296" s="10" t="s">
        <v>971</v>
      </c>
      <c r="B18296" s="10" t="s">
        <v>42</v>
      </c>
      <c r="C18296" s="10" t="s">
        <v>231</v>
      </c>
      <c r="D18296" s="10" t="s">
        <v>972</v>
      </c>
      <c r="E18296" s="14">
        <v>0.1</v>
      </c>
      <c r="F18296" s="15">
        <f>ROUND(4.92,3)</f>
        <v>4.92</v>
      </c>
      <c r="G18296" s="12">
        <f t="shared" si="2347"/>
        <v>0.49</v>
      </c>
    </row>
    <row r="18297" ht="21.0" customHeight="1">
      <c r="A18297" s="10" t="s">
        <v>22</v>
      </c>
      <c r="B18297" s="10" t="s">
        <v>18</v>
      </c>
      <c r="C18297" s="10" t="s">
        <v>23</v>
      </c>
      <c r="D18297" s="10" t="s">
        <v>24</v>
      </c>
      <c r="E18297" s="14">
        <v>2.5</v>
      </c>
      <c r="F18297" s="15">
        <f>F18301</f>
        <v>43.8</v>
      </c>
      <c r="G18297" s="12">
        <f t="shared" si="2347"/>
        <v>109.5</v>
      </c>
    </row>
    <row r="18298" ht="24.0" customHeight="1">
      <c r="A18298" s="10" t="s">
        <v>25</v>
      </c>
      <c r="B18298" s="10" t="s">
        <v>26</v>
      </c>
      <c r="C18298" s="10" t="s">
        <v>23</v>
      </c>
      <c r="D18298" s="10" t="s">
        <v>27</v>
      </c>
      <c r="E18298" s="14">
        <v>1.0</v>
      </c>
      <c r="F18298" s="15">
        <f>ROUND(21,3)</f>
        <v>21</v>
      </c>
      <c r="G18298" s="12">
        <f t="shared" si="2347"/>
        <v>21</v>
      </c>
    </row>
    <row r="18299" ht="24.0" customHeight="1">
      <c r="A18299" s="10" t="s">
        <v>28</v>
      </c>
      <c r="B18299" s="10" t="s">
        <v>26</v>
      </c>
      <c r="C18299" s="10" t="s">
        <v>23</v>
      </c>
      <c r="D18299" s="10" t="s">
        <v>29</v>
      </c>
      <c r="E18299" s="14">
        <v>1.0</v>
      </c>
      <c r="F18299" s="15">
        <f t="shared" ref="F18299:F18300" si="2348">ROUND(19,3)</f>
        <v>19</v>
      </c>
      <c r="G18299" s="12">
        <f t="shared" si="2347"/>
        <v>19</v>
      </c>
    </row>
    <row r="18300" ht="24.0" customHeight="1">
      <c r="A18300" s="10" t="s">
        <v>30</v>
      </c>
      <c r="B18300" s="10" t="s">
        <v>26</v>
      </c>
      <c r="C18300" s="10" t="s">
        <v>23</v>
      </c>
      <c r="D18300" s="10" t="s">
        <v>31</v>
      </c>
      <c r="E18300" s="14">
        <v>0.2</v>
      </c>
      <c r="F18300" s="15">
        <f t="shared" si="2348"/>
        <v>19</v>
      </c>
      <c r="G18300" s="12">
        <f t="shared" si="2347"/>
        <v>3.8</v>
      </c>
    </row>
    <row r="18301" ht="15.0" customHeight="1">
      <c r="A18301" s="11"/>
      <c r="B18301" s="11"/>
      <c r="C18301" s="11"/>
      <c r="D18301" s="10" t="s">
        <v>22</v>
      </c>
      <c r="E18301" s="14">
        <v>2.5</v>
      </c>
      <c r="F18301" s="15">
        <f>ROUND((G18298+G18299+G18300),3)</f>
        <v>43.8</v>
      </c>
      <c r="G18301" s="12">
        <f t="shared" si="2347"/>
        <v>109.5</v>
      </c>
    </row>
    <row r="18302" ht="15.0" customHeight="1">
      <c r="A18302" s="10" t="s">
        <v>32</v>
      </c>
      <c r="B18302" s="10"/>
      <c r="C18302" s="10" t="s">
        <v>33</v>
      </c>
      <c r="D18302" s="10" t="s">
        <v>34</v>
      </c>
      <c r="E18302" s="14">
        <v>5.0</v>
      </c>
      <c r="F18302" s="15">
        <f>ROUND(109.5,3)</f>
        <v>109.5</v>
      </c>
      <c r="G18302" s="12">
        <f>ROUND((E18302*F18302)/100,2)</f>
        <v>5.48</v>
      </c>
    </row>
    <row r="18303" ht="24.75" customHeight="1">
      <c r="A18303" s="16"/>
      <c r="B18303" s="16"/>
      <c r="C18303" s="16"/>
      <c r="D18303" s="17" t="s">
        <v>8871</v>
      </c>
      <c r="E18303" s="16"/>
      <c r="F18303" s="18">
        <f>ROUND((G18292+G18293+G18294+G18295+G18296+G18297+G18302)*(1+G2/100),2)</f>
        <v>129.17</v>
      </c>
      <c r="G18303" s="16"/>
    </row>
    <row r="18304" ht="76.5" customHeight="1">
      <c r="A18304" s="19" t="s">
        <v>8873</v>
      </c>
      <c r="B18304" s="20" t="s">
        <v>18</v>
      </c>
      <c r="C18304" s="20" t="s">
        <v>231</v>
      </c>
      <c r="D18304" s="20" t="s">
        <v>8874</v>
      </c>
      <c r="E18304" s="21"/>
      <c r="F18304" s="22">
        <f>F18318</f>
        <v>141.15</v>
      </c>
      <c r="G18304" s="21"/>
    </row>
    <row r="18305" ht="30.0" customHeight="1">
      <c r="A18305" s="11"/>
      <c r="B18305" s="11"/>
      <c r="C18305" s="11"/>
      <c r="D18305" s="10" t="s">
        <v>8874</v>
      </c>
    </row>
    <row r="18306" ht="30.0" customHeight="1">
      <c r="A18306" s="10" t="s">
        <v>6675</v>
      </c>
      <c r="B18306" s="10" t="s">
        <v>42</v>
      </c>
      <c r="C18306" s="10" t="s">
        <v>344</v>
      </c>
      <c r="D18306" s="10" t="s">
        <v>6676</v>
      </c>
      <c r="E18306" s="14">
        <v>2.0</v>
      </c>
      <c r="F18306" s="15">
        <f>ROUND(4.98,3)</f>
        <v>4.98</v>
      </c>
      <c r="G18306" s="12">
        <f t="shared" ref="G18306:G18316" si="2349">ROUND(E18306*F18306,2)</f>
        <v>9.96</v>
      </c>
    </row>
    <row r="18307" ht="30.0" customHeight="1">
      <c r="A18307" s="10" t="s">
        <v>6679</v>
      </c>
      <c r="B18307" s="10" t="s">
        <v>42</v>
      </c>
      <c r="C18307" s="10" t="s">
        <v>485</v>
      </c>
      <c r="D18307" s="10" t="s">
        <v>6680</v>
      </c>
      <c r="E18307" s="14">
        <v>8.0</v>
      </c>
      <c r="F18307" s="15">
        <f>ROUND(4.16,3)</f>
        <v>4.16</v>
      </c>
      <c r="G18307" s="12">
        <f t="shared" si="2349"/>
        <v>33.28</v>
      </c>
    </row>
    <row r="18308" ht="21.0" customHeight="1">
      <c r="A18308" s="10" t="s">
        <v>967</v>
      </c>
      <c r="B18308" s="10" t="s">
        <v>42</v>
      </c>
      <c r="C18308" s="10" t="s">
        <v>325</v>
      </c>
      <c r="D18308" s="10" t="s">
        <v>968</v>
      </c>
      <c r="E18308" s="14">
        <v>0.16</v>
      </c>
      <c r="F18308" s="15">
        <f>ROUND(6.49,3)</f>
        <v>6.49</v>
      </c>
      <c r="G18308" s="12">
        <f t="shared" si="2349"/>
        <v>1.04</v>
      </c>
    </row>
    <row r="18309" ht="30.0" customHeight="1">
      <c r="A18309" s="10" t="s">
        <v>6673</v>
      </c>
      <c r="B18309" s="10" t="s">
        <v>42</v>
      </c>
      <c r="C18309" s="10" t="s">
        <v>226</v>
      </c>
      <c r="D18309" s="10" t="s">
        <v>6674</v>
      </c>
      <c r="E18309" s="14">
        <v>0.88</v>
      </c>
      <c r="F18309" s="15">
        <f>ROUND(3.86,3)</f>
        <v>3.86</v>
      </c>
      <c r="G18309" s="12">
        <f t="shared" si="2349"/>
        <v>3.4</v>
      </c>
    </row>
    <row r="18310" ht="21.0" customHeight="1">
      <c r="A18310" s="10" t="s">
        <v>969</v>
      </c>
      <c r="B18310" s="10" t="s">
        <v>112</v>
      </c>
      <c r="C18310" s="10" t="s">
        <v>23</v>
      </c>
      <c r="D18310" s="10" t="s">
        <v>970</v>
      </c>
      <c r="E18310" s="14">
        <v>0.5</v>
      </c>
      <c r="F18310" s="15">
        <f>ROUND(2,3)</f>
        <v>2</v>
      </c>
      <c r="G18310" s="12">
        <f t="shared" si="2349"/>
        <v>1</v>
      </c>
    </row>
    <row r="18311" ht="30.0" customHeight="1">
      <c r="A18311" s="10" t="s">
        <v>971</v>
      </c>
      <c r="B18311" s="10" t="s">
        <v>42</v>
      </c>
      <c r="C18311" s="10" t="s">
        <v>231</v>
      </c>
      <c r="D18311" s="10" t="s">
        <v>972</v>
      </c>
      <c r="E18311" s="14">
        <v>0.1</v>
      </c>
      <c r="F18311" s="15">
        <f>ROUND(4.92,3)</f>
        <v>4.92</v>
      </c>
      <c r="G18311" s="12">
        <f t="shared" si="2349"/>
        <v>0.49</v>
      </c>
    </row>
    <row r="18312" ht="21.0" customHeight="1">
      <c r="A18312" s="10" t="s">
        <v>22</v>
      </c>
      <c r="B18312" s="10" t="s">
        <v>18</v>
      </c>
      <c r="C18312" s="10" t="s">
        <v>23</v>
      </c>
      <c r="D18312" s="10" t="s">
        <v>24</v>
      </c>
      <c r="E18312" s="14">
        <v>2.0</v>
      </c>
      <c r="F18312" s="15">
        <f>F18316</f>
        <v>43.8</v>
      </c>
      <c r="G18312" s="12">
        <f t="shared" si="2349"/>
        <v>87.6</v>
      </c>
    </row>
    <row r="18313" ht="24.0" customHeight="1">
      <c r="A18313" s="10" t="s">
        <v>25</v>
      </c>
      <c r="B18313" s="10" t="s">
        <v>26</v>
      </c>
      <c r="C18313" s="10" t="s">
        <v>23</v>
      </c>
      <c r="D18313" s="10" t="s">
        <v>27</v>
      </c>
      <c r="E18313" s="14">
        <v>1.0</v>
      </c>
      <c r="F18313" s="15">
        <f>ROUND(21,3)</f>
        <v>21</v>
      </c>
      <c r="G18313" s="12">
        <f t="shared" si="2349"/>
        <v>21</v>
      </c>
    </row>
    <row r="18314" ht="24.0" customHeight="1">
      <c r="A18314" s="10" t="s">
        <v>28</v>
      </c>
      <c r="B18314" s="10" t="s">
        <v>26</v>
      </c>
      <c r="C18314" s="10" t="s">
        <v>23</v>
      </c>
      <c r="D18314" s="10" t="s">
        <v>29</v>
      </c>
      <c r="E18314" s="14">
        <v>1.0</v>
      </c>
      <c r="F18314" s="15">
        <f t="shared" ref="F18314:F18315" si="2350">ROUND(19,3)</f>
        <v>19</v>
      </c>
      <c r="G18314" s="12">
        <f t="shared" si="2349"/>
        <v>19</v>
      </c>
    </row>
    <row r="18315" ht="24.0" customHeight="1">
      <c r="A18315" s="10" t="s">
        <v>30</v>
      </c>
      <c r="B18315" s="10" t="s">
        <v>26</v>
      </c>
      <c r="C18315" s="10" t="s">
        <v>23</v>
      </c>
      <c r="D18315" s="10" t="s">
        <v>31</v>
      </c>
      <c r="E18315" s="14">
        <v>0.2</v>
      </c>
      <c r="F18315" s="15">
        <f t="shared" si="2350"/>
        <v>19</v>
      </c>
      <c r="G18315" s="12">
        <f t="shared" si="2349"/>
        <v>3.8</v>
      </c>
    </row>
    <row r="18316" ht="15.0" customHeight="1">
      <c r="A18316" s="11"/>
      <c r="B18316" s="11"/>
      <c r="C18316" s="11"/>
      <c r="D18316" s="10" t="s">
        <v>22</v>
      </c>
      <c r="E18316" s="14">
        <v>2.0</v>
      </c>
      <c r="F18316" s="15">
        <f>ROUND((G18313+G18314+G18315),3)</f>
        <v>43.8</v>
      </c>
      <c r="G18316" s="12">
        <f t="shared" si="2349"/>
        <v>87.6</v>
      </c>
    </row>
    <row r="18317" ht="15.0" customHeight="1">
      <c r="A18317" s="10" t="s">
        <v>32</v>
      </c>
      <c r="B18317" s="10"/>
      <c r="C18317" s="10" t="s">
        <v>33</v>
      </c>
      <c r="D18317" s="10" t="s">
        <v>34</v>
      </c>
      <c r="E18317" s="14">
        <v>5.0</v>
      </c>
      <c r="F18317" s="15">
        <f>ROUND(87.6,3)</f>
        <v>87.6</v>
      </c>
      <c r="G18317" s="12">
        <f>ROUND((E18317*F18317)/100,2)</f>
        <v>4.38</v>
      </c>
    </row>
    <row r="18318" ht="24.75" customHeight="1">
      <c r="A18318" s="16"/>
      <c r="B18318" s="16"/>
      <c r="C18318" s="16"/>
      <c r="D18318" s="17" t="s">
        <v>8873</v>
      </c>
      <c r="E18318" s="16"/>
      <c r="F18318" s="18">
        <f>ROUND((G18306+G18307+G18308+G18309+G18310+G18311+G18312+G18317)*(1+G2/100),2)</f>
        <v>141.15</v>
      </c>
      <c r="G18318" s="16"/>
    </row>
    <row r="18319" ht="76.5" customHeight="1">
      <c r="A18319" s="19" t="s">
        <v>8875</v>
      </c>
      <c r="B18319" s="20" t="s">
        <v>18</v>
      </c>
      <c r="C18319" s="20" t="s">
        <v>231</v>
      </c>
      <c r="D18319" s="20" t="s">
        <v>8876</v>
      </c>
      <c r="E18319" s="21"/>
      <c r="F18319" s="22">
        <f>F18333</f>
        <v>187.14</v>
      </c>
      <c r="G18319" s="21"/>
    </row>
    <row r="18320" ht="12.0" customHeight="1">
      <c r="A18320" s="11"/>
      <c r="B18320" s="11"/>
      <c r="C18320" s="11"/>
      <c r="D18320" s="10" t="s">
        <v>8877</v>
      </c>
    </row>
    <row r="18321" ht="30.0" customHeight="1">
      <c r="A18321" s="10" t="s">
        <v>6675</v>
      </c>
      <c r="B18321" s="10" t="s">
        <v>42</v>
      </c>
      <c r="C18321" s="10" t="s">
        <v>344</v>
      </c>
      <c r="D18321" s="10" t="s">
        <v>6676</v>
      </c>
      <c r="E18321" s="14">
        <v>2.0</v>
      </c>
      <c r="F18321" s="15">
        <f>ROUND(4.98,3)</f>
        <v>4.98</v>
      </c>
      <c r="G18321" s="12">
        <f t="shared" ref="G18321:G18331" si="2351">ROUND(E18321*F18321,2)</f>
        <v>9.96</v>
      </c>
    </row>
    <row r="18322" ht="30.0" customHeight="1">
      <c r="A18322" s="10" t="s">
        <v>6679</v>
      </c>
      <c r="B18322" s="10" t="s">
        <v>42</v>
      </c>
      <c r="C18322" s="10" t="s">
        <v>485</v>
      </c>
      <c r="D18322" s="10" t="s">
        <v>6680</v>
      </c>
      <c r="E18322" s="14">
        <v>8.0</v>
      </c>
      <c r="F18322" s="15">
        <f>ROUND(4.16,3)</f>
        <v>4.16</v>
      </c>
      <c r="G18322" s="12">
        <f t="shared" si="2351"/>
        <v>33.28</v>
      </c>
    </row>
    <row r="18323" ht="21.0" customHeight="1">
      <c r="A18323" s="10" t="s">
        <v>967</v>
      </c>
      <c r="B18323" s="10" t="s">
        <v>42</v>
      </c>
      <c r="C18323" s="10" t="s">
        <v>325</v>
      </c>
      <c r="D18323" s="10" t="s">
        <v>968</v>
      </c>
      <c r="E18323" s="14">
        <v>0.16</v>
      </c>
      <c r="F18323" s="15">
        <f>ROUND(6.49,3)</f>
        <v>6.49</v>
      </c>
      <c r="G18323" s="12">
        <f t="shared" si="2351"/>
        <v>1.04</v>
      </c>
    </row>
    <row r="18324" ht="30.0" customHeight="1">
      <c r="A18324" s="10" t="s">
        <v>6673</v>
      </c>
      <c r="B18324" s="10" t="s">
        <v>42</v>
      </c>
      <c r="C18324" s="10" t="s">
        <v>226</v>
      </c>
      <c r="D18324" s="10" t="s">
        <v>6674</v>
      </c>
      <c r="E18324" s="14">
        <v>0.88</v>
      </c>
      <c r="F18324" s="15">
        <f>ROUND(3.86,3)</f>
        <v>3.86</v>
      </c>
      <c r="G18324" s="12">
        <f t="shared" si="2351"/>
        <v>3.4</v>
      </c>
    </row>
    <row r="18325" ht="21.0" customHeight="1">
      <c r="A18325" s="10" t="s">
        <v>969</v>
      </c>
      <c r="B18325" s="10" t="s">
        <v>112</v>
      </c>
      <c r="C18325" s="10" t="s">
        <v>23</v>
      </c>
      <c r="D18325" s="10" t="s">
        <v>970</v>
      </c>
      <c r="E18325" s="14">
        <v>0.5</v>
      </c>
      <c r="F18325" s="15">
        <f>ROUND(2,3)</f>
        <v>2</v>
      </c>
      <c r="G18325" s="12">
        <f t="shared" si="2351"/>
        <v>1</v>
      </c>
    </row>
    <row r="18326" ht="30.0" customHeight="1">
      <c r="A18326" s="10" t="s">
        <v>971</v>
      </c>
      <c r="B18326" s="10" t="s">
        <v>42</v>
      </c>
      <c r="C18326" s="10" t="s">
        <v>231</v>
      </c>
      <c r="D18326" s="10" t="s">
        <v>972</v>
      </c>
      <c r="E18326" s="14">
        <v>0.1</v>
      </c>
      <c r="F18326" s="15">
        <f>ROUND(4.92,3)</f>
        <v>4.92</v>
      </c>
      <c r="G18326" s="12">
        <f t="shared" si="2351"/>
        <v>0.49</v>
      </c>
    </row>
    <row r="18327" ht="21.0" customHeight="1">
      <c r="A18327" s="10" t="s">
        <v>22</v>
      </c>
      <c r="B18327" s="10" t="s">
        <v>18</v>
      </c>
      <c r="C18327" s="10" t="s">
        <v>23</v>
      </c>
      <c r="D18327" s="10" t="s">
        <v>24</v>
      </c>
      <c r="E18327" s="14">
        <v>3.0</v>
      </c>
      <c r="F18327" s="15">
        <f>F18331</f>
        <v>43.8</v>
      </c>
      <c r="G18327" s="12">
        <f t="shared" si="2351"/>
        <v>131.4</v>
      </c>
    </row>
    <row r="18328" ht="24.0" customHeight="1">
      <c r="A18328" s="10" t="s">
        <v>25</v>
      </c>
      <c r="B18328" s="10" t="s">
        <v>26</v>
      </c>
      <c r="C18328" s="10" t="s">
        <v>23</v>
      </c>
      <c r="D18328" s="10" t="s">
        <v>27</v>
      </c>
      <c r="E18328" s="14">
        <v>1.0</v>
      </c>
      <c r="F18328" s="15">
        <f>ROUND(21,3)</f>
        <v>21</v>
      </c>
      <c r="G18328" s="12">
        <f t="shared" si="2351"/>
        <v>21</v>
      </c>
    </row>
    <row r="18329" ht="24.0" customHeight="1">
      <c r="A18329" s="10" t="s">
        <v>28</v>
      </c>
      <c r="B18329" s="10" t="s">
        <v>26</v>
      </c>
      <c r="C18329" s="10" t="s">
        <v>23</v>
      </c>
      <c r="D18329" s="10" t="s">
        <v>29</v>
      </c>
      <c r="E18329" s="14">
        <v>1.0</v>
      </c>
      <c r="F18329" s="15">
        <f t="shared" ref="F18329:F18330" si="2352">ROUND(19,3)</f>
        <v>19</v>
      </c>
      <c r="G18329" s="12">
        <f t="shared" si="2351"/>
        <v>19</v>
      </c>
    </row>
    <row r="18330" ht="24.0" customHeight="1">
      <c r="A18330" s="10" t="s">
        <v>30</v>
      </c>
      <c r="B18330" s="10" t="s">
        <v>26</v>
      </c>
      <c r="C18330" s="10" t="s">
        <v>23</v>
      </c>
      <c r="D18330" s="10" t="s">
        <v>31</v>
      </c>
      <c r="E18330" s="14">
        <v>0.2</v>
      </c>
      <c r="F18330" s="15">
        <f t="shared" si="2352"/>
        <v>19</v>
      </c>
      <c r="G18330" s="12">
        <f t="shared" si="2351"/>
        <v>3.8</v>
      </c>
    </row>
    <row r="18331" ht="15.0" customHeight="1">
      <c r="A18331" s="11"/>
      <c r="B18331" s="11"/>
      <c r="C18331" s="11"/>
      <c r="D18331" s="10" t="s">
        <v>22</v>
      </c>
      <c r="E18331" s="14">
        <v>3.0</v>
      </c>
      <c r="F18331" s="15">
        <f>ROUND((G18328+G18329+G18330),3)</f>
        <v>43.8</v>
      </c>
      <c r="G18331" s="12">
        <f t="shared" si="2351"/>
        <v>131.4</v>
      </c>
    </row>
    <row r="18332" ht="15.0" customHeight="1">
      <c r="A18332" s="10" t="s">
        <v>32</v>
      </c>
      <c r="B18332" s="10"/>
      <c r="C18332" s="10" t="s">
        <v>33</v>
      </c>
      <c r="D18332" s="10" t="s">
        <v>34</v>
      </c>
      <c r="E18332" s="14">
        <v>5.0</v>
      </c>
      <c r="F18332" s="15">
        <f>ROUND(131.4,3)</f>
        <v>131.4</v>
      </c>
      <c r="G18332" s="12">
        <f>ROUND((E18332*F18332)/100,2)</f>
        <v>6.57</v>
      </c>
    </row>
    <row r="18333" ht="24.75" customHeight="1">
      <c r="A18333" s="16"/>
      <c r="B18333" s="16"/>
      <c r="C18333" s="16"/>
      <c r="D18333" s="17" t="s">
        <v>8875</v>
      </c>
      <c r="E18333" s="16"/>
      <c r="F18333" s="18">
        <f>ROUND((G18321+G18322+G18323+G18324+G18325+G18326+G18327+G18332)*(1+G2/100),2)</f>
        <v>187.14</v>
      </c>
      <c r="G18333" s="16"/>
    </row>
    <row r="18334" ht="95.25" customHeight="1">
      <c r="A18334" s="19" t="s">
        <v>8878</v>
      </c>
      <c r="B18334" s="20" t="s">
        <v>18</v>
      </c>
      <c r="C18334" s="20" t="s">
        <v>231</v>
      </c>
      <c r="D18334" s="20" t="s">
        <v>8879</v>
      </c>
      <c r="E18334" s="21"/>
      <c r="F18334" s="22">
        <f>F18345</f>
        <v>137.82</v>
      </c>
      <c r="G18334" s="21"/>
    </row>
    <row r="18335" ht="30.0" customHeight="1">
      <c r="A18335" s="11"/>
      <c r="B18335" s="11"/>
      <c r="C18335" s="11"/>
      <c r="D18335" s="10" t="s">
        <v>8880</v>
      </c>
    </row>
    <row r="18336" ht="21.0" customHeight="1">
      <c r="A18336" s="10" t="s">
        <v>967</v>
      </c>
      <c r="B18336" s="10" t="s">
        <v>42</v>
      </c>
      <c r="C18336" s="10" t="s">
        <v>325</v>
      </c>
      <c r="D18336" s="10" t="s">
        <v>968</v>
      </c>
      <c r="E18336" s="14">
        <v>0.1</v>
      </c>
      <c r="F18336" s="15">
        <f>ROUND(6.49,3)</f>
        <v>6.49</v>
      </c>
      <c r="G18336" s="12">
        <f t="shared" ref="G18336:G18343" si="2353">ROUND(E18336*F18336,2)</f>
        <v>0.65</v>
      </c>
    </row>
    <row r="18337" ht="21.0" customHeight="1">
      <c r="A18337" s="10" t="s">
        <v>969</v>
      </c>
      <c r="B18337" s="10" t="s">
        <v>112</v>
      </c>
      <c r="C18337" s="10" t="s">
        <v>23</v>
      </c>
      <c r="D18337" s="10" t="s">
        <v>970</v>
      </c>
      <c r="E18337" s="14">
        <v>0.3</v>
      </c>
      <c r="F18337" s="15">
        <f>ROUND(2,3)</f>
        <v>2</v>
      </c>
      <c r="G18337" s="12">
        <f t="shared" si="2353"/>
        <v>0.6</v>
      </c>
    </row>
    <row r="18338" ht="30.0" customHeight="1">
      <c r="A18338" s="10" t="s">
        <v>971</v>
      </c>
      <c r="B18338" s="10" t="s">
        <v>42</v>
      </c>
      <c r="C18338" s="10" t="s">
        <v>231</v>
      </c>
      <c r="D18338" s="10" t="s">
        <v>972</v>
      </c>
      <c r="E18338" s="14">
        <v>0.25</v>
      </c>
      <c r="F18338" s="15">
        <f>ROUND(4.92,3)</f>
        <v>4.92</v>
      </c>
      <c r="G18338" s="12">
        <f t="shared" si="2353"/>
        <v>1.23</v>
      </c>
    </row>
    <row r="18339" ht="21.0" customHeight="1">
      <c r="A18339" s="10" t="s">
        <v>22</v>
      </c>
      <c r="B18339" s="10" t="s">
        <v>18</v>
      </c>
      <c r="C18339" s="10" t="s">
        <v>23</v>
      </c>
      <c r="D18339" s="10" t="s">
        <v>24</v>
      </c>
      <c r="E18339" s="14">
        <v>3.0</v>
      </c>
      <c r="F18339" s="15">
        <f>F18343</f>
        <v>43.8</v>
      </c>
      <c r="G18339" s="12">
        <f t="shared" si="2353"/>
        <v>131.4</v>
      </c>
    </row>
    <row r="18340" ht="24.0" customHeight="1">
      <c r="A18340" s="10" t="s">
        <v>25</v>
      </c>
      <c r="B18340" s="10" t="s">
        <v>26</v>
      </c>
      <c r="C18340" s="10" t="s">
        <v>23</v>
      </c>
      <c r="D18340" s="10" t="s">
        <v>27</v>
      </c>
      <c r="E18340" s="14">
        <v>1.0</v>
      </c>
      <c r="F18340" s="15">
        <f>ROUND(21,3)</f>
        <v>21</v>
      </c>
      <c r="G18340" s="12">
        <f t="shared" si="2353"/>
        <v>21</v>
      </c>
    </row>
    <row r="18341" ht="24.0" customHeight="1">
      <c r="A18341" s="10" t="s">
        <v>28</v>
      </c>
      <c r="B18341" s="10" t="s">
        <v>26</v>
      </c>
      <c r="C18341" s="10" t="s">
        <v>23</v>
      </c>
      <c r="D18341" s="10" t="s">
        <v>29</v>
      </c>
      <c r="E18341" s="14">
        <v>1.0</v>
      </c>
      <c r="F18341" s="15">
        <f t="shared" ref="F18341:F18342" si="2354">ROUND(19,3)</f>
        <v>19</v>
      </c>
      <c r="G18341" s="12">
        <f t="shared" si="2353"/>
        <v>19</v>
      </c>
    </row>
    <row r="18342" ht="24.0" customHeight="1">
      <c r="A18342" s="10" t="s">
        <v>30</v>
      </c>
      <c r="B18342" s="10" t="s">
        <v>26</v>
      </c>
      <c r="C18342" s="10" t="s">
        <v>23</v>
      </c>
      <c r="D18342" s="10" t="s">
        <v>31</v>
      </c>
      <c r="E18342" s="14">
        <v>0.2</v>
      </c>
      <c r="F18342" s="15">
        <f t="shared" si="2354"/>
        <v>19</v>
      </c>
      <c r="G18342" s="12">
        <f t="shared" si="2353"/>
        <v>3.8</v>
      </c>
    </row>
    <row r="18343" ht="15.0" customHeight="1">
      <c r="A18343" s="11"/>
      <c r="B18343" s="11"/>
      <c r="C18343" s="11"/>
      <c r="D18343" s="10" t="s">
        <v>22</v>
      </c>
      <c r="E18343" s="14">
        <v>3.0</v>
      </c>
      <c r="F18343" s="15">
        <f>ROUND((G18340+G18341+G18342),3)</f>
        <v>43.8</v>
      </c>
      <c r="G18343" s="12">
        <f t="shared" si="2353"/>
        <v>131.4</v>
      </c>
    </row>
    <row r="18344" ht="15.0" customHeight="1">
      <c r="A18344" s="10" t="s">
        <v>32</v>
      </c>
      <c r="B18344" s="10"/>
      <c r="C18344" s="10" t="s">
        <v>33</v>
      </c>
      <c r="D18344" s="10" t="s">
        <v>34</v>
      </c>
      <c r="E18344" s="14">
        <v>3.0</v>
      </c>
      <c r="F18344" s="15">
        <f>ROUND(131.4,3)</f>
        <v>131.4</v>
      </c>
      <c r="G18344" s="12">
        <f>ROUND((E18344*F18344)/100,2)</f>
        <v>3.94</v>
      </c>
    </row>
    <row r="18345" ht="15.0" customHeight="1">
      <c r="A18345" s="16"/>
      <c r="B18345" s="16"/>
      <c r="C18345" s="16"/>
      <c r="D18345" s="17" t="s">
        <v>8878</v>
      </c>
      <c r="E18345" s="16"/>
      <c r="F18345" s="18">
        <f>ROUND((G18336+G18337+G18338+G18339+G18344)*(1+G2/100),2)</f>
        <v>137.82</v>
      </c>
      <c r="G18345" s="16"/>
    </row>
    <row r="18346" ht="95.25" customHeight="1">
      <c r="A18346" s="19" t="s">
        <v>8881</v>
      </c>
      <c r="B18346" s="20" t="s">
        <v>18</v>
      </c>
      <c r="C18346" s="20" t="s">
        <v>231</v>
      </c>
      <c r="D18346" s="20" t="s">
        <v>8882</v>
      </c>
      <c r="E18346" s="21"/>
      <c r="F18346" s="22">
        <f>F18357</f>
        <v>161.22</v>
      </c>
      <c r="G18346" s="21"/>
    </row>
    <row r="18347" ht="30.0" customHeight="1">
      <c r="A18347" s="11"/>
      <c r="B18347" s="11"/>
      <c r="C18347" s="11"/>
      <c r="D18347" s="10" t="s">
        <v>8883</v>
      </c>
    </row>
    <row r="18348" ht="21.0" customHeight="1">
      <c r="A18348" s="10" t="s">
        <v>967</v>
      </c>
      <c r="B18348" s="10" t="s">
        <v>42</v>
      </c>
      <c r="C18348" s="10" t="s">
        <v>325</v>
      </c>
      <c r="D18348" s="10" t="s">
        <v>968</v>
      </c>
      <c r="E18348" s="14">
        <v>0.16</v>
      </c>
      <c r="F18348" s="15">
        <f>ROUND(6.49,3)</f>
        <v>6.49</v>
      </c>
      <c r="G18348" s="12">
        <f t="shared" ref="G18348:G18355" si="2355">ROUND(E18348*F18348,2)</f>
        <v>1.04</v>
      </c>
    </row>
    <row r="18349" ht="21.0" customHeight="1">
      <c r="A18349" s="10" t="s">
        <v>969</v>
      </c>
      <c r="B18349" s="10" t="s">
        <v>112</v>
      </c>
      <c r="C18349" s="10" t="s">
        <v>23</v>
      </c>
      <c r="D18349" s="10" t="s">
        <v>970</v>
      </c>
      <c r="E18349" s="14">
        <v>0.4</v>
      </c>
      <c r="F18349" s="15">
        <f>ROUND(2,3)</f>
        <v>2</v>
      </c>
      <c r="G18349" s="12">
        <f t="shared" si="2355"/>
        <v>0.8</v>
      </c>
    </row>
    <row r="18350" ht="30.0" customHeight="1">
      <c r="A18350" s="10" t="s">
        <v>971</v>
      </c>
      <c r="B18350" s="10" t="s">
        <v>42</v>
      </c>
      <c r="C18350" s="10" t="s">
        <v>231</v>
      </c>
      <c r="D18350" s="10" t="s">
        <v>972</v>
      </c>
      <c r="E18350" s="14">
        <v>0.3</v>
      </c>
      <c r="F18350" s="15">
        <f>ROUND(4.92,3)</f>
        <v>4.92</v>
      </c>
      <c r="G18350" s="12">
        <f t="shared" si="2355"/>
        <v>1.48</v>
      </c>
    </row>
    <row r="18351" ht="21.0" customHeight="1">
      <c r="A18351" s="10" t="s">
        <v>22</v>
      </c>
      <c r="B18351" s="10" t="s">
        <v>18</v>
      </c>
      <c r="C18351" s="10" t="s">
        <v>23</v>
      </c>
      <c r="D18351" s="10" t="s">
        <v>24</v>
      </c>
      <c r="E18351" s="14">
        <v>3.5</v>
      </c>
      <c r="F18351" s="15">
        <f>F18355</f>
        <v>43.8</v>
      </c>
      <c r="G18351" s="12">
        <f t="shared" si="2355"/>
        <v>153.3</v>
      </c>
    </row>
    <row r="18352" ht="24.0" customHeight="1">
      <c r="A18352" s="10" t="s">
        <v>25</v>
      </c>
      <c r="B18352" s="10" t="s">
        <v>26</v>
      </c>
      <c r="C18352" s="10" t="s">
        <v>23</v>
      </c>
      <c r="D18352" s="10" t="s">
        <v>27</v>
      </c>
      <c r="E18352" s="14">
        <v>1.0</v>
      </c>
      <c r="F18352" s="15">
        <f>ROUND(21,3)</f>
        <v>21</v>
      </c>
      <c r="G18352" s="12">
        <f t="shared" si="2355"/>
        <v>21</v>
      </c>
    </row>
    <row r="18353" ht="24.0" customHeight="1">
      <c r="A18353" s="10" t="s">
        <v>28</v>
      </c>
      <c r="B18353" s="10" t="s">
        <v>26</v>
      </c>
      <c r="C18353" s="10" t="s">
        <v>23</v>
      </c>
      <c r="D18353" s="10" t="s">
        <v>29</v>
      </c>
      <c r="E18353" s="14">
        <v>1.0</v>
      </c>
      <c r="F18353" s="15">
        <f t="shared" ref="F18353:F18354" si="2356">ROUND(19,3)</f>
        <v>19</v>
      </c>
      <c r="G18353" s="12">
        <f t="shared" si="2355"/>
        <v>19</v>
      </c>
    </row>
    <row r="18354" ht="24.0" customHeight="1">
      <c r="A18354" s="10" t="s">
        <v>30</v>
      </c>
      <c r="B18354" s="10" t="s">
        <v>26</v>
      </c>
      <c r="C18354" s="10" t="s">
        <v>23</v>
      </c>
      <c r="D18354" s="10" t="s">
        <v>31</v>
      </c>
      <c r="E18354" s="14">
        <v>0.2</v>
      </c>
      <c r="F18354" s="15">
        <f t="shared" si="2356"/>
        <v>19</v>
      </c>
      <c r="G18354" s="12">
        <f t="shared" si="2355"/>
        <v>3.8</v>
      </c>
    </row>
    <row r="18355" ht="15.0" customHeight="1">
      <c r="A18355" s="11"/>
      <c r="B18355" s="11"/>
      <c r="C18355" s="11"/>
      <c r="D18355" s="10" t="s">
        <v>22</v>
      </c>
      <c r="E18355" s="14">
        <v>3.5</v>
      </c>
      <c r="F18355" s="15">
        <f>ROUND((G18352+G18353+G18354),3)</f>
        <v>43.8</v>
      </c>
      <c r="G18355" s="12">
        <f t="shared" si="2355"/>
        <v>153.3</v>
      </c>
    </row>
    <row r="18356" ht="15.0" customHeight="1">
      <c r="A18356" s="10" t="s">
        <v>32</v>
      </c>
      <c r="B18356" s="10"/>
      <c r="C18356" s="10" t="s">
        <v>33</v>
      </c>
      <c r="D18356" s="10" t="s">
        <v>34</v>
      </c>
      <c r="E18356" s="14">
        <v>3.0</v>
      </c>
      <c r="F18356" s="15">
        <f>ROUND(153.3,3)</f>
        <v>153.3</v>
      </c>
      <c r="G18356" s="12">
        <f>ROUND((E18356*F18356)/100,2)</f>
        <v>4.6</v>
      </c>
    </row>
    <row r="18357" ht="15.0" customHeight="1">
      <c r="A18357" s="16"/>
      <c r="B18357" s="16"/>
      <c r="C18357" s="16"/>
      <c r="D18357" s="17" t="s">
        <v>8881</v>
      </c>
      <c r="E18357" s="16"/>
      <c r="F18357" s="18">
        <f>ROUND((G18348+G18349+G18350+G18351+G18356)*(1+G2/100),2)</f>
        <v>161.22</v>
      </c>
      <c r="G18357" s="16"/>
    </row>
    <row r="18358" ht="48.75" customHeight="1">
      <c r="A18358" s="19" t="s">
        <v>8884</v>
      </c>
      <c r="B18358" s="20" t="s">
        <v>18</v>
      </c>
      <c r="C18358" s="20" t="s">
        <v>344</v>
      </c>
      <c r="D18358" s="20" t="s">
        <v>8885</v>
      </c>
      <c r="E18358" s="21"/>
      <c r="F18358" s="22">
        <f>F18370</f>
        <v>89.78</v>
      </c>
      <c r="G18358" s="21"/>
    </row>
    <row r="18359" ht="21.0" customHeight="1">
      <c r="A18359" s="11"/>
      <c r="B18359" s="11"/>
      <c r="C18359" s="11"/>
      <c r="D18359" s="10" t="s">
        <v>8885</v>
      </c>
    </row>
    <row r="18360" ht="57.75" customHeight="1">
      <c r="A18360" s="10" t="s">
        <v>6683</v>
      </c>
      <c r="B18360" s="10" t="s">
        <v>42</v>
      </c>
      <c r="C18360" s="10" t="s">
        <v>344</v>
      </c>
      <c r="D18360" s="10" t="s">
        <v>6684</v>
      </c>
      <c r="E18360" s="14">
        <v>1.0</v>
      </c>
      <c r="F18360" s="15">
        <f>ROUND(17.22,3)</f>
        <v>17.22</v>
      </c>
      <c r="G18360" s="12">
        <f t="shared" ref="G18360:G18368" si="2357">ROUND(E18360*F18360,2)</f>
        <v>17.22</v>
      </c>
    </row>
    <row r="18361" ht="21.0" customHeight="1">
      <c r="A18361" s="10" t="s">
        <v>967</v>
      </c>
      <c r="B18361" s="10" t="s">
        <v>42</v>
      </c>
      <c r="C18361" s="10" t="s">
        <v>325</v>
      </c>
      <c r="D18361" s="10" t="s">
        <v>968</v>
      </c>
      <c r="E18361" s="14">
        <v>4.0</v>
      </c>
      <c r="F18361" s="15">
        <f>ROUND(6.49,3)</f>
        <v>6.49</v>
      </c>
      <c r="G18361" s="12">
        <f t="shared" si="2357"/>
        <v>25.96</v>
      </c>
    </row>
    <row r="18362" ht="21.0" customHeight="1">
      <c r="A18362" s="10" t="s">
        <v>969</v>
      </c>
      <c r="B18362" s="10" t="s">
        <v>112</v>
      </c>
      <c r="C18362" s="10" t="s">
        <v>23</v>
      </c>
      <c r="D18362" s="10" t="s">
        <v>970</v>
      </c>
      <c r="E18362" s="14">
        <v>0.5</v>
      </c>
      <c r="F18362" s="15">
        <f>ROUND(2,3)</f>
        <v>2</v>
      </c>
      <c r="G18362" s="12">
        <f t="shared" si="2357"/>
        <v>1</v>
      </c>
    </row>
    <row r="18363" ht="30.0" customHeight="1">
      <c r="A18363" s="10" t="s">
        <v>971</v>
      </c>
      <c r="B18363" s="10" t="s">
        <v>42</v>
      </c>
      <c r="C18363" s="10" t="s">
        <v>231</v>
      </c>
      <c r="D18363" s="10" t="s">
        <v>972</v>
      </c>
      <c r="E18363" s="14">
        <v>0.1</v>
      </c>
      <c r="F18363" s="15">
        <f>ROUND(4.92,3)</f>
        <v>4.92</v>
      </c>
      <c r="G18363" s="12">
        <f t="shared" si="2357"/>
        <v>0.49</v>
      </c>
    </row>
    <row r="18364" ht="21.0" customHeight="1">
      <c r="A18364" s="10" t="s">
        <v>22</v>
      </c>
      <c r="B18364" s="10" t="s">
        <v>18</v>
      </c>
      <c r="C18364" s="10" t="s">
        <v>23</v>
      </c>
      <c r="D18364" s="10" t="s">
        <v>24</v>
      </c>
      <c r="E18364" s="14">
        <v>1.0</v>
      </c>
      <c r="F18364" s="15">
        <f>F18368</f>
        <v>43.8</v>
      </c>
      <c r="G18364" s="12">
        <f t="shared" si="2357"/>
        <v>43.8</v>
      </c>
    </row>
    <row r="18365" ht="24.0" customHeight="1">
      <c r="A18365" s="10" t="s">
        <v>25</v>
      </c>
      <c r="B18365" s="10" t="s">
        <v>26</v>
      </c>
      <c r="C18365" s="10" t="s">
        <v>23</v>
      </c>
      <c r="D18365" s="10" t="s">
        <v>27</v>
      </c>
      <c r="E18365" s="14">
        <v>1.0</v>
      </c>
      <c r="F18365" s="15">
        <f>ROUND(21,3)</f>
        <v>21</v>
      </c>
      <c r="G18365" s="12">
        <f t="shared" si="2357"/>
        <v>21</v>
      </c>
    </row>
    <row r="18366" ht="24.0" customHeight="1">
      <c r="A18366" s="10" t="s">
        <v>28</v>
      </c>
      <c r="B18366" s="10" t="s">
        <v>26</v>
      </c>
      <c r="C18366" s="10" t="s">
        <v>23</v>
      </c>
      <c r="D18366" s="10" t="s">
        <v>29</v>
      </c>
      <c r="E18366" s="14">
        <v>1.0</v>
      </c>
      <c r="F18366" s="15">
        <f t="shared" ref="F18366:F18367" si="2358">ROUND(19,3)</f>
        <v>19</v>
      </c>
      <c r="G18366" s="12">
        <f t="shared" si="2357"/>
        <v>19</v>
      </c>
    </row>
    <row r="18367" ht="24.0" customHeight="1">
      <c r="A18367" s="10" t="s">
        <v>30</v>
      </c>
      <c r="B18367" s="10" t="s">
        <v>26</v>
      </c>
      <c r="C18367" s="10" t="s">
        <v>23</v>
      </c>
      <c r="D18367" s="10" t="s">
        <v>31</v>
      </c>
      <c r="E18367" s="14">
        <v>0.2</v>
      </c>
      <c r="F18367" s="15">
        <f t="shared" si="2358"/>
        <v>19</v>
      </c>
      <c r="G18367" s="12">
        <f t="shared" si="2357"/>
        <v>3.8</v>
      </c>
    </row>
    <row r="18368" ht="15.0" customHeight="1">
      <c r="A18368" s="11"/>
      <c r="B18368" s="11"/>
      <c r="C18368" s="11"/>
      <c r="D18368" s="10" t="s">
        <v>22</v>
      </c>
      <c r="E18368" s="14">
        <v>1.0</v>
      </c>
      <c r="F18368" s="15">
        <f>ROUND((G18365+G18366+G18367),3)</f>
        <v>43.8</v>
      </c>
      <c r="G18368" s="12">
        <f t="shared" si="2357"/>
        <v>43.8</v>
      </c>
    </row>
    <row r="18369" ht="15.0" customHeight="1">
      <c r="A18369" s="10" t="s">
        <v>32</v>
      </c>
      <c r="B18369" s="10"/>
      <c r="C18369" s="10" t="s">
        <v>33</v>
      </c>
      <c r="D18369" s="10" t="s">
        <v>34</v>
      </c>
      <c r="E18369" s="14">
        <v>3.0</v>
      </c>
      <c r="F18369" s="15">
        <f>ROUND(43.8,3)</f>
        <v>43.8</v>
      </c>
      <c r="G18369" s="12">
        <f>ROUND((E18369*F18369)/100,2)</f>
        <v>1.31</v>
      </c>
    </row>
    <row r="18370" ht="24.75" customHeight="1">
      <c r="A18370" s="16"/>
      <c r="B18370" s="16"/>
      <c r="C18370" s="16"/>
      <c r="D18370" s="17" t="s">
        <v>8884</v>
      </c>
      <c r="E18370" s="16"/>
      <c r="F18370" s="18">
        <f>ROUND((G18360+G18361+G18362+G18363+G18364+G18369)*(1+G2/100),2)</f>
        <v>89.78</v>
      </c>
      <c r="G18370" s="16"/>
    </row>
    <row r="18371" ht="48.75" customHeight="1">
      <c r="A18371" s="19" t="s">
        <v>8886</v>
      </c>
      <c r="B18371" s="20" t="s">
        <v>18</v>
      </c>
      <c r="C18371" s="20" t="s">
        <v>344</v>
      </c>
      <c r="D18371" s="20" t="s">
        <v>8887</v>
      </c>
      <c r="E18371" s="21"/>
      <c r="F18371" s="22">
        <f>F18383</f>
        <v>91.92</v>
      </c>
      <c r="G18371" s="21"/>
    </row>
    <row r="18372" ht="21.0" customHeight="1">
      <c r="A18372" s="11"/>
      <c r="B18372" s="11"/>
      <c r="C18372" s="11"/>
      <c r="D18372" s="10" t="s">
        <v>8887</v>
      </c>
    </row>
    <row r="18373" ht="57.75" customHeight="1">
      <c r="A18373" s="10" t="s">
        <v>6685</v>
      </c>
      <c r="B18373" s="10" t="s">
        <v>42</v>
      </c>
      <c r="C18373" s="10" t="s">
        <v>344</v>
      </c>
      <c r="D18373" s="10" t="s">
        <v>6686</v>
      </c>
      <c r="E18373" s="14">
        <v>1.0</v>
      </c>
      <c r="F18373" s="15">
        <f>ROUND(19.36,3)</f>
        <v>19.36</v>
      </c>
      <c r="G18373" s="12">
        <f t="shared" ref="G18373:G18381" si="2359">ROUND(E18373*F18373,2)</f>
        <v>19.36</v>
      </c>
    </row>
    <row r="18374" ht="21.0" customHeight="1">
      <c r="A18374" s="10" t="s">
        <v>967</v>
      </c>
      <c r="B18374" s="10" t="s">
        <v>42</v>
      </c>
      <c r="C18374" s="10" t="s">
        <v>325</v>
      </c>
      <c r="D18374" s="10" t="s">
        <v>968</v>
      </c>
      <c r="E18374" s="14">
        <v>4.0</v>
      </c>
      <c r="F18374" s="15">
        <f>ROUND(6.49,3)</f>
        <v>6.49</v>
      </c>
      <c r="G18374" s="12">
        <f t="shared" si="2359"/>
        <v>25.96</v>
      </c>
    </row>
    <row r="18375" ht="21.0" customHeight="1">
      <c r="A18375" s="10" t="s">
        <v>969</v>
      </c>
      <c r="B18375" s="10" t="s">
        <v>112</v>
      </c>
      <c r="C18375" s="10" t="s">
        <v>23</v>
      </c>
      <c r="D18375" s="10" t="s">
        <v>970</v>
      </c>
      <c r="E18375" s="14">
        <v>0.5</v>
      </c>
      <c r="F18375" s="15">
        <f>ROUND(2,3)</f>
        <v>2</v>
      </c>
      <c r="G18375" s="12">
        <f t="shared" si="2359"/>
        <v>1</v>
      </c>
    </row>
    <row r="18376" ht="30.0" customHeight="1">
      <c r="A18376" s="10" t="s">
        <v>971</v>
      </c>
      <c r="B18376" s="10" t="s">
        <v>42</v>
      </c>
      <c r="C18376" s="10" t="s">
        <v>231</v>
      </c>
      <c r="D18376" s="10" t="s">
        <v>972</v>
      </c>
      <c r="E18376" s="14">
        <v>0.1</v>
      </c>
      <c r="F18376" s="15">
        <f>ROUND(4.92,3)</f>
        <v>4.92</v>
      </c>
      <c r="G18376" s="12">
        <f t="shared" si="2359"/>
        <v>0.49</v>
      </c>
    </row>
    <row r="18377" ht="21.0" customHeight="1">
      <c r="A18377" s="10" t="s">
        <v>22</v>
      </c>
      <c r="B18377" s="10" t="s">
        <v>18</v>
      </c>
      <c r="C18377" s="10" t="s">
        <v>23</v>
      </c>
      <c r="D18377" s="10" t="s">
        <v>24</v>
      </c>
      <c r="E18377" s="14">
        <v>1.0</v>
      </c>
      <c r="F18377" s="15">
        <f>F18381</f>
        <v>43.8</v>
      </c>
      <c r="G18377" s="12">
        <f t="shared" si="2359"/>
        <v>43.8</v>
      </c>
    </row>
    <row r="18378" ht="24.0" customHeight="1">
      <c r="A18378" s="10" t="s">
        <v>25</v>
      </c>
      <c r="B18378" s="10" t="s">
        <v>26</v>
      </c>
      <c r="C18378" s="10" t="s">
        <v>23</v>
      </c>
      <c r="D18378" s="10" t="s">
        <v>27</v>
      </c>
      <c r="E18378" s="14">
        <v>1.0</v>
      </c>
      <c r="F18378" s="15">
        <f>ROUND(21,3)</f>
        <v>21</v>
      </c>
      <c r="G18378" s="12">
        <f t="shared" si="2359"/>
        <v>21</v>
      </c>
    </row>
    <row r="18379" ht="24.0" customHeight="1">
      <c r="A18379" s="10" t="s">
        <v>28</v>
      </c>
      <c r="B18379" s="10" t="s">
        <v>26</v>
      </c>
      <c r="C18379" s="10" t="s">
        <v>23</v>
      </c>
      <c r="D18379" s="10" t="s">
        <v>29</v>
      </c>
      <c r="E18379" s="14">
        <v>1.0</v>
      </c>
      <c r="F18379" s="15">
        <f t="shared" ref="F18379:F18380" si="2360">ROUND(19,3)</f>
        <v>19</v>
      </c>
      <c r="G18379" s="12">
        <f t="shared" si="2359"/>
        <v>19</v>
      </c>
    </row>
    <row r="18380" ht="24.0" customHeight="1">
      <c r="A18380" s="10" t="s">
        <v>30</v>
      </c>
      <c r="B18380" s="10" t="s">
        <v>26</v>
      </c>
      <c r="C18380" s="10" t="s">
        <v>23</v>
      </c>
      <c r="D18380" s="10" t="s">
        <v>31</v>
      </c>
      <c r="E18380" s="14">
        <v>0.2</v>
      </c>
      <c r="F18380" s="15">
        <f t="shared" si="2360"/>
        <v>19</v>
      </c>
      <c r="G18380" s="12">
        <f t="shared" si="2359"/>
        <v>3.8</v>
      </c>
    </row>
    <row r="18381" ht="15.0" customHeight="1">
      <c r="A18381" s="11"/>
      <c r="B18381" s="11"/>
      <c r="C18381" s="11"/>
      <c r="D18381" s="10" t="s">
        <v>22</v>
      </c>
      <c r="E18381" s="14">
        <v>1.0</v>
      </c>
      <c r="F18381" s="15">
        <f>ROUND((G18378+G18379+G18380),3)</f>
        <v>43.8</v>
      </c>
      <c r="G18381" s="12">
        <f t="shared" si="2359"/>
        <v>43.8</v>
      </c>
    </row>
    <row r="18382" ht="15.0" customHeight="1">
      <c r="A18382" s="10" t="s">
        <v>32</v>
      </c>
      <c r="B18382" s="10"/>
      <c r="C18382" s="10" t="s">
        <v>33</v>
      </c>
      <c r="D18382" s="10" t="s">
        <v>34</v>
      </c>
      <c r="E18382" s="14">
        <v>3.0</v>
      </c>
      <c r="F18382" s="15">
        <f>ROUND(43.8,3)</f>
        <v>43.8</v>
      </c>
      <c r="G18382" s="12">
        <f>ROUND((E18382*F18382)/100,2)</f>
        <v>1.31</v>
      </c>
    </row>
    <row r="18383" ht="24.75" customHeight="1">
      <c r="A18383" s="16"/>
      <c r="B18383" s="16"/>
      <c r="C18383" s="16"/>
      <c r="D18383" s="17" t="s">
        <v>8886</v>
      </c>
      <c r="E18383" s="16"/>
      <c r="F18383" s="18">
        <f>ROUND((G18373+G18374+G18375+G18376+G18377+G18382)*(1+G2/100),2)</f>
        <v>91.92</v>
      </c>
      <c r="G18383" s="16"/>
    </row>
    <row r="18384" ht="48.75" customHeight="1">
      <c r="A18384" s="19" t="s">
        <v>8888</v>
      </c>
      <c r="B18384" s="20" t="s">
        <v>18</v>
      </c>
      <c r="C18384" s="20" t="s">
        <v>344</v>
      </c>
      <c r="D18384" s="20" t="s">
        <v>8889</v>
      </c>
      <c r="E18384" s="21"/>
      <c r="F18384" s="22">
        <f>F18396</f>
        <v>101.56</v>
      </c>
      <c r="G18384" s="21"/>
    </row>
    <row r="18385" ht="21.0" customHeight="1">
      <c r="A18385" s="11"/>
      <c r="B18385" s="11"/>
      <c r="C18385" s="11"/>
      <c r="D18385" s="10" t="s">
        <v>8889</v>
      </c>
    </row>
    <row r="18386" ht="57.75" customHeight="1">
      <c r="A18386" s="10" t="s">
        <v>6681</v>
      </c>
      <c r="B18386" s="10" t="s">
        <v>42</v>
      </c>
      <c r="C18386" s="10" t="s">
        <v>344</v>
      </c>
      <c r="D18386" s="10" t="s">
        <v>6682</v>
      </c>
      <c r="E18386" s="14">
        <v>1.0</v>
      </c>
      <c r="F18386" s="15">
        <f>ROUND(19.97,3)</f>
        <v>19.97</v>
      </c>
      <c r="G18386" s="12">
        <f t="shared" ref="G18386:G18394" si="2361">ROUND(E18386*F18386,2)</f>
        <v>19.97</v>
      </c>
    </row>
    <row r="18387" ht="21.0" customHeight="1">
      <c r="A18387" s="10" t="s">
        <v>967</v>
      </c>
      <c r="B18387" s="10" t="s">
        <v>42</v>
      </c>
      <c r="C18387" s="10" t="s">
        <v>325</v>
      </c>
      <c r="D18387" s="10" t="s">
        <v>968</v>
      </c>
      <c r="E18387" s="14">
        <v>4.0</v>
      </c>
      <c r="F18387" s="15">
        <f>ROUND(6.49,3)</f>
        <v>6.49</v>
      </c>
      <c r="G18387" s="12">
        <f t="shared" si="2361"/>
        <v>25.96</v>
      </c>
    </row>
    <row r="18388" ht="21.0" customHeight="1">
      <c r="A18388" s="10" t="s">
        <v>969</v>
      </c>
      <c r="B18388" s="10" t="s">
        <v>112</v>
      </c>
      <c r="C18388" s="10" t="s">
        <v>23</v>
      </c>
      <c r="D18388" s="10" t="s">
        <v>970</v>
      </c>
      <c r="E18388" s="14">
        <v>0.5</v>
      </c>
      <c r="F18388" s="15">
        <f>ROUND(2,3)</f>
        <v>2</v>
      </c>
      <c r="G18388" s="12">
        <f t="shared" si="2361"/>
        <v>1</v>
      </c>
    </row>
    <row r="18389" ht="30.0" customHeight="1">
      <c r="A18389" s="10" t="s">
        <v>971</v>
      </c>
      <c r="B18389" s="10" t="s">
        <v>42</v>
      </c>
      <c r="C18389" s="10" t="s">
        <v>231</v>
      </c>
      <c r="D18389" s="10" t="s">
        <v>972</v>
      </c>
      <c r="E18389" s="14">
        <v>0.1</v>
      </c>
      <c r="F18389" s="15">
        <f>ROUND(4.92,3)</f>
        <v>4.92</v>
      </c>
      <c r="G18389" s="12">
        <f t="shared" si="2361"/>
        <v>0.49</v>
      </c>
    </row>
    <row r="18390" ht="21.0" customHeight="1">
      <c r="A18390" s="10" t="s">
        <v>22</v>
      </c>
      <c r="B18390" s="10" t="s">
        <v>18</v>
      </c>
      <c r="C18390" s="10" t="s">
        <v>23</v>
      </c>
      <c r="D18390" s="10" t="s">
        <v>24</v>
      </c>
      <c r="E18390" s="14">
        <v>1.2</v>
      </c>
      <c r="F18390" s="15">
        <f>F18394</f>
        <v>43.8</v>
      </c>
      <c r="G18390" s="12">
        <f t="shared" si="2361"/>
        <v>52.56</v>
      </c>
    </row>
    <row r="18391" ht="24.0" customHeight="1">
      <c r="A18391" s="10" t="s">
        <v>25</v>
      </c>
      <c r="B18391" s="10" t="s">
        <v>26</v>
      </c>
      <c r="C18391" s="10" t="s">
        <v>23</v>
      </c>
      <c r="D18391" s="10" t="s">
        <v>27</v>
      </c>
      <c r="E18391" s="14">
        <v>1.0</v>
      </c>
      <c r="F18391" s="15">
        <f>ROUND(21,3)</f>
        <v>21</v>
      </c>
      <c r="G18391" s="12">
        <f t="shared" si="2361"/>
        <v>21</v>
      </c>
    </row>
    <row r="18392" ht="24.0" customHeight="1">
      <c r="A18392" s="10" t="s">
        <v>28</v>
      </c>
      <c r="B18392" s="10" t="s">
        <v>26</v>
      </c>
      <c r="C18392" s="10" t="s">
        <v>23</v>
      </c>
      <c r="D18392" s="10" t="s">
        <v>29</v>
      </c>
      <c r="E18392" s="14">
        <v>1.0</v>
      </c>
      <c r="F18392" s="15">
        <f t="shared" ref="F18392:F18393" si="2362">ROUND(19,3)</f>
        <v>19</v>
      </c>
      <c r="G18392" s="12">
        <f t="shared" si="2361"/>
        <v>19</v>
      </c>
    </row>
    <row r="18393" ht="24.0" customHeight="1">
      <c r="A18393" s="10" t="s">
        <v>30</v>
      </c>
      <c r="B18393" s="10" t="s">
        <v>26</v>
      </c>
      <c r="C18393" s="10" t="s">
        <v>23</v>
      </c>
      <c r="D18393" s="10" t="s">
        <v>31</v>
      </c>
      <c r="E18393" s="14">
        <v>0.2</v>
      </c>
      <c r="F18393" s="15">
        <f t="shared" si="2362"/>
        <v>19</v>
      </c>
      <c r="G18393" s="12">
        <f t="shared" si="2361"/>
        <v>3.8</v>
      </c>
    </row>
    <row r="18394" ht="15.0" customHeight="1">
      <c r="A18394" s="11"/>
      <c r="B18394" s="11"/>
      <c r="C18394" s="11"/>
      <c r="D18394" s="10" t="s">
        <v>22</v>
      </c>
      <c r="E18394" s="14">
        <v>1.2</v>
      </c>
      <c r="F18394" s="15">
        <f>ROUND((G18391+G18392+G18393),3)</f>
        <v>43.8</v>
      </c>
      <c r="G18394" s="12">
        <f t="shared" si="2361"/>
        <v>52.56</v>
      </c>
    </row>
    <row r="18395" ht="15.0" customHeight="1">
      <c r="A18395" s="10" t="s">
        <v>32</v>
      </c>
      <c r="B18395" s="10"/>
      <c r="C18395" s="10" t="s">
        <v>33</v>
      </c>
      <c r="D18395" s="10" t="s">
        <v>34</v>
      </c>
      <c r="E18395" s="14">
        <v>3.0</v>
      </c>
      <c r="F18395" s="15">
        <f>ROUND(52.56,3)</f>
        <v>52.56</v>
      </c>
      <c r="G18395" s="12">
        <f>ROUND((E18395*F18395)/100,2)</f>
        <v>1.58</v>
      </c>
    </row>
    <row r="18396" ht="24.75" customHeight="1">
      <c r="A18396" s="16"/>
      <c r="B18396" s="16"/>
      <c r="C18396" s="16"/>
      <c r="D18396" s="17" t="s">
        <v>8888</v>
      </c>
      <c r="E18396" s="16"/>
      <c r="F18396" s="18">
        <f>ROUND((G18386+G18387+G18388+G18389+G18390+G18395)*(1+G2/100),2)</f>
        <v>101.56</v>
      </c>
      <c r="G18396" s="16"/>
    </row>
    <row r="18397" ht="48.75" customHeight="1">
      <c r="A18397" s="19" t="s">
        <v>8890</v>
      </c>
      <c r="B18397" s="20" t="s">
        <v>18</v>
      </c>
      <c r="C18397" s="20" t="s">
        <v>344</v>
      </c>
      <c r="D18397" s="20" t="s">
        <v>8891</v>
      </c>
      <c r="E18397" s="21"/>
      <c r="F18397" s="22">
        <f>F18409</f>
        <v>105.14</v>
      </c>
      <c r="G18397" s="21"/>
    </row>
    <row r="18398" ht="21.0" customHeight="1">
      <c r="A18398" s="11"/>
      <c r="B18398" s="11"/>
      <c r="C18398" s="11"/>
      <c r="D18398" s="10" t="s">
        <v>8891</v>
      </c>
    </row>
    <row r="18399" ht="57.75" customHeight="1">
      <c r="A18399" s="10" t="s">
        <v>6687</v>
      </c>
      <c r="B18399" s="10" t="s">
        <v>42</v>
      </c>
      <c r="C18399" s="10" t="s">
        <v>344</v>
      </c>
      <c r="D18399" s="10" t="s">
        <v>6688</v>
      </c>
      <c r="E18399" s="14">
        <v>1.0</v>
      </c>
      <c r="F18399" s="15">
        <f>ROUND(20.55,3)</f>
        <v>20.55</v>
      </c>
      <c r="G18399" s="12">
        <f t="shared" ref="G18399:G18407" si="2363">ROUND(E18399*F18399,2)</f>
        <v>20.55</v>
      </c>
    </row>
    <row r="18400" ht="21.0" customHeight="1">
      <c r="A18400" s="10" t="s">
        <v>967</v>
      </c>
      <c r="B18400" s="10" t="s">
        <v>42</v>
      </c>
      <c r="C18400" s="10" t="s">
        <v>325</v>
      </c>
      <c r="D18400" s="10" t="s">
        <v>968</v>
      </c>
      <c r="E18400" s="14">
        <v>4.0</v>
      </c>
      <c r="F18400" s="15">
        <f>ROUND(6.49,3)</f>
        <v>6.49</v>
      </c>
      <c r="G18400" s="12">
        <f t="shared" si="2363"/>
        <v>25.96</v>
      </c>
    </row>
    <row r="18401" ht="21.0" customHeight="1">
      <c r="A18401" s="10" t="s">
        <v>969</v>
      </c>
      <c r="B18401" s="10" t="s">
        <v>112</v>
      </c>
      <c r="C18401" s="10" t="s">
        <v>23</v>
      </c>
      <c r="D18401" s="10" t="s">
        <v>970</v>
      </c>
      <c r="E18401" s="14">
        <v>2.0</v>
      </c>
      <c r="F18401" s="15">
        <f>ROUND(2,3)</f>
        <v>2</v>
      </c>
      <c r="G18401" s="12">
        <f t="shared" si="2363"/>
        <v>4</v>
      </c>
    </row>
    <row r="18402" ht="30.0" customHeight="1">
      <c r="A18402" s="10" t="s">
        <v>971</v>
      </c>
      <c r="B18402" s="10" t="s">
        <v>42</v>
      </c>
      <c r="C18402" s="10" t="s">
        <v>231</v>
      </c>
      <c r="D18402" s="10" t="s">
        <v>972</v>
      </c>
      <c r="E18402" s="14">
        <v>0.1</v>
      </c>
      <c r="F18402" s="15">
        <f>ROUND(4.92,3)</f>
        <v>4.92</v>
      </c>
      <c r="G18402" s="12">
        <f t="shared" si="2363"/>
        <v>0.49</v>
      </c>
    </row>
    <row r="18403" ht="21.0" customHeight="1">
      <c r="A18403" s="10" t="s">
        <v>22</v>
      </c>
      <c r="B18403" s="10" t="s">
        <v>18</v>
      </c>
      <c r="C18403" s="10" t="s">
        <v>23</v>
      </c>
      <c r="D18403" s="10" t="s">
        <v>24</v>
      </c>
      <c r="E18403" s="14">
        <v>1.2</v>
      </c>
      <c r="F18403" s="15">
        <f>F18407</f>
        <v>43.8</v>
      </c>
      <c r="G18403" s="12">
        <f t="shared" si="2363"/>
        <v>52.56</v>
      </c>
    </row>
    <row r="18404" ht="24.0" customHeight="1">
      <c r="A18404" s="10" t="s">
        <v>25</v>
      </c>
      <c r="B18404" s="10" t="s">
        <v>26</v>
      </c>
      <c r="C18404" s="10" t="s">
        <v>23</v>
      </c>
      <c r="D18404" s="10" t="s">
        <v>27</v>
      </c>
      <c r="E18404" s="14">
        <v>1.0</v>
      </c>
      <c r="F18404" s="15">
        <f>ROUND(21,3)</f>
        <v>21</v>
      </c>
      <c r="G18404" s="12">
        <f t="shared" si="2363"/>
        <v>21</v>
      </c>
    </row>
    <row r="18405" ht="24.0" customHeight="1">
      <c r="A18405" s="10" t="s">
        <v>28</v>
      </c>
      <c r="B18405" s="10" t="s">
        <v>26</v>
      </c>
      <c r="C18405" s="10" t="s">
        <v>23</v>
      </c>
      <c r="D18405" s="10" t="s">
        <v>29</v>
      </c>
      <c r="E18405" s="14">
        <v>1.0</v>
      </c>
      <c r="F18405" s="15">
        <f t="shared" ref="F18405:F18406" si="2364">ROUND(19,3)</f>
        <v>19</v>
      </c>
      <c r="G18405" s="12">
        <f t="shared" si="2363"/>
        <v>19</v>
      </c>
    </row>
    <row r="18406" ht="24.0" customHeight="1">
      <c r="A18406" s="10" t="s">
        <v>30</v>
      </c>
      <c r="B18406" s="10" t="s">
        <v>26</v>
      </c>
      <c r="C18406" s="10" t="s">
        <v>23</v>
      </c>
      <c r="D18406" s="10" t="s">
        <v>31</v>
      </c>
      <c r="E18406" s="14">
        <v>0.2</v>
      </c>
      <c r="F18406" s="15">
        <f t="shared" si="2364"/>
        <v>19</v>
      </c>
      <c r="G18406" s="12">
        <f t="shared" si="2363"/>
        <v>3.8</v>
      </c>
    </row>
    <row r="18407" ht="15.0" customHeight="1">
      <c r="A18407" s="11"/>
      <c r="B18407" s="11"/>
      <c r="C18407" s="11"/>
      <c r="D18407" s="10" t="s">
        <v>22</v>
      </c>
      <c r="E18407" s="14">
        <v>1.2</v>
      </c>
      <c r="F18407" s="15">
        <f>ROUND((G18404+G18405+G18406),3)</f>
        <v>43.8</v>
      </c>
      <c r="G18407" s="12">
        <f t="shared" si="2363"/>
        <v>52.56</v>
      </c>
    </row>
    <row r="18408" ht="15.0" customHeight="1">
      <c r="A18408" s="10" t="s">
        <v>32</v>
      </c>
      <c r="B18408" s="10"/>
      <c r="C18408" s="10" t="s">
        <v>33</v>
      </c>
      <c r="D18408" s="10" t="s">
        <v>34</v>
      </c>
      <c r="E18408" s="14">
        <v>3.0</v>
      </c>
      <c r="F18408" s="15">
        <f>ROUND(52.56,3)</f>
        <v>52.56</v>
      </c>
      <c r="G18408" s="12">
        <f>ROUND((E18408*F18408)/100,2)</f>
        <v>1.58</v>
      </c>
    </row>
    <row r="18409" ht="24.75" customHeight="1">
      <c r="A18409" s="16"/>
      <c r="B18409" s="16"/>
      <c r="C18409" s="16"/>
      <c r="D18409" s="17" t="s">
        <v>8890</v>
      </c>
      <c r="E18409" s="16"/>
      <c r="F18409" s="18">
        <f>ROUND((G18399+G18400+G18401+G18402+G18403+G18408)*(1+G2/100),2)</f>
        <v>105.14</v>
      </c>
      <c r="G18409" s="16"/>
    </row>
    <row r="18410" ht="15.0" customHeight="1">
      <c r="A18410" s="23"/>
      <c r="B18410" s="23"/>
      <c r="C18410" s="23"/>
      <c r="D18410" s="32" t="s">
        <v>8866</v>
      </c>
      <c r="E18410" s="33"/>
      <c r="F18410" s="33"/>
      <c r="G18410" s="33"/>
    </row>
    <row r="18411" ht="24.75" customHeight="1">
      <c r="A18411" s="34" t="s">
        <v>8892</v>
      </c>
      <c r="B18411" s="34" t="s">
        <v>10</v>
      </c>
      <c r="C18411" s="35"/>
      <c r="D18411" s="34" t="s">
        <v>8893</v>
      </c>
      <c r="E18411" s="35"/>
      <c r="F18411" s="35"/>
      <c r="G18411" s="35"/>
    </row>
    <row r="18412" ht="15.0" customHeight="1">
      <c r="A18412" s="42" t="s">
        <v>8894</v>
      </c>
      <c r="B18412" s="42" t="s">
        <v>10</v>
      </c>
      <c r="C18412" s="43"/>
      <c r="D18412" s="42" t="s">
        <v>8894</v>
      </c>
      <c r="E18412" s="43"/>
      <c r="F18412" s="43"/>
      <c r="G18412" s="43"/>
    </row>
    <row r="18413" ht="34.5" customHeight="1">
      <c r="A18413" s="28" t="s">
        <v>8895</v>
      </c>
      <c r="B18413" s="28" t="s">
        <v>10</v>
      </c>
      <c r="C18413" s="29"/>
      <c r="D18413" s="28" t="s">
        <v>8896</v>
      </c>
      <c r="E18413" s="29"/>
      <c r="F18413" s="29"/>
      <c r="G18413" s="29"/>
    </row>
    <row r="18414" ht="15.0" customHeight="1">
      <c r="A18414" s="53" t="s">
        <v>8897</v>
      </c>
      <c r="B18414" s="53" t="s">
        <v>10</v>
      </c>
      <c r="C18414" s="54"/>
      <c r="D18414" s="53" t="s">
        <v>8898</v>
      </c>
      <c r="E18414" s="54"/>
      <c r="F18414" s="54"/>
      <c r="G18414" s="54"/>
    </row>
    <row r="18415" ht="30.0" customHeight="1">
      <c r="A18415" s="13" t="s">
        <v>8899</v>
      </c>
      <c r="B18415" s="10" t="s">
        <v>18</v>
      </c>
      <c r="C18415" s="10" t="s">
        <v>231</v>
      </c>
      <c r="D18415" s="10" t="s">
        <v>8900</v>
      </c>
      <c r="E18415" s="11"/>
      <c r="F18415" s="12">
        <f>F18423</f>
        <v>12.26</v>
      </c>
      <c r="G18415" s="11"/>
    </row>
    <row r="18416" ht="12.0" customHeight="1">
      <c r="A18416" s="11"/>
      <c r="B18416" s="11"/>
      <c r="C18416" s="11"/>
      <c r="D18416" s="10" t="s">
        <v>8901</v>
      </c>
    </row>
    <row r="18417" ht="21.0" customHeight="1">
      <c r="A18417" s="10" t="s">
        <v>22</v>
      </c>
      <c r="B18417" s="10" t="s">
        <v>18</v>
      </c>
      <c r="C18417" s="10" t="s">
        <v>23</v>
      </c>
      <c r="D18417" s="10" t="s">
        <v>24</v>
      </c>
      <c r="E18417" s="14">
        <v>0.26667</v>
      </c>
      <c r="F18417" s="15">
        <f>F18421</f>
        <v>43.8</v>
      </c>
      <c r="G18417" s="12">
        <f t="shared" ref="G18417:G18421" si="2365">ROUND(E18417*F18417,2)</f>
        <v>11.68</v>
      </c>
    </row>
    <row r="18418" ht="24.0" customHeight="1">
      <c r="A18418" s="10" t="s">
        <v>25</v>
      </c>
      <c r="B18418" s="10" t="s">
        <v>26</v>
      </c>
      <c r="C18418" s="10" t="s">
        <v>23</v>
      </c>
      <c r="D18418" s="10" t="s">
        <v>27</v>
      </c>
      <c r="E18418" s="14">
        <v>1.0</v>
      </c>
      <c r="F18418" s="15">
        <f>ROUND(21,3)</f>
        <v>21</v>
      </c>
      <c r="G18418" s="12">
        <f t="shared" si="2365"/>
        <v>21</v>
      </c>
    </row>
    <row r="18419" ht="24.0" customHeight="1">
      <c r="A18419" s="10" t="s">
        <v>28</v>
      </c>
      <c r="B18419" s="10" t="s">
        <v>26</v>
      </c>
      <c r="C18419" s="10" t="s">
        <v>23</v>
      </c>
      <c r="D18419" s="10" t="s">
        <v>29</v>
      </c>
      <c r="E18419" s="14">
        <v>1.0</v>
      </c>
      <c r="F18419" s="15">
        <f t="shared" ref="F18419:F18420" si="2366">ROUND(19,3)</f>
        <v>19</v>
      </c>
      <c r="G18419" s="12">
        <f t="shared" si="2365"/>
        <v>19</v>
      </c>
    </row>
    <row r="18420" ht="24.0" customHeight="1">
      <c r="A18420" s="10" t="s">
        <v>30</v>
      </c>
      <c r="B18420" s="10" t="s">
        <v>26</v>
      </c>
      <c r="C18420" s="10" t="s">
        <v>23</v>
      </c>
      <c r="D18420" s="10" t="s">
        <v>31</v>
      </c>
      <c r="E18420" s="14">
        <v>0.2</v>
      </c>
      <c r="F18420" s="15">
        <f t="shared" si="2366"/>
        <v>19</v>
      </c>
      <c r="G18420" s="12">
        <f t="shared" si="2365"/>
        <v>3.8</v>
      </c>
    </row>
    <row r="18421" ht="15.0" customHeight="1">
      <c r="A18421" s="11"/>
      <c r="B18421" s="11"/>
      <c r="C18421" s="11"/>
      <c r="D18421" s="10" t="s">
        <v>22</v>
      </c>
      <c r="E18421" s="14">
        <v>0.26667</v>
      </c>
      <c r="F18421" s="15">
        <f>ROUND((G18418+G18419+G18420),3)</f>
        <v>43.8</v>
      </c>
      <c r="G18421" s="12">
        <f t="shared" si="2365"/>
        <v>11.68</v>
      </c>
    </row>
    <row r="18422" ht="15.0" customHeight="1">
      <c r="A18422" s="10" t="s">
        <v>32</v>
      </c>
      <c r="B18422" s="10"/>
      <c r="C18422" s="10" t="s">
        <v>33</v>
      </c>
      <c r="D18422" s="10" t="s">
        <v>34</v>
      </c>
      <c r="E18422" s="14">
        <v>5.0</v>
      </c>
      <c r="F18422" s="15">
        <f>ROUND(11.68,3)</f>
        <v>11.68</v>
      </c>
      <c r="G18422" s="12">
        <f>ROUND((E18422*F18422)/100,2)</f>
        <v>0.58</v>
      </c>
    </row>
    <row r="18423" ht="15.0" customHeight="1">
      <c r="A18423" s="16"/>
      <c r="B18423" s="16"/>
      <c r="C18423" s="16"/>
      <c r="D18423" s="17" t="s">
        <v>8899</v>
      </c>
      <c r="E18423" s="16"/>
      <c r="F18423" s="18">
        <f>ROUND((G18417+G18422)*(1+G2/100),2)</f>
        <v>12.26</v>
      </c>
      <c r="G18423" s="16"/>
    </row>
    <row r="18424" ht="15.0" customHeight="1">
      <c r="A18424" s="23"/>
      <c r="B18424" s="23"/>
      <c r="C18424" s="23"/>
      <c r="D18424" s="55" t="s">
        <v>8897</v>
      </c>
      <c r="E18424" s="56"/>
      <c r="F18424" s="56"/>
      <c r="G18424" s="56"/>
    </row>
    <row r="18425" ht="21.75" customHeight="1">
      <c r="A18425" s="65" t="s">
        <v>8902</v>
      </c>
      <c r="B18425" s="65" t="s">
        <v>10</v>
      </c>
      <c r="C18425" s="66"/>
      <c r="D18425" s="65" t="s">
        <v>8903</v>
      </c>
      <c r="E18425" s="66"/>
      <c r="F18425" s="66"/>
      <c r="G18425" s="66"/>
    </row>
    <row r="18426" ht="76.5" customHeight="1">
      <c r="A18426" s="13" t="s">
        <v>8904</v>
      </c>
      <c r="B18426" s="10" t="s">
        <v>18</v>
      </c>
      <c r="C18426" s="10" t="s">
        <v>231</v>
      </c>
      <c r="D18426" s="10" t="s">
        <v>8905</v>
      </c>
      <c r="E18426" s="11"/>
      <c r="F18426" s="12">
        <f>F18441</f>
        <v>304.16</v>
      </c>
      <c r="G18426" s="11"/>
    </row>
    <row r="18427" ht="21.0" customHeight="1">
      <c r="A18427" s="11"/>
      <c r="B18427" s="11"/>
      <c r="C18427" s="11"/>
      <c r="D18427" s="10" t="s">
        <v>8906</v>
      </c>
    </row>
    <row r="18428" ht="24.0" customHeight="1">
      <c r="A18428" s="10" t="s">
        <v>316</v>
      </c>
      <c r="B18428" s="10" t="s">
        <v>42</v>
      </c>
      <c r="C18428" s="10" t="s">
        <v>43</v>
      </c>
      <c r="D18428" s="10" t="s">
        <v>317</v>
      </c>
      <c r="E18428" s="14">
        <v>4.0</v>
      </c>
      <c r="F18428" s="15">
        <f>ROUND(27.23,3)</f>
        <v>27.23</v>
      </c>
      <c r="G18428" s="12">
        <f t="shared" ref="G18428:G18439" si="2367">ROUND(E18428*F18428,2)</f>
        <v>108.92</v>
      </c>
    </row>
    <row r="18429" ht="30.0" customHeight="1">
      <c r="A18429" s="10" t="s">
        <v>1745</v>
      </c>
      <c r="B18429" s="10" t="s">
        <v>42</v>
      </c>
      <c r="C18429" s="10" t="s">
        <v>330</v>
      </c>
      <c r="D18429" s="10" t="s">
        <v>1746</v>
      </c>
      <c r="E18429" s="14">
        <v>0.5</v>
      </c>
      <c r="F18429" s="15">
        <f>ROUND(7.93,3)</f>
        <v>7.93</v>
      </c>
      <c r="G18429" s="12">
        <f t="shared" si="2367"/>
        <v>3.97</v>
      </c>
    </row>
    <row r="18430" ht="39.75" customHeight="1">
      <c r="A18430" s="10" t="s">
        <v>1340</v>
      </c>
      <c r="B18430" s="10" t="s">
        <v>42</v>
      </c>
      <c r="C18430" s="10" t="s">
        <v>1245</v>
      </c>
      <c r="D18430" s="10" t="s">
        <v>1341</v>
      </c>
      <c r="E18430" s="14">
        <v>0.16896</v>
      </c>
      <c r="F18430" s="15">
        <f>ROUND(7.37,3)</f>
        <v>7.37</v>
      </c>
      <c r="G18430" s="12">
        <f t="shared" si="2367"/>
        <v>1.25</v>
      </c>
    </row>
    <row r="18431" ht="30.0" customHeight="1">
      <c r="A18431" s="10" t="s">
        <v>3225</v>
      </c>
      <c r="B18431" s="10" t="s">
        <v>18</v>
      </c>
      <c r="C18431" s="10" t="s">
        <v>23</v>
      </c>
      <c r="D18431" s="10" t="s">
        <v>3226</v>
      </c>
      <c r="E18431" s="14">
        <v>2.0</v>
      </c>
      <c r="F18431" s="15">
        <f>F18433</f>
        <v>0.79</v>
      </c>
      <c r="G18431" s="12">
        <f t="shared" si="2367"/>
        <v>1.58</v>
      </c>
    </row>
    <row r="18432" ht="21.0" customHeight="1">
      <c r="A18432" s="10" t="s">
        <v>3227</v>
      </c>
      <c r="B18432" s="10" t="s">
        <v>112</v>
      </c>
      <c r="C18432" s="10" t="s">
        <v>231</v>
      </c>
      <c r="D18432" s="10" t="s">
        <v>3228</v>
      </c>
      <c r="E18432" s="14">
        <v>0.00417</v>
      </c>
      <c r="F18432" s="15">
        <f>ROUND(188.43,3)</f>
        <v>188.43</v>
      </c>
      <c r="G18432" s="12">
        <f t="shared" si="2367"/>
        <v>0.79</v>
      </c>
    </row>
    <row r="18433" ht="15.0" customHeight="1">
      <c r="A18433" s="11"/>
      <c r="B18433" s="11"/>
      <c r="C18433" s="11"/>
      <c r="D18433" s="10" t="s">
        <v>3225</v>
      </c>
      <c r="E18433" s="14">
        <v>2.0</v>
      </c>
      <c r="F18433" s="15">
        <f>ROUND((G18432),3)</f>
        <v>0.79</v>
      </c>
      <c r="G18433" s="12">
        <f t="shared" si="2367"/>
        <v>1.58</v>
      </c>
    </row>
    <row r="18434" ht="30.0" customHeight="1">
      <c r="A18434" s="10" t="s">
        <v>971</v>
      </c>
      <c r="B18434" s="10" t="s">
        <v>42</v>
      </c>
      <c r="C18434" s="10" t="s">
        <v>231</v>
      </c>
      <c r="D18434" s="10" t="s">
        <v>972</v>
      </c>
      <c r="E18434" s="14">
        <v>0.2</v>
      </c>
      <c r="F18434" s="15">
        <f>ROUND(4.92,3)</f>
        <v>4.92</v>
      </c>
      <c r="G18434" s="12">
        <f t="shared" si="2367"/>
        <v>0.98</v>
      </c>
    </row>
    <row r="18435" ht="21.0" customHeight="1">
      <c r="A18435" s="10" t="s">
        <v>22</v>
      </c>
      <c r="B18435" s="10" t="s">
        <v>18</v>
      </c>
      <c r="C18435" s="10" t="s">
        <v>23</v>
      </c>
      <c r="D18435" s="10" t="s">
        <v>24</v>
      </c>
      <c r="E18435" s="14">
        <v>4.0</v>
      </c>
      <c r="F18435" s="15">
        <f>F18439</f>
        <v>43.8</v>
      </c>
      <c r="G18435" s="12">
        <f t="shared" si="2367"/>
        <v>175.2</v>
      </c>
    </row>
    <row r="18436" ht="24.0" customHeight="1">
      <c r="A18436" s="10" t="s">
        <v>25</v>
      </c>
      <c r="B18436" s="10" t="s">
        <v>26</v>
      </c>
      <c r="C18436" s="10" t="s">
        <v>23</v>
      </c>
      <c r="D18436" s="10" t="s">
        <v>27</v>
      </c>
      <c r="E18436" s="14">
        <v>1.0</v>
      </c>
      <c r="F18436" s="15">
        <f>ROUND(21,3)</f>
        <v>21</v>
      </c>
      <c r="G18436" s="12">
        <f t="shared" si="2367"/>
        <v>21</v>
      </c>
    </row>
    <row r="18437" ht="24.0" customHeight="1">
      <c r="A18437" s="10" t="s">
        <v>28</v>
      </c>
      <c r="B18437" s="10" t="s">
        <v>26</v>
      </c>
      <c r="C18437" s="10" t="s">
        <v>23</v>
      </c>
      <c r="D18437" s="10" t="s">
        <v>29</v>
      </c>
      <c r="E18437" s="14">
        <v>1.0</v>
      </c>
      <c r="F18437" s="15">
        <f t="shared" ref="F18437:F18438" si="2368">ROUND(19,3)</f>
        <v>19</v>
      </c>
      <c r="G18437" s="12">
        <f t="shared" si="2367"/>
        <v>19</v>
      </c>
    </row>
    <row r="18438" ht="24.0" customHeight="1">
      <c r="A18438" s="10" t="s">
        <v>30</v>
      </c>
      <c r="B18438" s="10" t="s">
        <v>26</v>
      </c>
      <c r="C18438" s="10" t="s">
        <v>23</v>
      </c>
      <c r="D18438" s="10" t="s">
        <v>31</v>
      </c>
      <c r="E18438" s="14">
        <v>0.2</v>
      </c>
      <c r="F18438" s="15">
        <f t="shared" si="2368"/>
        <v>19</v>
      </c>
      <c r="G18438" s="12">
        <f t="shared" si="2367"/>
        <v>3.8</v>
      </c>
    </row>
    <row r="18439" ht="15.0" customHeight="1">
      <c r="A18439" s="11"/>
      <c r="B18439" s="11"/>
      <c r="C18439" s="11"/>
      <c r="D18439" s="10" t="s">
        <v>22</v>
      </c>
      <c r="E18439" s="14">
        <v>4.0</v>
      </c>
      <c r="F18439" s="15">
        <f>ROUND((G18436+G18437+G18438),3)</f>
        <v>43.8</v>
      </c>
      <c r="G18439" s="12">
        <f t="shared" si="2367"/>
        <v>175.2</v>
      </c>
    </row>
    <row r="18440" ht="15.0" customHeight="1">
      <c r="A18440" s="10" t="s">
        <v>32</v>
      </c>
      <c r="B18440" s="10"/>
      <c r="C18440" s="10" t="s">
        <v>33</v>
      </c>
      <c r="D18440" s="10" t="s">
        <v>34</v>
      </c>
      <c r="E18440" s="14">
        <v>7.0</v>
      </c>
      <c r="F18440" s="15">
        <f>ROUND(175.2,3)</f>
        <v>175.2</v>
      </c>
      <c r="G18440" s="12">
        <f>ROUND((E18440*F18440)/100,2)</f>
        <v>12.26</v>
      </c>
    </row>
    <row r="18441" ht="15.0" customHeight="1">
      <c r="A18441" s="16"/>
      <c r="B18441" s="16"/>
      <c r="C18441" s="16"/>
      <c r="D18441" s="17" t="s">
        <v>8904</v>
      </c>
      <c r="E18441" s="16"/>
      <c r="F18441" s="18">
        <f>ROUND((G18428+G18429+G18430+G18431+G18434+G18435+G18440)*(1+G2/100),2)</f>
        <v>304.16</v>
      </c>
      <c r="G18441" s="16"/>
    </row>
    <row r="18442" ht="76.5" customHeight="1">
      <c r="A18442" s="19" t="s">
        <v>8907</v>
      </c>
      <c r="B18442" s="20" t="s">
        <v>18</v>
      </c>
      <c r="C18442" s="20" t="s">
        <v>231</v>
      </c>
      <c r="D18442" s="20" t="s">
        <v>8908</v>
      </c>
      <c r="E18442" s="21"/>
      <c r="F18442" s="22">
        <f>F18457</f>
        <v>482.75</v>
      </c>
      <c r="G18442" s="21"/>
    </row>
    <row r="18443" ht="21.0" customHeight="1">
      <c r="A18443" s="11"/>
      <c r="B18443" s="11"/>
      <c r="C18443" s="11"/>
      <c r="D18443" s="10" t="s">
        <v>8909</v>
      </c>
    </row>
    <row r="18444" ht="24.0" customHeight="1">
      <c r="A18444" s="10" t="s">
        <v>316</v>
      </c>
      <c r="B18444" s="10" t="s">
        <v>42</v>
      </c>
      <c r="C18444" s="10" t="s">
        <v>43</v>
      </c>
      <c r="D18444" s="10" t="s">
        <v>317</v>
      </c>
      <c r="E18444" s="14">
        <v>7.0</v>
      </c>
      <c r="F18444" s="15">
        <f>ROUND(27.23,3)</f>
        <v>27.23</v>
      </c>
      <c r="G18444" s="12">
        <f t="shared" ref="G18444:G18455" si="2369">ROUND(E18444*F18444,2)</f>
        <v>190.61</v>
      </c>
    </row>
    <row r="18445" ht="30.0" customHeight="1">
      <c r="A18445" s="10" t="s">
        <v>1745</v>
      </c>
      <c r="B18445" s="10" t="s">
        <v>42</v>
      </c>
      <c r="C18445" s="10" t="s">
        <v>330</v>
      </c>
      <c r="D18445" s="10" t="s">
        <v>1746</v>
      </c>
      <c r="E18445" s="14">
        <v>0.5</v>
      </c>
      <c r="F18445" s="15">
        <f>ROUND(7.93,3)</f>
        <v>7.93</v>
      </c>
      <c r="G18445" s="12">
        <f t="shared" si="2369"/>
        <v>3.97</v>
      </c>
    </row>
    <row r="18446" ht="39.75" customHeight="1">
      <c r="A18446" s="10" t="s">
        <v>1340</v>
      </c>
      <c r="B18446" s="10" t="s">
        <v>42</v>
      </c>
      <c r="C18446" s="10" t="s">
        <v>1245</v>
      </c>
      <c r="D18446" s="10" t="s">
        <v>1341</v>
      </c>
      <c r="E18446" s="14">
        <v>0.16896</v>
      </c>
      <c r="F18446" s="15">
        <f>ROUND(7.37,3)</f>
        <v>7.37</v>
      </c>
      <c r="G18446" s="12">
        <f t="shared" si="2369"/>
        <v>1.25</v>
      </c>
    </row>
    <row r="18447" ht="30.0" customHeight="1">
      <c r="A18447" s="10" t="s">
        <v>971</v>
      </c>
      <c r="B18447" s="10" t="s">
        <v>42</v>
      </c>
      <c r="C18447" s="10" t="s">
        <v>231</v>
      </c>
      <c r="D18447" s="10" t="s">
        <v>972</v>
      </c>
      <c r="E18447" s="14">
        <v>0.2</v>
      </c>
      <c r="F18447" s="15">
        <f>ROUND(4.92,3)</f>
        <v>4.92</v>
      </c>
      <c r="G18447" s="12">
        <f t="shared" si="2369"/>
        <v>0.98</v>
      </c>
    </row>
    <row r="18448" ht="30.0" customHeight="1">
      <c r="A18448" s="10" t="s">
        <v>3225</v>
      </c>
      <c r="B18448" s="10" t="s">
        <v>18</v>
      </c>
      <c r="C18448" s="10" t="s">
        <v>23</v>
      </c>
      <c r="D18448" s="10" t="s">
        <v>3226</v>
      </c>
      <c r="E18448" s="14">
        <v>6.0</v>
      </c>
      <c r="F18448" s="15">
        <f>F18450</f>
        <v>0.79</v>
      </c>
      <c r="G18448" s="12">
        <f t="shared" si="2369"/>
        <v>4.74</v>
      </c>
    </row>
    <row r="18449" ht="21.0" customHeight="1">
      <c r="A18449" s="10" t="s">
        <v>3227</v>
      </c>
      <c r="B18449" s="10" t="s">
        <v>112</v>
      </c>
      <c r="C18449" s="10" t="s">
        <v>231</v>
      </c>
      <c r="D18449" s="10" t="s">
        <v>3228</v>
      </c>
      <c r="E18449" s="14">
        <v>0.00417</v>
      </c>
      <c r="F18449" s="15">
        <f>ROUND(188.43,3)</f>
        <v>188.43</v>
      </c>
      <c r="G18449" s="12">
        <f t="shared" si="2369"/>
        <v>0.79</v>
      </c>
    </row>
    <row r="18450" ht="15.0" customHeight="1">
      <c r="A18450" s="11"/>
      <c r="B18450" s="11"/>
      <c r="C18450" s="11"/>
      <c r="D18450" s="10" t="s">
        <v>3225</v>
      </c>
      <c r="E18450" s="14">
        <v>6.0</v>
      </c>
      <c r="F18450" s="15">
        <f>ROUND((G18449),3)</f>
        <v>0.79</v>
      </c>
      <c r="G18450" s="12">
        <f t="shared" si="2369"/>
        <v>4.74</v>
      </c>
    </row>
    <row r="18451" ht="21.0" customHeight="1">
      <c r="A18451" s="10" t="s">
        <v>22</v>
      </c>
      <c r="B18451" s="10" t="s">
        <v>18</v>
      </c>
      <c r="C18451" s="10" t="s">
        <v>23</v>
      </c>
      <c r="D18451" s="10" t="s">
        <v>24</v>
      </c>
      <c r="E18451" s="14">
        <v>6.0</v>
      </c>
      <c r="F18451" s="15">
        <f>F18455</f>
        <v>43.8</v>
      </c>
      <c r="G18451" s="12">
        <f t="shared" si="2369"/>
        <v>262.8</v>
      </c>
    </row>
    <row r="18452" ht="24.0" customHeight="1">
      <c r="A18452" s="10" t="s">
        <v>25</v>
      </c>
      <c r="B18452" s="10" t="s">
        <v>26</v>
      </c>
      <c r="C18452" s="10" t="s">
        <v>23</v>
      </c>
      <c r="D18452" s="10" t="s">
        <v>27</v>
      </c>
      <c r="E18452" s="14">
        <v>1.0</v>
      </c>
      <c r="F18452" s="15">
        <f>ROUND(21,3)</f>
        <v>21</v>
      </c>
      <c r="G18452" s="12">
        <f t="shared" si="2369"/>
        <v>21</v>
      </c>
    </row>
    <row r="18453" ht="24.0" customHeight="1">
      <c r="A18453" s="10" t="s">
        <v>28</v>
      </c>
      <c r="B18453" s="10" t="s">
        <v>26</v>
      </c>
      <c r="C18453" s="10" t="s">
        <v>23</v>
      </c>
      <c r="D18453" s="10" t="s">
        <v>29</v>
      </c>
      <c r="E18453" s="14">
        <v>1.0</v>
      </c>
      <c r="F18453" s="15">
        <f t="shared" ref="F18453:F18454" si="2370">ROUND(19,3)</f>
        <v>19</v>
      </c>
      <c r="G18453" s="12">
        <f t="shared" si="2369"/>
        <v>19</v>
      </c>
    </row>
    <row r="18454" ht="24.0" customHeight="1">
      <c r="A18454" s="10" t="s">
        <v>30</v>
      </c>
      <c r="B18454" s="10" t="s">
        <v>26</v>
      </c>
      <c r="C18454" s="10" t="s">
        <v>23</v>
      </c>
      <c r="D18454" s="10" t="s">
        <v>31</v>
      </c>
      <c r="E18454" s="14">
        <v>0.2</v>
      </c>
      <c r="F18454" s="15">
        <f t="shared" si="2370"/>
        <v>19</v>
      </c>
      <c r="G18454" s="12">
        <f t="shared" si="2369"/>
        <v>3.8</v>
      </c>
    </row>
    <row r="18455" ht="15.0" customHeight="1">
      <c r="A18455" s="11"/>
      <c r="B18455" s="11"/>
      <c r="C18455" s="11"/>
      <c r="D18455" s="10" t="s">
        <v>22</v>
      </c>
      <c r="E18455" s="14">
        <v>6.0</v>
      </c>
      <c r="F18455" s="15">
        <f>ROUND((G18452+G18453+G18454),3)</f>
        <v>43.8</v>
      </c>
      <c r="G18455" s="12">
        <f t="shared" si="2369"/>
        <v>262.8</v>
      </c>
    </row>
    <row r="18456" ht="15.0" customHeight="1">
      <c r="A18456" s="10" t="s">
        <v>32</v>
      </c>
      <c r="B18456" s="10"/>
      <c r="C18456" s="10" t="s">
        <v>33</v>
      </c>
      <c r="D18456" s="10" t="s">
        <v>34</v>
      </c>
      <c r="E18456" s="14">
        <v>7.0</v>
      </c>
      <c r="F18456" s="15">
        <f>ROUND(262.8,3)</f>
        <v>262.8</v>
      </c>
      <c r="G18456" s="12">
        <f>ROUND((E18456*F18456)/100,2)</f>
        <v>18.4</v>
      </c>
    </row>
    <row r="18457" ht="15.0" customHeight="1">
      <c r="A18457" s="16"/>
      <c r="B18457" s="16"/>
      <c r="C18457" s="16"/>
      <c r="D18457" s="17" t="s">
        <v>8907</v>
      </c>
      <c r="E18457" s="16"/>
      <c r="F18457" s="18">
        <f>ROUND((G18444+G18445+G18446+G18447+G18448+G18451+G18456)*(1+G2/100),2)</f>
        <v>482.75</v>
      </c>
      <c r="G18457" s="16"/>
    </row>
    <row r="18458" ht="15.0" customHeight="1">
      <c r="A18458" s="23"/>
      <c r="B18458" s="23"/>
      <c r="C18458" s="23"/>
      <c r="D18458" s="55" t="s">
        <v>8902</v>
      </c>
      <c r="E18458" s="56"/>
      <c r="F18458" s="56"/>
      <c r="G18458" s="56"/>
    </row>
    <row r="18459" ht="24.75" customHeight="1">
      <c r="A18459" s="23"/>
      <c r="B18459" s="23"/>
      <c r="C18459" s="23"/>
      <c r="D18459" s="30" t="s">
        <v>8895</v>
      </c>
      <c r="E18459" s="31"/>
      <c r="F18459" s="31"/>
      <c r="G18459" s="31"/>
    </row>
    <row r="18460" ht="39.75" customHeight="1">
      <c r="A18460" s="19" t="s">
        <v>8910</v>
      </c>
      <c r="B18460" s="20" t="s">
        <v>18</v>
      </c>
      <c r="C18460" s="20" t="s">
        <v>19</v>
      </c>
      <c r="D18460" s="20" t="s">
        <v>8911</v>
      </c>
      <c r="E18460" s="21"/>
      <c r="F18460" s="22">
        <f>F18469</f>
        <v>14.33</v>
      </c>
      <c r="G18460" s="21"/>
    </row>
    <row r="18461" ht="21.0" customHeight="1">
      <c r="A18461" s="11"/>
      <c r="B18461" s="11"/>
      <c r="C18461" s="11"/>
      <c r="D18461" s="10" t="s">
        <v>8911</v>
      </c>
    </row>
    <row r="18462" ht="30.0" customHeight="1">
      <c r="A18462" s="10" t="s">
        <v>8085</v>
      </c>
      <c r="B18462" s="10" t="s">
        <v>42</v>
      </c>
      <c r="C18462" s="10" t="s">
        <v>43</v>
      </c>
      <c r="D18462" s="10" t="s">
        <v>8086</v>
      </c>
      <c r="E18462" s="14">
        <v>0.4</v>
      </c>
      <c r="F18462" s="15">
        <f>ROUND(3.7,3)</f>
        <v>3.7</v>
      </c>
      <c r="G18462" s="12">
        <f t="shared" ref="G18462:G18467" si="2371">ROUND(E18462*F18462,2)</f>
        <v>1.48</v>
      </c>
    </row>
    <row r="18463" ht="21.0" customHeight="1">
      <c r="A18463" s="10" t="s">
        <v>22</v>
      </c>
      <c r="B18463" s="10" t="s">
        <v>18</v>
      </c>
      <c r="C18463" s="10" t="s">
        <v>23</v>
      </c>
      <c r="D18463" s="10" t="s">
        <v>24</v>
      </c>
      <c r="E18463" s="14">
        <v>0.26667</v>
      </c>
      <c r="F18463" s="15">
        <f>F18467</f>
        <v>43.8</v>
      </c>
      <c r="G18463" s="12">
        <f t="shared" si="2371"/>
        <v>11.68</v>
      </c>
    </row>
    <row r="18464" ht="24.0" customHeight="1">
      <c r="A18464" s="10" t="s">
        <v>25</v>
      </c>
      <c r="B18464" s="10" t="s">
        <v>26</v>
      </c>
      <c r="C18464" s="10" t="s">
        <v>23</v>
      </c>
      <c r="D18464" s="10" t="s">
        <v>27</v>
      </c>
      <c r="E18464" s="14">
        <v>1.0</v>
      </c>
      <c r="F18464" s="15">
        <f>ROUND(21,3)</f>
        <v>21</v>
      </c>
      <c r="G18464" s="12">
        <f t="shared" si="2371"/>
        <v>21</v>
      </c>
    </row>
    <row r="18465" ht="24.0" customHeight="1">
      <c r="A18465" s="10" t="s">
        <v>28</v>
      </c>
      <c r="B18465" s="10" t="s">
        <v>26</v>
      </c>
      <c r="C18465" s="10" t="s">
        <v>23</v>
      </c>
      <c r="D18465" s="10" t="s">
        <v>29</v>
      </c>
      <c r="E18465" s="14">
        <v>1.0</v>
      </c>
      <c r="F18465" s="15">
        <f t="shared" ref="F18465:F18466" si="2372">ROUND(19,3)</f>
        <v>19</v>
      </c>
      <c r="G18465" s="12">
        <f t="shared" si="2371"/>
        <v>19</v>
      </c>
    </row>
    <row r="18466" ht="24.0" customHeight="1">
      <c r="A18466" s="10" t="s">
        <v>30</v>
      </c>
      <c r="B18466" s="10" t="s">
        <v>26</v>
      </c>
      <c r="C18466" s="10" t="s">
        <v>23</v>
      </c>
      <c r="D18466" s="10" t="s">
        <v>31</v>
      </c>
      <c r="E18466" s="14">
        <v>0.2</v>
      </c>
      <c r="F18466" s="15">
        <f t="shared" si="2372"/>
        <v>19</v>
      </c>
      <c r="G18466" s="12">
        <f t="shared" si="2371"/>
        <v>3.8</v>
      </c>
    </row>
    <row r="18467" ht="15.0" customHeight="1">
      <c r="A18467" s="11"/>
      <c r="B18467" s="11"/>
      <c r="C18467" s="11"/>
      <c r="D18467" s="10" t="s">
        <v>22</v>
      </c>
      <c r="E18467" s="14">
        <v>0.26667</v>
      </c>
      <c r="F18467" s="15">
        <f>ROUND((G18464+G18465+G18466),3)</f>
        <v>43.8</v>
      </c>
      <c r="G18467" s="12">
        <f t="shared" si="2371"/>
        <v>11.68</v>
      </c>
    </row>
    <row r="18468" ht="15.0" customHeight="1">
      <c r="A18468" s="10" t="s">
        <v>32</v>
      </c>
      <c r="B18468" s="10"/>
      <c r="C18468" s="10" t="s">
        <v>33</v>
      </c>
      <c r="D18468" s="10" t="s">
        <v>34</v>
      </c>
      <c r="E18468" s="14">
        <v>10.0</v>
      </c>
      <c r="F18468" s="15">
        <f>ROUND(11.68,3)</f>
        <v>11.68</v>
      </c>
      <c r="G18468" s="12">
        <f>ROUND((E18468*F18468)/100,2)</f>
        <v>1.17</v>
      </c>
    </row>
    <row r="18469" ht="15.0" customHeight="1">
      <c r="A18469" s="16"/>
      <c r="B18469" s="16"/>
      <c r="C18469" s="16"/>
      <c r="D18469" s="17" t="s">
        <v>8910</v>
      </c>
      <c r="E18469" s="16"/>
      <c r="F18469" s="18">
        <f>ROUND((G18462+G18463+G18468)*(1+G2/100),2)</f>
        <v>14.33</v>
      </c>
      <c r="G18469" s="16"/>
    </row>
    <row r="18470" ht="15.0" customHeight="1">
      <c r="A18470" s="50" t="s">
        <v>8912</v>
      </c>
      <c r="B18470" s="50" t="s">
        <v>10</v>
      </c>
      <c r="C18470" s="51"/>
      <c r="D18470" s="50" t="s">
        <v>8913</v>
      </c>
      <c r="E18470" s="51"/>
      <c r="F18470" s="51"/>
      <c r="G18470" s="51"/>
    </row>
    <row r="18471" ht="30.0" customHeight="1">
      <c r="A18471" s="13" t="s">
        <v>8914</v>
      </c>
      <c r="B18471" s="10" t="s">
        <v>18</v>
      </c>
      <c r="C18471" s="10" t="s">
        <v>231</v>
      </c>
      <c r="D18471" s="10" t="s">
        <v>8915</v>
      </c>
      <c r="E18471" s="11"/>
      <c r="F18471" s="12">
        <f>F18482</f>
        <v>93.72</v>
      </c>
      <c r="G18471" s="11"/>
    </row>
    <row r="18472" ht="12.0" customHeight="1">
      <c r="A18472" s="11"/>
      <c r="B18472" s="11"/>
      <c r="C18472" s="11"/>
      <c r="D18472" s="10" t="s">
        <v>8915</v>
      </c>
    </row>
    <row r="18473" ht="21.0" customHeight="1">
      <c r="A18473" s="10" t="s">
        <v>7014</v>
      </c>
      <c r="B18473" s="10" t="s">
        <v>42</v>
      </c>
      <c r="C18473" s="10" t="s">
        <v>344</v>
      </c>
      <c r="D18473" s="10" t="s">
        <v>7015</v>
      </c>
      <c r="E18473" s="14">
        <v>0.0</v>
      </c>
      <c r="F18473" s="15">
        <f>ROUND(9.23,3)</f>
        <v>9.23</v>
      </c>
      <c r="G18473" s="12">
        <f t="shared" ref="G18473:G18480" si="2373">ROUND(E18473*F18473,2)</f>
        <v>0</v>
      </c>
    </row>
    <row r="18474" ht="21.0" customHeight="1">
      <c r="A18474" s="10" t="s">
        <v>7029</v>
      </c>
      <c r="B18474" s="10" t="s">
        <v>42</v>
      </c>
      <c r="C18474" s="10" t="s">
        <v>344</v>
      </c>
      <c r="D18474" s="10" t="s">
        <v>7030</v>
      </c>
      <c r="E18474" s="14">
        <v>1.0</v>
      </c>
      <c r="F18474" s="15">
        <f>ROUND(1.43,3)</f>
        <v>1.43</v>
      </c>
      <c r="G18474" s="12">
        <f t="shared" si="2373"/>
        <v>1.43</v>
      </c>
    </row>
    <row r="18475" ht="21.0" customHeight="1">
      <c r="A18475" s="10" t="s">
        <v>348</v>
      </c>
      <c r="B18475" s="10" t="s">
        <v>42</v>
      </c>
      <c r="C18475" s="10" t="s">
        <v>226</v>
      </c>
      <c r="D18475" s="10" t="s">
        <v>349</v>
      </c>
      <c r="E18475" s="14">
        <v>0.04</v>
      </c>
      <c r="F18475" s="15">
        <f>ROUND(4.95,3)</f>
        <v>4.95</v>
      </c>
      <c r="G18475" s="12">
        <f t="shared" si="2373"/>
        <v>0.2</v>
      </c>
    </row>
    <row r="18476" ht="30.0" customHeight="1">
      <c r="A18476" s="10" t="s">
        <v>8085</v>
      </c>
      <c r="B18476" s="10" t="s">
        <v>42</v>
      </c>
      <c r="C18476" s="10" t="s">
        <v>43</v>
      </c>
      <c r="D18476" s="10" t="s">
        <v>8086</v>
      </c>
      <c r="E18476" s="14">
        <v>0.02</v>
      </c>
      <c r="F18476" s="15">
        <f>ROUND(3.7,3)</f>
        <v>3.7</v>
      </c>
      <c r="G18476" s="12">
        <f t="shared" si="2373"/>
        <v>0.07</v>
      </c>
    </row>
    <row r="18477" ht="30.0" customHeight="1">
      <c r="A18477" s="10" t="s">
        <v>3207</v>
      </c>
      <c r="B18477" s="10" t="s">
        <v>18</v>
      </c>
      <c r="C18477" s="10" t="s">
        <v>23</v>
      </c>
      <c r="D18477" s="10" t="s">
        <v>3208</v>
      </c>
      <c r="E18477" s="14">
        <v>2.0</v>
      </c>
      <c r="F18477" s="15">
        <f>F18480</f>
        <v>43</v>
      </c>
      <c r="G18477" s="12">
        <f t="shared" si="2373"/>
        <v>86</v>
      </c>
    </row>
    <row r="18478" ht="24.0" customHeight="1">
      <c r="A18478" s="10" t="s">
        <v>3209</v>
      </c>
      <c r="B18478" s="10" t="s">
        <v>26</v>
      </c>
      <c r="C18478" s="10" t="s">
        <v>23</v>
      </c>
      <c r="D18478" s="10" t="s">
        <v>3210</v>
      </c>
      <c r="E18478" s="14">
        <v>1.0</v>
      </c>
      <c r="F18478" s="15">
        <f>ROUND(24,3)</f>
        <v>24</v>
      </c>
      <c r="G18478" s="12">
        <f t="shared" si="2373"/>
        <v>24</v>
      </c>
    </row>
    <row r="18479" ht="24.0" customHeight="1">
      <c r="A18479" s="10" t="s">
        <v>3211</v>
      </c>
      <c r="B18479" s="10" t="s">
        <v>26</v>
      </c>
      <c r="C18479" s="10" t="s">
        <v>23</v>
      </c>
      <c r="D18479" s="10" t="s">
        <v>3212</v>
      </c>
      <c r="E18479" s="14">
        <v>1.0</v>
      </c>
      <c r="F18479" s="15">
        <f>ROUND(19,3)</f>
        <v>19</v>
      </c>
      <c r="G18479" s="12">
        <f t="shared" si="2373"/>
        <v>19</v>
      </c>
    </row>
    <row r="18480" ht="15.0" customHeight="1">
      <c r="A18480" s="11"/>
      <c r="B18480" s="11"/>
      <c r="C18480" s="11"/>
      <c r="D18480" s="10" t="s">
        <v>3207</v>
      </c>
      <c r="E18480" s="14">
        <v>2.0</v>
      </c>
      <c r="F18480" s="15">
        <f>ROUND((G18478+G18479),3)</f>
        <v>43</v>
      </c>
      <c r="G18480" s="12">
        <f t="shared" si="2373"/>
        <v>86</v>
      </c>
    </row>
    <row r="18481" ht="15.0" customHeight="1">
      <c r="A18481" s="10" t="s">
        <v>32</v>
      </c>
      <c r="B18481" s="10"/>
      <c r="C18481" s="10" t="s">
        <v>33</v>
      </c>
      <c r="D18481" s="10" t="s">
        <v>34</v>
      </c>
      <c r="E18481" s="14">
        <v>7.0</v>
      </c>
      <c r="F18481" s="15">
        <f>ROUND(86,3)</f>
        <v>86</v>
      </c>
      <c r="G18481" s="12">
        <f>ROUND((E18481*F18481)/100,2)</f>
        <v>6.02</v>
      </c>
    </row>
    <row r="18482" ht="15.0" customHeight="1">
      <c r="A18482" s="16"/>
      <c r="B18482" s="16"/>
      <c r="C18482" s="16"/>
      <c r="D18482" s="17" t="s">
        <v>8914</v>
      </c>
      <c r="E18482" s="16"/>
      <c r="F18482" s="18">
        <f>ROUND((G18473+G18474+G18475+G18476+G18477+G18481)*(1+G2/100),2)</f>
        <v>93.72</v>
      </c>
      <c r="G18482" s="16"/>
    </row>
    <row r="18483" ht="24.75" customHeight="1">
      <c r="A18483" s="19" t="s">
        <v>8916</v>
      </c>
      <c r="B18483" s="20" t="s">
        <v>18</v>
      </c>
      <c r="C18483" s="20" t="s">
        <v>231</v>
      </c>
      <c r="D18483" s="20" t="s">
        <v>8917</v>
      </c>
      <c r="E18483" s="21"/>
      <c r="F18483" s="22">
        <f>F18491</f>
        <v>183.96</v>
      </c>
      <c r="G18483" s="21"/>
    </row>
    <row r="18484" ht="30.0" customHeight="1">
      <c r="A18484" s="11"/>
      <c r="B18484" s="11"/>
      <c r="C18484" s="11"/>
      <c r="D18484" s="10" t="s">
        <v>8918</v>
      </c>
    </row>
    <row r="18485" ht="21.0" customHeight="1">
      <c r="A18485" s="10" t="s">
        <v>22</v>
      </c>
      <c r="B18485" s="10" t="s">
        <v>18</v>
      </c>
      <c r="C18485" s="10" t="s">
        <v>23</v>
      </c>
      <c r="D18485" s="10" t="s">
        <v>24</v>
      </c>
      <c r="E18485" s="14">
        <v>4.0</v>
      </c>
      <c r="F18485" s="15">
        <f>F18489</f>
        <v>43.8</v>
      </c>
      <c r="G18485" s="12">
        <f t="shared" ref="G18485:G18489" si="2374">ROUND(E18485*F18485,2)</f>
        <v>175.2</v>
      </c>
    </row>
    <row r="18486" ht="24.0" customHeight="1">
      <c r="A18486" s="10" t="s">
        <v>25</v>
      </c>
      <c r="B18486" s="10" t="s">
        <v>26</v>
      </c>
      <c r="C18486" s="10" t="s">
        <v>23</v>
      </c>
      <c r="D18486" s="10" t="s">
        <v>27</v>
      </c>
      <c r="E18486" s="14">
        <v>1.0</v>
      </c>
      <c r="F18486" s="15">
        <f>ROUND(21,3)</f>
        <v>21</v>
      </c>
      <c r="G18486" s="12">
        <f t="shared" si="2374"/>
        <v>21</v>
      </c>
    </row>
    <row r="18487" ht="24.0" customHeight="1">
      <c r="A18487" s="10" t="s">
        <v>28</v>
      </c>
      <c r="B18487" s="10" t="s">
        <v>26</v>
      </c>
      <c r="C18487" s="10" t="s">
        <v>23</v>
      </c>
      <c r="D18487" s="10" t="s">
        <v>29</v>
      </c>
      <c r="E18487" s="14">
        <v>1.0</v>
      </c>
      <c r="F18487" s="15">
        <f t="shared" ref="F18487:F18488" si="2375">ROUND(19,3)</f>
        <v>19</v>
      </c>
      <c r="G18487" s="12">
        <f t="shared" si="2374"/>
        <v>19</v>
      </c>
    </row>
    <row r="18488" ht="24.0" customHeight="1">
      <c r="A18488" s="10" t="s">
        <v>30</v>
      </c>
      <c r="B18488" s="10" t="s">
        <v>26</v>
      </c>
      <c r="C18488" s="10" t="s">
        <v>23</v>
      </c>
      <c r="D18488" s="10" t="s">
        <v>31</v>
      </c>
      <c r="E18488" s="14">
        <v>0.2</v>
      </c>
      <c r="F18488" s="15">
        <f t="shared" si="2375"/>
        <v>19</v>
      </c>
      <c r="G18488" s="12">
        <f t="shared" si="2374"/>
        <v>3.8</v>
      </c>
    </row>
    <row r="18489" ht="15.0" customHeight="1">
      <c r="A18489" s="11"/>
      <c r="B18489" s="11"/>
      <c r="C18489" s="11"/>
      <c r="D18489" s="10" t="s">
        <v>22</v>
      </c>
      <c r="E18489" s="14">
        <v>4.0</v>
      </c>
      <c r="F18489" s="15">
        <f>ROUND((G18486+G18487+G18488),3)</f>
        <v>43.8</v>
      </c>
      <c r="G18489" s="12">
        <f t="shared" si="2374"/>
        <v>175.2</v>
      </c>
    </row>
    <row r="18490" ht="15.0" customHeight="1">
      <c r="A18490" s="10" t="s">
        <v>32</v>
      </c>
      <c r="B18490" s="10"/>
      <c r="C18490" s="10" t="s">
        <v>33</v>
      </c>
      <c r="D18490" s="10" t="s">
        <v>34</v>
      </c>
      <c r="E18490" s="14">
        <v>5.0</v>
      </c>
      <c r="F18490" s="15">
        <f>ROUND(175.2,3)</f>
        <v>175.2</v>
      </c>
      <c r="G18490" s="12">
        <f>ROUND((E18490*F18490)/100,2)</f>
        <v>8.76</v>
      </c>
    </row>
    <row r="18491" ht="15.0" customHeight="1">
      <c r="A18491" s="16"/>
      <c r="B18491" s="16"/>
      <c r="C18491" s="16"/>
      <c r="D18491" s="17" t="s">
        <v>8916</v>
      </c>
      <c r="E18491" s="16"/>
      <c r="F18491" s="18">
        <f>ROUND((G18485+G18490)*(1+G2/100),2)</f>
        <v>183.96</v>
      </c>
      <c r="G18491" s="16"/>
    </row>
    <row r="18492" ht="30.0" customHeight="1">
      <c r="A18492" s="19" t="s">
        <v>8919</v>
      </c>
      <c r="B18492" s="20" t="s">
        <v>18</v>
      </c>
      <c r="C18492" s="20" t="s">
        <v>231</v>
      </c>
      <c r="D18492" s="20" t="s">
        <v>8920</v>
      </c>
      <c r="E18492" s="21"/>
      <c r="F18492" s="22">
        <f>F18503</f>
        <v>102.95</v>
      </c>
      <c r="G18492" s="21"/>
    </row>
    <row r="18493" ht="12.0" customHeight="1">
      <c r="A18493" s="11"/>
      <c r="B18493" s="11"/>
      <c r="C18493" s="11"/>
      <c r="D18493" s="10" t="s">
        <v>8920</v>
      </c>
    </row>
    <row r="18494" ht="21.0" customHeight="1">
      <c r="A18494" s="10" t="s">
        <v>7014</v>
      </c>
      <c r="B18494" s="10" t="s">
        <v>42</v>
      </c>
      <c r="C18494" s="10" t="s">
        <v>344</v>
      </c>
      <c r="D18494" s="10" t="s">
        <v>7015</v>
      </c>
      <c r="E18494" s="14">
        <v>1.0</v>
      </c>
      <c r="F18494" s="15">
        <f>ROUND(9.23,3)</f>
        <v>9.23</v>
      </c>
      <c r="G18494" s="12">
        <f t="shared" ref="G18494:G18501" si="2376">ROUND(E18494*F18494,2)</f>
        <v>9.23</v>
      </c>
    </row>
    <row r="18495" ht="21.0" customHeight="1">
      <c r="A18495" s="10" t="s">
        <v>7029</v>
      </c>
      <c r="B18495" s="10" t="s">
        <v>42</v>
      </c>
      <c r="C18495" s="10" t="s">
        <v>344</v>
      </c>
      <c r="D18495" s="10" t="s">
        <v>7030</v>
      </c>
      <c r="E18495" s="14">
        <v>1.0</v>
      </c>
      <c r="F18495" s="15">
        <f>ROUND(1.43,3)</f>
        <v>1.43</v>
      </c>
      <c r="G18495" s="12">
        <f t="shared" si="2376"/>
        <v>1.43</v>
      </c>
    </row>
    <row r="18496" ht="21.0" customHeight="1">
      <c r="A18496" s="10" t="s">
        <v>348</v>
      </c>
      <c r="B18496" s="10" t="s">
        <v>42</v>
      </c>
      <c r="C18496" s="10" t="s">
        <v>226</v>
      </c>
      <c r="D18496" s="10" t="s">
        <v>349</v>
      </c>
      <c r="E18496" s="14">
        <v>0.04</v>
      </c>
      <c r="F18496" s="15">
        <f>ROUND(4.95,3)</f>
        <v>4.95</v>
      </c>
      <c r="G18496" s="12">
        <f t="shared" si="2376"/>
        <v>0.2</v>
      </c>
    </row>
    <row r="18497" ht="30.0" customHeight="1">
      <c r="A18497" s="10" t="s">
        <v>8085</v>
      </c>
      <c r="B18497" s="10" t="s">
        <v>42</v>
      </c>
      <c r="C18497" s="10" t="s">
        <v>43</v>
      </c>
      <c r="D18497" s="10" t="s">
        <v>8086</v>
      </c>
      <c r="E18497" s="14">
        <v>0.02</v>
      </c>
      <c r="F18497" s="15">
        <f>ROUND(3.7,3)</f>
        <v>3.7</v>
      </c>
      <c r="G18497" s="12">
        <f t="shared" si="2376"/>
        <v>0.07</v>
      </c>
    </row>
    <row r="18498" ht="30.0" customHeight="1">
      <c r="A18498" s="10" t="s">
        <v>3207</v>
      </c>
      <c r="B18498" s="10" t="s">
        <v>18</v>
      </c>
      <c r="C18498" s="10" t="s">
        <v>23</v>
      </c>
      <c r="D18498" s="10" t="s">
        <v>3208</v>
      </c>
      <c r="E18498" s="14">
        <v>2.0</v>
      </c>
      <c r="F18498" s="15">
        <f>F18501</f>
        <v>43</v>
      </c>
      <c r="G18498" s="12">
        <f t="shared" si="2376"/>
        <v>86</v>
      </c>
    </row>
    <row r="18499" ht="24.0" customHeight="1">
      <c r="A18499" s="10" t="s">
        <v>3209</v>
      </c>
      <c r="B18499" s="10" t="s">
        <v>26</v>
      </c>
      <c r="C18499" s="10" t="s">
        <v>23</v>
      </c>
      <c r="D18499" s="10" t="s">
        <v>3210</v>
      </c>
      <c r="E18499" s="14">
        <v>1.0</v>
      </c>
      <c r="F18499" s="15">
        <f>ROUND(24,3)</f>
        <v>24</v>
      </c>
      <c r="G18499" s="12">
        <f t="shared" si="2376"/>
        <v>24</v>
      </c>
    </row>
    <row r="18500" ht="24.0" customHeight="1">
      <c r="A18500" s="10" t="s">
        <v>3211</v>
      </c>
      <c r="B18500" s="10" t="s">
        <v>26</v>
      </c>
      <c r="C18500" s="10" t="s">
        <v>23</v>
      </c>
      <c r="D18500" s="10" t="s">
        <v>3212</v>
      </c>
      <c r="E18500" s="14">
        <v>1.0</v>
      </c>
      <c r="F18500" s="15">
        <f>ROUND(19,3)</f>
        <v>19</v>
      </c>
      <c r="G18500" s="12">
        <f t="shared" si="2376"/>
        <v>19</v>
      </c>
    </row>
    <row r="18501" ht="15.0" customHeight="1">
      <c r="A18501" s="11"/>
      <c r="B18501" s="11"/>
      <c r="C18501" s="11"/>
      <c r="D18501" s="10" t="s">
        <v>3207</v>
      </c>
      <c r="E18501" s="14">
        <v>2.0</v>
      </c>
      <c r="F18501" s="15">
        <f>ROUND((G18499+G18500),3)</f>
        <v>43</v>
      </c>
      <c r="G18501" s="12">
        <f t="shared" si="2376"/>
        <v>86</v>
      </c>
    </row>
    <row r="18502" ht="15.0" customHeight="1">
      <c r="A18502" s="10" t="s">
        <v>32</v>
      </c>
      <c r="B18502" s="10"/>
      <c r="C18502" s="10" t="s">
        <v>33</v>
      </c>
      <c r="D18502" s="10" t="s">
        <v>34</v>
      </c>
      <c r="E18502" s="14">
        <v>7.0</v>
      </c>
      <c r="F18502" s="15">
        <f>ROUND(86,3)</f>
        <v>86</v>
      </c>
      <c r="G18502" s="12">
        <f>ROUND((E18502*F18502)/100,2)</f>
        <v>6.02</v>
      </c>
    </row>
    <row r="18503" ht="15.0" customHeight="1">
      <c r="A18503" s="16"/>
      <c r="B18503" s="16"/>
      <c r="C18503" s="16"/>
      <c r="D18503" s="17" t="s">
        <v>8919</v>
      </c>
      <c r="E18503" s="16"/>
      <c r="F18503" s="18">
        <f>ROUND((G18494+G18495+G18496+G18497+G18498+G18502)*(1+G2/100),2)</f>
        <v>102.95</v>
      </c>
      <c r="G18503" s="16"/>
    </row>
    <row r="18504" ht="21.0" customHeight="1">
      <c r="A18504" s="19" t="s">
        <v>8921</v>
      </c>
      <c r="B18504" s="20" t="s">
        <v>18</v>
      </c>
      <c r="C18504" s="20" t="s">
        <v>231</v>
      </c>
      <c r="D18504" s="20" t="s">
        <v>8922</v>
      </c>
      <c r="E18504" s="21"/>
      <c r="F18504" s="22">
        <f>F18512</f>
        <v>91.98</v>
      </c>
      <c r="G18504" s="21"/>
    </row>
    <row r="18505" ht="30.0" customHeight="1">
      <c r="A18505" s="11"/>
      <c r="B18505" s="11"/>
      <c r="C18505" s="11"/>
      <c r="D18505" s="10" t="s">
        <v>8923</v>
      </c>
    </row>
    <row r="18506" ht="21.0" customHeight="1">
      <c r="A18506" s="10" t="s">
        <v>22</v>
      </c>
      <c r="B18506" s="10" t="s">
        <v>18</v>
      </c>
      <c r="C18506" s="10" t="s">
        <v>23</v>
      </c>
      <c r="D18506" s="10" t="s">
        <v>24</v>
      </c>
      <c r="E18506" s="14">
        <v>2.0</v>
      </c>
      <c r="F18506" s="15">
        <f>F18510</f>
        <v>43.8</v>
      </c>
      <c r="G18506" s="12">
        <f t="shared" ref="G18506:G18510" si="2377">ROUND(E18506*F18506,2)</f>
        <v>87.6</v>
      </c>
    </row>
    <row r="18507" ht="24.0" customHeight="1">
      <c r="A18507" s="10" t="s">
        <v>25</v>
      </c>
      <c r="B18507" s="10" t="s">
        <v>26</v>
      </c>
      <c r="C18507" s="10" t="s">
        <v>23</v>
      </c>
      <c r="D18507" s="10" t="s">
        <v>27</v>
      </c>
      <c r="E18507" s="14">
        <v>1.0</v>
      </c>
      <c r="F18507" s="15">
        <f>ROUND(21,3)</f>
        <v>21</v>
      </c>
      <c r="G18507" s="12">
        <f t="shared" si="2377"/>
        <v>21</v>
      </c>
    </row>
    <row r="18508" ht="24.0" customHeight="1">
      <c r="A18508" s="10" t="s">
        <v>28</v>
      </c>
      <c r="B18508" s="10" t="s">
        <v>26</v>
      </c>
      <c r="C18508" s="10" t="s">
        <v>23</v>
      </c>
      <c r="D18508" s="10" t="s">
        <v>29</v>
      </c>
      <c r="E18508" s="14">
        <v>1.0</v>
      </c>
      <c r="F18508" s="15">
        <f t="shared" ref="F18508:F18509" si="2378">ROUND(19,3)</f>
        <v>19</v>
      </c>
      <c r="G18508" s="12">
        <f t="shared" si="2377"/>
        <v>19</v>
      </c>
    </row>
    <row r="18509" ht="24.0" customHeight="1">
      <c r="A18509" s="10" t="s">
        <v>30</v>
      </c>
      <c r="B18509" s="10" t="s">
        <v>26</v>
      </c>
      <c r="C18509" s="10" t="s">
        <v>23</v>
      </c>
      <c r="D18509" s="10" t="s">
        <v>31</v>
      </c>
      <c r="E18509" s="14">
        <v>0.2</v>
      </c>
      <c r="F18509" s="15">
        <f t="shared" si="2378"/>
        <v>19</v>
      </c>
      <c r="G18509" s="12">
        <f t="shared" si="2377"/>
        <v>3.8</v>
      </c>
    </row>
    <row r="18510" ht="15.0" customHeight="1">
      <c r="A18510" s="11"/>
      <c r="B18510" s="11"/>
      <c r="C18510" s="11"/>
      <c r="D18510" s="10" t="s">
        <v>22</v>
      </c>
      <c r="E18510" s="14">
        <v>2.0</v>
      </c>
      <c r="F18510" s="15">
        <f>ROUND((G18507+G18508+G18509),3)</f>
        <v>43.8</v>
      </c>
      <c r="G18510" s="12">
        <f t="shared" si="2377"/>
        <v>87.6</v>
      </c>
    </row>
    <row r="18511" ht="15.0" customHeight="1">
      <c r="A18511" s="10" t="s">
        <v>32</v>
      </c>
      <c r="B18511" s="10"/>
      <c r="C18511" s="10" t="s">
        <v>33</v>
      </c>
      <c r="D18511" s="10" t="s">
        <v>34</v>
      </c>
      <c r="E18511" s="14">
        <v>5.0</v>
      </c>
      <c r="F18511" s="15">
        <f>ROUND(87.6,3)</f>
        <v>87.6</v>
      </c>
      <c r="G18511" s="12">
        <f>ROUND((E18511*F18511)/100,2)</f>
        <v>4.38</v>
      </c>
    </row>
    <row r="18512" ht="15.0" customHeight="1">
      <c r="A18512" s="16"/>
      <c r="B18512" s="16"/>
      <c r="C18512" s="16"/>
      <c r="D18512" s="17" t="s">
        <v>8921</v>
      </c>
      <c r="E18512" s="16"/>
      <c r="F18512" s="18">
        <f>ROUND((G18506+G18511)*(1+G2/100),2)</f>
        <v>91.98</v>
      </c>
      <c r="G18512" s="16"/>
    </row>
    <row r="18513" ht="15.0" customHeight="1">
      <c r="A18513" s="23"/>
      <c r="B18513" s="23"/>
      <c r="C18513" s="23"/>
      <c r="D18513" s="30" t="s">
        <v>8912</v>
      </c>
      <c r="E18513" s="31"/>
      <c r="F18513" s="31"/>
      <c r="G18513" s="31"/>
    </row>
    <row r="18514" ht="48.75" customHeight="1">
      <c r="A18514" s="19" t="s">
        <v>8924</v>
      </c>
      <c r="B18514" s="20" t="s">
        <v>18</v>
      </c>
      <c r="C18514" s="20" t="s">
        <v>19</v>
      </c>
      <c r="D18514" s="20" t="s">
        <v>8925</v>
      </c>
      <c r="E18514" s="21"/>
      <c r="F18514" s="22">
        <f>F18523</f>
        <v>48.43</v>
      </c>
      <c r="G18514" s="21"/>
    </row>
    <row r="18515" ht="21.0" customHeight="1">
      <c r="A18515" s="11"/>
      <c r="B18515" s="11"/>
      <c r="C18515" s="11"/>
      <c r="D18515" s="10" t="s">
        <v>8926</v>
      </c>
    </row>
    <row r="18516" ht="48.75" customHeight="1">
      <c r="A18516" s="10" t="s">
        <v>8247</v>
      </c>
      <c r="B18516" s="10" t="s">
        <v>42</v>
      </c>
      <c r="C18516" s="10" t="s">
        <v>226</v>
      </c>
      <c r="D18516" s="10" t="s">
        <v>8248</v>
      </c>
      <c r="E18516" s="14">
        <v>0.1833</v>
      </c>
      <c r="F18516" s="15">
        <f>ROUND(13.3,3)</f>
        <v>13.3</v>
      </c>
      <c r="G18516" s="12">
        <f t="shared" ref="G18516:G18521" si="2379">ROUND(E18516*F18516,2)</f>
        <v>2.44</v>
      </c>
    </row>
    <row r="18517" ht="21.0" customHeight="1">
      <c r="A18517" s="10" t="s">
        <v>22</v>
      </c>
      <c r="B18517" s="10" t="s">
        <v>18</v>
      </c>
      <c r="C18517" s="10" t="s">
        <v>23</v>
      </c>
      <c r="D18517" s="10" t="s">
        <v>24</v>
      </c>
      <c r="E18517" s="14">
        <v>1.0</v>
      </c>
      <c r="F18517" s="15">
        <f>F18521</f>
        <v>43.8</v>
      </c>
      <c r="G18517" s="12">
        <f t="shared" si="2379"/>
        <v>43.8</v>
      </c>
    </row>
    <row r="18518" ht="24.0" customHeight="1">
      <c r="A18518" s="10" t="s">
        <v>25</v>
      </c>
      <c r="B18518" s="10" t="s">
        <v>26</v>
      </c>
      <c r="C18518" s="10" t="s">
        <v>23</v>
      </c>
      <c r="D18518" s="10" t="s">
        <v>27</v>
      </c>
      <c r="E18518" s="14">
        <v>1.0</v>
      </c>
      <c r="F18518" s="15">
        <f>ROUND(21,3)</f>
        <v>21</v>
      </c>
      <c r="G18518" s="12">
        <f t="shared" si="2379"/>
        <v>21</v>
      </c>
    </row>
    <row r="18519" ht="24.0" customHeight="1">
      <c r="A18519" s="10" t="s">
        <v>28</v>
      </c>
      <c r="B18519" s="10" t="s">
        <v>26</v>
      </c>
      <c r="C18519" s="10" t="s">
        <v>23</v>
      </c>
      <c r="D18519" s="10" t="s">
        <v>29</v>
      </c>
      <c r="E18519" s="14">
        <v>1.0</v>
      </c>
      <c r="F18519" s="15">
        <f t="shared" ref="F18519:F18520" si="2380">ROUND(19,3)</f>
        <v>19</v>
      </c>
      <c r="G18519" s="12">
        <f t="shared" si="2379"/>
        <v>19</v>
      </c>
    </row>
    <row r="18520" ht="24.0" customHeight="1">
      <c r="A18520" s="10" t="s">
        <v>30</v>
      </c>
      <c r="B18520" s="10" t="s">
        <v>26</v>
      </c>
      <c r="C18520" s="10" t="s">
        <v>23</v>
      </c>
      <c r="D18520" s="10" t="s">
        <v>31</v>
      </c>
      <c r="E18520" s="14">
        <v>0.2</v>
      </c>
      <c r="F18520" s="15">
        <f t="shared" si="2380"/>
        <v>19</v>
      </c>
      <c r="G18520" s="12">
        <f t="shared" si="2379"/>
        <v>3.8</v>
      </c>
    </row>
    <row r="18521" ht="15.0" customHeight="1">
      <c r="A18521" s="11"/>
      <c r="B18521" s="11"/>
      <c r="C18521" s="11"/>
      <c r="D18521" s="10" t="s">
        <v>22</v>
      </c>
      <c r="E18521" s="14">
        <v>1.0</v>
      </c>
      <c r="F18521" s="15">
        <f>ROUND((G18518+G18519+G18520),3)</f>
        <v>43.8</v>
      </c>
      <c r="G18521" s="12">
        <f t="shared" si="2379"/>
        <v>43.8</v>
      </c>
    </row>
    <row r="18522" ht="15.0" customHeight="1">
      <c r="A18522" s="10" t="s">
        <v>32</v>
      </c>
      <c r="B18522" s="10"/>
      <c r="C18522" s="10" t="s">
        <v>33</v>
      </c>
      <c r="D18522" s="10" t="s">
        <v>34</v>
      </c>
      <c r="E18522" s="14">
        <v>5.0</v>
      </c>
      <c r="F18522" s="15">
        <f>ROUND(43.8,3)</f>
        <v>43.8</v>
      </c>
      <c r="G18522" s="12">
        <f>ROUND((E18522*F18522)/100,2)</f>
        <v>2.19</v>
      </c>
    </row>
    <row r="18523" ht="15.0" customHeight="1">
      <c r="A18523" s="16"/>
      <c r="B18523" s="16"/>
      <c r="C18523" s="16"/>
      <c r="D18523" s="17" t="s">
        <v>8924</v>
      </c>
      <c r="E18523" s="16"/>
      <c r="F18523" s="18">
        <f>ROUND((G18516+G18517+G18522)*(1+G2/100),2)</f>
        <v>48.43</v>
      </c>
      <c r="G18523" s="16"/>
    </row>
    <row r="18524" ht="48.75" customHeight="1">
      <c r="A18524" s="19" t="s">
        <v>8927</v>
      </c>
      <c r="B18524" s="20" t="s">
        <v>18</v>
      </c>
      <c r="C18524" s="20" t="s">
        <v>351</v>
      </c>
      <c r="D18524" s="20" t="s">
        <v>8928</v>
      </c>
      <c r="E18524" s="21"/>
      <c r="F18524" s="22">
        <f>F18535</f>
        <v>40.51</v>
      </c>
      <c r="G18524" s="21"/>
    </row>
    <row r="18525" ht="21.0" customHeight="1">
      <c r="A18525" s="11"/>
      <c r="B18525" s="11"/>
      <c r="C18525" s="11"/>
      <c r="D18525" s="10" t="s">
        <v>8928</v>
      </c>
    </row>
    <row r="18526" ht="21.0" customHeight="1">
      <c r="A18526" s="10" t="s">
        <v>7323</v>
      </c>
      <c r="B18526" s="10" t="s">
        <v>42</v>
      </c>
      <c r="C18526" s="10" t="s">
        <v>344</v>
      </c>
      <c r="D18526" s="10" t="s">
        <v>7324</v>
      </c>
      <c r="E18526" s="14">
        <v>0.5</v>
      </c>
      <c r="F18526" s="15">
        <f>ROUND(3.71,3)</f>
        <v>3.71</v>
      </c>
      <c r="G18526" s="12">
        <f t="shared" ref="G18526:G18533" si="2381">ROUND(E18526*F18526,2)</f>
        <v>1.86</v>
      </c>
    </row>
    <row r="18527" ht="21.0" customHeight="1">
      <c r="A18527" s="10" t="s">
        <v>967</v>
      </c>
      <c r="B18527" s="10" t="s">
        <v>42</v>
      </c>
      <c r="C18527" s="10" t="s">
        <v>325</v>
      </c>
      <c r="D18527" s="10" t="s">
        <v>968</v>
      </c>
      <c r="E18527" s="14">
        <v>0.04</v>
      </c>
      <c r="F18527" s="15">
        <f>ROUND(6.49,3)</f>
        <v>6.49</v>
      </c>
      <c r="G18527" s="12">
        <f t="shared" si="2381"/>
        <v>0.26</v>
      </c>
    </row>
    <row r="18528" ht="21.0" customHeight="1">
      <c r="A18528" s="10" t="s">
        <v>969</v>
      </c>
      <c r="B18528" s="10" t="s">
        <v>112</v>
      </c>
      <c r="C18528" s="10" t="s">
        <v>23</v>
      </c>
      <c r="D18528" s="10" t="s">
        <v>970</v>
      </c>
      <c r="E18528" s="14">
        <v>0.8</v>
      </c>
      <c r="F18528" s="15">
        <f>ROUND(2,3)</f>
        <v>2</v>
      </c>
      <c r="G18528" s="12">
        <f t="shared" si="2381"/>
        <v>1.6</v>
      </c>
    </row>
    <row r="18529" ht="21.0" customHeight="1">
      <c r="A18529" s="10" t="s">
        <v>22</v>
      </c>
      <c r="B18529" s="10" t="s">
        <v>18</v>
      </c>
      <c r="C18529" s="10" t="s">
        <v>23</v>
      </c>
      <c r="D18529" s="10" t="s">
        <v>24</v>
      </c>
      <c r="E18529" s="14">
        <v>0.8</v>
      </c>
      <c r="F18529" s="15">
        <f>F18533</f>
        <v>43.8</v>
      </c>
      <c r="G18529" s="12">
        <f t="shared" si="2381"/>
        <v>35.04</v>
      </c>
    </row>
    <row r="18530" ht="24.0" customHeight="1">
      <c r="A18530" s="10" t="s">
        <v>25</v>
      </c>
      <c r="B18530" s="10" t="s">
        <v>26</v>
      </c>
      <c r="C18530" s="10" t="s">
        <v>23</v>
      </c>
      <c r="D18530" s="10" t="s">
        <v>27</v>
      </c>
      <c r="E18530" s="14">
        <v>1.0</v>
      </c>
      <c r="F18530" s="15">
        <f>ROUND(21,3)</f>
        <v>21</v>
      </c>
      <c r="G18530" s="12">
        <f t="shared" si="2381"/>
        <v>21</v>
      </c>
    </row>
    <row r="18531" ht="24.0" customHeight="1">
      <c r="A18531" s="10" t="s">
        <v>28</v>
      </c>
      <c r="B18531" s="10" t="s">
        <v>26</v>
      </c>
      <c r="C18531" s="10" t="s">
        <v>23</v>
      </c>
      <c r="D18531" s="10" t="s">
        <v>29</v>
      </c>
      <c r="E18531" s="14">
        <v>1.0</v>
      </c>
      <c r="F18531" s="15">
        <f t="shared" ref="F18531:F18532" si="2382">ROUND(19,3)</f>
        <v>19</v>
      </c>
      <c r="G18531" s="12">
        <f t="shared" si="2381"/>
        <v>19</v>
      </c>
    </row>
    <row r="18532" ht="24.0" customHeight="1">
      <c r="A18532" s="10" t="s">
        <v>30</v>
      </c>
      <c r="B18532" s="10" t="s">
        <v>26</v>
      </c>
      <c r="C18532" s="10" t="s">
        <v>23</v>
      </c>
      <c r="D18532" s="10" t="s">
        <v>31</v>
      </c>
      <c r="E18532" s="14">
        <v>0.2</v>
      </c>
      <c r="F18532" s="15">
        <f t="shared" si="2382"/>
        <v>19</v>
      </c>
      <c r="G18532" s="12">
        <f t="shared" si="2381"/>
        <v>3.8</v>
      </c>
    </row>
    <row r="18533" ht="15.0" customHeight="1">
      <c r="A18533" s="11"/>
      <c r="B18533" s="11"/>
      <c r="C18533" s="11"/>
      <c r="D18533" s="10" t="s">
        <v>22</v>
      </c>
      <c r="E18533" s="14">
        <v>0.8</v>
      </c>
      <c r="F18533" s="15">
        <f>ROUND((G18530+G18531+G18532),3)</f>
        <v>43.8</v>
      </c>
      <c r="G18533" s="12">
        <f t="shared" si="2381"/>
        <v>35.04</v>
      </c>
    </row>
    <row r="18534" ht="15.0" customHeight="1">
      <c r="A18534" s="10" t="s">
        <v>32</v>
      </c>
      <c r="B18534" s="10"/>
      <c r="C18534" s="10" t="s">
        <v>33</v>
      </c>
      <c r="D18534" s="10" t="s">
        <v>34</v>
      </c>
      <c r="E18534" s="14">
        <v>5.0</v>
      </c>
      <c r="F18534" s="15">
        <f>ROUND(35.04,3)</f>
        <v>35.04</v>
      </c>
      <c r="G18534" s="12">
        <f>ROUND((E18534*F18534)/100,2)</f>
        <v>1.75</v>
      </c>
    </row>
    <row r="18535" ht="15.0" customHeight="1">
      <c r="A18535" s="16"/>
      <c r="B18535" s="16"/>
      <c r="C18535" s="16"/>
      <c r="D18535" s="17" t="s">
        <v>8927</v>
      </c>
      <c r="E18535" s="16"/>
      <c r="F18535" s="18">
        <f>ROUND((G18526+G18527+G18528+G18529+G18534)*(1+G2/100),2)</f>
        <v>40.51</v>
      </c>
      <c r="G18535" s="16"/>
    </row>
    <row r="18536" ht="15.0" customHeight="1">
      <c r="A18536" s="23"/>
      <c r="B18536" s="23"/>
      <c r="C18536" s="23"/>
      <c r="D18536" s="24" t="s">
        <v>8894</v>
      </c>
      <c r="E18536" s="25"/>
      <c r="F18536" s="25"/>
      <c r="G18536" s="25"/>
    </row>
    <row r="18537" ht="15.0" customHeight="1">
      <c r="A18537" s="23"/>
      <c r="B18537" s="23"/>
      <c r="C18537" s="23"/>
      <c r="D18537" s="32" t="s">
        <v>8892</v>
      </c>
      <c r="E18537" s="33"/>
      <c r="F18537" s="33"/>
      <c r="G18537" s="33"/>
    </row>
    <row r="18538" ht="15.0" customHeight="1">
      <c r="A18538" s="23"/>
      <c r="B18538" s="23"/>
      <c r="C18538" s="23"/>
      <c r="D18538" s="36" t="s">
        <v>8864</v>
      </c>
      <c r="E18538" s="37"/>
      <c r="F18538" s="37"/>
      <c r="G18538" s="37"/>
    </row>
    <row r="18539" ht="15.0" customHeight="1">
      <c r="A18539" s="38" t="s">
        <v>8929</v>
      </c>
      <c r="B18539" s="38" t="s">
        <v>10</v>
      </c>
      <c r="C18539" s="39"/>
      <c r="D18539" s="38" t="s">
        <v>8930</v>
      </c>
      <c r="E18539" s="39"/>
      <c r="F18539" s="39"/>
      <c r="G18539" s="39"/>
    </row>
    <row r="18540" ht="15.0" customHeight="1">
      <c r="A18540" s="40" t="s">
        <v>8931</v>
      </c>
      <c r="B18540" s="40" t="s">
        <v>10</v>
      </c>
      <c r="C18540" s="41"/>
      <c r="D18540" s="40" t="s">
        <v>8932</v>
      </c>
      <c r="E18540" s="41"/>
      <c r="F18540" s="41"/>
      <c r="G18540" s="41"/>
    </row>
    <row r="18541" ht="21.0" customHeight="1">
      <c r="A18541" s="13" t="s">
        <v>4513</v>
      </c>
      <c r="B18541" s="10" t="s">
        <v>42</v>
      </c>
      <c r="C18541" s="10" t="s">
        <v>304</v>
      </c>
      <c r="D18541" s="10" t="s">
        <v>4514</v>
      </c>
      <c r="E18541" s="11"/>
      <c r="F18541" s="12">
        <f>ROUND(1.67*(1+G2/100),2)</f>
        <v>1.67</v>
      </c>
      <c r="G18541" s="11"/>
    </row>
    <row r="18542" ht="132.0" customHeight="1">
      <c r="A18542" s="11"/>
      <c r="B18542" s="11"/>
      <c r="C18542" s="11"/>
      <c r="D18542" s="10" t="s">
        <v>8933</v>
      </c>
    </row>
    <row r="18543" ht="15.0" customHeight="1">
      <c r="A18543" s="13" t="s">
        <v>365</v>
      </c>
      <c r="B18543" s="10" t="s">
        <v>42</v>
      </c>
      <c r="C18543" s="10" t="s">
        <v>184</v>
      </c>
      <c r="D18543" s="10" t="s">
        <v>366</v>
      </c>
      <c r="E18543" s="11"/>
      <c r="F18543" s="12">
        <f>ROUND(32*(1+G2/100),2)</f>
        <v>32</v>
      </c>
      <c r="G18543" s="11"/>
    </row>
    <row r="18544" ht="12.0" customHeight="1">
      <c r="A18544" s="11"/>
      <c r="B18544" s="11"/>
      <c r="C18544" s="11"/>
      <c r="D18544" s="10" t="s">
        <v>366</v>
      </c>
    </row>
    <row r="18545" ht="30.0" customHeight="1">
      <c r="A18545" s="13" t="s">
        <v>363</v>
      </c>
      <c r="B18545" s="10" t="s">
        <v>42</v>
      </c>
      <c r="C18545" s="10" t="s">
        <v>231</v>
      </c>
      <c r="D18545" s="10" t="s">
        <v>364</v>
      </c>
      <c r="E18545" s="11"/>
      <c r="F18545" s="12">
        <f>ROUND(0.17*(1+G2/100),2)</f>
        <v>0.17</v>
      </c>
      <c r="G18545" s="11"/>
    </row>
    <row r="18546" ht="30.0" customHeight="1">
      <c r="A18546" s="11"/>
      <c r="B18546" s="11"/>
      <c r="C18546" s="11"/>
      <c r="D18546" s="10" t="s">
        <v>8736</v>
      </c>
    </row>
    <row r="18547" ht="21.0" customHeight="1">
      <c r="A18547" s="13" t="s">
        <v>8934</v>
      </c>
      <c r="B18547" s="10" t="s">
        <v>42</v>
      </c>
      <c r="C18547" s="10" t="s">
        <v>231</v>
      </c>
      <c r="D18547" s="10" t="s">
        <v>8935</v>
      </c>
      <c r="E18547" s="11"/>
      <c r="F18547" s="12">
        <f>ROUND(2.98*(1+G2/100),2)</f>
        <v>2.98</v>
      </c>
      <c r="G18547" s="11"/>
    </row>
    <row r="18548" ht="12.0" customHeight="1">
      <c r="A18548" s="11"/>
      <c r="B18548" s="11"/>
      <c r="C18548" s="11"/>
      <c r="D18548" s="10" t="s">
        <v>8935</v>
      </c>
    </row>
    <row r="18549" ht="21.0" customHeight="1">
      <c r="A18549" s="13" t="s">
        <v>8936</v>
      </c>
      <c r="B18549" s="10" t="s">
        <v>42</v>
      </c>
      <c r="C18549" s="10" t="s">
        <v>231</v>
      </c>
      <c r="D18549" s="10" t="s">
        <v>8937</v>
      </c>
      <c r="E18549" s="11"/>
      <c r="F18549" s="12">
        <f>ROUND(2.48*(1+G2/100),2)</f>
        <v>2.48</v>
      </c>
      <c r="G18549" s="11"/>
    </row>
    <row r="18550" ht="12.0" customHeight="1">
      <c r="A18550" s="11"/>
      <c r="B18550" s="11"/>
      <c r="C18550" s="11"/>
      <c r="D18550" s="10" t="s">
        <v>8938</v>
      </c>
    </row>
    <row r="18551" ht="21.0" customHeight="1">
      <c r="A18551" s="13" t="s">
        <v>8939</v>
      </c>
      <c r="B18551" s="10" t="s">
        <v>42</v>
      </c>
      <c r="C18551" s="10" t="s">
        <v>231</v>
      </c>
      <c r="D18551" s="10" t="s">
        <v>8940</v>
      </c>
      <c r="E18551" s="11"/>
      <c r="F18551" s="12">
        <f>ROUND(5.98*(1+G2/100),2)</f>
        <v>5.98</v>
      </c>
      <c r="G18551" s="11"/>
    </row>
    <row r="18552" ht="12.0" customHeight="1">
      <c r="A18552" s="11"/>
      <c r="B18552" s="11"/>
      <c r="C18552" s="11"/>
      <c r="D18552" s="10" t="s">
        <v>8941</v>
      </c>
    </row>
    <row r="18553" ht="30.0" customHeight="1">
      <c r="A18553" s="13" t="s">
        <v>8942</v>
      </c>
      <c r="B18553" s="10" t="s">
        <v>42</v>
      </c>
      <c r="C18553" s="10" t="s">
        <v>231</v>
      </c>
      <c r="D18553" s="10" t="s">
        <v>8943</v>
      </c>
      <c r="E18553" s="11"/>
      <c r="F18553" s="12">
        <f>ROUND(4.78*(1+G2/100),2)</f>
        <v>4.78</v>
      </c>
      <c r="G18553" s="11"/>
    </row>
    <row r="18554" ht="12.0" customHeight="1">
      <c r="A18554" s="11"/>
      <c r="B18554" s="11"/>
      <c r="C18554" s="11"/>
      <c r="D18554" s="10" t="s">
        <v>8944</v>
      </c>
    </row>
    <row r="18555" ht="15.0" customHeight="1">
      <c r="A18555" s="16"/>
      <c r="B18555" s="16"/>
      <c r="C18555" s="16"/>
      <c r="D18555" s="61" t="s">
        <v>8931</v>
      </c>
      <c r="E18555" s="62"/>
      <c r="F18555" s="62"/>
      <c r="G18555" s="62"/>
    </row>
    <row r="18556" ht="15.0" customHeight="1">
      <c r="A18556" s="34" t="s">
        <v>8945</v>
      </c>
      <c r="B18556" s="34" t="s">
        <v>10</v>
      </c>
      <c r="C18556" s="35"/>
      <c r="D18556" s="34" t="s">
        <v>8946</v>
      </c>
      <c r="E18556" s="35"/>
      <c r="F18556" s="35"/>
      <c r="G18556" s="35"/>
    </row>
    <row r="18557" ht="15.0" customHeight="1">
      <c r="A18557" s="13" t="s">
        <v>8947</v>
      </c>
      <c r="B18557" s="10" t="s">
        <v>18</v>
      </c>
      <c r="C18557" s="10" t="s">
        <v>8948</v>
      </c>
      <c r="D18557" s="10" t="s">
        <v>8949</v>
      </c>
      <c r="E18557" s="11"/>
      <c r="F18557" s="12">
        <f>ROUND(0*(1+G2/100),2)</f>
        <v>0</v>
      </c>
      <c r="G18557" s="11"/>
    </row>
    <row r="18558" ht="12.0" customHeight="1">
      <c r="A18558" s="11"/>
      <c r="B18558" s="11"/>
      <c r="C18558" s="11"/>
      <c r="D18558" s="10" t="s">
        <v>8949</v>
      </c>
    </row>
    <row r="18559" ht="15.0" customHeight="1">
      <c r="A18559" s="13" t="s">
        <v>8950</v>
      </c>
      <c r="B18559" s="10" t="s">
        <v>18</v>
      </c>
      <c r="C18559" s="10" t="s">
        <v>8951</v>
      </c>
      <c r="D18559" s="10" t="s">
        <v>8952</v>
      </c>
      <c r="E18559" s="11"/>
      <c r="F18559" s="12">
        <f>ROUND(0*(1+G2/100),2)</f>
        <v>0</v>
      </c>
      <c r="G18559" s="11"/>
    </row>
    <row r="18560" ht="12.0" customHeight="1">
      <c r="A18560" s="11"/>
      <c r="B18560" s="11"/>
      <c r="C18560" s="11"/>
      <c r="D18560" s="10" t="s">
        <v>8952</v>
      </c>
    </row>
    <row r="18561" ht="15.0" customHeight="1">
      <c r="A18561" s="13" t="s">
        <v>8953</v>
      </c>
      <c r="B18561" s="10" t="s">
        <v>18</v>
      </c>
      <c r="C18561" s="10" t="s">
        <v>8949</v>
      </c>
      <c r="D18561" s="10" t="s">
        <v>8954</v>
      </c>
      <c r="E18561" s="11"/>
      <c r="F18561" s="12">
        <f>ROUND(0*(1+G2/100),2)</f>
        <v>0</v>
      </c>
      <c r="G18561" s="11"/>
    </row>
    <row r="18562" ht="12.0" customHeight="1">
      <c r="A18562" s="11"/>
      <c r="B18562" s="11"/>
      <c r="C18562" s="11"/>
      <c r="D18562" s="10" t="s">
        <v>8954</v>
      </c>
    </row>
    <row r="18563" ht="15.0" customHeight="1">
      <c r="A18563" s="13" t="s">
        <v>8955</v>
      </c>
      <c r="B18563" s="10" t="s">
        <v>18</v>
      </c>
      <c r="C18563" s="10" t="s">
        <v>8949</v>
      </c>
      <c r="D18563" s="10" t="s">
        <v>8948</v>
      </c>
      <c r="E18563" s="11"/>
      <c r="F18563" s="12">
        <f>ROUND(0*(1+G2/100),2)</f>
        <v>0</v>
      </c>
      <c r="G18563" s="11"/>
    </row>
    <row r="18564" ht="12.0" customHeight="1">
      <c r="A18564" s="11"/>
      <c r="B18564" s="11"/>
      <c r="C18564" s="11"/>
      <c r="D18564" s="10" t="s">
        <v>8948</v>
      </c>
    </row>
    <row r="18565" ht="24.75" customHeight="1">
      <c r="A18565" s="13" t="s">
        <v>8956</v>
      </c>
      <c r="B18565" s="10" t="s">
        <v>18</v>
      </c>
      <c r="C18565" s="10" t="s">
        <v>8949</v>
      </c>
      <c r="D18565" s="10" t="s">
        <v>8949</v>
      </c>
      <c r="E18565" s="11"/>
      <c r="F18565" s="12">
        <f>ROUND(0*(1+G2/100),2)</f>
        <v>0</v>
      </c>
      <c r="G18565" s="11"/>
    </row>
    <row r="18566" ht="12.0" customHeight="1">
      <c r="A18566" s="11"/>
      <c r="B18566" s="11"/>
      <c r="C18566" s="11"/>
      <c r="D18566" s="10" t="s">
        <v>8949</v>
      </c>
    </row>
    <row r="18567" ht="15.0" customHeight="1">
      <c r="A18567" s="13" t="s">
        <v>8957</v>
      </c>
      <c r="B18567" s="10" t="s">
        <v>18</v>
      </c>
      <c r="C18567" s="10" t="s">
        <v>8958</v>
      </c>
      <c r="D18567" s="10" t="s">
        <v>8959</v>
      </c>
      <c r="E18567" s="11"/>
      <c r="F18567" s="12">
        <f>ROUND(0*(1+G2/100),2)</f>
        <v>0</v>
      </c>
      <c r="G18567" s="11"/>
    </row>
    <row r="18568" ht="12.0" customHeight="1">
      <c r="A18568" s="11"/>
      <c r="B18568" s="11"/>
      <c r="C18568" s="11"/>
      <c r="D18568" s="10" t="s">
        <v>8959</v>
      </c>
    </row>
    <row r="18569" ht="15.0" customHeight="1">
      <c r="A18569" s="13" t="s">
        <v>8960</v>
      </c>
      <c r="B18569" s="10" t="s">
        <v>18</v>
      </c>
      <c r="C18569" s="10" t="s">
        <v>304</v>
      </c>
      <c r="D18569" s="10" t="s">
        <v>8961</v>
      </c>
      <c r="E18569" s="11"/>
      <c r="F18569" s="12">
        <f>ROUND(0*(1+G2/100),2)</f>
        <v>0</v>
      </c>
      <c r="G18569" s="11"/>
    </row>
    <row r="18570" ht="12.0" customHeight="1">
      <c r="A18570" s="11"/>
      <c r="B18570" s="11"/>
      <c r="C18570" s="11"/>
      <c r="D18570" s="10" t="s">
        <v>8961</v>
      </c>
    </row>
    <row r="18571" ht="15.0" customHeight="1">
      <c r="A18571" s="13" t="s">
        <v>8962</v>
      </c>
      <c r="B18571" s="10" t="s">
        <v>18</v>
      </c>
      <c r="C18571" s="10" t="s">
        <v>304</v>
      </c>
      <c r="D18571" s="10" t="s">
        <v>8963</v>
      </c>
      <c r="E18571" s="11"/>
      <c r="F18571" s="12">
        <f>ROUND(0*(1+G2/100),2)</f>
        <v>0</v>
      </c>
      <c r="G18571" s="11"/>
    </row>
    <row r="18572" ht="12.0" customHeight="1">
      <c r="A18572" s="11"/>
      <c r="B18572" s="11"/>
      <c r="C18572" s="11"/>
      <c r="D18572" s="10" t="s">
        <v>8963</v>
      </c>
    </row>
    <row r="18573" ht="15.0" customHeight="1">
      <c r="A18573" s="16"/>
      <c r="B18573" s="16"/>
      <c r="C18573" s="16"/>
      <c r="D18573" s="61" t="s">
        <v>8945</v>
      </c>
      <c r="E18573" s="62"/>
      <c r="F18573" s="62"/>
      <c r="G18573" s="62"/>
    </row>
    <row r="18574" ht="15.0" customHeight="1">
      <c r="A18574" s="23"/>
      <c r="B18574" s="23"/>
      <c r="C18574" s="23"/>
      <c r="D18574" s="36" t="s">
        <v>8929</v>
      </c>
      <c r="E18574" s="37"/>
      <c r="F18574" s="37"/>
      <c r="G18574" s="37"/>
    </row>
    <row r="18575" ht="15.0" customHeight="1">
      <c r="A18575" s="38" t="s">
        <v>8964</v>
      </c>
      <c r="B18575" s="38" t="s">
        <v>10</v>
      </c>
      <c r="C18575" s="39"/>
      <c r="D18575" s="38" t="s">
        <v>8965</v>
      </c>
      <c r="E18575" s="39"/>
      <c r="F18575" s="39"/>
      <c r="G18575" s="39"/>
    </row>
    <row r="18576" ht="21.0" customHeight="1">
      <c r="A18576" s="13" t="s">
        <v>8966</v>
      </c>
      <c r="B18576" s="10" t="s">
        <v>18</v>
      </c>
      <c r="C18576" s="10" t="s">
        <v>295</v>
      </c>
      <c r="D18576" s="10" t="s">
        <v>8967</v>
      </c>
      <c r="E18576" s="11"/>
      <c r="F18576" s="12">
        <f>F18579</f>
        <v>0</v>
      </c>
      <c r="G18576" s="11"/>
    </row>
    <row r="18577" ht="30.0" customHeight="1">
      <c r="A18577" s="11"/>
      <c r="B18577" s="11"/>
      <c r="C18577" s="11"/>
      <c r="D18577" s="10" t="s">
        <v>8968</v>
      </c>
    </row>
    <row r="18578" ht="15.0" customHeight="1">
      <c r="A18578" s="10" t="s">
        <v>8969</v>
      </c>
      <c r="B18578" s="10" t="s">
        <v>42</v>
      </c>
      <c r="C18578" s="10" t="s">
        <v>304</v>
      </c>
      <c r="D18578" s="10" t="s">
        <v>8970</v>
      </c>
      <c r="E18578" s="14">
        <v>0.015</v>
      </c>
      <c r="F18578" s="15">
        <f>ROUND(0,3)</f>
        <v>0</v>
      </c>
      <c r="G18578" s="12">
        <f>ROUND(E18578*F18578,2)</f>
        <v>0</v>
      </c>
    </row>
    <row r="18579" ht="15.0" customHeight="1">
      <c r="A18579" s="16"/>
      <c r="B18579" s="16"/>
      <c r="C18579" s="16"/>
      <c r="D18579" s="17" t="s">
        <v>8966</v>
      </c>
      <c r="E18579" s="16"/>
      <c r="F18579" s="18">
        <f>ROUND((G18578)*(1+G2/100),2)</f>
        <v>0</v>
      </c>
      <c r="G18579" s="16"/>
    </row>
    <row r="18580" ht="21.0" customHeight="1">
      <c r="A18580" s="19" t="s">
        <v>8971</v>
      </c>
      <c r="B18580" s="20" t="s">
        <v>18</v>
      </c>
      <c r="C18580" s="20" t="s">
        <v>295</v>
      </c>
      <c r="D18580" s="20" t="s">
        <v>8972</v>
      </c>
      <c r="E18580" s="21"/>
      <c r="F18580" s="22">
        <f>F18583</f>
        <v>300</v>
      </c>
      <c r="G18580" s="21"/>
    </row>
    <row r="18581" ht="21.0" customHeight="1">
      <c r="A18581" s="11"/>
      <c r="B18581" s="11"/>
      <c r="C18581" s="11"/>
      <c r="D18581" s="10" t="s">
        <v>8973</v>
      </c>
    </row>
    <row r="18582" ht="21.0" customHeight="1">
      <c r="A18582" s="10" t="s">
        <v>8974</v>
      </c>
      <c r="B18582" s="10" t="s">
        <v>42</v>
      </c>
      <c r="C18582" s="10" t="s">
        <v>304</v>
      </c>
      <c r="D18582" s="10" t="s">
        <v>8975</v>
      </c>
      <c r="E18582" s="14">
        <v>1.0</v>
      </c>
      <c r="F18582" s="15">
        <f>ROUND(300,3)</f>
        <v>300</v>
      </c>
      <c r="G18582" s="12">
        <f>ROUND(E18582*F18582,2)</f>
        <v>300</v>
      </c>
    </row>
    <row r="18583" ht="15.0" customHeight="1">
      <c r="A18583" s="16"/>
      <c r="B18583" s="16"/>
      <c r="C18583" s="16"/>
      <c r="D18583" s="17" t="s">
        <v>8971</v>
      </c>
      <c r="E18583" s="16"/>
      <c r="F18583" s="18">
        <f>ROUND((G18582)*(1+G2/100),2)</f>
        <v>300</v>
      </c>
      <c r="G18583" s="16"/>
    </row>
    <row r="18584" ht="15.0" customHeight="1">
      <c r="A18584" s="23"/>
      <c r="B18584" s="23"/>
      <c r="C18584" s="23"/>
      <c r="D18584" s="36" t="s">
        <v>8964</v>
      </c>
      <c r="E18584" s="37"/>
      <c r="F18584" s="37"/>
      <c r="G18584" s="37"/>
    </row>
    <row r="18585" ht="15.0" customHeight="1">
      <c r="A18585" s="38" t="s">
        <v>8976</v>
      </c>
      <c r="B18585" s="38" t="s">
        <v>10</v>
      </c>
      <c r="C18585" s="39"/>
      <c r="D18585" s="38" t="s">
        <v>8977</v>
      </c>
      <c r="E18585" s="39"/>
      <c r="F18585" s="39"/>
      <c r="G18585" s="39"/>
    </row>
    <row r="18586" ht="21.0" customHeight="1">
      <c r="A18586" s="13" t="s">
        <v>1751</v>
      </c>
      <c r="B18586" s="10" t="s">
        <v>18</v>
      </c>
      <c r="C18586" s="10" t="s">
        <v>1752</v>
      </c>
      <c r="D18586" s="10" t="s">
        <v>1753</v>
      </c>
      <c r="E18586" s="11"/>
      <c r="F18586" s="12">
        <f>F18598</f>
        <v>82.25</v>
      </c>
      <c r="G18586" s="11"/>
    </row>
    <row r="18587" ht="113.25" customHeight="1">
      <c r="A18587" s="11"/>
      <c r="B18587" s="11"/>
      <c r="C18587" s="11"/>
      <c r="D18587" s="10" t="s">
        <v>1754</v>
      </c>
    </row>
    <row r="18588" ht="21.0" customHeight="1">
      <c r="A18588" s="10" t="s">
        <v>1755</v>
      </c>
      <c r="B18588" s="10" t="s">
        <v>18</v>
      </c>
      <c r="C18588" s="10" t="s">
        <v>351</v>
      </c>
      <c r="D18588" s="10" t="s">
        <v>1756</v>
      </c>
      <c r="E18588" s="14">
        <v>1.0</v>
      </c>
      <c r="F18588" s="15">
        <f>F18597</f>
        <v>82.25</v>
      </c>
      <c r="G18588" s="12">
        <f t="shared" ref="G18588:G18595" si="2383">ROUND(E18588*F18588,2)</f>
        <v>82.25</v>
      </c>
    </row>
    <row r="18589" ht="30.0" customHeight="1">
      <c r="A18589" s="10" t="s">
        <v>1757</v>
      </c>
      <c r="B18589" s="10" t="s">
        <v>42</v>
      </c>
      <c r="C18589" s="10" t="s">
        <v>351</v>
      </c>
      <c r="D18589" s="10" t="s">
        <v>1758</v>
      </c>
      <c r="E18589" s="14">
        <v>1.0</v>
      </c>
      <c r="F18589" s="15">
        <f>ROUND(63,3)</f>
        <v>63</v>
      </c>
      <c r="G18589" s="12">
        <f t="shared" si="2383"/>
        <v>63</v>
      </c>
    </row>
    <row r="18590" ht="30.0" customHeight="1">
      <c r="A18590" s="10" t="s">
        <v>1759</v>
      </c>
      <c r="B18590" s="10" t="s">
        <v>42</v>
      </c>
      <c r="C18590" s="10" t="s">
        <v>325</v>
      </c>
      <c r="D18590" s="10" t="s">
        <v>1760</v>
      </c>
      <c r="E18590" s="14">
        <v>0.04</v>
      </c>
      <c r="F18590" s="15">
        <f>ROUND(82.11,3)</f>
        <v>82.11</v>
      </c>
      <c r="G18590" s="12">
        <f t="shared" si="2383"/>
        <v>3.28</v>
      </c>
    </row>
    <row r="18591" ht="39.75" customHeight="1">
      <c r="A18591" s="10" t="s">
        <v>1761</v>
      </c>
      <c r="B18591" s="10" t="s">
        <v>42</v>
      </c>
      <c r="C18591" s="10" t="s">
        <v>1245</v>
      </c>
      <c r="D18591" s="10" t="s">
        <v>1762</v>
      </c>
      <c r="E18591" s="14">
        <v>0.25</v>
      </c>
      <c r="F18591" s="15">
        <f>ROUND(8.97,3)</f>
        <v>8.97</v>
      </c>
      <c r="G18591" s="12">
        <f t="shared" si="2383"/>
        <v>2.24</v>
      </c>
    </row>
    <row r="18592" ht="30.0" customHeight="1">
      <c r="A18592" s="10" t="s">
        <v>1763</v>
      </c>
      <c r="B18592" s="10" t="s">
        <v>42</v>
      </c>
      <c r="C18592" s="10" t="s">
        <v>1245</v>
      </c>
      <c r="D18592" s="10" t="s">
        <v>1764</v>
      </c>
      <c r="E18592" s="14">
        <v>0.25</v>
      </c>
      <c r="F18592" s="15">
        <f>ROUND(6.32,3)</f>
        <v>6.32</v>
      </c>
      <c r="G18592" s="12">
        <f t="shared" si="2383"/>
        <v>1.58</v>
      </c>
    </row>
    <row r="18593" ht="21.0" customHeight="1">
      <c r="A18593" s="10" t="s">
        <v>969</v>
      </c>
      <c r="B18593" s="10" t="s">
        <v>112</v>
      </c>
      <c r="C18593" s="10" t="s">
        <v>23</v>
      </c>
      <c r="D18593" s="10" t="s">
        <v>970</v>
      </c>
      <c r="E18593" s="14">
        <v>0.25</v>
      </c>
      <c r="F18593" s="15">
        <f>ROUND(2,3)</f>
        <v>2</v>
      </c>
      <c r="G18593" s="12">
        <f t="shared" si="2383"/>
        <v>0.5</v>
      </c>
    </row>
    <row r="18594" ht="30.0" customHeight="1">
      <c r="A18594" s="10" t="s">
        <v>971</v>
      </c>
      <c r="B18594" s="10" t="s">
        <v>42</v>
      </c>
      <c r="C18594" s="10" t="s">
        <v>231</v>
      </c>
      <c r="D18594" s="10" t="s">
        <v>972</v>
      </c>
      <c r="E18594" s="14">
        <v>0.1</v>
      </c>
      <c r="F18594" s="15">
        <f>ROUND(4.92,3)</f>
        <v>4.92</v>
      </c>
      <c r="G18594" s="12">
        <f t="shared" si="2383"/>
        <v>0.49</v>
      </c>
    </row>
    <row r="18595" ht="21.0" customHeight="1">
      <c r="A18595" s="10" t="s">
        <v>22</v>
      </c>
      <c r="B18595" s="10" t="s">
        <v>18</v>
      </c>
      <c r="C18595" s="10" t="s">
        <v>23</v>
      </c>
      <c r="D18595" s="10" t="s">
        <v>24</v>
      </c>
      <c r="E18595" s="14">
        <v>0.2</v>
      </c>
      <c r="F18595" s="15">
        <f>ROUND(43.8,3)</f>
        <v>43.8</v>
      </c>
      <c r="G18595" s="12">
        <f t="shared" si="2383"/>
        <v>8.76</v>
      </c>
    </row>
    <row r="18596" ht="15.0" customHeight="1">
      <c r="A18596" s="10" t="s">
        <v>33</v>
      </c>
      <c r="B18596" s="10"/>
      <c r="C18596" s="10" t="s">
        <v>33</v>
      </c>
      <c r="D18596" s="10" t="s">
        <v>424</v>
      </c>
      <c r="E18596" s="14">
        <v>3.0</v>
      </c>
      <c r="F18596" s="15">
        <f>ROUND(79.85,3)</f>
        <v>79.85</v>
      </c>
      <c r="G18596" s="12">
        <f>ROUND((E18596*F18596)/100,2)</f>
        <v>2.4</v>
      </c>
    </row>
    <row r="18597" ht="15.0" customHeight="1">
      <c r="A18597" s="11"/>
      <c r="B18597" s="11"/>
      <c r="C18597" s="11"/>
      <c r="D18597" s="10" t="s">
        <v>1755</v>
      </c>
      <c r="E18597" s="14">
        <v>1.0</v>
      </c>
      <c r="F18597" s="15">
        <f>ROUND((G18589+G18590+G18591+G18592+G18593+G18594+G18595+G18596),3)</f>
        <v>82.25</v>
      </c>
      <c r="G18597" s="12">
        <f>ROUND(E18597*F18597,2)</f>
        <v>82.25</v>
      </c>
    </row>
    <row r="18598" ht="15.0" customHeight="1">
      <c r="A18598" s="16"/>
      <c r="B18598" s="16"/>
      <c r="C18598" s="16"/>
      <c r="D18598" s="17" t="s">
        <v>1751</v>
      </c>
      <c r="E18598" s="16"/>
      <c r="F18598" s="18">
        <f>ROUND((G18588)*(1+G2/100),2)</f>
        <v>82.25</v>
      </c>
      <c r="G18598" s="16"/>
    </row>
    <row r="18599" ht="21.0" customHeight="1">
      <c r="A18599" s="19" t="s">
        <v>8978</v>
      </c>
      <c r="B18599" s="20" t="s">
        <v>18</v>
      </c>
      <c r="C18599" s="20" t="s">
        <v>1752</v>
      </c>
      <c r="D18599" s="20" t="s">
        <v>8979</v>
      </c>
      <c r="E18599" s="21"/>
      <c r="F18599" s="22">
        <f>F18611</f>
        <v>89.46</v>
      </c>
      <c r="G18599" s="21"/>
    </row>
    <row r="18600" ht="95.25" customHeight="1">
      <c r="A18600" s="11"/>
      <c r="B18600" s="11"/>
      <c r="C18600" s="11"/>
      <c r="D18600" s="10" t="s">
        <v>8980</v>
      </c>
    </row>
    <row r="18601" ht="21.0" customHeight="1">
      <c r="A18601" s="10" t="s">
        <v>8981</v>
      </c>
      <c r="B18601" s="10" t="s">
        <v>18</v>
      </c>
      <c r="C18601" s="10" t="s">
        <v>351</v>
      </c>
      <c r="D18601" s="10" t="s">
        <v>1756</v>
      </c>
      <c r="E18601" s="14">
        <v>1.0</v>
      </c>
      <c r="F18601" s="15">
        <f>F18610</f>
        <v>89.46</v>
      </c>
      <c r="G18601" s="12">
        <f t="shared" ref="G18601:G18608" si="2384">ROUND(E18601*F18601,2)</f>
        <v>89.46</v>
      </c>
    </row>
    <row r="18602" ht="30.0" customHeight="1">
      <c r="A18602" s="10" t="s">
        <v>8982</v>
      </c>
      <c r="B18602" s="10" t="s">
        <v>42</v>
      </c>
      <c r="C18602" s="10" t="s">
        <v>351</v>
      </c>
      <c r="D18602" s="10" t="s">
        <v>8983</v>
      </c>
      <c r="E18602" s="14">
        <v>1.0</v>
      </c>
      <c r="F18602" s="15">
        <f>ROUND(70,3)</f>
        <v>70</v>
      </c>
      <c r="G18602" s="12">
        <f t="shared" si="2384"/>
        <v>70</v>
      </c>
    </row>
    <row r="18603" ht="30.0" customHeight="1">
      <c r="A18603" s="10" t="s">
        <v>1759</v>
      </c>
      <c r="B18603" s="10" t="s">
        <v>42</v>
      </c>
      <c r="C18603" s="10" t="s">
        <v>325</v>
      </c>
      <c r="D18603" s="10" t="s">
        <v>1760</v>
      </c>
      <c r="E18603" s="14">
        <v>0.04</v>
      </c>
      <c r="F18603" s="15">
        <f>ROUND(82.11,3)</f>
        <v>82.11</v>
      </c>
      <c r="G18603" s="12">
        <f t="shared" si="2384"/>
        <v>3.28</v>
      </c>
    </row>
    <row r="18604" ht="39.75" customHeight="1">
      <c r="A18604" s="10" t="s">
        <v>1761</v>
      </c>
      <c r="B18604" s="10" t="s">
        <v>42</v>
      </c>
      <c r="C18604" s="10" t="s">
        <v>1245</v>
      </c>
      <c r="D18604" s="10" t="s">
        <v>1762</v>
      </c>
      <c r="E18604" s="14">
        <v>0.25</v>
      </c>
      <c r="F18604" s="15">
        <f>ROUND(8.97,3)</f>
        <v>8.97</v>
      </c>
      <c r="G18604" s="12">
        <f t="shared" si="2384"/>
        <v>2.24</v>
      </c>
    </row>
    <row r="18605" ht="30.0" customHeight="1">
      <c r="A18605" s="10" t="s">
        <v>1763</v>
      </c>
      <c r="B18605" s="10" t="s">
        <v>42</v>
      </c>
      <c r="C18605" s="10" t="s">
        <v>1245</v>
      </c>
      <c r="D18605" s="10" t="s">
        <v>1764</v>
      </c>
      <c r="E18605" s="14">
        <v>0.25</v>
      </c>
      <c r="F18605" s="15">
        <f>ROUND(6.32,3)</f>
        <v>6.32</v>
      </c>
      <c r="G18605" s="12">
        <f t="shared" si="2384"/>
        <v>1.58</v>
      </c>
    </row>
    <row r="18606" ht="21.0" customHeight="1">
      <c r="A18606" s="10" t="s">
        <v>969</v>
      </c>
      <c r="B18606" s="10" t="s">
        <v>112</v>
      </c>
      <c r="C18606" s="10" t="s">
        <v>23</v>
      </c>
      <c r="D18606" s="10" t="s">
        <v>970</v>
      </c>
      <c r="E18606" s="14">
        <v>0.25</v>
      </c>
      <c r="F18606" s="15">
        <f>ROUND(2,3)</f>
        <v>2</v>
      </c>
      <c r="G18606" s="12">
        <f t="shared" si="2384"/>
        <v>0.5</v>
      </c>
    </row>
    <row r="18607" ht="30.0" customHeight="1">
      <c r="A18607" s="10" t="s">
        <v>971</v>
      </c>
      <c r="B18607" s="10" t="s">
        <v>42</v>
      </c>
      <c r="C18607" s="10" t="s">
        <v>231</v>
      </c>
      <c r="D18607" s="10" t="s">
        <v>972</v>
      </c>
      <c r="E18607" s="14">
        <v>0.1</v>
      </c>
      <c r="F18607" s="15">
        <f>ROUND(4.92,3)</f>
        <v>4.92</v>
      </c>
      <c r="G18607" s="12">
        <f t="shared" si="2384"/>
        <v>0.49</v>
      </c>
    </row>
    <row r="18608" ht="21.0" customHeight="1">
      <c r="A18608" s="10" t="s">
        <v>22</v>
      </c>
      <c r="B18608" s="10" t="s">
        <v>18</v>
      </c>
      <c r="C18608" s="10" t="s">
        <v>23</v>
      </c>
      <c r="D18608" s="10" t="s">
        <v>24</v>
      </c>
      <c r="E18608" s="14">
        <v>0.2</v>
      </c>
      <c r="F18608" s="15">
        <f>ROUND(43.8,3)</f>
        <v>43.8</v>
      </c>
      <c r="G18608" s="12">
        <f t="shared" si="2384"/>
        <v>8.76</v>
      </c>
    </row>
    <row r="18609" ht="15.0" customHeight="1">
      <c r="A18609" s="10" t="s">
        <v>33</v>
      </c>
      <c r="B18609" s="10"/>
      <c r="C18609" s="10" t="s">
        <v>33</v>
      </c>
      <c r="D18609" s="10" t="s">
        <v>424</v>
      </c>
      <c r="E18609" s="14">
        <v>3.0</v>
      </c>
      <c r="F18609" s="15">
        <f>ROUND(86.85,3)</f>
        <v>86.85</v>
      </c>
      <c r="G18609" s="12">
        <f>ROUND((E18609*F18609)/100,2)</f>
        <v>2.61</v>
      </c>
    </row>
    <row r="18610" ht="15.0" customHeight="1">
      <c r="A18610" s="11"/>
      <c r="B18610" s="11"/>
      <c r="C18610" s="11"/>
      <c r="D18610" s="10" t="s">
        <v>8981</v>
      </c>
      <c r="E18610" s="14">
        <v>1.0</v>
      </c>
      <c r="F18610" s="15">
        <f>ROUND((G18602+G18603+G18604+G18605+G18606+G18607+G18608+G18609),3)</f>
        <v>89.46</v>
      </c>
      <c r="G18610" s="12">
        <f>ROUND(E18610*F18610,2)</f>
        <v>89.46</v>
      </c>
    </row>
    <row r="18611" ht="15.0" customHeight="1">
      <c r="A18611" s="16"/>
      <c r="B18611" s="16"/>
      <c r="C18611" s="16"/>
      <c r="D18611" s="17" t="s">
        <v>8978</v>
      </c>
      <c r="E18611" s="16"/>
      <c r="F18611" s="18">
        <f>ROUND((G18601)*(1+G2/100),2)</f>
        <v>89.46</v>
      </c>
      <c r="G18611" s="16"/>
    </row>
    <row r="18612" ht="21.0" customHeight="1">
      <c r="A18612" s="19" t="s">
        <v>8984</v>
      </c>
      <c r="B18612" s="20" t="s">
        <v>18</v>
      </c>
      <c r="C18612" s="20" t="s">
        <v>1752</v>
      </c>
      <c r="D18612" s="20" t="s">
        <v>8985</v>
      </c>
      <c r="E18612" s="21"/>
      <c r="F18612" s="22">
        <f>F18624</f>
        <v>82.25</v>
      </c>
      <c r="G18612" s="21"/>
    </row>
    <row r="18613" ht="123.0" customHeight="1">
      <c r="A18613" s="11"/>
      <c r="B18613" s="11"/>
      <c r="C18613" s="11"/>
      <c r="D18613" s="10" t="s">
        <v>8986</v>
      </c>
    </row>
    <row r="18614" ht="21.0" customHeight="1">
      <c r="A18614" s="10" t="s">
        <v>8987</v>
      </c>
      <c r="B18614" s="10" t="s">
        <v>18</v>
      </c>
      <c r="C18614" s="10" t="s">
        <v>351</v>
      </c>
      <c r="D18614" s="10" t="s">
        <v>1756</v>
      </c>
      <c r="E18614" s="14">
        <v>1.0</v>
      </c>
      <c r="F18614" s="15">
        <f>F18623</f>
        <v>82.25</v>
      </c>
      <c r="G18614" s="12">
        <f t="shared" ref="G18614:G18621" si="2385">ROUND(E18614*F18614,2)</f>
        <v>82.25</v>
      </c>
    </row>
    <row r="18615" ht="30.0" customHeight="1">
      <c r="A18615" s="10" t="s">
        <v>8988</v>
      </c>
      <c r="B18615" s="10" t="s">
        <v>42</v>
      </c>
      <c r="C18615" s="10" t="s">
        <v>351</v>
      </c>
      <c r="D18615" s="10" t="s">
        <v>8989</v>
      </c>
      <c r="E18615" s="14">
        <v>1.0</v>
      </c>
      <c r="F18615" s="15">
        <f>ROUND(63,3)</f>
        <v>63</v>
      </c>
      <c r="G18615" s="12">
        <f t="shared" si="2385"/>
        <v>63</v>
      </c>
    </row>
    <row r="18616" ht="30.0" customHeight="1">
      <c r="A18616" s="10" t="s">
        <v>1759</v>
      </c>
      <c r="B18616" s="10" t="s">
        <v>42</v>
      </c>
      <c r="C18616" s="10" t="s">
        <v>325</v>
      </c>
      <c r="D18616" s="10" t="s">
        <v>1760</v>
      </c>
      <c r="E18616" s="14">
        <v>0.04</v>
      </c>
      <c r="F18616" s="15">
        <f>ROUND(82.11,3)</f>
        <v>82.11</v>
      </c>
      <c r="G18616" s="12">
        <f t="shared" si="2385"/>
        <v>3.28</v>
      </c>
    </row>
    <row r="18617" ht="39.75" customHeight="1">
      <c r="A18617" s="10" t="s">
        <v>1761</v>
      </c>
      <c r="B18617" s="10" t="s">
        <v>42</v>
      </c>
      <c r="C18617" s="10" t="s">
        <v>1245</v>
      </c>
      <c r="D18617" s="10" t="s">
        <v>1762</v>
      </c>
      <c r="E18617" s="14">
        <v>0.25</v>
      </c>
      <c r="F18617" s="15">
        <f>ROUND(8.97,3)</f>
        <v>8.97</v>
      </c>
      <c r="G18617" s="12">
        <f t="shared" si="2385"/>
        <v>2.24</v>
      </c>
    </row>
    <row r="18618" ht="30.0" customHeight="1">
      <c r="A18618" s="10" t="s">
        <v>1763</v>
      </c>
      <c r="B18618" s="10" t="s">
        <v>42</v>
      </c>
      <c r="C18618" s="10" t="s">
        <v>1245</v>
      </c>
      <c r="D18618" s="10" t="s">
        <v>1764</v>
      </c>
      <c r="E18618" s="14">
        <v>0.25</v>
      </c>
      <c r="F18618" s="15">
        <f>ROUND(6.32,3)</f>
        <v>6.32</v>
      </c>
      <c r="G18618" s="12">
        <f t="shared" si="2385"/>
        <v>1.58</v>
      </c>
    </row>
    <row r="18619" ht="21.0" customHeight="1">
      <c r="A18619" s="10" t="s">
        <v>969</v>
      </c>
      <c r="B18619" s="10" t="s">
        <v>112</v>
      </c>
      <c r="C18619" s="10" t="s">
        <v>23</v>
      </c>
      <c r="D18619" s="10" t="s">
        <v>970</v>
      </c>
      <c r="E18619" s="14">
        <v>0.25</v>
      </c>
      <c r="F18619" s="15">
        <f>ROUND(2,3)</f>
        <v>2</v>
      </c>
      <c r="G18619" s="12">
        <f t="shared" si="2385"/>
        <v>0.5</v>
      </c>
    </row>
    <row r="18620" ht="30.0" customHeight="1">
      <c r="A18620" s="10" t="s">
        <v>971</v>
      </c>
      <c r="B18620" s="10" t="s">
        <v>42</v>
      </c>
      <c r="C18620" s="10" t="s">
        <v>231</v>
      </c>
      <c r="D18620" s="10" t="s">
        <v>972</v>
      </c>
      <c r="E18620" s="14">
        <v>0.1</v>
      </c>
      <c r="F18620" s="15">
        <f>ROUND(4.92,3)</f>
        <v>4.92</v>
      </c>
      <c r="G18620" s="12">
        <f t="shared" si="2385"/>
        <v>0.49</v>
      </c>
    </row>
    <row r="18621" ht="21.0" customHeight="1">
      <c r="A18621" s="10" t="s">
        <v>22</v>
      </c>
      <c r="B18621" s="10" t="s">
        <v>18</v>
      </c>
      <c r="C18621" s="10" t="s">
        <v>23</v>
      </c>
      <c r="D18621" s="10" t="s">
        <v>24</v>
      </c>
      <c r="E18621" s="14">
        <v>0.2</v>
      </c>
      <c r="F18621" s="15">
        <f>ROUND(43.8,3)</f>
        <v>43.8</v>
      </c>
      <c r="G18621" s="12">
        <f t="shared" si="2385"/>
        <v>8.76</v>
      </c>
    </row>
    <row r="18622" ht="15.0" customHeight="1">
      <c r="A18622" s="10" t="s">
        <v>33</v>
      </c>
      <c r="B18622" s="10"/>
      <c r="C18622" s="10" t="s">
        <v>33</v>
      </c>
      <c r="D18622" s="10" t="s">
        <v>424</v>
      </c>
      <c r="E18622" s="14">
        <v>3.0</v>
      </c>
      <c r="F18622" s="15">
        <f>ROUND(79.85,3)</f>
        <v>79.85</v>
      </c>
      <c r="G18622" s="12">
        <f>ROUND((E18622*F18622)/100,2)</f>
        <v>2.4</v>
      </c>
    </row>
    <row r="18623" ht="15.0" customHeight="1">
      <c r="A18623" s="11"/>
      <c r="B18623" s="11"/>
      <c r="C18623" s="11"/>
      <c r="D18623" s="10" t="s">
        <v>8987</v>
      </c>
      <c r="E18623" s="14">
        <v>1.0</v>
      </c>
      <c r="F18623" s="15">
        <f>ROUND((G18615+G18616+G18617+G18618+G18619+G18620+G18621+G18622),3)</f>
        <v>82.25</v>
      </c>
      <c r="G18623" s="12">
        <f>ROUND(E18623*F18623,2)</f>
        <v>82.25</v>
      </c>
    </row>
    <row r="18624" ht="15.0" customHeight="1">
      <c r="A18624" s="16"/>
      <c r="B18624" s="16"/>
      <c r="C18624" s="16"/>
      <c r="D18624" s="17" t="s">
        <v>8984</v>
      </c>
      <c r="E18624" s="16"/>
      <c r="F18624" s="18">
        <f>ROUND((G18614)*(1+G2/100),2)</f>
        <v>82.25</v>
      </c>
      <c r="G18624" s="16"/>
    </row>
    <row r="18625" ht="48.75" customHeight="1">
      <c r="A18625" s="19" t="s">
        <v>8990</v>
      </c>
      <c r="B18625" s="20" t="s">
        <v>18</v>
      </c>
      <c r="C18625" s="20" t="s">
        <v>19</v>
      </c>
      <c r="D18625" s="20" t="s">
        <v>8991</v>
      </c>
      <c r="E18625" s="21"/>
      <c r="F18625" s="22">
        <f>F18637</f>
        <v>126.13</v>
      </c>
      <c r="G18625" s="21"/>
    </row>
    <row r="18626" ht="21.0" customHeight="1">
      <c r="A18626" s="11"/>
      <c r="B18626" s="11"/>
      <c r="C18626" s="11"/>
      <c r="D18626" s="10" t="s">
        <v>8992</v>
      </c>
    </row>
    <row r="18627" ht="30.0" customHeight="1">
      <c r="A18627" s="10" t="s">
        <v>6388</v>
      </c>
      <c r="B18627" s="10" t="s">
        <v>42</v>
      </c>
      <c r="C18627" s="10" t="s">
        <v>344</v>
      </c>
      <c r="D18627" s="10" t="s">
        <v>6389</v>
      </c>
      <c r="E18627" s="14">
        <v>60.0</v>
      </c>
      <c r="F18627" s="15">
        <f>ROUND(1.15,3)</f>
        <v>1.15</v>
      </c>
      <c r="G18627" s="12">
        <f t="shared" ref="G18627:G18635" si="2386">ROUND(E18627*F18627,2)</f>
        <v>69</v>
      </c>
    </row>
    <row r="18628" ht="57.75" customHeight="1">
      <c r="A18628" s="10" t="s">
        <v>1785</v>
      </c>
      <c r="B18628" s="10" t="s">
        <v>42</v>
      </c>
      <c r="C18628" s="10" t="s">
        <v>584</v>
      </c>
      <c r="D18628" s="10" t="s">
        <v>1786</v>
      </c>
      <c r="E18628" s="14">
        <v>0.07</v>
      </c>
      <c r="F18628" s="15">
        <f>ROUND(123.14,3)</f>
        <v>123.14</v>
      </c>
      <c r="G18628" s="12">
        <f t="shared" si="2386"/>
        <v>8.62</v>
      </c>
    </row>
    <row r="18629" ht="39.75" customHeight="1">
      <c r="A18629" s="10" t="s">
        <v>1303</v>
      </c>
      <c r="B18629" s="10" t="s">
        <v>42</v>
      </c>
      <c r="C18629" s="10" t="s">
        <v>184</v>
      </c>
      <c r="D18629" s="10" t="s">
        <v>1304</v>
      </c>
      <c r="E18629" s="14">
        <v>1.0</v>
      </c>
      <c r="F18629" s="15">
        <f>ROUND(24.84,3)</f>
        <v>24.84</v>
      </c>
      <c r="G18629" s="12">
        <f t="shared" si="2386"/>
        <v>24.84</v>
      </c>
    </row>
    <row r="18630" ht="30.0" customHeight="1">
      <c r="A18630" s="10" t="s">
        <v>1787</v>
      </c>
      <c r="B18630" s="10" t="s">
        <v>42</v>
      </c>
      <c r="C18630" s="10" t="s">
        <v>226</v>
      </c>
      <c r="D18630" s="10" t="s">
        <v>1788</v>
      </c>
      <c r="E18630" s="14">
        <v>0.022</v>
      </c>
      <c r="F18630" s="15">
        <f>ROUND(30.51,3)</f>
        <v>30.51</v>
      </c>
      <c r="G18630" s="12">
        <f t="shared" si="2386"/>
        <v>0.67</v>
      </c>
    </row>
    <row r="18631" ht="21.0" customHeight="1">
      <c r="A18631" s="10" t="s">
        <v>22</v>
      </c>
      <c r="B18631" s="10" t="s">
        <v>18</v>
      </c>
      <c r="C18631" s="10" t="s">
        <v>23</v>
      </c>
      <c r="D18631" s="10" t="s">
        <v>24</v>
      </c>
      <c r="E18631" s="14">
        <v>0.5</v>
      </c>
      <c r="F18631" s="15">
        <f>F18635</f>
        <v>43.8</v>
      </c>
      <c r="G18631" s="12">
        <f t="shared" si="2386"/>
        <v>21.9</v>
      </c>
    </row>
    <row r="18632" ht="24.0" customHeight="1">
      <c r="A18632" s="10" t="s">
        <v>25</v>
      </c>
      <c r="B18632" s="10" t="s">
        <v>26</v>
      </c>
      <c r="C18632" s="10" t="s">
        <v>23</v>
      </c>
      <c r="D18632" s="10" t="s">
        <v>27</v>
      </c>
      <c r="E18632" s="14">
        <v>1.0</v>
      </c>
      <c r="F18632" s="15">
        <f>ROUND(21,3)</f>
        <v>21</v>
      </c>
      <c r="G18632" s="12">
        <f t="shared" si="2386"/>
        <v>21</v>
      </c>
    </row>
    <row r="18633" ht="24.0" customHeight="1">
      <c r="A18633" s="10" t="s">
        <v>28</v>
      </c>
      <c r="B18633" s="10" t="s">
        <v>26</v>
      </c>
      <c r="C18633" s="10" t="s">
        <v>23</v>
      </c>
      <c r="D18633" s="10" t="s">
        <v>29</v>
      </c>
      <c r="E18633" s="14">
        <v>1.0</v>
      </c>
      <c r="F18633" s="15">
        <f t="shared" ref="F18633:F18634" si="2387">ROUND(19,3)</f>
        <v>19</v>
      </c>
      <c r="G18633" s="12">
        <f t="shared" si="2386"/>
        <v>19</v>
      </c>
    </row>
    <row r="18634" ht="24.0" customHeight="1">
      <c r="A18634" s="10" t="s">
        <v>30</v>
      </c>
      <c r="B18634" s="10" t="s">
        <v>26</v>
      </c>
      <c r="C18634" s="10" t="s">
        <v>23</v>
      </c>
      <c r="D18634" s="10" t="s">
        <v>31</v>
      </c>
      <c r="E18634" s="14">
        <v>0.2</v>
      </c>
      <c r="F18634" s="15">
        <f t="shared" si="2387"/>
        <v>19</v>
      </c>
      <c r="G18634" s="12">
        <f t="shared" si="2386"/>
        <v>3.8</v>
      </c>
    </row>
    <row r="18635" ht="15.0" customHeight="1">
      <c r="A18635" s="11"/>
      <c r="B18635" s="11"/>
      <c r="C18635" s="11"/>
      <c r="D18635" s="10" t="s">
        <v>22</v>
      </c>
      <c r="E18635" s="14">
        <v>0.5</v>
      </c>
      <c r="F18635" s="15">
        <f>ROUND((G18632+G18633+G18634),3)</f>
        <v>43.8</v>
      </c>
      <c r="G18635" s="12">
        <f t="shared" si="2386"/>
        <v>21.9</v>
      </c>
    </row>
    <row r="18636" ht="15.0" customHeight="1">
      <c r="A18636" s="10" t="s">
        <v>32</v>
      </c>
      <c r="B18636" s="10"/>
      <c r="C18636" s="10" t="s">
        <v>33</v>
      </c>
      <c r="D18636" s="10" t="s">
        <v>34</v>
      </c>
      <c r="E18636" s="14">
        <v>5.0</v>
      </c>
      <c r="F18636" s="15">
        <f>ROUND(21.9,3)</f>
        <v>21.9</v>
      </c>
      <c r="G18636" s="12">
        <f>ROUND((E18636*F18636)/100,2)</f>
        <v>1.1</v>
      </c>
    </row>
    <row r="18637" ht="24.75" customHeight="1">
      <c r="A18637" s="16"/>
      <c r="B18637" s="16"/>
      <c r="C18637" s="16"/>
      <c r="D18637" s="17" t="s">
        <v>8990</v>
      </c>
      <c r="E18637" s="16"/>
      <c r="F18637" s="18">
        <f>ROUND((G18627+G18628+G18629+G18630+G18631+G18636)*(1+G2/100),2)</f>
        <v>126.13</v>
      </c>
      <c r="G18637" s="16"/>
    </row>
    <row r="18638" ht="39.75" customHeight="1">
      <c r="A18638" s="19" t="s">
        <v>8993</v>
      </c>
      <c r="B18638" s="20" t="s">
        <v>18</v>
      </c>
      <c r="C18638" s="20" t="s">
        <v>351</v>
      </c>
      <c r="D18638" s="20" t="s">
        <v>8994</v>
      </c>
      <c r="E18638" s="21"/>
      <c r="F18638" s="22" t="str">
        <f>F18648</f>
        <v>#ERROR!</v>
      </c>
      <c r="G18638" s="21"/>
    </row>
    <row r="18639" ht="21.0" customHeight="1">
      <c r="A18639" s="11"/>
      <c r="B18639" s="11"/>
      <c r="C18639" s="11"/>
      <c r="D18639" s="10" t="s">
        <v>8995</v>
      </c>
    </row>
    <row r="18640" ht="30.0" customHeight="1">
      <c r="A18640" s="10" t="s">
        <v>2472</v>
      </c>
      <c r="B18640" s="10" t="s">
        <v>42</v>
      </c>
      <c r="C18640" s="10" t="s">
        <v>344</v>
      </c>
      <c r="D18640" s="10" t="s">
        <v>2473</v>
      </c>
      <c r="E18640" s="14">
        <v>0.6</v>
      </c>
      <c r="F18640" s="15">
        <f>ROUND(13.14,3)</f>
        <v>13.14</v>
      </c>
      <c r="G18640" s="12">
        <f t="shared" ref="G18640:G18646" si="2388">ROUND(E18640*F18640,2)</f>
        <v>7.88</v>
      </c>
    </row>
    <row r="18641" ht="39.75" customHeight="1">
      <c r="A18641" s="10" t="s">
        <v>953</v>
      </c>
      <c r="B18641" s="10" t="s">
        <v>112</v>
      </c>
      <c r="C18641" s="10" t="s">
        <v>23</v>
      </c>
      <c r="D18641" s="10" t="s">
        <v>954</v>
      </c>
      <c r="E18641" s="14">
        <v>0.1</v>
      </c>
      <c r="F18641" s="15">
        <f>ROUND(1.75,3)</f>
        <v>1.75</v>
      </c>
      <c r="G18641" s="12">
        <f t="shared" si="2388"/>
        <v>0.18</v>
      </c>
    </row>
    <row r="18642" ht="39.75" customHeight="1">
      <c r="A18642" s="10" t="s">
        <v>1435</v>
      </c>
      <c r="B18642" s="10" t="s">
        <v>112</v>
      </c>
      <c r="C18642" s="10" t="s">
        <v>23</v>
      </c>
      <c r="D18642" s="10" t="s">
        <v>1436</v>
      </c>
      <c r="E18642" s="14">
        <v>0.3</v>
      </c>
      <c r="F18642" s="15">
        <f>ROUND(2.86,3)</f>
        <v>2.86</v>
      </c>
      <c r="G18642" s="12">
        <f t="shared" si="2388"/>
        <v>0.86</v>
      </c>
    </row>
    <row r="18643" ht="30.0" customHeight="1">
      <c r="A18643" s="10" t="s">
        <v>1437</v>
      </c>
      <c r="B18643" s="10" t="s">
        <v>42</v>
      </c>
      <c r="C18643" s="10" t="s">
        <v>325</v>
      </c>
      <c r="D18643" s="10" t="s">
        <v>1438</v>
      </c>
      <c r="E18643" s="14">
        <v>0.091</v>
      </c>
      <c r="F18643" s="15">
        <f>ROUND(30.45,3)</f>
        <v>30.45</v>
      </c>
      <c r="G18643" s="12">
        <f t="shared" si="2388"/>
        <v>2.77</v>
      </c>
    </row>
    <row r="18644" ht="39.75" customHeight="1">
      <c r="A18644" s="10" t="s">
        <v>3077</v>
      </c>
      <c r="B18644" s="10" t="s">
        <v>42</v>
      </c>
      <c r="C18644" s="10" t="s">
        <v>43</v>
      </c>
      <c r="D18644" s="10" t="s">
        <v>3078</v>
      </c>
      <c r="E18644" s="14">
        <v>0.06</v>
      </c>
      <c r="F18644" s="15">
        <f>ROUND(53.44,3)</f>
        <v>53.44</v>
      </c>
      <c r="G18644" s="12">
        <f t="shared" si="2388"/>
        <v>3.21</v>
      </c>
    </row>
    <row r="18645" ht="30.0" customHeight="1">
      <c r="A18645" s="10" t="s">
        <v>2458</v>
      </c>
      <c r="B18645" s="10" t="s">
        <v>18</v>
      </c>
      <c r="C18645" s="10" t="s">
        <v>23</v>
      </c>
      <c r="D18645" s="10" t="s">
        <v>2459</v>
      </c>
      <c r="E18645" s="14">
        <v>0.4</v>
      </c>
      <c r="F18645" s="15" t="str">
        <f>F18646</f>
        <v>#ERROR!</v>
      </c>
      <c r="G18645" s="12" t="str">
        <f t="shared" si="2388"/>
        <v>#ERROR!</v>
      </c>
    </row>
    <row r="18646" ht="15.0" customHeight="1">
      <c r="A18646" s="11"/>
      <c r="B18646" s="11"/>
      <c r="C18646" s="11"/>
      <c r="D18646" s="10" t="s">
        <v>2458</v>
      </c>
      <c r="E18646" s="14">
        <v>0.4</v>
      </c>
      <c r="F18646" s="15" t="str">
        <f>ROUND((),3)</f>
        <v>#ERROR!</v>
      </c>
      <c r="G18646" s="12" t="str">
        <f t="shared" si="2388"/>
        <v>#ERROR!</v>
      </c>
    </row>
    <row r="18647" ht="15.0" customHeight="1">
      <c r="A18647" s="10" t="s">
        <v>32</v>
      </c>
      <c r="B18647" s="10"/>
      <c r="C18647" s="10" t="s">
        <v>33</v>
      </c>
      <c r="D18647" s="10" t="s">
        <v>34</v>
      </c>
      <c r="E18647" s="14">
        <v>5.0</v>
      </c>
      <c r="F18647" s="15">
        <f>ROUND(19.8,3)</f>
        <v>19.8</v>
      </c>
      <c r="G18647" s="12">
        <f>ROUND((E18647*F18647)/100,2)</f>
        <v>0.99</v>
      </c>
    </row>
    <row r="18648" ht="24.75" customHeight="1">
      <c r="A18648" s="16"/>
      <c r="B18648" s="16"/>
      <c r="C18648" s="16"/>
      <c r="D18648" s="17" t="s">
        <v>8993</v>
      </c>
      <c r="E18648" s="16"/>
      <c r="F18648" s="18" t="str">
        <f>ROUND((G18640+G18641+G18642+G18643+G18644+G18645+G18647)*(1+G2/100),2)</f>
        <v>#ERROR!</v>
      </c>
      <c r="G18648" s="16"/>
    </row>
    <row r="18649" ht="30.0" customHeight="1">
      <c r="A18649" s="19" t="s">
        <v>8996</v>
      </c>
      <c r="B18649" s="20" t="s">
        <v>18</v>
      </c>
      <c r="C18649" s="20" t="s">
        <v>5</v>
      </c>
      <c r="D18649" s="20" t="s">
        <v>8997</v>
      </c>
      <c r="E18649" s="21"/>
      <c r="F18649" s="22">
        <f>F18657</f>
        <v>270.68</v>
      </c>
      <c r="G18649" s="21"/>
    </row>
    <row r="18650" ht="67.5" customHeight="1">
      <c r="A18650" s="11"/>
      <c r="B18650" s="11"/>
      <c r="C18650" s="11"/>
      <c r="D18650" s="10" t="s">
        <v>8998</v>
      </c>
    </row>
    <row r="18651" ht="21.0" customHeight="1">
      <c r="A18651" s="10" t="s">
        <v>22</v>
      </c>
      <c r="B18651" s="10" t="s">
        <v>18</v>
      </c>
      <c r="C18651" s="10" t="s">
        <v>23</v>
      </c>
      <c r="D18651" s="10" t="s">
        <v>24</v>
      </c>
      <c r="E18651" s="14">
        <v>6.0</v>
      </c>
      <c r="F18651" s="15">
        <f>F18655</f>
        <v>43.8</v>
      </c>
      <c r="G18651" s="12">
        <f t="shared" ref="G18651:G18655" si="2389">ROUND(E18651*F18651,2)</f>
        <v>262.8</v>
      </c>
    </row>
    <row r="18652" ht="24.0" customHeight="1">
      <c r="A18652" s="10" t="s">
        <v>25</v>
      </c>
      <c r="B18652" s="10" t="s">
        <v>26</v>
      </c>
      <c r="C18652" s="10" t="s">
        <v>23</v>
      </c>
      <c r="D18652" s="10" t="s">
        <v>27</v>
      </c>
      <c r="E18652" s="14">
        <v>1.0</v>
      </c>
      <c r="F18652" s="15">
        <f>ROUND(21,3)</f>
        <v>21</v>
      </c>
      <c r="G18652" s="12">
        <f t="shared" si="2389"/>
        <v>21</v>
      </c>
    </row>
    <row r="18653" ht="24.0" customHeight="1">
      <c r="A18653" s="10" t="s">
        <v>28</v>
      </c>
      <c r="B18653" s="10" t="s">
        <v>26</v>
      </c>
      <c r="C18653" s="10" t="s">
        <v>23</v>
      </c>
      <c r="D18653" s="10" t="s">
        <v>29</v>
      </c>
      <c r="E18653" s="14">
        <v>1.0</v>
      </c>
      <c r="F18653" s="15">
        <f t="shared" ref="F18653:F18654" si="2390">ROUND(19,3)</f>
        <v>19</v>
      </c>
      <c r="G18653" s="12">
        <f t="shared" si="2389"/>
        <v>19</v>
      </c>
    </row>
    <row r="18654" ht="24.0" customHeight="1">
      <c r="A18654" s="10" t="s">
        <v>30</v>
      </c>
      <c r="B18654" s="10" t="s">
        <v>26</v>
      </c>
      <c r="C18654" s="10" t="s">
        <v>23</v>
      </c>
      <c r="D18654" s="10" t="s">
        <v>31</v>
      </c>
      <c r="E18654" s="14">
        <v>0.2</v>
      </c>
      <c r="F18654" s="15">
        <f t="shared" si="2390"/>
        <v>19</v>
      </c>
      <c r="G18654" s="12">
        <f t="shared" si="2389"/>
        <v>3.8</v>
      </c>
    </row>
    <row r="18655" ht="15.0" customHeight="1">
      <c r="A18655" s="11"/>
      <c r="B18655" s="11"/>
      <c r="C18655" s="11"/>
      <c r="D18655" s="10" t="s">
        <v>22</v>
      </c>
      <c r="E18655" s="14">
        <v>6.0</v>
      </c>
      <c r="F18655" s="15">
        <f>ROUND((G18652+G18653+G18654),3)</f>
        <v>43.8</v>
      </c>
      <c r="G18655" s="12">
        <f t="shared" si="2389"/>
        <v>262.8</v>
      </c>
    </row>
    <row r="18656" ht="15.0" customHeight="1">
      <c r="A18656" s="10" t="s">
        <v>33</v>
      </c>
      <c r="B18656" s="10"/>
      <c r="C18656" s="10" t="s">
        <v>33</v>
      </c>
      <c r="D18656" s="10" t="s">
        <v>424</v>
      </c>
      <c r="E18656" s="14">
        <v>3.0</v>
      </c>
      <c r="F18656" s="15">
        <f>ROUND(262.8,3)</f>
        <v>262.8</v>
      </c>
      <c r="G18656" s="12">
        <f>ROUND((E18656*F18656)/100,2)</f>
        <v>7.88</v>
      </c>
    </row>
    <row r="18657" ht="24.75" customHeight="1">
      <c r="A18657" s="16"/>
      <c r="B18657" s="16"/>
      <c r="C18657" s="16"/>
      <c r="D18657" s="17" t="s">
        <v>8996</v>
      </c>
      <c r="E18657" s="16"/>
      <c r="F18657" s="18">
        <f>ROUND((G18651+G18656)*(1+G2/100),2)</f>
        <v>270.68</v>
      </c>
      <c r="G18657" s="16"/>
    </row>
    <row r="18658" ht="48.75" customHeight="1">
      <c r="A18658" s="19" t="s">
        <v>8999</v>
      </c>
      <c r="B18658" s="20" t="s">
        <v>18</v>
      </c>
      <c r="C18658" s="20" t="s">
        <v>19</v>
      </c>
      <c r="D18658" s="20" t="s">
        <v>9000</v>
      </c>
      <c r="E18658" s="21"/>
      <c r="F18658" s="22">
        <f>F18670</f>
        <v>41.56</v>
      </c>
      <c r="G18658" s="21"/>
    </row>
    <row r="18659" ht="57.75" customHeight="1">
      <c r="A18659" s="11"/>
      <c r="B18659" s="11"/>
      <c r="C18659" s="11"/>
      <c r="D18659" s="10" t="s">
        <v>3074</v>
      </c>
    </row>
    <row r="18660" ht="21.0" customHeight="1">
      <c r="A18660" s="10" t="s">
        <v>919</v>
      </c>
      <c r="B18660" s="10" t="s">
        <v>42</v>
      </c>
      <c r="C18660" s="10" t="s">
        <v>344</v>
      </c>
      <c r="D18660" s="10" t="s">
        <v>920</v>
      </c>
      <c r="E18660" s="14">
        <v>2.0</v>
      </c>
      <c r="F18660" s="15">
        <f>ROUND(0.9,3)</f>
        <v>0.9</v>
      </c>
      <c r="G18660" s="12">
        <f t="shared" ref="G18660:G18668" si="2391">ROUND(E18660*F18660,2)</f>
        <v>1.8</v>
      </c>
    </row>
    <row r="18661" ht="21.0" customHeight="1">
      <c r="A18661" s="10" t="s">
        <v>348</v>
      </c>
      <c r="B18661" s="10" t="s">
        <v>42</v>
      </c>
      <c r="C18661" s="10" t="s">
        <v>226</v>
      </c>
      <c r="D18661" s="10" t="s">
        <v>349</v>
      </c>
      <c r="E18661" s="14">
        <v>0.01</v>
      </c>
      <c r="F18661" s="15">
        <f>ROUND(4.95,3)</f>
        <v>4.95</v>
      </c>
      <c r="G18661" s="12">
        <f t="shared" si="2391"/>
        <v>0.05</v>
      </c>
    </row>
    <row r="18662" ht="21.0" customHeight="1">
      <c r="A18662" s="10" t="s">
        <v>237</v>
      </c>
      <c r="B18662" s="10" t="s">
        <v>42</v>
      </c>
      <c r="C18662" s="10" t="s">
        <v>231</v>
      </c>
      <c r="D18662" s="10" t="s">
        <v>238</v>
      </c>
      <c r="E18662" s="14">
        <v>0.25</v>
      </c>
      <c r="F18662" s="15">
        <f>ROUND(6.32,3)</f>
        <v>6.32</v>
      </c>
      <c r="G18662" s="12">
        <f t="shared" si="2391"/>
        <v>1.58</v>
      </c>
    </row>
    <row r="18663" ht="21.0" customHeight="1">
      <c r="A18663" s="10" t="s">
        <v>298</v>
      </c>
      <c r="B18663" s="10" t="s">
        <v>42</v>
      </c>
      <c r="C18663" s="10" t="s">
        <v>226</v>
      </c>
      <c r="D18663" s="10" t="s">
        <v>299</v>
      </c>
      <c r="E18663" s="14">
        <v>0.5</v>
      </c>
      <c r="F18663" s="15">
        <f>ROUND(1.28,3)</f>
        <v>1.28</v>
      </c>
      <c r="G18663" s="12">
        <f t="shared" si="2391"/>
        <v>0.64</v>
      </c>
    </row>
    <row r="18664" ht="21.0" customHeight="1">
      <c r="A18664" s="10" t="s">
        <v>22</v>
      </c>
      <c r="B18664" s="10" t="s">
        <v>18</v>
      </c>
      <c r="C18664" s="10" t="s">
        <v>23</v>
      </c>
      <c r="D18664" s="10" t="s">
        <v>24</v>
      </c>
      <c r="E18664" s="14">
        <v>0.8</v>
      </c>
      <c r="F18664" s="15">
        <f>F18668</f>
        <v>43.8</v>
      </c>
      <c r="G18664" s="12">
        <f t="shared" si="2391"/>
        <v>35.04</v>
      </c>
    </row>
    <row r="18665" ht="24.0" customHeight="1">
      <c r="A18665" s="10" t="s">
        <v>25</v>
      </c>
      <c r="B18665" s="10" t="s">
        <v>26</v>
      </c>
      <c r="C18665" s="10" t="s">
        <v>23</v>
      </c>
      <c r="D18665" s="10" t="s">
        <v>27</v>
      </c>
      <c r="E18665" s="14">
        <v>1.0</v>
      </c>
      <c r="F18665" s="15">
        <f>ROUND(21,3)</f>
        <v>21</v>
      </c>
      <c r="G18665" s="12">
        <f t="shared" si="2391"/>
        <v>21</v>
      </c>
    </row>
    <row r="18666" ht="24.0" customHeight="1">
      <c r="A18666" s="10" t="s">
        <v>28</v>
      </c>
      <c r="B18666" s="10" t="s">
        <v>26</v>
      </c>
      <c r="C18666" s="10" t="s">
        <v>23</v>
      </c>
      <c r="D18666" s="10" t="s">
        <v>29</v>
      </c>
      <c r="E18666" s="14">
        <v>1.0</v>
      </c>
      <c r="F18666" s="15">
        <f t="shared" ref="F18666:F18667" si="2392">ROUND(19,3)</f>
        <v>19</v>
      </c>
      <c r="G18666" s="12">
        <f t="shared" si="2391"/>
        <v>19</v>
      </c>
    </row>
    <row r="18667" ht="24.0" customHeight="1">
      <c r="A18667" s="10" t="s">
        <v>30</v>
      </c>
      <c r="B18667" s="10" t="s">
        <v>26</v>
      </c>
      <c r="C18667" s="10" t="s">
        <v>23</v>
      </c>
      <c r="D18667" s="10" t="s">
        <v>31</v>
      </c>
      <c r="E18667" s="14">
        <v>0.2</v>
      </c>
      <c r="F18667" s="15">
        <f t="shared" si="2392"/>
        <v>19</v>
      </c>
      <c r="G18667" s="12">
        <f t="shared" si="2391"/>
        <v>3.8</v>
      </c>
    </row>
    <row r="18668" ht="15.0" customHeight="1">
      <c r="A18668" s="11"/>
      <c r="B18668" s="11"/>
      <c r="C18668" s="11"/>
      <c r="D18668" s="10" t="s">
        <v>22</v>
      </c>
      <c r="E18668" s="14">
        <v>0.8</v>
      </c>
      <c r="F18668" s="15">
        <f>ROUND((G18665+G18666+G18667),3)</f>
        <v>43.8</v>
      </c>
      <c r="G18668" s="12">
        <f t="shared" si="2391"/>
        <v>35.04</v>
      </c>
    </row>
    <row r="18669" ht="15.0" customHeight="1">
      <c r="A18669" s="10" t="s">
        <v>32</v>
      </c>
      <c r="B18669" s="10"/>
      <c r="C18669" s="10" t="s">
        <v>33</v>
      </c>
      <c r="D18669" s="10" t="s">
        <v>34</v>
      </c>
      <c r="E18669" s="14">
        <v>7.0</v>
      </c>
      <c r="F18669" s="15">
        <f>ROUND(35.04,3)</f>
        <v>35.04</v>
      </c>
      <c r="G18669" s="12">
        <f>ROUND((E18669*F18669)/100,2)</f>
        <v>2.45</v>
      </c>
    </row>
    <row r="18670" ht="15.0" customHeight="1">
      <c r="A18670" s="16"/>
      <c r="B18670" s="16"/>
      <c r="C18670" s="16"/>
      <c r="D18670" s="17" t="s">
        <v>8999</v>
      </c>
      <c r="E18670" s="16"/>
      <c r="F18670" s="18">
        <f>ROUND((G18660+G18661+G18662+G18663+G18664+G18669)*(1+G2/100),2)</f>
        <v>41.56</v>
      </c>
      <c r="G18670" s="16"/>
    </row>
    <row r="18671" ht="48.75" customHeight="1">
      <c r="A18671" s="19" t="s">
        <v>9001</v>
      </c>
      <c r="B18671" s="20" t="s">
        <v>18</v>
      </c>
      <c r="C18671" s="20" t="s">
        <v>295</v>
      </c>
      <c r="D18671" s="20" t="s">
        <v>9002</v>
      </c>
      <c r="E18671" s="21"/>
      <c r="F18671" s="22">
        <f>F18683</f>
        <v>41.92</v>
      </c>
      <c r="G18671" s="21"/>
    </row>
    <row r="18672" ht="57.75" customHeight="1">
      <c r="A18672" s="11"/>
      <c r="B18672" s="11"/>
      <c r="C18672" s="11"/>
      <c r="D18672" s="10" t="s">
        <v>1013</v>
      </c>
    </row>
    <row r="18673" ht="21.0" customHeight="1">
      <c r="A18673" s="10" t="s">
        <v>919</v>
      </c>
      <c r="B18673" s="10" t="s">
        <v>42</v>
      </c>
      <c r="C18673" s="10" t="s">
        <v>344</v>
      </c>
      <c r="D18673" s="10" t="s">
        <v>920</v>
      </c>
      <c r="E18673" s="14">
        <v>6.0</v>
      </c>
      <c r="F18673" s="15">
        <f>ROUND(0.9,3)</f>
        <v>0.9</v>
      </c>
      <c r="G18673" s="12">
        <f t="shared" ref="G18673:G18681" si="2393">ROUND(E18673*F18673,2)</f>
        <v>5.4</v>
      </c>
    </row>
    <row r="18674" ht="21.0" customHeight="1">
      <c r="A18674" s="10" t="s">
        <v>348</v>
      </c>
      <c r="B18674" s="10" t="s">
        <v>42</v>
      </c>
      <c r="C18674" s="10" t="s">
        <v>226</v>
      </c>
      <c r="D18674" s="10" t="s">
        <v>349</v>
      </c>
      <c r="E18674" s="14">
        <v>0.03</v>
      </c>
      <c r="F18674" s="15">
        <f>ROUND(4.95,3)</f>
        <v>4.95</v>
      </c>
      <c r="G18674" s="12">
        <f t="shared" si="2393"/>
        <v>0.15</v>
      </c>
    </row>
    <row r="18675" ht="21.0" customHeight="1">
      <c r="A18675" s="10" t="s">
        <v>230</v>
      </c>
      <c r="B18675" s="10" t="s">
        <v>42</v>
      </c>
      <c r="C18675" s="10" t="s">
        <v>231</v>
      </c>
      <c r="D18675" s="10" t="s">
        <v>232</v>
      </c>
      <c r="E18675" s="14">
        <v>1.0</v>
      </c>
      <c r="F18675" s="15">
        <f>ROUND(3.47,3)</f>
        <v>3.47</v>
      </c>
      <c r="G18675" s="12">
        <f t="shared" si="2393"/>
        <v>3.47</v>
      </c>
    </row>
    <row r="18676" ht="21.0" customHeight="1">
      <c r="A18676" s="10" t="s">
        <v>242</v>
      </c>
      <c r="B18676" s="10" t="s">
        <v>42</v>
      </c>
      <c r="C18676" s="10" t="s">
        <v>226</v>
      </c>
      <c r="D18676" s="10" t="s">
        <v>243</v>
      </c>
      <c r="E18676" s="14">
        <v>1.0</v>
      </c>
      <c r="F18676" s="15">
        <f>ROUND(1.32,3)</f>
        <v>1.32</v>
      </c>
      <c r="G18676" s="12">
        <f t="shared" si="2393"/>
        <v>1.32</v>
      </c>
    </row>
    <row r="18677" ht="21.0" customHeight="1">
      <c r="A18677" s="10" t="s">
        <v>22</v>
      </c>
      <c r="B18677" s="10" t="s">
        <v>18</v>
      </c>
      <c r="C18677" s="10" t="s">
        <v>23</v>
      </c>
      <c r="D18677" s="10" t="s">
        <v>24</v>
      </c>
      <c r="E18677" s="14">
        <v>0.7</v>
      </c>
      <c r="F18677" s="15">
        <f>F18681</f>
        <v>43.8</v>
      </c>
      <c r="G18677" s="12">
        <f t="shared" si="2393"/>
        <v>30.66</v>
      </c>
    </row>
    <row r="18678" ht="24.0" customHeight="1">
      <c r="A18678" s="10" t="s">
        <v>25</v>
      </c>
      <c r="B18678" s="10" t="s">
        <v>26</v>
      </c>
      <c r="C18678" s="10" t="s">
        <v>23</v>
      </c>
      <c r="D18678" s="10" t="s">
        <v>27</v>
      </c>
      <c r="E18678" s="14">
        <v>1.0</v>
      </c>
      <c r="F18678" s="15">
        <f>ROUND(21,3)</f>
        <v>21</v>
      </c>
      <c r="G18678" s="12">
        <f t="shared" si="2393"/>
        <v>21</v>
      </c>
    </row>
    <row r="18679" ht="24.0" customHeight="1">
      <c r="A18679" s="10" t="s">
        <v>28</v>
      </c>
      <c r="B18679" s="10" t="s">
        <v>26</v>
      </c>
      <c r="C18679" s="10" t="s">
        <v>23</v>
      </c>
      <c r="D18679" s="10" t="s">
        <v>29</v>
      </c>
      <c r="E18679" s="14">
        <v>1.0</v>
      </c>
      <c r="F18679" s="15">
        <f t="shared" ref="F18679:F18680" si="2394">ROUND(19,3)</f>
        <v>19</v>
      </c>
      <c r="G18679" s="12">
        <f t="shared" si="2393"/>
        <v>19</v>
      </c>
    </row>
    <row r="18680" ht="24.0" customHeight="1">
      <c r="A18680" s="10" t="s">
        <v>30</v>
      </c>
      <c r="B18680" s="10" t="s">
        <v>26</v>
      </c>
      <c r="C18680" s="10" t="s">
        <v>23</v>
      </c>
      <c r="D18680" s="10" t="s">
        <v>31</v>
      </c>
      <c r="E18680" s="14">
        <v>0.2</v>
      </c>
      <c r="F18680" s="15">
        <f t="shared" si="2394"/>
        <v>19</v>
      </c>
      <c r="G18680" s="12">
        <f t="shared" si="2393"/>
        <v>3.8</v>
      </c>
    </row>
    <row r="18681" ht="15.0" customHeight="1">
      <c r="A18681" s="11"/>
      <c r="B18681" s="11"/>
      <c r="C18681" s="11"/>
      <c r="D18681" s="10" t="s">
        <v>22</v>
      </c>
      <c r="E18681" s="14">
        <v>0.7</v>
      </c>
      <c r="F18681" s="15">
        <f>ROUND((G18678+G18679+G18680),3)</f>
        <v>43.8</v>
      </c>
      <c r="G18681" s="12">
        <f t="shared" si="2393"/>
        <v>30.66</v>
      </c>
    </row>
    <row r="18682" ht="15.0" customHeight="1">
      <c r="A18682" s="10" t="s">
        <v>32</v>
      </c>
      <c r="B18682" s="10"/>
      <c r="C18682" s="10" t="s">
        <v>33</v>
      </c>
      <c r="D18682" s="10" t="s">
        <v>34</v>
      </c>
      <c r="E18682" s="14">
        <v>3.0</v>
      </c>
      <c r="F18682" s="15">
        <f>ROUND(30.66,3)</f>
        <v>30.66</v>
      </c>
      <c r="G18682" s="12">
        <f>ROUND((E18682*F18682)/100,2)</f>
        <v>0.92</v>
      </c>
    </row>
    <row r="18683" ht="24.75" customHeight="1">
      <c r="A18683" s="16"/>
      <c r="B18683" s="16"/>
      <c r="C18683" s="16"/>
      <c r="D18683" s="17" t="s">
        <v>9001</v>
      </c>
      <c r="E18683" s="16"/>
      <c r="F18683" s="18">
        <f>ROUND((G18673+G18674+G18675+G18676+G18677+G18682)*(1+G2/100),2)</f>
        <v>41.92</v>
      </c>
      <c r="G18683" s="16"/>
    </row>
    <row r="18684" ht="30.0" customHeight="1">
      <c r="A18684" s="19" t="s">
        <v>9003</v>
      </c>
      <c r="B18684" s="20" t="s">
        <v>18</v>
      </c>
      <c r="C18684" s="20" t="s">
        <v>344</v>
      </c>
      <c r="D18684" s="20" t="s">
        <v>9004</v>
      </c>
      <c r="E18684" s="21"/>
      <c r="F18684" s="22">
        <f>F18695</f>
        <v>33.08</v>
      </c>
      <c r="G18684" s="21"/>
    </row>
    <row r="18685" ht="12.0" customHeight="1">
      <c r="A18685" s="11"/>
      <c r="B18685" s="11"/>
      <c r="C18685" s="11"/>
      <c r="D18685" s="10" t="s">
        <v>9004</v>
      </c>
    </row>
    <row r="18686" ht="24.0" customHeight="1">
      <c r="A18686" s="10" t="s">
        <v>318</v>
      </c>
      <c r="B18686" s="10" t="s">
        <v>42</v>
      </c>
      <c r="C18686" s="10" t="s">
        <v>43</v>
      </c>
      <c r="D18686" s="10" t="s">
        <v>319</v>
      </c>
      <c r="E18686" s="14">
        <v>0.1</v>
      </c>
      <c r="F18686" s="15">
        <f>ROUND(5.8,3)</f>
        <v>5.8</v>
      </c>
      <c r="G18686" s="12">
        <f t="shared" ref="G18686:G18693" si="2395">ROUND(E18686*F18686,2)</f>
        <v>0.58</v>
      </c>
    </row>
    <row r="18687" ht="21.0" customHeight="1">
      <c r="A18687" s="10" t="s">
        <v>919</v>
      </c>
      <c r="B18687" s="10" t="s">
        <v>42</v>
      </c>
      <c r="C18687" s="10" t="s">
        <v>344</v>
      </c>
      <c r="D18687" s="10" t="s">
        <v>920</v>
      </c>
      <c r="E18687" s="14">
        <v>1.0</v>
      </c>
      <c r="F18687" s="15">
        <f>ROUND(0.9,3)</f>
        <v>0.9</v>
      </c>
      <c r="G18687" s="12">
        <f t="shared" si="2395"/>
        <v>0.9</v>
      </c>
    </row>
    <row r="18688" ht="21.0" customHeight="1">
      <c r="A18688" s="10" t="s">
        <v>348</v>
      </c>
      <c r="B18688" s="10" t="s">
        <v>42</v>
      </c>
      <c r="C18688" s="10" t="s">
        <v>226</v>
      </c>
      <c r="D18688" s="10" t="s">
        <v>349</v>
      </c>
      <c r="E18688" s="14">
        <v>0.005</v>
      </c>
      <c r="F18688" s="15">
        <f>ROUND(4.95,3)</f>
        <v>4.95</v>
      </c>
      <c r="G18688" s="12">
        <f t="shared" si="2395"/>
        <v>0.02</v>
      </c>
    </row>
    <row r="18689" ht="21.0" customHeight="1">
      <c r="A18689" s="10" t="s">
        <v>22</v>
      </c>
      <c r="B18689" s="10" t="s">
        <v>18</v>
      </c>
      <c r="C18689" s="10" t="s">
        <v>23</v>
      </c>
      <c r="D18689" s="10" t="s">
        <v>24</v>
      </c>
      <c r="E18689" s="14">
        <v>0.7</v>
      </c>
      <c r="F18689" s="15">
        <f>F18693</f>
        <v>43.8</v>
      </c>
      <c r="G18689" s="12">
        <f t="shared" si="2395"/>
        <v>30.66</v>
      </c>
    </row>
    <row r="18690" ht="24.0" customHeight="1">
      <c r="A18690" s="10" t="s">
        <v>25</v>
      </c>
      <c r="B18690" s="10" t="s">
        <v>26</v>
      </c>
      <c r="C18690" s="10" t="s">
        <v>23</v>
      </c>
      <c r="D18690" s="10" t="s">
        <v>27</v>
      </c>
      <c r="E18690" s="14">
        <v>1.0</v>
      </c>
      <c r="F18690" s="15">
        <f>ROUND(21,3)</f>
        <v>21</v>
      </c>
      <c r="G18690" s="12">
        <f t="shared" si="2395"/>
        <v>21</v>
      </c>
    </row>
    <row r="18691" ht="24.0" customHeight="1">
      <c r="A18691" s="10" t="s">
        <v>28</v>
      </c>
      <c r="B18691" s="10" t="s">
        <v>26</v>
      </c>
      <c r="C18691" s="10" t="s">
        <v>23</v>
      </c>
      <c r="D18691" s="10" t="s">
        <v>29</v>
      </c>
      <c r="E18691" s="14">
        <v>1.0</v>
      </c>
      <c r="F18691" s="15">
        <f t="shared" ref="F18691:F18692" si="2396">ROUND(19,3)</f>
        <v>19</v>
      </c>
      <c r="G18691" s="12">
        <f t="shared" si="2395"/>
        <v>19</v>
      </c>
    </row>
    <row r="18692" ht="24.0" customHeight="1">
      <c r="A18692" s="10" t="s">
        <v>30</v>
      </c>
      <c r="B18692" s="10" t="s">
        <v>26</v>
      </c>
      <c r="C18692" s="10" t="s">
        <v>23</v>
      </c>
      <c r="D18692" s="10" t="s">
        <v>31</v>
      </c>
      <c r="E18692" s="14">
        <v>0.2</v>
      </c>
      <c r="F18692" s="15">
        <f t="shared" si="2396"/>
        <v>19</v>
      </c>
      <c r="G18692" s="12">
        <f t="shared" si="2395"/>
        <v>3.8</v>
      </c>
    </row>
    <row r="18693" ht="15.0" customHeight="1">
      <c r="A18693" s="11"/>
      <c r="B18693" s="11"/>
      <c r="C18693" s="11"/>
      <c r="D18693" s="10" t="s">
        <v>22</v>
      </c>
      <c r="E18693" s="14">
        <v>0.7</v>
      </c>
      <c r="F18693" s="15">
        <f>ROUND((G18690+G18691+G18692),3)</f>
        <v>43.8</v>
      </c>
      <c r="G18693" s="12">
        <f t="shared" si="2395"/>
        <v>30.66</v>
      </c>
    </row>
    <row r="18694" ht="15.0" customHeight="1">
      <c r="A18694" s="10" t="s">
        <v>32</v>
      </c>
      <c r="B18694" s="10"/>
      <c r="C18694" s="10" t="s">
        <v>33</v>
      </c>
      <c r="D18694" s="10" t="s">
        <v>34</v>
      </c>
      <c r="E18694" s="14">
        <v>3.0</v>
      </c>
      <c r="F18694" s="15">
        <f>ROUND(30.66,3)</f>
        <v>30.66</v>
      </c>
      <c r="G18694" s="12">
        <f>ROUND((E18694*F18694)/100,2)</f>
        <v>0.92</v>
      </c>
    </row>
    <row r="18695" ht="15.0" customHeight="1">
      <c r="A18695" s="16"/>
      <c r="B18695" s="16"/>
      <c r="C18695" s="16"/>
      <c r="D18695" s="17" t="s">
        <v>9003</v>
      </c>
      <c r="E18695" s="16"/>
      <c r="F18695" s="18">
        <f>ROUND((G18686+G18687+G18688+G18689+G18694)*(1+G2/100),2)</f>
        <v>33.08</v>
      </c>
      <c r="G18695" s="16"/>
    </row>
    <row r="18696" ht="34.5" customHeight="1">
      <c r="A18696" s="19" t="s">
        <v>9005</v>
      </c>
      <c r="B18696" s="20" t="s">
        <v>18</v>
      </c>
      <c r="C18696" s="20" t="s">
        <v>231</v>
      </c>
      <c r="D18696" s="20" t="s">
        <v>9006</v>
      </c>
      <c r="E18696" s="21"/>
      <c r="F18696" s="22">
        <f>F18705</f>
        <v>93.14</v>
      </c>
      <c r="G18696" s="21"/>
    </row>
    <row r="18697" ht="30.0" customHeight="1">
      <c r="A18697" s="11"/>
      <c r="B18697" s="11"/>
      <c r="C18697" s="11"/>
      <c r="D18697" s="10" t="s">
        <v>9007</v>
      </c>
    </row>
    <row r="18698" ht="21.0" customHeight="1">
      <c r="A18698" s="10" t="s">
        <v>8787</v>
      </c>
      <c r="B18698" s="10" t="s">
        <v>42</v>
      </c>
      <c r="C18698" s="10" t="s">
        <v>226</v>
      </c>
      <c r="D18698" s="10" t="s">
        <v>8788</v>
      </c>
      <c r="E18698" s="14">
        <v>0.091</v>
      </c>
      <c r="F18698" s="15">
        <f>ROUND(12.75,3)</f>
        <v>12.75</v>
      </c>
      <c r="G18698" s="12">
        <f t="shared" ref="G18698:G18703" si="2397">ROUND(E18698*F18698,2)</f>
        <v>1.16</v>
      </c>
    </row>
    <row r="18699" ht="21.0" customHeight="1">
      <c r="A18699" s="10" t="s">
        <v>22</v>
      </c>
      <c r="B18699" s="10" t="s">
        <v>18</v>
      </c>
      <c r="C18699" s="10" t="s">
        <v>23</v>
      </c>
      <c r="D18699" s="10" t="s">
        <v>24</v>
      </c>
      <c r="E18699" s="14">
        <v>2.0</v>
      </c>
      <c r="F18699" s="15">
        <f>F18703</f>
        <v>43.8</v>
      </c>
      <c r="G18699" s="12">
        <f t="shared" si="2397"/>
        <v>87.6</v>
      </c>
    </row>
    <row r="18700" ht="24.0" customHeight="1">
      <c r="A18700" s="10" t="s">
        <v>25</v>
      </c>
      <c r="B18700" s="10" t="s">
        <v>26</v>
      </c>
      <c r="C18700" s="10" t="s">
        <v>23</v>
      </c>
      <c r="D18700" s="10" t="s">
        <v>27</v>
      </c>
      <c r="E18700" s="14">
        <v>1.0</v>
      </c>
      <c r="F18700" s="15">
        <f>ROUND(21,3)</f>
        <v>21</v>
      </c>
      <c r="G18700" s="12">
        <f t="shared" si="2397"/>
        <v>21</v>
      </c>
    </row>
    <row r="18701" ht="24.0" customHeight="1">
      <c r="A18701" s="10" t="s">
        <v>28</v>
      </c>
      <c r="B18701" s="10" t="s">
        <v>26</v>
      </c>
      <c r="C18701" s="10" t="s">
        <v>23</v>
      </c>
      <c r="D18701" s="10" t="s">
        <v>29</v>
      </c>
      <c r="E18701" s="14">
        <v>1.0</v>
      </c>
      <c r="F18701" s="15">
        <f t="shared" ref="F18701:F18702" si="2398">ROUND(19,3)</f>
        <v>19</v>
      </c>
      <c r="G18701" s="12">
        <f t="shared" si="2397"/>
        <v>19</v>
      </c>
    </row>
    <row r="18702" ht="24.0" customHeight="1">
      <c r="A18702" s="10" t="s">
        <v>30</v>
      </c>
      <c r="B18702" s="10" t="s">
        <v>26</v>
      </c>
      <c r="C18702" s="10" t="s">
        <v>23</v>
      </c>
      <c r="D18702" s="10" t="s">
        <v>31</v>
      </c>
      <c r="E18702" s="14">
        <v>0.2</v>
      </c>
      <c r="F18702" s="15">
        <f t="shared" si="2398"/>
        <v>19</v>
      </c>
      <c r="G18702" s="12">
        <f t="shared" si="2397"/>
        <v>3.8</v>
      </c>
    </row>
    <row r="18703" ht="15.0" customHeight="1">
      <c r="A18703" s="11"/>
      <c r="B18703" s="11"/>
      <c r="C18703" s="11"/>
      <c r="D18703" s="10" t="s">
        <v>22</v>
      </c>
      <c r="E18703" s="14">
        <v>2.0</v>
      </c>
      <c r="F18703" s="15">
        <f>ROUND((G18700+G18701+G18702),3)</f>
        <v>43.8</v>
      </c>
      <c r="G18703" s="12">
        <f t="shared" si="2397"/>
        <v>87.6</v>
      </c>
    </row>
    <row r="18704" ht="15.0" customHeight="1">
      <c r="A18704" s="10" t="s">
        <v>32</v>
      </c>
      <c r="B18704" s="10"/>
      <c r="C18704" s="10" t="s">
        <v>33</v>
      </c>
      <c r="D18704" s="10" t="s">
        <v>34</v>
      </c>
      <c r="E18704" s="14">
        <v>5.0</v>
      </c>
      <c r="F18704" s="15">
        <f>ROUND(87.6,3)</f>
        <v>87.6</v>
      </c>
      <c r="G18704" s="12">
        <f>ROUND((E18704*F18704)/100,2)</f>
        <v>4.38</v>
      </c>
    </row>
    <row r="18705" ht="24.75" customHeight="1">
      <c r="A18705" s="16"/>
      <c r="B18705" s="16"/>
      <c r="C18705" s="16"/>
      <c r="D18705" s="17" t="s">
        <v>9005</v>
      </c>
      <c r="E18705" s="16"/>
      <c r="F18705" s="18">
        <f>ROUND((G18698+G18699+G18704)*(1+G2/100),2)</f>
        <v>93.14</v>
      </c>
      <c r="G18705" s="16"/>
    </row>
    <row r="18706" ht="30.0" customHeight="1">
      <c r="A18706" s="19" t="s">
        <v>9008</v>
      </c>
      <c r="B18706" s="20" t="s">
        <v>18</v>
      </c>
      <c r="C18706" s="20" t="s">
        <v>344</v>
      </c>
      <c r="D18706" s="20" t="s">
        <v>9009</v>
      </c>
      <c r="E18706" s="21"/>
      <c r="F18706" s="22">
        <f>F18717</f>
        <v>28.57</v>
      </c>
      <c r="G18706" s="21"/>
    </row>
    <row r="18707" ht="12.0" customHeight="1">
      <c r="A18707" s="11"/>
      <c r="B18707" s="11"/>
      <c r="C18707" s="11"/>
      <c r="D18707" s="10" t="s">
        <v>9009</v>
      </c>
    </row>
    <row r="18708" ht="24.0" customHeight="1">
      <c r="A18708" s="10" t="s">
        <v>318</v>
      </c>
      <c r="B18708" s="10" t="s">
        <v>42</v>
      </c>
      <c r="C18708" s="10" t="s">
        <v>43</v>
      </c>
      <c r="D18708" s="10" t="s">
        <v>319</v>
      </c>
      <c r="E18708" s="14">
        <v>0.1</v>
      </c>
      <c r="F18708" s="15">
        <f>ROUND(5.8,3)</f>
        <v>5.8</v>
      </c>
      <c r="G18708" s="12">
        <f t="shared" ref="G18708:G18715" si="2399">ROUND(E18708*F18708,2)</f>
        <v>0.58</v>
      </c>
    </row>
    <row r="18709" ht="21.0" customHeight="1">
      <c r="A18709" s="10" t="s">
        <v>919</v>
      </c>
      <c r="B18709" s="10" t="s">
        <v>42</v>
      </c>
      <c r="C18709" s="10" t="s">
        <v>344</v>
      </c>
      <c r="D18709" s="10" t="s">
        <v>920</v>
      </c>
      <c r="E18709" s="14">
        <v>1.0</v>
      </c>
      <c r="F18709" s="15">
        <f>ROUND(0.9,3)</f>
        <v>0.9</v>
      </c>
      <c r="G18709" s="12">
        <f t="shared" si="2399"/>
        <v>0.9</v>
      </c>
    </row>
    <row r="18710" ht="21.0" customHeight="1">
      <c r="A18710" s="10" t="s">
        <v>348</v>
      </c>
      <c r="B18710" s="10" t="s">
        <v>42</v>
      </c>
      <c r="C18710" s="10" t="s">
        <v>226</v>
      </c>
      <c r="D18710" s="10" t="s">
        <v>349</v>
      </c>
      <c r="E18710" s="14">
        <v>0.005</v>
      </c>
      <c r="F18710" s="15">
        <f>ROUND(4.95,3)</f>
        <v>4.95</v>
      </c>
      <c r="G18710" s="12">
        <f t="shared" si="2399"/>
        <v>0.02</v>
      </c>
    </row>
    <row r="18711" ht="21.0" customHeight="1">
      <c r="A18711" s="10" t="s">
        <v>22</v>
      </c>
      <c r="B18711" s="10" t="s">
        <v>18</v>
      </c>
      <c r="C18711" s="10" t="s">
        <v>23</v>
      </c>
      <c r="D18711" s="10" t="s">
        <v>24</v>
      </c>
      <c r="E18711" s="14">
        <v>0.6</v>
      </c>
      <c r="F18711" s="15">
        <f>F18715</f>
        <v>43.8</v>
      </c>
      <c r="G18711" s="12">
        <f t="shared" si="2399"/>
        <v>26.28</v>
      </c>
    </row>
    <row r="18712" ht="24.0" customHeight="1">
      <c r="A18712" s="10" t="s">
        <v>25</v>
      </c>
      <c r="B18712" s="10" t="s">
        <v>26</v>
      </c>
      <c r="C18712" s="10" t="s">
        <v>23</v>
      </c>
      <c r="D18712" s="10" t="s">
        <v>27</v>
      </c>
      <c r="E18712" s="14">
        <v>1.0</v>
      </c>
      <c r="F18712" s="15">
        <f>ROUND(21,3)</f>
        <v>21</v>
      </c>
      <c r="G18712" s="12">
        <f t="shared" si="2399"/>
        <v>21</v>
      </c>
    </row>
    <row r="18713" ht="24.0" customHeight="1">
      <c r="A18713" s="10" t="s">
        <v>28</v>
      </c>
      <c r="B18713" s="10" t="s">
        <v>26</v>
      </c>
      <c r="C18713" s="10" t="s">
        <v>23</v>
      </c>
      <c r="D18713" s="10" t="s">
        <v>29</v>
      </c>
      <c r="E18713" s="14">
        <v>1.0</v>
      </c>
      <c r="F18713" s="15">
        <f t="shared" ref="F18713:F18714" si="2400">ROUND(19,3)</f>
        <v>19</v>
      </c>
      <c r="G18713" s="12">
        <f t="shared" si="2399"/>
        <v>19</v>
      </c>
    </row>
    <row r="18714" ht="24.0" customHeight="1">
      <c r="A18714" s="10" t="s">
        <v>30</v>
      </c>
      <c r="B18714" s="10" t="s">
        <v>26</v>
      </c>
      <c r="C18714" s="10" t="s">
        <v>23</v>
      </c>
      <c r="D18714" s="10" t="s">
        <v>31</v>
      </c>
      <c r="E18714" s="14">
        <v>0.2</v>
      </c>
      <c r="F18714" s="15">
        <f t="shared" si="2400"/>
        <v>19</v>
      </c>
      <c r="G18714" s="12">
        <f t="shared" si="2399"/>
        <v>3.8</v>
      </c>
    </row>
    <row r="18715" ht="15.0" customHeight="1">
      <c r="A18715" s="11"/>
      <c r="B18715" s="11"/>
      <c r="C18715" s="11"/>
      <c r="D18715" s="10" t="s">
        <v>22</v>
      </c>
      <c r="E18715" s="14">
        <v>0.6</v>
      </c>
      <c r="F18715" s="15">
        <f>ROUND((G18712+G18713+G18714),3)</f>
        <v>43.8</v>
      </c>
      <c r="G18715" s="12">
        <f t="shared" si="2399"/>
        <v>26.28</v>
      </c>
    </row>
    <row r="18716" ht="15.0" customHeight="1">
      <c r="A18716" s="10" t="s">
        <v>32</v>
      </c>
      <c r="B18716" s="10"/>
      <c r="C18716" s="10" t="s">
        <v>33</v>
      </c>
      <c r="D18716" s="10" t="s">
        <v>34</v>
      </c>
      <c r="E18716" s="14">
        <v>3.0</v>
      </c>
      <c r="F18716" s="15">
        <f>ROUND(26.28,3)</f>
        <v>26.28</v>
      </c>
      <c r="G18716" s="12">
        <f>ROUND((E18716*F18716)/100,2)</f>
        <v>0.79</v>
      </c>
    </row>
    <row r="18717" ht="15.0" customHeight="1">
      <c r="A18717" s="16"/>
      <c r="B18717" s="16"/>
      <c r="C18717" s="16"/>
      <c r="D18717" s="17" t="s">
        <v>9008</v>
      </c>
      <c r="E18717" s="16"/>
      <c r="F18717" s="18">
        <f>ROUND((G18708+G18709+G18710+G18711+G18716)*(1+G2/100),2)</f>
        <v>28.57</v>
      </c>
      <c r="G18717" s="16"/>
    </row>
    <row r="18718" ht="30.0" customHeight="1">
      <c r="A18718" s="19" t="s">
        <v>9010</v>
      </c>
      <c r="B18718" s="20" t="s">
        <v>18</v>
      </c>
      <c r="C18718" s="20" t="s">
        <v>231</v>
      </c>
      <c r="D18718" s="20" t="s">
        <v>9011</v>
      </c>
      <c r="E18718" s="21"/>
      <c r="F18718" s="22">
        <f>F18732</f>
        <v>103.28</v>
      </c>
      <c r="G18718" s="21"/>
    </row>
    <row r="18719" ht="21.0" customHeight="1">
      <c r="A18719" s="11"/>
      <c r="B18719" s="11"/>
      <c r="C18719" s="11"/>
      <c r="D18719" s="10" t="s">
        <v>9011</v>
      </c>
    </row>
    <row r="18720" ht="21.0" customHeight="1">
      <c r="A18720" s="10" t="s">
        <v>237</v>
      </c>
      <c r="B18720" s="10" t="s">
        <v>42</v>
      </c>
      <c r="C18720" s="10" t="s">
        <v>231</v>
      </c>
      <c r="D18720" s="10" t="s">
        <v>238</v>
      </c>
      <c r="E18720" s="14">
        <v>1.0</v>
      </c>
      <c r="F18720" s="15">
        <f>ROUND(6.32,3)</f>
        <v>6.32</v>
      </c>
      <c r="G18720" s="12">
        <f t="shared" ref="G18720:G18730" si="2401">ROUND(E18720*F18720,2)</f>
        <v>6.32</v>
      </c>
    </row>
    <row r="18721" ht="21.0" customHeight="1">
      <c r="A18721" s="10" t="s">
        <v>242</v>
      </c>
      <c r="B18721" s="10" t="s">
        <v>42</v>
      </c>
      <c r="C18721" s="10" t="s">
        <v>226</v>
      </c>
      <c r="D18721" s="10" t="s">
        <v>243</v>
      </c>
      <c r="E18721" s="14">
        <v>0.5</v>
      </c>
      <c r="F18721" s="15">
        <f>ROUND(1.32,3)</f>
        <v>1.32</v>
      </c>
      <c r="G18721" s="12">
        <f t="shared" si="2401"/>
        <v>0.66</v>
      </c>
    </row>
    <row r="18722" ht="24.0" customHeight="1">
      <c r="A18722" s="10" t="s">
        <v>318</v>
      </c>
      <c r="B18722" s="10" t="s">
        <v>42</v>
      </c>
      <c r="C18722" s="10" t="s">
        <v>43</v>
      </c>
      <c r="D18722" s="10" t="s">
        <v>319</v>
      </c>
      <c r="E18722" s="14">
        <v>0.25</v>
      </c>
      <c r="F18722" s="15">
        <f>ROUND(5.8,3)</f>
        <v>5.8</v>
      </c>
      <c r="G18722" s="12">
        <f t="shared" si="2401"/>
        <v>1.45</v>
      </c>
    </row>
    <row r="18723" ht="21.0" customHeight="1">
      <c r="A18723" s="10" t="s">
        <v>967</v>
      </c>
      <c r="B18723" s="10" t="s">
        <v>42</v>
      </c>
      <c r="C18723" s="10" t="s">
        <v>325</v>
      </c>
      <c r="D18723" s="10" t="s">
        <v>968</v>
      </c>
      <c r="E18723" s="14">
        <v>0.1</v>
      </c>
      <c r="F18723" s="15">
        <f>ROUND(6.49,3)</f>
        <v>6.49</v>
      </c>
      <c r="G18723" s="12">
        <f t="shared" si="2401"/>
        <v>0.65</v>
      </c>
    </row>
    <row r="18724" ht="21.0" customHeight="1">
      <c r="A18724" s="10" t="s">
        <v>969</v>
      </c>
      <c r="B18724" s="10" t="s">
        <v>112</v>
      </c>
      <c r="C18724" s="10" t="s">
        <v>23</v>
      </c>
      <c r="D18724" s="10" t="s">
        <v>970</v>
      </c>
      <c r="E18724" s="14">
        <v>1.0</v>
      </c>
      <c r="F18724" s="15">
        <f>ROUND(2,3)</f>
        <v>2</v>
      </c>
      <c r="G18724" s="12">
        <f t="shared" si="2401"/>
        <v>2</v>
      </c>
    </row>
    <row r="18725" ht="30.0" customHeight="1">
      <c r="A18725" s="10" t="s">
        <v>971</v>
      </c>
      <c r="B18725" s="10" t="s">
        <v>42</v>
      </c>
      <c r="C18725" s="10" t="s">
        <v>231</v>
      </c>
      <c r="D18725" s="10" t="s">
        <v>972</v>
      </c>
      <c r="E18725" s="14">
        <v>0.4</v>
      </c>
      <c r="F18725" s="15">
        <f>ROUND(4.92,3)</f>
        <v>4.92</v>
      </c>
      <c r="G18725" s="12">
        <f t="shared" si="2401"/>
        <v>1.97</v>
      </c>
    </row>
    <row r="18726" ht="21.0" customHeight="1">
      <c r="A18726" s="10" t="s">
        <v>22</v>
      </c>
      <c r="B18726" s="10" t="s">
        <v>18</v>
      </c>
      <c r="C18726" s="10" t="s">
        <v>23</v>
      </c>
      <c r="D18726" s="10" t="s">
        <v>24</v>
      </c>
      <c r="E18726" s="14">
        <v>2.0</v>
      </c>
      <c r="F18726" s="15">
        <f>F18730</f>
        <v>43.8</v>
      </c>
      <c r="G18726" s="12">
        <f t="shared" si="2401"/>
        <v>87.6</v>
      </c>
    </row>
    <row r="18727" ht="24.0" customHeight="1">
      <c r="A18727" s="10" t="s">
        <v>25</v>
      </c>
      <c r="B18727" s="10" t="s">
        <v>26</v>
      </c>
      <c r="C18727" s="10" t="s">
        <v>23</v>
      </c>
      <c r="D18727" s="10" t="s">
        <v>27</v>
      </c>
      <c r="E18727" s="14">
        <v>1.0</v>
      </c>
      <c r="F18727" s="15">
        <f>ROUND(21,3)</f>
        <v>21</v>
      </c>
      <c r="G18727" s="12">
        <f t="shared" si="2401"/>
        <v>21</v>
      </c>
    </row>
    <row r="18728" ht="24.0" customHeight="1">
      <c r="A18728" s="10" t="s">
        <v>28</v>
      </c>
      <c r="B18728" s="10" t="s">
        <v>26</v>
      </c>
      <c r="C18728" s="10" t="s">
        <v>23</v>
      </c>
      <c r="D18728" s="10" t="s">
        <v>29</v>
      </c>
      <c r="E18728" s="14">
        <v>1.0</v>
      </c>
      <c r="F18728" s="15">
        <f t="shared" ref="F18728:F18729" si="2402">ROUND(19,3)</f>
        <v>19</v>
      </c>
      <c r="G18728" s="12">
        <f t="shared" si="2401"/>
        <v>19</v>
      </c>
    </row>
    <row r="18729" ht="24.0" customHeight="1">
      <c r="A18729" s="10" t="s">
        <v>30</v>
      </c>
      <c r="B18729" s="10" t="s">
        <v>26</v>
      </c>
      <c r="C18729" s="10" t="s">
        <v>23</v>
      </c>
      <c r="D18729" s="10" t="s">
        <v>31</v>
      </c>
      <c r="E18729" s="14">
        <v>0.2</v>
      </c>
      <c r="F18729" s="15">
        <f t="shared" si="2402"/>
        <v>19</v>
      </c>
      <c r="G18729" s="12">
        <f t="shared" si="2401"/>
        <v>3.8</v>
      </c>
    </row>
    <row r="18730" ht="15.0" customHeight="1">
      <c r="A18730" s="11"/>
      <c r="B18730" s="11"/>
      <c r="C18730" s="11"/>
      <c r="D18730" s="10" t="s">
        <v>22</v>
      </c>
      <c r="E18730" s="14">
        <v>2.0</v>
      </c>
      <c r="F18730" s="15">
        <f>ROUND((G18727+G18728+G18729),3)</f>
        <v>43.8</v>
      </c>
      <c r="G18730" s="12">
        <f t="shared" si="2401"/>
        <v>87.6</v>
      </c>
    </row>
    <row r="18731" ht="15.0" customHeight="1">
      <c r="A18731" s="10" t="s">
        <v>32</v>
      </c>
      <c r="B18731" s="10"/>
      <c r="C18731" s="10" t="s">
        <v>33</v>
      </c>
      <c r="D18731" s="10" t="s">
        <v>34</v>
      </c>
      <c r="E18731" s="14">
        <v>3.0</v>
      </c>
      <c r="F18731" s="15">
        <f>ROUND(87.6,3)</f>
        <v>87.6</v>
      </c>
      <c r="G18731" s="12">
        <f>ROUND((E18731*F18731)/100,2)</f>
        <v>2.63</v>
      </c>
    </row>
    <row r="18732" ht="15.0" customHeight="1">
      <c r="A18732" s="16"/>
      <c r="B18732" s="16"/>
      <c r="C18732" s="16"/>
      <c r="D18732" s="17" t="s">
        <v>9010</v>
      </c>
      <c r="E18732" s="16"/>
      <c r="F18732" s="18">
        <f>ROUND((G18720+G18721+G18722+G18723+G18724+G18725+G18726+G18731)*(1+G2/100),2)</f>
        <v>103.28</v>
      </c>
      <c r="G18732" s="16"/>
    </row>
    <row r="18733" ht="30.0" customHeight="1">
      <c r="A18733" s="19" t="s">
        <v>9012</v>
      </c>
      <c r="B18733" s="20" t="s">
        <v>18</v>
      </c>
      <c r="C18733" s="20" t="s">
        <v>231</v>
      </c>
      <c r="D18733" s="20" t="s">
        <v>9013</v>
      </c>
      <c r="E18733" s="21"/>
      <c r="F18733" s="22">
        <f>F18747</f>
        <v>103.28</v>
      </c>
      <c r="G18733" s="21"/>
    </row>
    <row r="18734" ht="12.0" customHeight="1">
      <c r="A18734" s="11"/>
      <c r="B18734" s="11"/>
      <c r="C18734" s="11"/>
      <c r="D18734" s="10" t="s">
        <v>9013</v>
      </c>
    </row>
    <row r="18735" ht="21.0" customHeight="1">
      <c r="A18735" s="10" t="s">
        <v>237</v>
      </c>
      <c r="B18735" s="10" t="s">
        <v>42</v>
      </c>
      <c r="C18735" s="10" t="s">
        <v>231</v>
      </c>
      <c r="D18735" s="10" t="s">
        <v>238</v>
      </c>
      <c r="E18735" s="14">
        <v>1.0</v>
      </c>
      <c r="F18735" s="15">
        <f>ROUND(6.32,3)</f>
        <v>6.32</v>
      </c>
      <c r="G18735" s="12">
        <f t="shared" ref="G18735:G18745" si="2403">ROUND(E18735*F18735,2)</f>
        <v>6.32</v>
      </c>
    </row>
    <row r="18736" ht="21.0" customHeight="1">
      <c r="A18736" s="10" t="s">
        <v>242</v>
      </c>
      <c r="B18736" s="10" t="s">
        <v>42</v>
      </c>
      <c r="C18736" s="10" t="s">
        <v>226</v>
      </c>
      <c r="D18736" s="10" t="s">
        <v>243</v>
      </c>
      <c r="E18736" s="14">
        <v>0.5</v>
      </c>
      <c r="F18736" s="15">
        <f>ROUND(1.32,3)</f>
        <v>1.32</v>
      </c>
      <c r="G18736" s="12">
        <f t="shared" si="2403"/>
        <v>0.66</v>
      </c>
    </row>
    <row r="18737" ht="24.0" customHeight="1">
      <c r="A18737" s="10" t="s">
        <v>318</v>
      </c>
      <c r="B18737" s="10" t="s">
        <v>42</v>
      </c>
      <c r="C18737" s="10" t="s">
        <v>43</v>
      </c>
      <c r="D18737" s="10" t="s">
        <v>319</v>
      </c>
      <c r="E18737" s="14">
        <v>0.25</v>
      </c>
      <c r="F18737" s="15">
        <f>ROUND(5.8,3)</f>
        <v>5.8</v>
      </c>
      <c r="G18737" s="12">
        <f t="shared" si="2403"/>
        <v>1.45</v>
      </c>
    </row>
    <row r="18738" ht="21.0" customHeight="1">
      <c r="A18738" s="10" t="s">
        <v>967</v>
      </c>
      <c r="B18738" s="10" t="s">
        <v>42</v>
      </c>
      <c r="C18738" s="10" t="s">
        <v>325</v>
      </c>
      <c r="D18738" s="10" t="s">
        <v>968</v>
      </c>
      <c r="E18738" s="14">
        <v>0.1</v>
      </c>
      <c r="F18738" s="15">
        <f>ROUND(6.49,3)</f>
        <v>6.49</v>
      </c>
      <c r="G18738" s="12">
        <f t="shared" si="2403"/>
        <v>0.65</v>
      </c>
    </row>
    <row r="18739" ht="21.0" customHeight="1">
      <c r="A18739" s="10" t="s">
        <v>969</v>
      </c>
      <c r="B18739" s="10" t="s">
        <v>112</v>
      </c>
      <c r="C18739" s="10" t="s">
        <v>23</v>
      </c>
      <c r="D18739" s="10" t="s">
        <v>970</v>
      </c>
      <c r="E18739" s="14">
        <v>1.0</v>
      </c>
      <c r="F18739" s="15">
        <f>ROUND(2,3)</f>
        <v>2</v>
      </c>
      <c r="G18739" s="12">
        <f t="shared" si="2403"/>
        <v>2</v>
      </c>
    </row>
    <row r="18740" ht="30.0" customHeight="1">
      <c r="A18740" s="10" t="s">
        <v>971</v>
      </c>
      <c r="B18740" s="10" t="s">
        <v>42</v>
      </c>
      <c r="C18740" s="10" t="s">
        <v>231</v>
      </c>
      <c r="D18740" s="10" t="s">
        <v>972</v>
      </c>
      <c r="E18740" s="14">
        <v>0.4</v>
      </c>
      <c r="F18740" s="15">
        <f>ROUND(4.92,3)</f>
        <v>4.92</v>
      </c>
      <c r="G18740" s="12">
        <f t="shared" si="2403"/>
        <v>1.97</v>
      </c>
    </row>
    <row r="18741" ht="21.0" customHeight="1">
      <c r="A18741" s="10" t="s">
        <v>22</v>
      </c>
      <c r="B18741" s="10" t="s">
        <v>18</v>
      </c>
      <c r="C18741" s="10" t="s">
        <v>23</v>
      </c>
      <c r="D18741" s="10" t="s">
        <v>24</v>
      </c>
      <c r="E18741" s="14">
        <v>2.0</v>
      </c>
      <c r="F18741" s="15">
        <f>F18745</f>
        <v>43.8</v>
      </c>
      <c r="G18741" s="12">
        <f t="shared" si="2403"/>
        <v>87.6</v>
      </c>
    </row>
    <row r="18742" ht="24.0" customHeight="1">
      <c r="A18742" s="10" t="s">
        <v>25</v>
      </c>
      <c r="B18742" s="10" t="s">
        <v>26</v>
      </c>
      <c r="C18742" s="10" t="s">
        <v>23</v>
      </c>
      <c r="D18742" s="10" t="s">
        <v>27</v>
      </c>
      <c r="E18742" s="14">
        <v>1.0</v>
      </c>
      <c r="F18742" s="15">
        <f>ROUND(21,3)</f>
        <v>21</v>
      </c>
      <c r="G18742" s="12">
        <f t="shared" si="2403"/>
        <v>21</v>
      </c>
    </row>
    <row r="18743" ht="24.0" customHeight="1">
      <c r="A18743" s="10" t="s">
        <v>28</v>
      </c>
      <c r="B18743" s="10" t="s">
        <v>26</v>
      </c>
      <c r="C18743" s="10" t="s">
        <v>23</v>
      </c>
      <c r="D18743" s="10" t="s">
        <v>29</v>
      </c>
      <c r="E18743" s="14">
        <v>1.0</v>
      </c>
      <c r="F18743" s="15">
        <f t="shared" ref="F18743:F18744" si="2404">ROUND(19,3)</f>
        <v>19</v>
      </c>
      <c r="G18743" s="12">
        <f t="shared" si="2403"/>
        <v>19</v>
      </c>
    </row>
    <row r="18744" ht="24.0" customHeight="1">
      <c r="A18744" s="10" t="s">
        <v>30</v>
      </c>
      <c r="B18744" s="10" t="s">
        <v>26</v>
      </c>
      <c r="C18744" s="10" t="s">
        <v>23</v>
      </c>
      <c r="D18744" s="10" t="s">
        <v>31</v>
      </c>
      <c r="E18744" s="14">
        <v>0.2</v>
      </c>
      <c r="F18744" s="15">
        <f t="shared" si="2404"/>
        <v>19</v>
      </c>
      <c r="G18744" s="12">
        <f t="shared" si="2403"/>
        <v>3.8</v>
      </c>
    </row>
    <row r="18745" ht="15.0" customHeight="1">
      <c r="A18745" s="11"/>
      <c r="B18745" s="11"/>
      <c r="C18745" s="11"/>
      <c r="D18745" s="10" t="s">
        <v>22</v>
      </c>
      <c r="E18745" s="14">
        <v>2.0</v>
      </c>
      <c r="F18745" s="15">
        <f>ROUND((G18742+G18743+G18744),3)</f>
        <v>43.8</v>
      </c>
      <c r="G18745" s="12">
        <f t="shared" si="2403"/>
        <v>87.6</v>
      </c>
    </row>
    <row r="18746" ht="15.0" customHeight="1">
      <c r="A18746" s="10" t="s">
        <v>32</v>
      </c>
      <c r="B18746" s="10"/>
      <c r="C18746" s="10" t="s">
        <v>33</v>
      </c>
      <c r="D18746" s="10" t="s">
        <v>34</v>
      </c>
      <c r="E18746" s="14">
        <v>3.0</v>
      </c>
      <c r="F18746" s="15">
        <f>ROUND(87.6,3)</f>
        <v>87.6</v>
      </c>
      <c r="G18746" s="12">
        <f>ROUND((E18746*F18746)/100,2)</f>
        <v>2.63</v>
      </c>
    </row>
    <row r="18747" ht="15.0" customHeight="1">
      <c r="A18747" s="16"/>
      <c r="B18747" s="16"/>
      <c r="C18747" s="16"/>
      <c r="D18747" s="17" t="s">
        <v>9012</v>
      </c>
      <c r="E18747" s="16"/>
      <c r="F18747" s="18">
        <f>ROUND((G18735+G18736+G18737+G18738+G18739+G18740+G18741+G18746)*(1+G2/100),2)</f>
        <v>103.28</v>
      </c>
      <c r="G18747" s="16"/>
    </row>
    <row r="18748" ht="39.75" customHeight="1">
      <c r="A18748" s="19" t="s">
        <v>9014</v>
      </c>
      <c r="B18748" s="20" t="s">
        <v>18</v>
      </c>
      <c r="C18748" s="20" t="s">
        <v>19</v>
      </c>
      <c r="D18748" s="20" t="s">
        <v>9015</v>
      </c>
      <c r="E18748" s="21"/>
      <c r="F18748" s="22">
        <f>F18759</f>
        <v>31.23</v>
      </c>
      <c r="G18748" s="21"/>
    </row>
    <row r="18749" ht="39.75" customHeight="1">
      <c r="A18749" s="11"/>
      <c r="B18749" s="11"/>
      <c r="C18749" s="11"/>
      <c r="D18749" s="10" t="s">
        <v>626</v>
      </c>
    </row>
    <row r="18750" ht="24.0" customHeight="1">
      <c r="A18750" s="10" t="s">
        <v>318</v>
      </c>
      <c r="B18750" s="10" t="s">
        <v>42</v>
      </c>
      <c r="C18750" s="10" t="s">
        <v>43</v>
      </c>
      <c r="D18750" s="10" t="s">
        <v>319</v>
      </c>
      <c r="E18750" s="14">
        <v>0.25</v>
      </c>
      <c r="F18750" s="15">
        <f>ROUND(5.8,3)</f>
        <v>5.8</v>
      </c>
      <c r="G18750" s="12">
        <f t="shared" ref="G18750:G18757" si="2405">ROUND(E18750*F18750,2)</f>
        <v>1.45</v>
      </c>
    </row>
    <row r="18751" ht="21.0" customHeight="1">
      <c r="A18751" s="10" t="s">
        <v>230</v>
      </c>
      <c r="B18751" s="10" t="s">
        <v>42</v>
      </c>
      <c r="C18751" s="10" t="s">
        <v>231</v>
      </c>
      <c r="D18751" s="10" t="s">
        <v>232</v>
      </c>
      <c r="E18751" s="14">
        <v>0.25</v>
      </c>
      <c r="F18751" s="15">
        <f>ROUND(3.47,3)</f>
        <v>3.47</v>
      </c>
      <c r="G18751" s="12">
        <f t="shared" si="2405"/>
        <v>0.87</v>
      </c>
    </row>
    <row r="18752" ht="21.0" customHeight="1">
      <c r="A18752" s="10" t="s">
        <v>242</v>
      </c>
      <c r="B18752" s="10" t="s">
        <v>42</v>
      </c>
      <c r="C18752" s="10" t="s">
        <v>226</v>
      </c>
      <c r="D18752" s="10" t="s">
        <v>243</v>
      </c>
      <c r="E18752" s="14">
        <v>1.0</v>
      </c>
      <c r="F18752" s="15">
        <f>ROUND(1.32,3)</f>
        <v>1.32</v>
      </c>
      <c r="G18752" s="12">
        <f t="shared" si="2405"/>
        <v>1.32</v>
      </c>
    </row>
    <row r="18753" ht="21.0" customHeight="1">
      <c r="A18753" s="10" t="s">
        <v>22</v>
      </c>
      <c r="B18753" s="10" t="s">
        <v>18</v>
      </c>
      <c r="C18753" s="10" t="s">
        <v>23</v>
      </c>
      <c r="D18753" s="10" t="s">
        <v>24</v>
      </c>
      <c r="E18753" s="14">
        <v>0.6</v>
      </c>
      <c r="F18753" s="15">
        <f>F18757</f>
        <v>43.8</v>
      </c>
      <c r="G18753" s="12">
        <f t="shared" si="2405"/>
        <v>26.28</v>
      </c>
    </row>
    <row r="18754" ht="24.0" customHeight="1">
      <c r="A18754" s="10" t="s">
        <v>25</v>
      </c>
      <c r="B18754" s="10" t="s">
        <v>26</v>
      </c>
      <c r="C18754" s="10" t="s">
        <v>23</v>
      </c>
      <c r="D18754" s="10" t="s">
        <v>27</v>
      </c>
      <c r="E18754" s="14">
        <v>1.0</v>
      </c>
      <c r="F18754" s="15">
        <f>ROUND(21,3)</f>
        <v>21</v>
      </c>
      <c r="G18754" s="12">
        <f t="shared" si="2405"/>
        <v>21</v>
      </c>
    </row>
    <row r="18755" ht="24.0" customHeight="1">
      <c r="A18755" s="10" t="s">
        <v>28</v>
      </c>
      <c r="B18755" s="10" t="s">
        <v>26</v>
      </c>
      <c r="C18755" s="10" t="s">
        <v>23</v>
      </c>
      <c r="D18755" s="10" t="s">
        <v>29</v>
      </c>
      <c r="E18755" s="14">
        <v>1.0</v>
      </c>
      <c r="F18755" s="15">
        <f t="shared" ref="F18755:F18756" si="2406">ROUND(19,3)</f>
        <v>19</v>
      </c>
      <c r="G18755" s="12">
        <f t="shared" si="2405"/>
        <v>19</v>
      </c>
    </row>
    <row r="18756" ht="24.0" customHeight="1">
      <c r="A18756" s="10" t="s">
        <v>30</v>
      </c>
      <c r="B18756" s="10" t="s">
        <v>26</v>
      </c>
      <c r="C18756" s="10" t="s">
        <v>23</v>
      </c>
      <c r="D18756" s="10" t="s">
        <v>31</v>
      </c>
      <c r="E18756" s="14">
        <v>0.2</v>
      </c>
      <c r="F18756" s="15">
        <f t="shared" si="2406"/>
        <v>19</v>
      </c>
      <c r="G18756" s="12">
        <f t="shared" si="2405"/>
        <v>3.8</v>
      </c>
    </row>
    <row r="18757" ht="15.0" customHeight="1">
      <c r="A18757" s="11"/>
      <c r="B18757" s="11"/>
      <c r="C18757" s="11"/>
      <c r="D18757" s="10" t="s">
        <v>22</v>
      </c>
      <c r="E18757" s="14">
        <v>0.6</v>
      </c>
      <c r="F18757" s="15">
        <f>ROUND((G18754+G18755+G18756),3)</f>
        <v>43.8</v>
      </c>
      <c r="G18757" s="12">
        <f t="shared" si="2405"/>
        <v>26.28</v>
      </c>
    </row>
    <row r="18758" ht="15.0" customHeight="1">
      <c r="A18758" s="10" t="s">
        <v>32</v>
      </c>
      <c r="B18758" s="10"/>
      <c r="C18758" s="10" t="s">
        <v>33</v>
      </c>
      <c r="D18758" s="10" t="s">
        <v>34</v>
      </c>
      <c r="E18758" s="14">
        <v>5.0</v>
      </c>
      <c r="F18758" s="15">
        <f>ROUND(26.28,3)</f>
        <v>26.28</v>
      </c>
      <c r="G18758" s="12">
        <f>ROUND((E18758*F18758)/100,2)</f>
        <v>1.31</v>
      </c>
    </row>
    <row r="18759" ht="24.75" customHeight="1">
      <c r="A18759" s="16"/>
      <c r="B18759" s="16"/>
      <c r="C18759" s="16"/>
      <c r="D18759" s="17" t="s">
        <v>9014</v>
      </c>
      <c r="E18759" s="16"/>
      <c r="F18759" s="18">
        <f>ROUND((G18750+G18751+G18752+G18753+G18758)*(1+G2/100),2)</f>
        <v>31.23</v>
      </c>
      <c r="G18759" s="16"/>
    </row>
    <row r="18760" ht="48.75" customHeight="1">
      <c r="A18760" s="19" t="s">
        <v>9016</v>
      </c>
      <c r="B18760" s="20" t="s">
        <v>18</v>
      </c>
      <c r="C18760" s="20" t="s">
        <v>19</v>
      </c>
      <c r="D18760" s="20" t="s">
        <v>9017</v>
      </c>
      <c r="E18760" s="21"/>
      <c r="F18760" s="22">
        <f>F18769</f>
        <v>19.42</v>
      </c>
      <c r="G18760" s="21"/>
    </row>
    <row r="18761" ht="21.0" customHeight="1">
      <c r="A18761" s="11"/>
      <c r="B18761" s="11"/>
      <c r="C18761" s="11"/>
      <c r="D18761" s="10" t="s">
        <v>9018</v>
      </c>
    </row>
    <row r="18762" ht="24.0" customHeight="1">
      <c r="A18762" s="10" t="s">
        <v>8133</v>
      </c>
      <c r="B18762" s="10" t="s">
        <v>42</v>
      </c>
      <c r="C18762" s="10" t="s">
        <v>43</v>
      </c>
      <c r="D18762" s="10" t="s">
        <v>8134</v>
      </c>
      <c r="E18762" s="14">
        <v>0.167</v>
      </c>
      <c r="F18762" s="15">
        <f>ROUND(8.23,3)</f>
        <v>8.23</v>
      </c>
      <c r="G18762" s="12">
        <f t="shared" ref="G18762:G18767" si="2407">ROUND(E18762*F18762,2)</f>
        <v>1.37</v>
      </c>
    </row>
    <row r="18763" ht="21.0" customHeight="1">
      <c r="A18763" s="10" t="s">
        <v>22</v>
      </c>
      <c r="B18763" s="10" t="s">
        <v>18</v>
      </c>
      <c r="C18763" s="10" t="s">
        <v>23</v>
      </c>
      <c r="D18763" s="10" t="s">
        <v>24</v>
      </c>
      <c r="E18763" s="14">
        <v>0.4</v>
      </c>
      <c r="F18763" s="15">
        <f>F18767</f>
        <v>43.8</v>
      </c>
      <c r="G18763" s="12">
        <f t="shared" si="2407"/>
        <v>17.52</v>
      </c>
    </row>
    <row r="18764" ht="24.0" customHeight="1">
      <c r="A18764" s="10" t="s">
        <v>25</v>
      </c>
      <c r="B18764" s="10" t="s">
        <v>26</v>
      </c>
      <c r="C18764" s="10" t="s">
        <v>23</v>
      </c>
      <c r="D18764" s="10" t="s">
        <v>27</v>
      </c>
      <c r="E18764" s="14">
        <v>1.0</v>
      </c>
      <c r="F18764" s="15">
        <f>ROUND(21,3)</f>
        <v>21</v>
      </c>
      <c r="G18764" s="12">
        <f t="shared" si="2407"/>
        <v>21</v>
      </c>
    </row>
    <row r="18765" ht="24.0" customHeight="1">
      <c r="A18765" s="10" t="s">
        <v>28</v>
      </c>
      <c r="B18765" s="10" t="s">
        <v>26</v>
      </c>
      <c r="C18765" s="10" t="s">
        <v>23</v>
      </c>
      <c r="D18765" s="10" t="s">
        <v>29</v>
      </c>
      <c r="E18765" s="14">
        <v>1.0</v>
      </c>
      <c r="F18765" s="15">
        <f t="shared" ref="F18765:F18766" si="2408">ROUND(19,3)</f>
        <v>19</v>
      </c>
      <c r="G18765" s="12">
        <f t="shared" si="2407"/>
        <v>19</v>
      </c>
    </row>
    <row r="18766" ht="24.0" customHeight="1">
      <c r="A18766" s="10" t="s">
        <v>30</v>
      </c>
      <c r="B18766" s="10" t="s">
        <v>26</v>
      </c>
      <c r="C18766" s="10" t="s">
        <v>23</v>
      </c>
      <c r="D18766" s="10" t="s">
        <v>31</v>
      </c>
      <c r="E18766" s="14">
        <v>0.2</v>
      </c>
      <c r="F18766" s="15">
        <f t="shared" si="2408"/>
        <v>19</v>
      </c>
      <c r="G18766" s="12">
        <f t="shared" si="2407"/>
        <v>3.8</v>
      </c>
    </row>
    <row r="18767" ht="15.0" customHeight="1">
      <c r="A18767" s="11"/>
      <c r="B18767" s="11"/>
      <c r="C18767" s="11"/>
      <c r="D18767" s="10" t="s">
        <v>22</v>
      </c>
      <c r="E18767" s="14">
        <v>0.4</v>
      </c>
      <c r="F18767" s="15">
        <f>ROUND((G18764+G18765+G18766),3)</f>
        <v>43.8</v>
      </c>
      <c r="G18767" s="12">
        <f t="shared" si="2407"/>
        <v>17.52</v>
      </c>
    </row>
    <row r="18768" ht="15.0" customHeight="1">
      <c r="A18768" s="10" t="s">
        <v>32</v>
      </c>
      <c r="B18768" s="10"/>
      <c r="C18768" s="10" t="s">
        <v>33</v>
      </c>
      <c r="D18768" s="10" t="s">
        <v>34</v>
      </c>
      <c r="E18768" s="14">
        <v>3.0</v>
      </c>
      <c r="F18768" s="15">
        <f>ROUND(17.52,3)</f>
        <v>17.52</v>
      </c>
      <c r="G18768" s="12">
        <f>ROUND((E18768*F18768)/100,2)</f>
        <v>0.53</v>
      </c>
    </row>
    <row r="18769" ht="15.0" customHeight="1">
      <c r="A18769" s="16"/>
      <c r="B18769" s="16"/>
      <c r="C18769" s="16"/>
      <c r="D18769" s="17" t="s">
        <v>9016</v>
      </c>
      <c r="E18769" s="16"/>
      <c r="F18769" s="18">
        <f>ROUND((G18762+G18763+G18768)*(1+G2/100),2)</f>
        <v>19.42</v>
      </c>
      <c r="G18769" s="16"/>
    </row>
    <row r="18770" ht="24.75" customHeight="1">
      <c r="A18770" s="19" t="s">
        <v>9019</v>
      </c>
      <c r="B18770" s="20" t="s">
        <v>18</v>
      </c>
      <c r="C18770" s="20" t="s">
        <v>295</v>
      </c>
      <c r="D18770" s="20" t="s">
        <v>9020</v>
      </c>
      <c r="E18770" s="21"/>
      <c r="F18770" s="22">
        <f>F18781</f>
        <v>100.43</v>
      </c>
      <c r="G18770" s="21"/>
    </row>
    <row r="18771" ht="12.0" customHeight="1">
      <c r="A18771" s="11"/>
      <c r="B18771" s="11"/>
      <c r="C18771" s="11"/>
      <c r="D18771" s="10" t="s">
        <v>9020</v>
      </c>
    </row>
    <row r="18772" ht="21.0" customHeight="1">
      <c r="A18772" s="10" t="s">
        <v>237</v>
      </c>
      <c r="B18772" s="10" t="s">
        <v>42</v>
      </c>
      <c r="C18772" s="10" t="s">
        <v>231</v>
      </c>
      <c r="D18772" s="10" t="s">
        <v>238</v>
      </c>
      <c r="E18772" s="14">
        <v>1.0</v>
      </c>
      <c r="F18772" s="15">
        <f>ROUND(6.32,3)</f>
        <v>6.32</v>
      </c>
      <c r="G18772" s="12">
        <f t="shared" ref="G18772:G18779" si="2409">ROUND(E18772*F18772,2)</f>
        <v>6.32</v>
      </c>
    </row>
    <row r="18773" ht="21.0" customHeight="1">
      <c r="A18773" s="10" t="s">
        <v>242</v>
      </c>
      <c r="B18773" s="10" t="s">
        <v>42</v>
      </c>
      <c r="C18773" s="10" t="s">
        <v>226</v>
      </c>
      <c r="D18773" s="10" t="s">
        <v>243</v>
      </c>
      <c r="E18773" s="14">
        <v>0.5</v>
      </c>
      <c r="F18773" s="15">
        <f>ROUND(1.32,3)</f>
        <v>1.32</v>
      </c>
      <c r="G18773" s="12">
        <f t="shared" si="2409"/>
        <v>0.66</v>
      </c>
    </row>
    <row r="18774" ht="30.0" customHeight="1">
      <c r="A18774" s="10" t="s">
        <v>1382</v>
      </c>
      <c r="B18774" s="10" t="s">
        <v>42</v>
      </c>
      <c r="C18774" s="10" t="s">
        <v>184</v>
      </c>
      <c r="D18774" s="10" t="s">
        <v>1383</v>
      </c>
      <c r="E18774" s="14">
        <v>1.0</v>
      </c>
      <c r="F18774" s="15">
        <f>ROUND(1.47,3)</f>
        <v>1.47</v>
      </c>
      <c r="G18774" s="12">
        <f t="shared" si="2409"/>
        <v>1.47</v>
      </c>
    </row>
    <row r="18775" ht="21.0" customHeight="1">
      <c r="A18775" s="10" t="s">
        <v>22</v>
      </c>
      <c r="B18775" s="10" t="s">
        <v>18</v>
      </c>
      <c r="C18775" s="10" t="s">
        <v>23</v>
      </c>
      <c r="D18775" s="10" t="s">
        <v>24</v>
      </c>
      <c r="E18775" s="14">
        <v>2.0</v>
      </c>
      <c r="F18775" s="15">
        <f>F18779</f>
        <v>43.8</v>
      </c>
      <c r="G18775" s="12">
        <f t="shared" si="2409"/>
        <v>87.6</v>
      </c>
    </row>
    <row r="18776" ht="24.0" customHeight="1">
      <c r="A18776" s="10" t="s">
        <v>25</v>
      </c>
      <c r="B18776" s="10" t="s">
        <v>26</v>
      </c>
      <c r="C18776" s="10" t="s">
        <v>23</v>
      </c>
      <c r="D18776" s="10" t="s">
        <v>27</v>
      </c>
      <c r="E18776" s="14">
        <v>1.0</v>
      </c>
      <c r="F18776" s="15">
        <f>ROUND(21,3)</f>
        <v>21</v>
      </c>
      <c r="G18776" s="12">
        <f t="shared" si="2409"/>
        <v>21</v>
      </c>
    </row>
    <row r="18777" ht="24.0" customHeight="1">
      <c r="A18777" s="10" t="s">
        <v>28</v>
      </c>
      <c r="B18777" s="10" t="s">
        <v>26</v>
      </c>
      <c r="C18777" s="10" t="s">
        <v>23</v>
      </c>
      <c r="D18777" s="10" t="s">
        <v>29</v>
      </c>
      <c r="E18777" s="14">
        <v>1.0</v>
      </c>
      <c r="F18777" s="15">
        <f t="shared" ref="F18777:F18778" si="2410">ROUND(19,3)</f>
        <v>19</v>
      </c>
      <c r="G18777" s="12">
        <f t="shared" si="2409"/>
        <v>19</v>
      </c>
    </row>
    <row r="18778" ht="24.0" customHeight="1">
      <c r="A18778" s="10" t="s">
        <v>30</v>
      </c>
      <c r="B18778" s="10" t="s">
        <v>26</v>
      </c>
      <c r="C18778" s="10" t="s">
        <v>23</v>
      </c>
      <c r="D18778" s="10" t="s">
        <v>31</v>
      </c>
      <c r="E18778" s="14">
        <v>0.2</v>
      </c>
      <c r="F18778" s="15">
        <f t="shared" si="2410"/>
        <v>19</v>
      </c>
      <c r="G18778" s="12">
        <f t="shared" si="2409"/>
        <v>3.8</v>
      </c>
    </row>
    <row r="18779" ht="15.0" customHeight="1">
      <c r="A18779" s="11"/>
      <c r="B18779" s="11"/>
      <c r="C18779" s="11"/>
      <c r="D18779" s="10" t="s">
        <v>22</v>
      </c>
      <c r="E18779" s="14">
        <v>2.0</v>
      </c>
      <c r="F18779" s="15">
        <f>ROUND((G18776+G18777+G18778),3)</f>
        <v>43.8</v>
      </c>
      <c r="G18779" s="12">
        <f t="shared" si="2409"/>
        <v>87.6</v>
      </c>
    </row>
    <row r="18780" ht="15.0" customHeight="1">
      <c r="A18780" s="10" t="s">
        <v>32</v>
      </c>
      <c r="B18780" s="10"/>
      <c r="C18780" s="10" t="s">
        <v>33</v>
      </c>
      <c r="D18780" s="10" t="s">
        <v>34</v>
      </c>
      <c r="E18780" s="14">
        <v>5.0</v>
      </c>
      <c r="F18780" s="15">
        <f>ROUND(87.6,3)</f>
        <v>87.6</v>
      </c>
      <c r="G18780" s="12">
        <f>ROUND((E18780*F18780)/100,2)</f>
        <v>4.38</v>
      </c>
    </row>
    <row r="18781" ht="15.0" customHeight="1">
      <c r="A18781" s="16"/>
      <c r="B18781" s="16"/>
      <c r="C18781" s="16"/>
      <c r="D18781" s="17" t="s">
        <v>9019</v>
      </c>
      <c r="E18781" s="16"/>
      <c r="F18781" s="18">
        <f>ROUND((G18772+G18773+G18774+G18775+G18780)*(1+G2/100),2)</f>
        <v>100.43</v>
      </c>
      <c r="G18781" s="16"/>
    </row>
    <row r="18782" ht="76.5" customHeight="1">
      <c r="A18782" s="19" t="s">
        <v>9021</v>
      </c>
      <c r="B18782" s="20" t="s">
        <v>18</v>
      </c>
      <c r="C18782" s="20" t="s">
        <v>231</v>
      </c>
      <c r="D18782" s="20" t="s">
        <v>8869</v>
      </c>
      <c r="E18782" s="21"/>
      <c r="F18782" s="22">
        <f>F18796</f>
        <v>52.77</v>
      </c>
      <c r="G18782" s="21"/>
    </row>
    <row r="18783" ht="30.0" customHeight="1">
      <c r="A18783" s="11"/>
      <c r="B18783" s="11"/>
      <c r="C18783" s="11"/>
      <c r="D18783" s="10" t="s">
        <v>8870</v>
      </c>
    </row>
    <row r="18784" ht="21.0" customHeight="1">
      <c r="A18784" s="10" t="s">
        <v>237</v>
      </c>
      <c r="B18784" s="10" t="s">
        <v>42</v>
      </c>
      <c r="C18784" s="10" t="s">
        <v>231</v>
      </c>
      <c r="D18784" s="10" t="s">
        <v>238</v>
      </c>
      <c r="E18784" s="14">
        <v>0.25</v>
      </c>
      <c r="F18784" s="15">
        <f>ROUND(6.32,3)</f>
        <v>6.32</v>
      </c>
      <c r="G18784" s="12">
        <f t="shared" ref="G18784:G18794" si="2411">ROUND(E18784*F18784,2)</f>
        <v>1.58</v>
      </c>
    </row>
    <row r="18785" ht="21.0" customHeight="1">
      <c r="A18785" s="10" t="s">
        <v>242</v>
      </c>
      <c r="B18785" s="10" t="s">
        <v>42</v>
      </c>
      <c r="C18785" s="10" t="s">
        <v>226</v>
      </c>
      <c r="D18785" s="10" t="s">
        <v>243</v>
      </c>
      <c r="E18785" s="14">
        <v>0.1</v>
      </c>
      <c r="F18785" s="15">
        <f>ROUND(1.32,3)</f>
        <v>1.32</v>
      </c>
      <c r="G18785" s="12">
        <f t="shared" si="2411"/>
        <v>0.13</v>
      </c>
    </row>
    <row r="18786" ht="24.0" customHeight="1">
      <c r="A18786" s="10" t="s">
        <v>318</v>
      </c>
      <c r="B18786" s="10" t="s">
        <v>42</v>
      </c>
      <c r="C18786" s="10" t="s">
        <v>43</v>
      </c>
      <c r="D18786" s="10" t="s">
        <v>319</v>
      </c>
      <c r="E18786" s="14">
        <v>0.25</v>
      </c>
      <c r="F18786" s="15">
        <f>ROUND(5.8,3)</f>
        <v>5.8</v>
      </c>
      <c r="G18786" s="12">
        <f t="shared" si="2411"/>
        <v>1.45</v>
      </c>
    </row>
    <row r="18787" ht="21.0" customHeight="1">
      <c r="A18787" s="10" t="s">
        <v>967</v>
      </c>
      <c r="B18787" s="10" t="s">
        <v>42</v>
      </c>
      <c r="C18787" s="10" t="s">
        <v>325</v>
      </c>
      <c r="D18787" s="10" t="s">
        <v>968</v>
      </c>
      <c r="E18787" s="14">
        <v>0.1</v>
      </c>
      <c r="F18787" s="15">
        <f>ROUND(6.49,3)</f>
        <v>6.49</v>
      </c>
      <c r="G18787" s="12">
        <f t="shared" si="2411"/>
        <v>0.65</v>
      </c>
    </row>
    <row r="18788" ht="21.0" customHeight="1">
      <c r="A18788" s="10" t="s">
        <v>969</v>
      </c>
      <c r="B18788" s="10" t="s">
        <v>112</v>
      </c>
      <c r="C18788" s="10" t="s">
        <v>23</v>
      </c>
      <c r="D18788" s="10" t="s">
        <v>970</v>
      </c>
      <c r="E18788" s="14">
        <v>0.5</v>
      </c>
      <c r="F18788" s="15">
        <f>ROUND(2,3)</f>
        <v>2</v>
      </c>
      <c r="G18788" s="12">
        <f t="shared" si="2411"/>
        <v>1</v>
      </c>
    </row>
    <row r="18789" ht="30.0" customHeight="1">
      <c r="A18789" s="10" t="s">
        <v>971</v>
      </c>
      <c r="B18789" s="10" t="s">
        <v>42</v>
      </c>
      <c r="C18789" s="10" t="s">
        <v>231</v>
      </c>
      <c r="D18789" s="10" t="s">
        <v>972</v>
      </c>
      <c r="E18789" s="14">
        <v>0.4</v>
      </c>
      <c r="F18789" s="15">
        <f>ROUND(4.92,3)</f>
        <v>4.92</v>
      </c>
      <c r="G18789" s="12">
        <f t="shared" si="2411"/>
        <v>1.97</v>
      </c>
    </row>
    <row r="18790" ht="21.0" customHeight="1">
      <c r="A18790" s="10" t="s">
        <v>22</v>
      </c>
      <c r="B18790" s="10" t="s">
        <v>18</v>
      </c>
      <c r="C18790" s="10" t="s">
        <v>23</v>
      </c>
      <c r="D18790" s="10" t="s">
        <v>24</v>
      </c>
      <c r="E18790" s="14">
        <v>1.0</v>
      </c>
      <c r="F18790" s="15">
        <f>F18794</f>
        <v>43.8</v>
      </c>
      <c r="G18790" s="12">
        <f t="shared" si="2411"/>
        <v>43.8</v>
      </c>
    </row>
    <row r="18791" ht="24.0" customHeight="1">
      <c r="A18791" s="10" t="s">
        <v>25</v>
      </c>
      <c r="B18791" s="10" t="s">
        <v>26</v>
      </c>
      <c r="C18791" s="10" t="s">
        <v>23</v>
      </c>
      <c r="D18791" s="10" t="s">
        <v>27</v>
      </c>
      <c r="E18791" s="14">
        <v>1.0</v>
      </c>
      <c r="F18791" s="15">
        <f>ROUND(21,3)</f>
        <v>21</v>
      </c>
      <c r="G18791" s="12">
        <f t="shared" si="2411"/>
        <v>21</v>
      </c>
    </row>
    <row r="18792" ht="24.0" customHeight="1">
      <c r="A18792" s="10" t="s">
        <v>28</v>
      </c>
      <c r="B18792" s="10" t="s">
        <v>26</v>
      </c>
      <c r="C18792" s="10" t="s">
        <v>23</v>
      </c>
      <c r="D18792" s="10" t="s">
        <v>29</v>
      </c>
      <c r="E18792" s="14">
        <v>1.0</v>
      </c>
      <c r="F18792" s="15">
        <f t="shared" ref="F18792:F18793" si="2412">ROUND(19,3)</f>
        <v>19</v>
      </c>
      <c r="G18792" s="12">
        <f t="shared" si="2411"/>
        <v>19</v>
      </c>
    </row>
    <row r="18793" ht="24.0" customHeight="1">
      <c r="A18793" s="10" t="s">
        <v>30</v>
      </c>
      <c r="B18793" s="10" t="s">
        <v>26</v>
      </c>
      <c r="C18793" s="10" t="s">
        <v>23</v>
      </c>
      <c r="D18793" s="10" t="s">
        <v>31</v>
      </c>
      <c r="E18793" s="14">
        <v>0.2</v>
      </c>
      <c r="F18793" s="15">
        <f t="shared" si="2412"/>
        <v>19</v>
      </c>
      <c r="G18793" s="12">
        <f t="shared" si="2411"/>
        <v>3.8</v>
      </c>
    </row>
    <row r="18794" ht="15.0" customHeight="1">
      <c r="A18794" s="11"/>
      <c r="B18794" s="11"/>
      <c r="C18794" s="11"/>
      <c r="D18794" s="10" t="s">
        <v>22</v>
      </c>
      <c r="E18794" s="14">
        <v>1.0</v>
      </c>
      <c r="F18794" s="15">
        <f>ROUND((G18791+G18792+G18793),3)</f>
        <v>43.8</v>
      </c>
      <c r="G18794" s="12">
        <f t="shared" si="2411"/>
        <v>43.8</v>
      </c>
    </row>
    <row r="18795" ht="15.0" customHeight="1">
      <c r="A18795" s="10" t="s">
        <v>32</v>
      </c>
      <c r="B18795" s="10"/>
      <c r="C18795" s="10" t="s">
        <v>33</v>
      </c>
      <c r="D18795" s="10" t="s">
        <v>34</v>
      </c>
      <c r="E18795" s="14">
        <v>5.0</v>
      </c>
      <c r="F18795" s="15">
        <f>ROUND(43.8,3)</f>
        <v>43.8</v>
      </c>
      <c r="G18795" s="12">
        <f>ROUND((E18795*F18795)/100,2)</f>
        <v>2.19</v>
      </c>
    </row>
    <row r="18796" ht="24.75" customHeight="1">
      <c r="A18796" s="16"/>
      <c r="B18796" s="16"/>
      <c r="C18796" s="16"/>
      <c r="D18796" s="17" t="s">
        <v>9021</v>
      </c>
      <c r="E18796" s="16"/>
      <c r="F18796" s="18">
        <f>ROUND((G18784+G18785+G18786+G18787+G18788+G18789+G18790+G18795)*(1+G2/100),2)</f>
        <v>52.77</v>
      </c>
      <c r="G18796" s="16"/>
    </row>
    <row r="18797" ht="30.0" customHeight="1">
      <c r="A18797" s="19" t="s">
        <v>9022</v>
      </c>
      <c r="B18797" s="20" t="s">
        <v>18</v>
      </c>
      <c r="C18797" s="20" t="s">
        <v>1357</v>
      </c>
      <c r="D18797" s="20" t="s">
        <v>9023</v>
      </c>
      <c r="E18797" s="21"/>
      <c r="F18797" s="22">
        <f>F18807</f>
        <v>18.27</v>
      </c>
      <c r="G18797" s="21"/>
    </row>
    <row r="18798" ht="39.75" customHeight="1">
      <c r="A18798" s="11"/>
      <c r="B18798" s="11"/>
      <c r="C18798" s="11"/>
      <c r="D18798" s="10" t="s">
        <v>9024</v>
      </c>
    </row>
    <row r="18799" ht="21.0" customHeight="1">
      <c r="A18799" s="10" t="s">
        <v>237</v>
      </c>
      <c r="B18799" s="10" t="s">
        <v>42</v>
      </c>
      <c r="C18799" s="10" t="s">
        <v>231</v>
      </c>
      <c r="D18799" s="10" t="s">
        <v>238</v>
      </c>
      <c r="E18799" s="14">
        <v>1.0</v>
      </c>
      <c r="F18799" s="15">
        <f>ROUND(6.32,3)</f>
        <v>6.32</v>
      </c>
      <c r="G18799" s="12">
        <f t="shared" ref="G18799:G18805" si="2413">ROUND(E18799*F18799,2)</f>
        <v>6.32</v>
      </c>
    </row>
    <row r="18800" ht="21.0" customHeight="1">
      <c r="A18800" s="10" t="s">
        <v>242</v>
      </c>
      <c r="B18800" s="10" t="s">
        <v>42</v>
      </c>
      <c r="C18800" s="10" t="s">
        <v>226</v>
      </c>
      <c r="D18800" s="10" t="s">
        <v>243</v>
      </c>
      <c r="E18800" s="14">
        <v>0.1</v>
      </c>
      <c r="F18800" s="15">
        <f>ROUND(1.32,3)</f>
        <v>1.32</v>
      </c>
      <c r="G18800" s="12">
        <f t="shared" si="2413"/>
        <v>0.13</v>
      </c>
    </row>
    <row r="18801" ht="21.0" customHeight="1">
      <c r="A18801" s="10" t="s">
        <v>22</v>
      </c>
      <c r="B18801" s="10" t="s">
        <v>18</v>
      </c>
      <c r="C18801" s="10" t="s">
        <v>23</v>
      </c>
      <c r="D18801" s="10" t="s">
        <v>24</v>
      </c>
      <c r="E18801" s="14">
        <v>0.25</v>
      </c>
      <c r="F18801" s="15">
        <f>F18805</f>
        <v>43.8</v>
      </c>
      <c r="G18801" s="12">
        <f t="shared" si="2413"/>
        <v>10.95</v>
      </c>
    </row>
    <row r="18802" ht="24.0" customHeight="1">
      <c r="A18802" s="10" t="s">
        <v>25</v>
      </c>
      <c r="B18802" s="10" t="s">
        <v>26</v>
      </c>
      <c r="C18802" s="10" t="s">
        <v>23</v>
      </c>
      <c r="D18802" s="10" t="s">
        <v>27</v>
      </c>
      <c r="E18802" s="14">
        <v>1.0</v>
      </c>
      <c r="F18802" s="15">
        <f>ROUND(21,3)</f>
        <v>21</v>
      </c>
      <c r="G18802" s="12">
        <f t="shared" si="2413"/>
        <v>21</v>
      </c>
    </row>
    <row r="18803" ht="24.0" customHeight="1">
      <c r="A18803" s="10" t="s">
        <v>28</v>
      </c>
      <c r="B18803" s="10" t="s">
        <v>26</v>
      </c>
      <c r="C18803" s="10" t="s">
        <v>23</v>
      </c>
      <c r="D18803" s="10" t="s">
        <v>29</v>
      </c>
      <c r="E18803" s="14">
        <v>1.0</v>
      </c>
      <c r="F18803" s="15">
        <f t="shared" ref="F18803:F18804" si="2414">ROUND(19,3)</f>
        <v>19</v>
      </c>
      <c r="G18803" s="12">
        <f t="shared" si="2413"/>
        <v>19</v>
      </c>
    </row>
    <row r="18804" ht="24.0" customHeight="1">
      <c r="A18804" s="10" t="s">
        <v>30</v>
      </c>
      <c r="B18804" s="10" t="s">
        <v>26</v>
      </c>
      <c r="C18804" s="10" t="s">
        <v>23</v>
      </c>
      <c r="D18804" s="10" t="s">
        <v>31</v>
      </c>
      <c r="E18804" s="14">
        <v>0.2</v>
      </c>
      <c r="F18804" s="15">
        <f t="shared" si="2414"/>
        <v>19</v>
      </c>
      <c r="G18804" s="12">
        <f t="shared" si="2413"/>
        <v>3.8</v>
      </c>
    </row>
    <row r="18805" ht="15.0" customHeight="1">
      <c r="A18805" s="11"/>
      <c r="B18805" s="11"/>
      <c r="C18805" s="11"/>
      <c r="D18805" s="10" t="s">
        <v>22</v>
      </c>
      <c r="E18805" s="14">
        <v>0.25</v>
      </c>
      <c r="F18805" s="15">
        <f>ROUND((G18802+G18803+G18804),3)</f>
        <v>43.8</v>
      </c>
      <c r="G18805" s="12">
        <f t="shared" si="2413"/>
        <v>10.95</v>
      </c>
    </row>
    <row r="18806" ht="15.0" customHeight="1">
      <c r="A18806" s="10" t="s">
        <v>33</v>
      </c>
      <c r="B18806" s="10"/>
      <c r="C18806" s="10" t="s">
        <v>33</v>
      </c>
      <c r="D18806" s="10" t="s">
        <v>424</v>
      </c>
      <c r="E18806" s="14">
        <v>5.0</v>
      </c>
      <c r="F18806" s="15">
        <f>ROUND(17.4,3)</f>
        <v>17.4</v>
      </c>
      <c r="G18806" s="12">
        <f>ROUND((E18806*F18806)/100,2)</f>
        <v>0.87</v>
      </c>
    </row>
    <row r="18807" ht="15.0" customHeight="1">
      <c r="A18807" s="16"/>
      <c r="B18807" s="16"/>
      <c r="C18807" s="16"/>
      <c r="D18807" s="17" t="s">
        <v>9022</v>
      </c>
      <c r="E18807" s="16"/>
      <c r="F18807" s="18">
        <f>ROUND((G18799+G18800+G18801+G18806)*(1+G2/100),2)</f>
        <v>18.27</v>
      </c>
      <c r="G18807" s="16"/>
    </row>
    <row r="18808" ht="30.0" customHeight="1">
      <c r="A18808" s="19" t="s">
        <v>9025</v>
      </c>
      <c r="B18808" s="20" t="s">
        <v>18</v>
      </c>
      <c r="C18808" s="20" t="s">
        <v>351</v>
      </c>
      <c r="D18808" s="20" t="s">
        <v>9026</v>
      </c>
      <c r="E18808" s="21"/>
      <c r="F18808" s="22">
        <f>F18815</f>
        <v>32.64</v>
      </c>
      <c r="G18808" s="21"/>
    </row>
    <row r="18809" ht="95.25" customHeight="1">
      <c r="A18809" s="11"/>
      <c r="B18809" s="11"/>
      <c r="C18809" s="11"/>
      <c r="D18809" s="10" t="s">
        <v>9027</v>
      </c>
    </row>
    <row r="18810" ht="21.0" customHeight="1">
      <c r="A18810" s="10" t="s">
        <v>1046</v>
      </c>
      <c r="B18810" s="10" t="s">
        <v>18</v>
      </c>
      <c r="C18810" s="10" t="s">
        <v>23</v>
      </c>
      <c r="D18810" s="10" t="s">
        <v>1047</v>
      </c>
      <c r="E18810" s="14">
        <v>0.8</v>
      </c>
      <c r="F18810" s="15">
        <f>F18813</f>
        <v>40</v>
      </c>
      <c r="G18810" s="12">
        <f t="shared" ref="G18810:G18813" si="2415">ROUND(E18810*F18810,2)</f>
        <v>32</v>
      </c>
    </row>
    <row r="18811" ht="24.0" customHeight="1">
      <c r="A18811" s="10" t="s">
        <v>25</v>
      </c>
      <c r="B18811" s="10" t="s">
        <v>26</v>
      </c>
      <c r="C18811" s="10" t="s">
        <v>23</v>
      </c>
      <c r="D18811" s="10" t="s">
        <v>27</v>
      </c>
      <c r="E18811" s="14">
        <v>1.0</v>
      </c>
      <c r="F18811" s="15">
        <f>ROUND(21,3)</f>
        <v>21</v>
      </c>
      <c r="G18811" s="12">
        <f t="shared" si="2415"/>
        <v>21</v>
      </c>
    </row>
    <row r="18812" ht="24.0" customHeight="1">
      <c r="A18812" s="10" t="s">
        <v>28</v>
      </c>
      <c r="B18812" s="10" t="s">
        <v>26</v>
      </c>
      <c r="C18812" s="10" t="s">
        <v>23</v>
      </c>
      <c r="D18812" s="10" t="s">
        <v>29</v>
      </c>
      <c r="E18812" s="14">
        <v>1.0</v>
      </c>
      <c r="F18812" s="15">
        <f>ROUND(19,3)</f>
        <v>19</v>
      </c>
      <c r="G18812" s="12">
        <f t="shared" si="2415"/>
        <v>19</v>
      </c>
    </row>
    <row r="18813" ht="15.0" customHeight="1">
      <c r="A18813" s="11"/>
      <c r="B18813" s="11"/>
      <c r="C18813" s="11"/>
      <c r="D18813" s="10" t="s">
        <v>1046</v>
      </c>
      <c r="E18813" s="14">
        <v>0.8</v>
      </c>
      <c r="F18813" s="15">
        <f>ROUND((G18811+G18812),3)</f>
        <v>40</v>
      </c>
      <c r="G18813" s="12">
        <f t="shared" si="2415"/>
        <v>32</v>
      </c>
    </row>
    <row r="18814" ht="15.0" customHeight="1">
      <c r="A18814" s="10" t="s">
        <v>33</v>
      </c>
      <c r="B18814" s="10"/>
      <c r="C18814" s="10" t="s">
        <v>33</v>
      </c>
      <c r="D18814" s="10" t="s">
        <v>424</v>
      </c>
      <c r="E18814" s="14">
        <v>2.0</v>
      </c>
      <c r="F18814" s="15">
        <f>ROUND(32,3)</f>
        <v>32</v>
      </c>
      <c r="G18814" s="12">
        <f>ROUND((E18814*F18814)/100,2)</f>
        <v>0.64</v>
      </c>
    </row>
    <row r="18815" ht="15.0" customHeight="1">
      <c r="A18815" s="16"/>
      <c r="B18815" s="16"/>
      <c r="C18815" s="16"/>
      <c r="D18815" s="17" t="s">
        <v>9025</v>
      </c>
      <c r="E18815" s="16"/>
      <c r="F18815" s="18">
        <f>ROUND((G18810+G18814)*(1+G2/100),2)</f>
        <v>32.64</v>
      </c>
      <c r="G18815" s="16"/>
    </row>
    <row r="18816" ht="21.0" customHeight="1">
      <c r="A18816" s="19" t="s">
        <v>9028</v>
      </c>
      <c r="B18816" s="20" t="s">
        <v>18</v>
      </c>
      <c r="C18816" s="20" t="s">
        <v>351</v>
      </c>
      <c r="D18816" s="20" t="s">
        <v>9029</v>
      </c>
      <c r="E18816" s="21"/>
      <c r="F18816" s="22">
        <f>F18827</f>
        <v>67.98</v>
      </c>
      <c r="G18816" s="21"/>
    </row>
    <row r="18817" ht="104.25" customHeight="1">
      <c r="A18817" s="11"/>
      <c r="B18817" s="11"/>
      <c r="C18817" s="11"/>
      <c r="D18817" s="10" t="s">
        <v>9030</v>
      </c>
    </row>
    <row r="18818" ht="15.0" customHeight="1">
      <c r="A18818" s="10" t="s">
        <v>9031</v>
      </c>
      <c r="B18818" s="10" t="s">
        <v>42</v>
      </c>
      <c r="C18818" s="10" t="s">
        <v>5</v>
      </c>
      <c r="D18818" s="10" t="s">
        <v>9032</v>
      </c>
      <c r="E18818" s="14">
        <v>5.0</v>
      </c>
      <c r="F18818" s="15">
        <f>ROUND(0.43,3)</f>
        <v>0.43</v>
      </c>
      <c r="G18818" s="12">
        <f t="shared" ref="G18818:G18825" si="2416">ROUND(E18818*F18818,2)</f>
        <v>2.15</v>
      </c>
    </row>
    <row r="18819" ht="15.0" customHeight="1">
      <c r="A18819" s="10" t="s">
        <v>9033</v>
      </c>
      <c r="B18819" s="10" t="s">
        <v>42</v>
      </c>
      <c r="C18819" s="10" t="s">
        <v>5</v>
      </c>
      <c r="D18819" s="10" t="s">
        <v>9034</v>
      </c>
      <c r="E18819" s="14">
        <v>5.0</v>
      </c>
      <c r="F18819" s="15">
        <f>ROUND(1.4,3)</f>
        <v>1.4</v>
      </c>
      <c r="G18819" s="12">
        <f t="shared" si="2416"/>
        <v>7</v>
      </c>
    </row>
    <row r="18820" ht="67.5" customHeight="1">
      <c r="A18820" s="10" t="s">
        <v>9035</v>
      </c>
      <c r="B18820" s="10" t="s">
        <v>42</v>
      </c>
      <c r="C18820" s="10" t="s">
        <v>1207</v>
      </c>
      <c r="D18820" s="10" t="s">
        <v>9036</v>
      </c>
      <c r="E18820" s="14">
        <v>0.425</v>
      </c>
      <c r="F18820" s="15">
        <f>ROUND(11.62,3)</f>
        <v>11.62</v>
      </c>
      <c r="G18820" s="12">
        <f t="shared" si="2416"/>
        <v>4.94</v>
      </c>
    </row>
    <row r="18821" ht="21.0" customHeight="1">
      <c r="A18821" s="10" t="s">
        <v>22</v>
      </c>
      <c r="B18821" s="10" t="s">
        <v>18</v>
      </c>
      <c r="C18821" s="10" t="s">
        <v>23</v>
      </c>
      <c r="D18821" s="10" t="s">
        <v>24</v>
      </c>
      <c r="E18821" s="14">
        <v>1.2</v>
      </c>
      <c r="F18821" s="15">
        <f>F18825</f>
        <v>43.8</v>
      </c>
      <c r="G18821" s="12">
        <f t="shared" si="2416"/>
        <v>52.56</v>
      </c>
    </row>
    <row r="18822" ht="24.0" customHeight="1">
      <c r="A18822" s="10" t="s">
        <v>25</v>
      </c>
      <c r="B18822" s="10" t="s">
        <v>26</v>
      </c>
      <c r="C18822" s="10" t="s">
        <v>23</v>
      </c>
      <c r="D18822" s="10" t="s">
        <v>27</v>
      </c>
      <c r="E18822" s="14">
        <v>1.0</v>
      </c>
      <c r="F18822" s="15">
        <f>ROUND(21,3)</f>
        <v>21</v>
      </c>
      <c r="G18822" s="12">
        <f t="shared" si="2416"/>
        <v>21</v>
      </c>
    </row>
    <row r="18823" ht="24.0" customHeight="1">
      <c r="A18823" s="10" t="s">
        <v>28</v>
      </c>
      <c r="B18823" s="10" t="s">
        <v>26</v>
      </c>
      <c r="C18823" s="10" t="s">
        <v>23</v>
      </c>
      <c r="D18823" s="10" t="s">
        <v>29</v>
      </c>
      <c r="E18823" s="14">
        <v>1.0</v>
      </c>
      <c r="F18823" s="15">
        <f t="shared" ref="F18823:F18824" si="2417">ROUND(19,3)</f>
        <v>19</v>
      </c>
      <c r="G18823" s="12">
        <f t="shared" si="2416"/>
        <v>19</v>
      </c>
    </row>
    <row r="18824" ht="24.0" customHeight="1">
      <c r="A18824" s="10" t="s">
        <v>30</v>
      </c>
      <c r="B18824" s="10" t="s">
        <v>26</v>
      </c>
      <c r="C18824" s="10" t="s">
        <v>23</v>
      </c>
      <c r="D18824" s="10" t="s">
        <v>31</v>
      </c>
      <c r="E18824" s="14">
        <v>0.2</v>
      </c>
      <c r="F18824" s="15">
        <f t="shared" si="2417"/>
        <v>19</v>
      </c>
      <c r="G18824" s="12">
        <f t="shared" si="2416"/>
        <v>3.8</v>
      </c>
    </row>
    <row r="18825" ht="15.0" customHeight="1">
      <c r="A18825" s="11"/>
      <c r="B18825" s="11"/>
      <c r="C18825" s="11"/>
      <c r="D18825" s="10" t="s">
        <v>22</v>
      </c>
      <c r="E18825" s="14">
        <v>1.2</v>
      </c>
      <c r="F18825" s="15">
        <f>ROUND((G18822+G18823+G18824),3)</f>
        <v>43.8</v>
      </c>
      <c r="G18825" s="12">
        <f t="shared" si="2416"/>
        <v>52.56</v>
      </c>
    </row>
    <row r="18826" ht="15.0" customHeight="1">
      <c r="A18826" s="10" t="s">
        <v>33</v>
      </c>
      <c r="B18826" s="10"/>
      <c r="C18826" s="10" t="s">
        <v>33</v>
      </c>
      <c r="D18826" s="10" t="s">
        <v>424</v>
      </c>
      <c r="E18826" s="14">
        <v>2.0</v>
      </c>
      <c r="F18826" s="15">
        <f>ROUND(66.65,3)</f>
        <v>66.65</v>
      </c>
      <c r="G18826" s="12">
        <f>ROUND((E18826*F18826)/100,2)</f>
        <v>1.33</v>
      </c>
    </row>
    <row r="18827" ht="15.0" customHeight="1">
      <c r="A18827" s="16"/>
      <c r="B18827" s="16"/>
      <c r="C18827" s="16"/>
      <c r="D18827" s="17" t="s">
        <v>9028</v>
      </c>
      <c r="E18827" s="16"/>
      <c r="F18827" s="18">
        <f>ROUND((G18818+G18819+G18820+G18821+G18826)*(1+G2/100),2)</f>
        <v>67.98</v>
      </c>
      <c r="G18827" s="16"/>
    </row>
    <row r="18828" ht="21.0" customHeight="1">
      <c r="A18828" s="19" t="s">
        <v>9037</v>
      </c>
      <c r="B18828" s="20" t="s">
        <v>18</v>
      </c>
      <c r="C18828" s="20" t="s">
        <v>351</v>
      </c>
      <c r="D18828" s="20" t="s">
        <v>9038</v>
      </c>
      <c r="E18828" s="21"/>
      <c r="F18828" s="22">
        <f>F18840</f>
        <v>81.12</v>
      </c>
      <c r="G18828" s="21"/>
    </row>
    <row r="18829" ht="113.25" customHeight="1">
      <c r="A18829" s="11"/>
      <c r="B18829" s="11"/>
      <c r="C18829" s="11"/>
      <c r="D18829" s="10" t="s">
        <v>9039</v>
      </c>
    </row>
    <row r="18830" ht="21.0" customHeight="1">
      <c r="A18830" s="10" t="s">
        <v>9040</v>
      </c>
      <c r="B18830" s="10" t="s">
        <v>42</v>
      </c>
      <c r="C18830" s="10" t="s">
        <v>1207</v>
      </c>
      <c r="D18830" s="10" t="s">
        <v>9041</v>
      </c>
      <c r="E18830" s="14">
        <v>0.5</v>
      </c>
      <c r="F18830" s="15">
        <f>ROUND(22.71,3)</f>
        <v>22.71</v>
      </c>
      <c r="G18830" s="12">
        <f t="shared" ref="G18830:G18838" si="2418">ROUND(E18830*F18830,2)</f>
        <v>11.36</v>
      </c>
    </row>
    <row r="18831" ht="21.0" customHeight="1">
      <c r="A18831" s="10" t="s">
        <v>9042</v>
      </c>
      <c r="B18831" s="10" t="s">
        <v>112</v>
      </c>
      <c r="C18831" s="10" t="s">
        <v>23</v>
      </c>
      <c r="D18831" s="10" t="s">
        <v>1975</v>
      </c>
      <c r="E18831" s="14">
        <v>0.128</v>
      </c>
      <c r="F18831" s="15">
        <f>ROUND(1.72,3)</f>
        <v>1.72</v>
      </c>
      <c r="G18831" s="12">
        <f t="shared" si="2418"/>
        <v>0.22</v>
      </c>
    </row>
    <row r="18832" ht="21.0" customHeight="1">
      <c r="A18832" s="10" t="s">
        <v>22</v>
      </c>
      <c r="B18832" s="10" t="s">
        <v>18</v>
      </c>
      <c r="C18832" s="10" t="s">
        <v>23</v>
      </c>
      <c r="D18832" s="10" t="s">
        <v>24</v>
      </c>
      <c r="E18832" s="14">
        <v>1.2</v>
      </c>
      <c r="F18832" s="15">
        <f>F18836</f>
        <v>43.8</v>
      </c>
      <c r="G18832" s="12">
        <f t="shared" si="2418"/>
        <v>52.56</v>
      </c>
    </row>
    <row r="18833" ht="24.0" customHeight="1">
      <c r="A18833" s="10" t="s">
        <v>25</v>
      </c>
      <c r="B18833" s="10" t="s">
        <v>26</v>
      </c>
      <c r="C18833" s="10" t="s">
        <v>23</v>
      </c>
      <c r="D18833" s="10" t="s">
        <v>27</v>
      </c>
      <c r="E18833" s="14">
        <v>1.0</v>
      </c>
      <c r="F18833" s="15">
        <f>ROUND(21,3)</f>
        <v>21</v>
      </c>
      <c r="G18833" s="12">
        <f t="shared" si="2418"/>
        <v>21</v>
      </c>
    </row>
    <row r="18834" ht="24.0" customHeight="1">
      <c r="A18834" s="10" t="s">
        <v>28</v>
      </c>
      <c r="B18834" s="10" t="s">
        <v>26</v>
      </c>
      <c r="C18834" s="10" t="s">
        <v>23</v>
      </c>
      <c r="D18834" s="10" t="s">
        <v>29</v>
      </c>
      <c r="E18834" s="14">
        <v>1.0</v>
      </c>
      <c r="F18834" s="15">
        <f t="shared" ref="F18834:F18835" si="2419">ROUND(19,3)</f>
        <v>19</v>
      </c>
      <c r="G18834" s="12">
        <f t="shared" si="2418"/>
        <v>19</v>
      </c>
    </row>
    <row r="18835" ht="24.0" customHeight="1">
      <c r="A18835" s="10" t="s">
        <v>30</v>
      </c>
      <c r="B18835" s="10" t="s">
        <v>26</v>
      </c>
      <c r="C18835" s="10" t="s">
        <v>23</v>
      </c>
      <c r="D18835" s="10" t="s">
        <v>31</v>
      </c>
      <c r="E18835" s="14">
        <v>0.2</v>
      </c>
      <c r="F18835" s="15">
        <f t="shared" si="2419"/>
        <v>19</v>
      </c>
      <c r="G18835" s="12">
        <f t="shared" si="2418"/>
        <v>3.8</v>
      </c>
    </row>
    <row r="18836" ht="15.0" customHeight="1">
      <c r="A18836" s="11"/>
      <c r="B18836" s="11"/>
      <c r="C18836" s="11"/>
      <c r="D18836" s="10" t="s">
        <v>22</v>
      </c>
      <c r="E18836" s="14">
        <v>1.2</v>
      </c>
      <c r="F18836" s="15">
        <f>ROUND((G18833+G18834+G18835),3)</f>
        <v>43.8</v>
      </c>
      <c r="G18836" s="12">
        <f t="shared" si="2418"/>
        <v>52.56</v>
      </c>
    </row>
    <row r="18837" ht="24.0" customHeight="1">
      <c r="A18837" s="10" t="s">
        <v>9043</v>
      </c>
      <c r="B18837" s="10" t="s">
        <v>26</v>
      </c>
      <c r="C18837" s="10" t="s">
        <v>23</v>
      </c>
      <c r="D18837" s="10" t="s">
        <v>9044</v>
      </c>
      <c r="E18837" s="14">
        <v>0.3</v>
      </c>
      <c r="F18837" s="15">
        <f>ROUND(27.5,3)</f>
        <v>27.5</v>
      </c>
      <c r="G18837" s="12">
        <f t="shared" si="2418"/>
        <v>8.25</v>
      </c>
    </row>
    <row r="18838" ht="24.0" customHeight="1">
      <c r="A18838" s="10" t="s">
        <v>9045</v>
      </c>
      <c r="B18838" s="10" t="s">
        <v>26</v>
      </c>
      <c r="C18838" s="10" t="s">
        <v>23</v>
      </c>
      <c r="D18838" s="10" t="s">
        <v>9046</v>
      </c>
      <c r="E18838" s="14">
        <v>0.3</v>
      </c>
      <c r="F18838" s="15">
        <f>ROUND(23.79,3)</f>
        <v>23.79</v>
      </c>
      <c r="G18838" s="12">
        <f t="shared" si="2418"/>
        <v>7.14</v>
      </c>
    </row>
    <row r="18839" ht="15.0" customHeight="1">
      <c r="A18839" s="10" t="s">
        <v>33</v>
      </c>
      <c r="B18839" s="10"/>
      <c r="C18839" s="10" t="s">
        <v>33</v>
      </c>
      <c r="D18839" s="10" t="s">
        <v>424</v>
      </c>
      <c r="E18839" s="14">
        <v>2.0</v>
      </c>
      <c r="F18839" s="15">
        <f>ROUND(79.53,3)</f>
        <v>79.53</v>
      </c>
      <c r="G18839" s="12">
        <f>ROUND((E18839*F18839)/100,2)</f>
        <v>1.59</v>
      </c>
    </row>
    <row r="18840" ht="15.0" customHeight="1">
      <c r="A18840" s="16"/>
      <c r="B18840" s="16"/>
      <c r="C18840" s="16"/>
      <c r="D18840" s="17" t="s">
        <v>9037</v>
      </c>
      <c r="E18840" s="16"/>
      <c r="F18840" s="18">
        <f>ROUND((G18830+G18831+G18832+G18837+G18838+G18839)*(1+G2/100),2)</f>
        <v>81.12</v>
      </c>
      <c r="G18840" s="16"/>
    </row>
    <row r="18841" ht="30.0" customHeight="1">
      <c r="A18841" s="19" t="s">
        <v>9047</v>
      </c>
      <c r="B18841" s="20" t="s">
        <v>18</v>
      </c>
      <c r="C18841" s="20" t="s">
        <v>1357</v>
      </c>
      <c r="D18841" s="20" t="s">
        <v>9048</v>
      </c>
      <c r="E18841" s="21"/>
      <c r="F18841" s="22">
        <f>F18849</f>
        <v>28.16</v>
      </c>
      <c r="G18841" s="21"/>
    </row>
    <row r="18842" ht="85.5" customHeight="1">
      <c r="A18842" s="11"/>
      <c r="B18842" s="11"/>
      <c r="C18842" s="11"/>
      <c r="D18842" s="10" t="s">
        <v>9049</v>
      </c>
    </row>
    <row r="18843" ht="30.0" customHeight="1">
      <c r="A18843" s="10" t="s">
        <v>8119</v>
      </c>
      <c r="B18843" s="10" t="s">
        <v>42</v>
      </c>
      <c r="C18843" s="10" t="s">
        <v>43</v>
      </c>
      <c r="D18843" s="10" t="s">
        <v>8120</v>
      </c>
      <c r="E18843" s="14">
        <v>0.533</v>
      </c>
      <c r="F18843" s="15">
        <f>ROUND(12.8,3)</f>
        <v>12.8</v>
      </c>
      <c r="G18843" s="12">
        <f t="shared" ref="G18843:G18847" si="2420">ROUND(E18843*F18843,2)</f>
        <v>6.82</v>
      </c>
    </row>
    <row r="18844" ht="21.0" customHeight="1">
      <c r="A18844" s="10" t="s">
        <v>1046</v>
      </c>
      <c r="B18844" s="10" t="s">
        <v>18</v>
      </c>
      <c r="C18844" s="10" t="s">
        <v>23</v>
      </c>
      <c r="D18844" s="10" t="s">
        <v>1047</v>
      </c>
      <c r="E18844" s="14">
        <v>0.5</v>
      </c>
      <c r="F18844" s="15">
        <f>F18847</f>
        <v>40</v>
      </c>
      <c r="G18844" s="12">
        <f t="shared" si="2420"/>
        <v>20</v>
      </c>
    </row>
    <row r="18845" ht="24.0" customHeight="1">
      <c r="A18845" s="10" t="s">
        <v>25</v>
      </c>
      <c r="B18845" s="10" t="s">
        <v>26</v>
      </c>
      <c r="C18845" s="10" t="s">
        <v>23</v>
      </c>
      <c r="D18845" s="10" t="s">
        <v>27</v>
      </c>
      <c r="E18845" s="14">
        <v>1.0</v>
      </c>
      <c r="F18845" s="15">
        <f>ROUND(21,3)</f>
        <v>21</v>
      </c>
      <c r="G18845" s="12">
        <f t="shared" si="2420"/>
        <v>21</v>
      </c>
    </row>
    <row r="18846" ht="24.0" customHeight="1">
      <c r="A18846" s="10" t="s">
        <v>28</v>
      </c>
      <c r="B18846" s="10" t="s">
        <v>26</v>
      </c>
      <c r="C18846" s="10" t="s">
        <v>23</v>
      </c>
      <c r="D18846" s="10" t="s">
        <v>29</v>
      </c>
      <c r="E18846" s="14">
        <v>1.0</v>
      </c>
      <c r="F18846" s="15">
        <f>ROUND(19,3)</f>
        <v>19</v>
      </c>
      <c r="G18846" s="12">
        <f t="shared" si="2420"/>
        <v>19</v>
      </c>
    </row>
    <row r="18847" ht="15.0" customHeight="1">
      <c r="A18847" s="11"/>
      <c r="B18847" s="11"/>
      <c r="C18847" s="11"/>
      <c r="D18847" s="10" t="s">
        <v>1046</v>
      </c>
      <c r="E18847" s="14">
        <v>0.5</v>
      </c>
      <c r="F18847" s="15">
        <f>ROUND((G18845+G18846),3)</f>
        <v>40</v>
      </c>
      <c r="G18847" s="12">
        <f t="shared" si="2420"/>
        <v>20</v>
      </c>
    </row>
    <row r="18848" ht="15.0" customHeight="1">
      <c r="A18848" s="10" t="s">
        <v>33</v>
      </c>
      <c r="B18848" s="10"/>
      <c r="C18848" s="10" t="s">
        <v>33</v>
      </c>
      <c r="D18848" s="10" t="s">
        <v>424</v>
      </c>
      <c r="E18848" s="14">
        <v>5.0</v>
      </c>
      <c r="F18848" s="15">
        <f>ROUND(26.82,3)</f>
        <v>26.82</v>
      </c>
      <c r="G18848" s="12">
        <f>ROUND((E18848*F18848)/100,2)</f>
        <v>1.34</v>
      </c>
    </row>
    <row r="18849" ht="24.75" customHeight="1">
      <c r="A18849" s="16"/>
      <c r="B18849" s="16"/>
      <c r="C18849" s="16"/>
      <c r="D18849" s="17" t="s">
        <v>9047</v>
      </c>
      <c r="E18849" s="16"/>
      <c r="F18849" s="18">
        <f>ROUND((G18843+G18844+G18848)*(1+G2/100),2)</f>
        <v>28.16</v>
      </c>
      <c r="G18849" s="16"/>
    </row>
    <row r="18850" ht="30.0" customHeight="1">
      <c r="A18850" s="19" t="s">
        <v>9050</v>
      </c>
      <c r="B18850" s="20" t="s">
        <v>18</v>
      </c>
      <c r="C18850" s="20" t="s">
        <v>1357</v>
      </c>
      <c r="D18850" s="20" t="s">
        <v>9051</v>
      </c>
      <c r="E18850" s="21"/>
      <c r="F18850" s="22">
        <f>F18860</f>
        <v>55.13</v>
      </c>
      <c r="G18850" s="21"/>
    </row>
    <row r="18851" ht="141.0" customHeight="1">
      <c r="A18851" s="11"/>
      <c r="B18851" s="11"/>
      <c r="C18851" s="11"/>
      <c r="D18851" s="10" t="s">
        <v>9052</v>
      </c>
    </row>
    <row r="18852" ht="30.0" customHeight="1">
      <c r="A18852" s="10" t="s">
        <v>8119</v>
      </c>
      <c r="B18852" s="10" t="s">
        <v>42</v>
      </c>
      <c r="C18852" s="10" t="s">
        <v>43</v>
      </c>
      <c r="D18852" s="10" t="s">
        <v>8120</v>
      </c>
      <c r="E18852" s="14">
        <v>0.8</v>
      </c>
      <c r="F18852" s="15">
        <f>ROUND(12.8,3)</f>
        <v>12.8</v>
      </c>
      <c r="G18852" s="12">
        <f t="shared" ref="G18852:G18858" si="2421">ROUND(E18852*F18852,2)</f>
        <v>10.24</v>
      </c>
    </row>
    <row r="18853" ht="21.0" customHeight="1">
      <c r="A18853" s="10" t="s">
        <v>9053</v>
      </c>
      <c r="B18853" s="10" t="s">
        <v>42</v>
      </c>
      <c r="C18853" s="10" t="s">
        <v>5</v>
      </c>
      <c r="D18853" s="10" t="s">
        <v>9054</v>
      </c>
      <c r="E18853" s="14">
        <v>6.0</v>
      </c>
      <c r="F18853" s="15">
        <f>ROUND(0.3,3)</f>
        <v>0.3</v>
      </c>
      <c r="G18853" s="12">
        <f t="shared" si="2421"/>
        <v>1.8</v>
      </c>
    </row>
    <row r="18854" ht="30.0" customHeight="1">
      <c r="A18854" s="10" t="s">
        <v>9055</v>
      </c>
      <c r="B18854" s="10" t="s">
        <v>112</v>
      </c>
      <c r="C18854" s="10" t="s">
        <v>23</v>
      </c>
      <c r="D18854" s="10" t="s">
        <v>9056</v>
      </c>
      <c r="E18854" s="14">
        <v>0.167</v>
      </c>
      <c r="F18854" s="15">
        <f>ROUND(2.73,3)</f>
        <v>2.73</v>
      </c>
      <c r="G18854" s="12">
        <f t="shared" si="2421"/>
        <v>0.46</v>
      </c>
    </row>
    <row r="18855" ht="21.0" customHeight="1">
      <c r="A18855" s="10" t="s">
        <v>1046</v>
      </c>
      <c r="B18855" s="10" t="s">
        <v>18</v>
      </c>
      <c r="C18855" s="10" t="s">
        <v>23</v>
      </c>
      <c r="D18855" s="10" t="s">
        <v>1047</v>
      </c>
      <c r="E18855" s="14">
        <v>1.0</v>
      </c>
      <c r="F18855" s="15">
        <f>F18858</f>
        <v>40</v>
      </c>
      <c r="G18855" s="12">
        <f t="shared" si="2421"/>
        <v>40</v>
      </c>
    </row>
    <row r="18856" ht="24.0" customHeight="1">
      <c r="A18856" s="10" t="s">
        <v>25</v>
      </c>
      <c r="B18856" s="10" t="s">
        <v>26</v>
      </c>
      <c r="C18856" s="10" t="s">
        <v>23</v>
      </c>
      <c r="D18856" s="10" t="s">
        <v>27</v>
      </c>
      <c r="E18856" s="14">
        <v>1.0</v>
      </c>
      <c r="F18856" s="15">
        <f>ROUND(21,3)</f>
        <v>21</v>
      </c>
      <c r="G18856" s="12">
        <f t="shared" si="2421"/>
        <v>21</v>
      </c>
    </row>
    <row r="18857" ht="24.0" customHeight="1">
      <c r="A18857" s="10" t="s">
        <v>28</v>
      </c>
      <c r="B18857" s="10" t="s">
        <v>26</v>
      </c>
      <c r="C18857" s="10" t="s">
        <v>23</v>
      </c>
      <c r="D18857" s="10" t="s">
        <v>29</v>
      </c>
      <c r="E18857" s="14">
        <v>1.0</v>
      </c>
      <c r="F18857" s="15">
        <f>ROUND(19,3)</f>
        <v>19</v>
      </c>
      <c r="G18857" s="12">
        <f t="shared" si="2421"/>
        <v>19</v>
      </c>
    </row>
    <row r="18858" ht="15.0" customHeight="1">
      <c r="A18858" s="11"/>
      <c r="B18858" s="11"/>
      <c r="C18858" s="11"/>
      <c r="D18858" s="10" t="s">
        <v>1046</v>
      </c>
      <c r="E18858" s="14">
        <v>1.0</v>
      </c>
      <c r="F18858" s="15">
        <f>ROUND((G18856+G18857),3)</f>
        <v>40</v>
      </c>
      <c r="G18858" s="12">
        <f t="shared" si="2421"/>
        <v>40</v>
      </c>
    </row>
    <row r="18859" ht="15.0" customHeight="1">
      <c r="A18859" s="10" t="s">
        <v>33</v>
      </c>
      <c r="B18859" s="10"/>
      <c r="C18859" s="10" t="s">
        <v>33</v>
      </c>
      <c r="D18859" s="10" t="s">
        <v>424</v>
      </c>
      <c r="E18859" s="14">
        <v>5.0</v>
      </c>
      <c r="F18859" s="15">
        <f>ROUND(52.5,3)</f>
        <v>52.5</v>
      </c>
      <c r="G18859" s="12">
        <f>ROUND((E18859*F18859)/100,2)</f>
        <v>2.63</v>
      </c>
    </row>
    <row r="18860" ht="15.0" customHeight="1">
      <c r="A18860" s="16"/>
      <c r="B18860" s="16"/>
      <c r="C18860" s="16"/>
      <c r="D18860" s="17" t="s">
        <v>9050</v>
      </c>
      <c r="E18860" s="16"/>
      <c r="F18860" s="18">
        <f>ROUND((G18852+G18853+G18854+G18855+G18859)*(1+G2/100),2)</f>
        <v>55.13</v>
      </c>
      <c r="G18860" s="16"/>
    </row>
    <row r="18861" ht="24.75" customHeight="1">
      <c r="A18861" s="19" t="s">
        <v>9057</v>
      </c>
      <c r="B18861" s="20" t="s">
        <v>18</v>
      </c>
      <c r="C18861" s="20" t="s">
        <v>19</v>
      </c>
      <c r="D18861" s="20" t="s">
        <v>9058</v>
      </c>
      <c r="E18861" s="21"/>
      <c r="F18861" s="22">
        <f>F18873</f>
        <v>15.91</v>
      </c>
      <c r="G18861" s="21"/>
    </row>
    <row r="18862" ht="12.0" customHeight="1">
      <c r="A18862" s="11"/>
      <c r="B18862" s="11"/>
      <c r="C18862" s="11"/>
      <c r="D18862" s="10" t="s">
        <v>9058</v>
      </c>
    </row>
    <row r="18863" ht="21.0" customHeight="1">
      <c r="A18863" s="10" t="s">
        <v>576</v>
      </c>
      <c r="B18863" s="10" t="s">
        <v>42</v>
      </c>
      <c r="C18863" s="10" t="s">
        <v>231</v>
      </c>
      <c r="D18863" s="10" t="s">
        <v>577</v>
      </c>
      <c r="E18863" s="14">
        <v>0.0667</v>
      </c>
      <c r="F18863" s="15">
        <f>ROUND(12.12,3)</f>
        <v>12.12</v>
      </c>
      <c r="G18863" s="12">
        <f t="shared" ref="G18863:G18871" si="2422">ROUND(E18863*F18863,2)</f>
        <v>0.81</v>
      </c>
    </row>
    <row r="18864" ht="30.0" customHeight="1">
      <c r="A18864" s="10" t="s">
        <v>569</v>
      </c>
      <c r="B18864" s="10" t="s">
        <v>42</v>
      </c>
      <c r="C18864" s="10" t="s">
        <v>231</v>
      </c>
      <c r="D18864" s="10" t="s">
        <v>570</v>
      </c>
      <c r="E18864" s="14">
        <v>0.0267</v>
      </c>
      <c r="F18864" s="15">
        <f>ROUND(32.94,3)</f>
        <v>32.94</v>
      </c>
      <c r="G18864" s="12">
        <f t="shared" si="2422"/>
        <v>0.88</v>
      </c>
    </row>
    <row r="18865" ht="39.75" customHeight="1">
      <c r="A18865" s="10" t="s">
        <v>8492</v>
      </c>
      <c r="B18865" s="10" t="s">
        <v>42</v>
      </c>
      <c r="C18865" s="10" t="s">
        <v>226</v>
      </c>
      <c r="D18865" s="10" t="s">
        <v>8493</v>
      </c>
      <c r="E18865" s="14">
        <v>0.005</v>
      </c>
      <c r="F18865" s="15">
        <f>ROUND(3.72,3)</f>
        <v>3.72</v>
      </c>
      <c r="G18865" s="12">
        <f t="shared" si="2422"/>
        <v>0.02</v>
      </c>
    </row>
    <row r="18866" ht="30.0" customHeight="1">
      <c r="A18866" s="10" t="s">
        <v>8497</v>
      </c>
      <c r="B18866" s="10" t="s">
        <v>42</v>
      </c>
      <c r="C18866" s="10" t="s">
        <v>231</v>
      </c>
      <c r="D18866" s="10" t="s">
        <v>8498</v>
      </c>
      <c r="E18866" s="14">
        <v>0.05</v>
      </c>
      <c r="F18866" s="15">
        <f>ROUND(13.46,3)</f>
        <v>13.46</v>
      </c>
      <c r="G18866" s="12">
        <f t="shared" si="2422"/>
        <v>0.67</v>
      </c>
    </row>
    <row r="18867" ht="21.0" customHeight="1">
      <c r="A18867" s="10" t="s">
        <v>22</v>
      </c>
      <c r="B18867" s="10" t="s">
        <v>18</v>
      </c>
      <c r="C18867" s="10" t="s">
        <v>23</v>
      </c>
      <c r="D18867" s="10" t="s">
        <v>24</v>
      </c>
      <c r="E18867" s="14">
        <v>0.3</v>
      </c>
      <c r="F18867" s="15">
        <f>F18871</f>
        <v>43.8</v>
      </c>
      <c r="G18867" s="12">
        <f t="shared" si="2422"/>
        <v>13.14</v>
      </c>
    </row>
    <row r="18868" ht="24.0" customHeight="1">
      <c r="A18868" s="10" t="s">
        <v>25</v>
      </c>
      <c r="B18868" s="10" t="s">
        <v>26</v>
      </c>
      <c r="C18868" s="10" t="s">
        <v>23</v>
      </c>
      <c r="D18868" s="10" t="s">
        <v>27</v>
      </c>
      <c r="E18868" s="14">
        <v>1.0</v>
      </c>
      <c r="F18868" s="15">
        <f>ROUND(21,3)</f>
        <v>21</v>
      </c>
      <c r="G18868" s="12">
        <f t="shared" si="2422"/>
        <v>21</v>
      </c>
    </row>
    <row r="18869" ht="24.0" customHeight="1">
      <c r="A18869" s="10" t="s">
        <v>28</v>
      </c>
      <c r="B18869" s="10" t="s">
        <v>26</v>
      </c>
      <c r="C18869" s="10" t="s">
        <v>23</v>
      </c>
      <c r="D18869" s="10" t="s">
        <v>29</v>
      </c>
      <c r="E18869" s="14">
        <v>1.0</v>
      </c>
      <c r="F18869" s="15">
        <f t="shared" ref="F18869:F18870" si="2423">ROUND(19,3)</f>
        <v>19</v>
      </c>
      <c r="G18869" s="12">
        <f t="shared" si="2422"/>
        <v>19</v>
      </c>
    </row>
    <row r="18870" ht="24.0" customHeight="1">
      <c r="A18870" s="10" t="s">
        <v>30</v>
      </c>
      <c r="B18870" s="10" t="s">
        <v>26</v>
      </c>
      <c r="C18870" s="10" t="s">
        <v>23</v>
      </c>
      <c r="D18870" s="10" t="s">
        <v>31</v>
      </c>
      <c r="E18870" s="14">
        <v>0.2</v>
      </c>
      <c r="F18870" s="15">
        <f t="shared" si="2423"/>
        <v>19</v>
      </c>
      <c r="G18870" s="12">
        <f t="shared" si="2422"/>
        <v>3.8</v>
      </c>
    </row>
    <row r="18871" ht="15.0" customHeight="1">
      <c r="A18871" s="11"/>
      <c r="B18871" s="11"/>
      <c r="C18871" s="11"/>
      <c r="D18871" s="10" t="s">
        <v>22</v>
      </c>
      <c r="E18871" s="14">
        <v>0.3</v>
      </c>
      <c r="F18871" s="15">
        <f>ROUND((G18868+G18869+G18870),3)</f>
        <v>43.8</v>
      </c>
      <c r="G18871" s="12">
        <f t="shared" si="2422"/>
        <v>13.14</v>
      </c>
    </row>
    <row r="18872" ht="15.0" customHeight="1">
      <c r="A18872" s="10" t="s">
        <v>32</v>
      </c>
      <c r="B18872" s="10"/>
      <c r="C18872" s="10" t="s">
        <v>33</v>
      </c>
      <c r="D18872" s="10" t="s">
        <v>34</v>
      </c>
      <c r="E18872" s="14">
        <v>3.0</v>
      </c>
      <c r="F18872" s="15">
        <f>ROUND(13.14,3)</f>
        <v>13.14</v>
      </c>
      <c r="G18872" s="12">
        <f>ROUND((E18872*F18872)/100,2)</f>
        <v>0.39</v>
      </c>
    </row>
    <row r="18873" ht="15.0" customHeight="1">
      <c r="A18873" s="16"/>
      <c r="B18873" s="16"/>
      <c r="C18873" s="16"/>
      <c r="D18873" s="17" t="s">
        <v>9057</v>
      </c>
      <c r="E18873" s="16"/>
      <c r="F18873" s="18">
        <f>ROUND((G18863+G18864+G18865+G18866+G18867+G18872)*(1+G2/100),2)</f>
        <v>15.91</v>
      </c>
      <c r="G18873" s="16"/>
    </row>
    <row r="18874" ht="24.75" customHeight="1">
      <c r="A18874" s="19" t="s">
        <v>9059</v>
      </c>
      <c r="B18874" s="20" t="s">
        <v>18</v>
      </c>
      <c r="C18874" s="20" t="s">
        <v>351</v>
      </c>
      <c r="D18874" s="20" t="s">
        <v>9060</v>
      </c>
      <c r="E18874" s="21"/>
      <c r="F18874" s="22">
        <f>F18886</f>
        <v>15.28</v>
      </c>
      <c r="G18874" s="21"/>
    </row>
    <row r="18875" ht="12.0" customHeight="1">
      <c r="A18875" s="11"/>
      <c r="B18875" s="11"/>
      <c r="C18875" s="11"/>
      <c r="D18875" s="10" t="s">
        <v>9060</v>
      </c>
    </row>
    <row r="18876" ht="21.0" customHeight="1">
      <c r="A18876" s="10" t="s">
        <v>576</v>
      </c>
      <c r="B18876" s="10" t="s">
        <v>42</v>
      </c>
      <c r="C18876" s="10" t="s">
        <v>231</v>
      </c>
      <c r="D18876" s="10" t="s">
        <v>577</v>
      </c>
      <c r="E18876" s="14">
        <v>0.2222</v>
      </c>
      <c r="F18876" s="15">
        <f>ROUND(12.12,3)</f>
        <v>12.12</v>
      </c>
      <c r="G18876" s="12">
        <f t="shared" ref="G18876:G18884" si="2424">ROUND(E18876*F18876,2)</f>
        <v>2.69</v>
      </c>
    </row>
    <row r="18877" ht="30.0" customHeight="1">
      <c r="A18877" s="10" t="s">
        <v>569</v>
      </c>
      <c r="B18877" s="10" t="s">
        <v>42</v>
      </c>
      <c r="C18877" s="10" t="s">
        <v>231</v>
      </c>
      <c r="D18877" s="10" t="s">
        <v>570</v>
      </c>
      <c r="E18877" s="14">
        <v>0.08</v>
      </c>
      <c r="F18877" s="15">
        <f>ROUND(32.94,3)</f>
        <v>32.94</v>
      </c>
      <c r="G18877" s="12">
        <f t="shared" si="2424"/>
        <v>2.64</v>
      </c>
    </row>
    <row r="18878" ht="39.75" customHeight="1">
      <c r="A18878" s="10" t="s">
        <v>8492</v>
      </c>
      <c r="B18878" s="10" t="s">
        <v>42</v>
      </c>
      <c r="C18878" s="10" t="s">
        <v>226</v>
      </c>
      <c r="D18878" s="10" t="s">
        <v>8493</v>
      </c>
      <c r="E18878" s="14">
        <v>0.0075</v>
      </c>
      <c r="F18878" s="15">
        <f>ROUND(3.72,3)</f>
        <v>3.72</v>
      </c>
      <c r="G18878" s="12">
        <f t="shared" si="2424"/>
        <v>0.03</v>
      </c>
    </row>
    <row r="18879" ht="21.0" customHeight="1">
      <c r="A18879" s="10" t="s">
        <v>22</v>
      </c>
      <c r="B18879" s="10" t="s">
        <v>18</v>
      </c>
      <c r="C18879" s="10" t="s">
        <v>23</v>
      </c>
      <c r="D18879" s="10" t="s">
        <v>24</v>
      </c>
      <c r="E18879" s="14">
        <v>0.2</v>
      </c>
      <c r="F18879" s="15">
        <f>F18883</f>
        <v>43.8</v>
      </c>
      <c r="G18879" s="12">
        <f t="shared" si="2424"/>
        <v>8.76</v>
      </c>
    </row>
    <row r="18880" ht="24.0" customHeight="1">
      <c r="A18880" s="10" t="s">
        <v>25</v>
      </c>
      <c r="B18880" s="10" t="s">
        <v>26</v>
      </c>
      <c r="C18880" s="10" t="s">
        <v>23</v>
      </c>
      <c r="D18880" s="10" t="s">
        <v>27</v>
      </c>
      <c r="E18880" s="14">
        <v>1.0</v>
      </c>
      <c r="F18880" s="15">
        <f>ROUND(21,3)</f>
        <v>21</v>
      </c>
      <c r="G18880" s="12">
        <f t="shared" si="2424"/>
        <v>21</v>
      </c>
    </row>
    <row r="18881" ht="24.0" customHeight="1">
      <c r="A18881" s="10" t="s">
        <v>28</v>
      </c>
      <c r="B18881" s="10" t="s">
        <v>26</v>
      </c>
      <c r="C18881" s="10" t="s">
        <v>23</v>
      </c>
      <c r="D18881" s="10" t="s">
        <v>29</v>
      </c>
      <c r="E18881" s="14">
        <v>1.0</v>
      </c>
      <c r="F18881" s="15">
        <f t="shared" ref="F18881:F18882" si="2425">ROUND(19,3)</f>
        <v>19</v>
      </c>
      <c r="G18881" s="12">
        <f t="shared" si="2424"/>
        <v>19</v>
      </c>
    </row>
    <row r="18882" ht="24.0" customHeight="1">
      <c r="A18882" s="10" t="s">
        <v>30</v>
      </c>
      <c r="B18882" s="10" t="s">
        <v>26</v>
      </c>
      <c r="C18882" s="10" t="s">
        <v>23</v>
      </c>
      <c r="D18882" s="10" t="s">
        <v>31</v>
      </c>
      <c r="E18882" s="14">
        <v>0.2</v>
      </c>
      <c r="F18882" s="15">
        <f t="shared" si="2425"/>
        <v>19</v>
      </c>
      <c r="G18882" s="12">
        <f t="shared" si="2424"/>
        <v>3.8</v>
      </c>
    </row>
    <row r="18883" ht="15.0" customHeight="1">
      <c r="A18883" s="11"/>
      <c r="B18883" s="11"/>
      <c r="C18883" s="11"/>
      <c r="D18883" s="10" t="s">
        <v>22</v>
      </c>
      <c r="E18883" s="14">
        <v>0.2</v>
      </c>
      <c r="F18883" s="15">
        <f>ROUND((G18880+G18881+G18882),3)</f>
        <v>43.8</v>
      </c>
      <c r="G18883" s="12">
        <f t="shared" si="2424"/>
        <v>8.76</v>
      </c>
    </row>
    <row r="18884" ht="30.0" customHeight="1">
      <c r="A18884" s="10" t="s">
        <v>8497</v>
      </c>
      <c r="B18884" s="10" t="s">
        <v>42</v>
      </c>
      <c r="C18884" s="10" t="s">
        <v>231</v>
      </c>
      <c r="D18884" s="10" t="s">
        <v>8498</v>
      </c>
      <c r="E18884" s="14">
        <v>0.0667</v>
      </c>
      <c r="F18884" s="15">
        <f>ROUND(13.46,3)</f>
        <v>13.46</v>
      </c>
      <c r="G18884" s="12">
        <f t="shared" si="2424"/>
        <v>0.9</v>
      </c>
    </row>
    <row r="18885" ht="15.0" customHeight="1">
      <c r="A18885" s="10" t="s">
        <v>32</v>
      </c>
      <c r="B18885" s="10"/>
      <c r="C18885" s="10" t="s">
        <v>33</v>
      </c>
      <c r="D18885" s="10" t="s">
        <v>34</v>
      </c>
      <c r="E18885" s="14">
        <v>3.0</v>
      </c>
      <c r="F18885" s="15">
        <f>ROUND(8.76,3)</f>
        <v>8.76</v>
      </c>
      <c r="G18885" s="12">
        <f>ROUND((E18885*F18885)/100,2)</f>
        <v>0.26</v>
      </c>
    </row>
    <row r="18886" ht="15.0" customHeight="1">
      <c r="A18886" s="16"/>
      <c r="B18886" s="16"/>
      <c r="C18886" s="16"/>
      <c r="D18886" s="17" t="s">
        <v>9059</v>
      </c>
      <c r="E18886" s="16"/>
      <c r="F18886" s="18">
        <f>ROUND((G18876+G18877+G18878+G18879+G18884+G18885)*(1+G2/100),2)</f>
        <v>15.28</v>
      </c>
      <c r="G18886" s="16"/>
    </row>
    <row r="18887" ht="48.75" customHeight="1">
      <c r="A18887" s="19" t="s">
        <v>9061</v>
      </c>
      <c r="B18887" s="20" t="s">
        <v>18</v>
      </c>
      <c r="C18887" s="20" t="s">
        <v>19</v>
      </c>
      <c r="D18887" s="20" t="s">
        <v>9062</v>
      </c>
      <c r="E18887" s="21"/>
      <c r="F18887" s="22">
        <f>F18894</f>
        <v>8.4</v>
      </c>
      <c r="G18887" s="21"/>
    </row>
    <row r="18888" ht="21.0" customHeight="1">
      <c r="A18888" s="11"/>
      <c r="B18888" s="11"/>
      <c r="C18888" s="11"/>
      <c r="D18888" s="10" t="s">
        <v>9063</v>
      </c>
    </row>
    <row r="18889" ht="21.0" customHeight="1">
      <c r="A18889" s="10" t="s">
        <v>1046</v>
      </c>
      <c r="B18889" s="10" t="s">
        <v>18</v>
      </c>
      <c r="C18889" s="10" t="s">
        <v>23</v>
      </c>
      <c r="D18889" s="10" t="s">
        <v>1047</v>
      </c>
      <c r="E18889" s="14">
        <v>0.2</v>
      </c>
      <c r="F18889" s="15">
        <f>F18892</f>
        <v>40</v>
      </c>
      <c r="G18889" s="12">
        <f t="shared" ref="G18889:G18892" si="2426">ROUND(E18889*F18889,2)</f>
        <v>8</v>
      </c>
    </row>
    <row r="18890" ht="24.0" customHeight="1">
      <c r="A18890" s="10" t="s">
        <v>25</v>
      </c>
      <c r="B18890" s="10" t="s">
        <v>26</v>
      </c>
      <c r="C18890" s="10" t="s">
        <v>23</v>
      </c>
      <c r="D18890" s="10" t="s">
        <v>27</v>
      </c>
      <c r="E18890" s="14">
        <v>1.0</v>
      </c>
      <c r="F18890" s="15">
        <f>ROUND(21,3)</f>
        <v>21</v>
      </c>
      <c r="G18890" s="12">
        <f t="shared" si="2426"/>
        <v>21</v>
      </c>
    </row>
    <row r="18891" ht="24.0" customHeight="1">
      <c r="A18891" s="10" t="s">
        <v>28</v>
      </c>
      <c r="B18891" s="10" t="s">
        <v>26</v>
      </c>
      <c r="C18891" s="10" t="s">
        <v>23</v>
      </c>
      <c r="D18891" s="10" t="s">
        <v>29</v>
      </c>
      <c r="E18891" s="14">
        <v>1.0</v>
      </c>
      <c r="F18891" s="15">
        <f>ROUND(19,3)</f>
        <v>19</v>
      </c>
      <c r="G18891" s="12">
        <f t="shared" si="2426"/>
        <v>19</v>
      </c>
    </row>
    <row r="18892" ht="15.0" customHeight="1">
      <c r="A18892" s="11"/>
      <c r="B18892" s="11"/>
      <c r="C18892" s="11"/>
      <c r="D18892" s="10" t="s">
        <v>1046</v>
      </c>
      <c r="E18892" s="14">
        <v>0.2</v>
      </c>
      <c r="F18892" s="15">
        <f>ROUND((G18890+G18891),3)</f>
        <v>40</v>
      </c>
      <c r="G18892" s="12">
        <f t="shared" si="2426"/>
        <v>8</v>
      </c>
    </row>
    <row r="18893" ht="15.0" customHeight="1">
      <c r="A18893" s="10" t="s">
        <v>32</v>
      </c>
      <c r="B18893" s="10"/>
      <c r="C18893" s="10" t="s">
        <v>33</v>
      </c>
      <c r="D18893" s="10" t="s">
        <v>34</v>
      </c>
      <c r="E18893" s="14">
        <v>5.0</v>
      </c>
      <c r="F18893" s="15">
        <f>ROUND(8,3)</f>
        <v>8</v>
      </c>
      <c r="G18893" s="12">
        <f>ROUND((E18893*F18893)/100,2)</f>
        <v>0.4</v>
      </c>
    </row>
    <row r="18894" ht="15.0" customHeight="1">
      <c r="A18894" s="16"/>
      <c r="B18894" s="16"/>
      <c r="C18894" s="16"/>
      <c r="D18894" s="17" t="s">
        <v>9061</v>
      </c>
      <c r="E18894" s="16"/>
      <c r="F18894" s="18">
        <f>ROUND((G18889+G18893)*(1+G2/100),2)</f>
        <v>8.4</v>
      </c>
      <c r="G18894" s="16"/>
    </row>
    <row r="18895" ht="48.75" customHeight="1">
      <c r="A18895" s="19" t="s">
        <v>9064</v>
      </c>
      <c r="B18895" s="20" t="s">
        <v>18</v>
      </c>
      <c r="C18895" s="20" t="s">
        <v>351</v>
      </c>
      <c r="D18895" s="20" t="s">
        <v>9065</v>
      </c>
      <c r="E18895" s="21"/>
      <c r="F18895" s="22">
        <f>F18903</f>
        <v>23</v>
      </c>
      <c r="G18895" s="21"/>
    </row>
    <row r="18896" ht="21.0" customHeight="1">
      <c r="A18896" s="11"/>
      <c r="B18896" s="11"/>
      <c r="C18896" s="11"/>
      <c r="D18896" s="10" t="s">
        <v>9065</v>
      </c>
    </row>
    <row r="18897" ht="21.0" customHeight="1">
      <c r="A18897" s="10" t="s">
        <v>22</v>
      </c>
      <c r="B18897" s="10" t="s">
        <v>18</v>
      </c>
      <c r="C18897" s="10" t="s">
        <v>23</v>
      </c>
      <c r="D18897" s="10" t="s">
        <v>24</v>
      </c>
      <c r="E18897" s="14">
        <v>0.5</v>
      </c>
      <c r="F18897" s="15">
        <f>F18901</f>
        <v>43.8</v>
      </c>
      <c r="G18897" s="12">
        <f t="shared" ref="G18897:G18901" si="2427">ROUND(E18897*F18897,2)</f>
        <v>21.9</v>
      </c>
    </row>
    <row r="18898" ht="24.0" customHeight="1">
      <c r="A18898" s="10" t="s">
        <v>25</v>
      </c>
      <c r="B18898" s="10" t="s">
        <v>26</v>
      </c>
      <c r="C18898" s="10" t="s">
        <v>23</v>
      </c>
      <c r="D18898" s="10" t="s">
        <v>27</v>
      </c>
      <c r="E18898" s="14">
        <v>1.0</v>
      </c>
      <c r="F18898" s="15">
        <f>ROUND(21,3)</f>
        <v>21</v>
      </c>
      <c r="G18898" s="12">
        <f t="shared" si="2427"/>
        <v>21</v>
      </c>
    </row>
    <row r="18899" ht="24.0" customHeight="1">
      <c r="A18899" s="10" t="s">
        <v>28</v>
      </c>
      <c r="B18899" s="10" t="s">
        <v>26</v>
      </c>
      <c r="C18899" s="10" t="s">
        <v>23</v>
      </c>
      <c r="D18899" s="10" t="s">
        <v>29</v>
      </c>
      <c r="E18899" s="14">
        <v>1.0</v>
      </c>
      <c r="F18899" s="15">
        <f t="shared" ref="F18899:F18900" si="2428">ROUND(19,3)</f>
        <v>19</v>
      </c>
      <c r="G18899" s="12">
        <f t="shared" si="2427"/>
        <v>19</v>
      </c>
    </row>
    <row r="18900" ht="24.0" customHeight="1">
      <c r="A18900" s="10" t="s">
        <v>30</v>
      </c>
      <c r="B18900" s="10" t="s">
        <v>26</v>
      </c>
      <c r="C18900" s="10" t="s">
        <v>23</v>
      </c>
      <c r="D18900" s="10" t="s">
        <v>31</v>
      </c>
      <c r="E18900" s="14">
        <v>0.2</v>
      </c>
      <c r="F18900" s="15">
        <f t="shared" si="2428"/>
        <v>19</v>
      </c>
      <c r="G18900" s="12">
        <f t="shared" si="2427"/>
        <v>3.8</v>
      </c>
    </row>
    <row r="18901" ht="15.0" customHeight="1">
      <c r="A18901" s="11"/>
      <c r="B18901" s="11"/>
      <c r="C18901" s="11"/>
      <c r="D18901" s="10" t="s">
        <v>22</v>
      </c>
      <c r="E18901" s="14">
        <v>0.5</v>
      </c>
      <c r="F18901" s="15">
        <f>ROUND((G18898+G18899+G18900),3)</f>
        <v>43.8</v>
      </c>
      <c r="G18901" s="12">
        <f t="shared" si="2427"/>
        <v>21.9</v>
      </c>
    </row>
    <row r="18902" ht="15.0" customHeight="1">
      <c r="A18902" s="10" t="s">
        <v>33</v>
      </c>
      <c r="B18902" s="10"/>
      <c r="C18902" s="10" t="s">
        <v>33</v>
      </c>
      <c r="D18902" s="10" t="s">
        <v>424</v>
      </c>
      <c r="E18902" s="14">
        <v>5.0</v>
      </c>
      <c r="F18902" s="15">
        <f>ROUND(21.9,3)</f>
        <v>21.9</v>
      </c>
      <c r="G18902" s="12">
        <f>ROUND((E18902*F18902)/100,2)</f>
        <v>1.1</v>
      </c>
    </row>
    <row r="18903" ht="24.75" customHeight="1">
      <c r="A18903" s="16"/>
      <c r="B18903" s="16"/>
      <c r="C18903" s="16"/>
      <c r="D18903" s="17" t="s">
        <v>9064</v>
      </c>
      <c r="E18903" s="16"/>
      <c r="F18903" s="18">
        <f>ROUND((G18897+G18902)*(1+G2/100),2)</f>
        <v>23</v>
      </c>
      <c r="G18903" s="16"/>
    </row>
    <row r="18904" ht="34.5" customHeight="1">
      <c r="A18904" s="19" t="s">
        <v>9066</v>
      </c>
      <c r="B18904" s="20" t="s">
        <v>18</v>
      </c>
      <c r="C18904" s="20" t="s">
        <v>351</v>
      </c>
      <c r="D18904" s="20" t="s">
        <v>9067</v>
      </c>
      <c r="E18904" s="21"/>
      <c r="F18904" s="22">
        <f>F18912</f>
        <v>32.19</v>
      </c>
      <c r="G18904" s="21"/>
    </row>
    <row r="18905" ht="12.0" customHeight="1">
      <c r="A18905" s="11"/>
      <c r="B18905" s="11"/>
      <c r="C18905" s="11"/>
      <c r="D18905" s="10" t="s">
        <v>9068</v>
      </c>
    </row>
    <row r="18906" ht="21.0" customHeight="1">
      <c r="A18906" s="10" t="s">
        <v>22</v>
      </c>
      <c r="B18906" s="10" t="s">
        <v>18</v>
      </c>
      <c r="C18906" s="10" t="s">
        <v>23</v>
      </c>
      <c r="D18906" s="10" t="s">
        <v>24</v>
      </c>
      <c r="E18906" s="14">
        <v>0.7</v>
      </c>
      <c r="F18906" s="15">
        <f>F18910</f>
        <v>43.8</v>
      </c>
      <c r="G18906" s="12">
        <f t="shared" ref="G18906:G18910" si="2429">ROUND(E18906*F18906,2)</f>
        <v>30.66</v>
      </c>
    </row>
    <row r="18907" ht="24.0" customHeight="1">
      <c r="A18907" s="10" t="s">
        <v>25</v>
      </c>
      <c r="B18907" s="10" t="s">
        <v>26</v>
      </c>
      <c r="C18907" s="10" t="s">
        <v>23</v>
      </c>
      <c r="D18907" s="10" t="s">
        <v>27</v>
      </c>
      <c r="E18907" s="14">
        <v>1.0</v>
      </c>
      <c r="F18907" s="15">
        <f>ROUND(21,3)</f>
        <v>21</v>
      </c>
      <c r="G18907" s="12">
        <f t="shared" si="2429"/>
        <v>21</v>
      </c>
    </row>
    <row r="18908" ht="24.0" customHeight="1">
      <c r="A18908" s="10" t="s">
        <v>28</v>
      </c>
      <c r="B18908" s="10" t="s">
        <v>26</v>
      </c>
      <c r="C18908" s="10" t="s">
        <v>23</v>
      </c>
      <c r="D18908" s="10" t="s">
        <v>29</v>
      </c>
      <c r="E18908" s="14">
        <v>1.0</v>
      </c>
      <c r="F18908" s="15">
        <f t="shared" ref="F18908:F18909" si="2430">ROUND(19,3)</f>
        <v>19</v>
      </c>
      <c r="G18908" s="12">
        <f t="shared" si="2429"/>
        <v>19</v>
      </c>
    </row>
    <row r="18909" ht="24.0" customHeight="1">
      <c r="A18909" s="10" t="s">
        <v>30</v>
      </c>
      <c r="B18909" s="10" t="s">
        <v>26</v>
      </c>
      <c r="C18909" s="10" t="s">
        <v>23</v>
      </c>
      <c r="D18909" s="10" t="s">
        <v>31</v>
      </c>
      <c r="E18909" s="14">
        <v>0.2</v>
      </c>
      <c r="F18909" s="15">
        <f t="shared" si="2430"/>
        <v>19</v>
      </c>
      <c r="G18909" s="12">
        <f t="shared" si="2429"/>
        <v>3.8</v>
      </c>
    </row>
    <row r="18910" ht="15.0" customHeight="1">
      <c r="A18910" s="11"/>
      <c r="B18910" s="11"/>
      <c r="C18910" s="11"/>
      <c r="D18910" s="10" t="s">
        <v>22</v>
      </c>
      <c r="E18910" s="14">
        <v>0.7</v>
      </c>
      <c r="F18910" s="15">
        <f>ROUND((G18907+G18908+G18909),3)</f>
        <v>43.8</v>
      </c>
      <c r="G18910" s="12">
        <f t="shared" si="2429"/>
        <v>30.66</v>
      </c>
    </row>
    <row r="18911" ht="15.0" customHeight="1">
      <c r="A18911" s="10" t="s">
        <v>33</v>
      </c>
      <c r="B18911" s="10"/>
      <c r="C18911" s="10" t="s">
        <v>33</v>
      </c>
      <c r="D18911" s="10" t="s">
        <v>424</v>
      </c>
      <c r="E18911" s="14">
        <v>5.0</v>
      </c>
      <c r="F18911" s="15">
        <f>ROUND(30.66,3)</f>
        <v>30.66</v>
      </c>
      <c r="G18911" s="12">
        <f>ROUND((E18911*F18911)/100,2)</f>
        <v>1.53</v>
      </c>
    </row>
    <row r="18912" ht="24.75" customHeight="1">
      <c r="A18912" s="16"/>
      <c r="B18912" s="16"/>
      <c r="C18912" s="16"/>
      <c r="D18912" s="17" t="s">
        <v>9066</v>
      </c>
      <c r="E18912" s="16"/>
      <c r="F18912" s="18">
        <f>ROUND((G18906+G18911)*(1+G2/100),2)</f>
        <v>32.19</v>
      </c>
      <c r="G18912" s="16"/>
    </row>
    <row r="18913" ht="30.0" customHeight="1">
      <c r="A18913" s="19" t="s">
        <v>9069</v>
      </c>
      <c r="B18913" s="20" t="s">
        <v>18</v>
      </c>
      <c r="C18913" s="20" t="s">
        <v>1357</v>
      </c>
      <c r="D18913" s="20" t="s">
        <v>9070</v>
      </c>
      <c r="E18913" s="21"/>
      <c r="F18913" s="22">
        <f>F18932</f>
        <v>59.24</v>
      </c>
      <c r="G18913" s="21"/>
    </row>
    <row r="18914" ht="252.0" customHeight="1">
      <c r="A18914" s="11"/>
      <c r="B18914" s="11"/>
      <c r="C18914" s="11"/>
      <c r="D18914" s="10" t="s">
        <v>9071</v>
      </c>
    </row>
    <row r="18915" ht="67.5" customHeight="1">
      <c r="A18915" s="10" t="s">
        <v>9072</v>
      </c>
      <c r="B18915" s="10" t="s">
        <v>42</v>
      </c>
      <c r="C18915" s="10" t="s">
        <v>351</v>
      </c>
      <c r="D18915" s="10" t="s">
        <v>9073</v>
      </c>
      <c r="E18915" s="14">
        <v>1.2</v>
      </c>
      <c r="F18915" s="15">
        <f>ROUND(0.25,3)</f>
        <v>0.25</v>
      </c>
      <c r="G18915" s="12">
        <f t="shared" ref="G18915:G18930" si="2431">ROUND(E18915*F18915,2)</f>
        <v>0.3</v>
      </c>
    </row>
    <row r="18916" ht="21.0" customHeight="1">
      <c r="A18916" s="10" t="s">
        <v>9074</v>
      </c>
      <c r="B18916" s="10" t="s">
        <v>42</v>
      </c>
      <c r="C18916" s="10" t="s">
        <v>351</v>
      </c>
      <c r="D18916" s="10" t="s">
        <v>9075</v>
      </c>
      <c r="E18916" s="14">
        <v>0.7</v>
      </c>
      <c r="F18916" s="15">
        <f>ROUND(1.35,3)</f>
        <v>1.35</v>
      </c>
      <c r="G18916" s="12">
        <f t="shared" si="2431"/>
        <v>0.95</v>
      </c>
    </row>
    <row r="18917" ht="21.0" customHeight="1">
      <c r="A18917" s="10" t="s">
        <v>9076</v>
      </c>
      <c r="B18917" s="10" t="s">
        <v>42</v>
      </c>
      <c r="C18917" s="10" t="s">
        <v>351</v>
      </c>
      <c r="D18917" s="10" t="s">
        <v>9077</v>
      </c>
      <c r="E18917" s="14">
        <v>2.75</v>
      </c>
      <c r="F18917" s="15">
        <f>ROUND(1.63,3)</f>
        <v>1.63</v>
      </c>
      <c r="G18917" s="12">
        <f t="shared" si="2431"/>
        <v>4.48</v>
      </c>
    </row>
    <row r="18918" ht="57.75" customHeight="1">
      <c r="A18918" s="10" t="s">
        <v>9078</v>
      </c>
      <c r="B18918" s="10" t="s">
        <v>42</v>
      </c>
      <c r="C18918" s="10" t="s">
        <v>1357</v>
      </c>
      <c r="D18918" s="10" t="s">
        <v>9079</v>
      </c>
      <c r="E18918" s="14">
        <v>1.05</v>
      </c>
      <c r="F18918" s="15">
        <f>ROUND(4.21,3)</f>
        <v>4.21</v>
      </c>
      <c r="G18918" s="12">
        <f t="shared" si="2431"/>
        <v>4.42</v>
      </c>
    </row>
    <row r="18919" ht="57.75" customHeight="1">
      <c r="A18919" s="10" t="s">
        <v>9080</v>
      </c>
      <c r="B18919" s="10" t="s">
        <v>42</v>
      </c>
      <c r="C18919" s="10" t="s">
        <v>1357</v>
      </c>
      <c r="D18919" s="10" t="s">
        <v>9081</v>
      </c>
      <c r="E18919" s="14">
        <v>2.1</v>
      </c>
      <c r="F18919" s="15">
        <f>ROUND(8.15,3)</f>
        <v>8.15</v>
      </c>
      <c r="G18919" s="12">
        <f t="shared" si="2431"/>
        <v>17.12</v>
      </c>
    </row>
    <row r="18920" ht="21.0" customHeight="1">
      <c r="A18920" s="10" t="s">
        <v>9082</v>
      </c>
      <c r="B18920" s="10" t="s">
        <v>42</v>
      </c>
      <c r="C18920" s="10" t="s">
        <v>5</v>
      </c>
      <c r="D18920" s="10" t="s">
        <v>9083</v>
      </c>
      <c r="E18920" s="14">
        <v>38.0</v>
      </c>
      <c r="F18920" s="15">
        <f>ROUND(0.01,3)</f>
        <v>0.01</v>
      </c>
      <c r="G18920" s="12">
        <f t="shared" si="2431"/>
        <v>0.38</v>
      </c>
    </row>
    <row r="18921" ht="21.0" customHeight="1">
      <c r="A18921" s="10" t="s">
        <v>3510</v>
      </c>
      <c r="B18921" s="10" t="s">
        <v>42</v>
      </c>
      <c r="C18921" s="10" t="s">
        <v>5</v>
      </c>
      <c r="D18921" s="10" t="s">
        <v>3511</v>
      </c>
      <c r="E18921" s="14">
        <v>1.6</v>
      </c>
      <c r="F18921" s="15">
        <f>ROUND(0.06,3)</f>
        <v>0.06</v>
      </c>
      <c r="G18921" s="12">
        <f t="shared" si="2431"/>
        <v>0.1</v>
      </c>
    </row>
    <row r="18922" ht="67.5" customHeight="1">
      <c r="A18922" s="10" t="s">
        <v>9084</v>
      </c>
      <c r="B18922" s="10" t="s">
        <v>42</v>
      </c>
      <c r="C18922" s="10" t="s">
        <v>1207</v>
      </c>
      <c r="D18922" s="10" t="s">
        <v>9085</v>
      </c>
      <c r="E18922" s="14">
        <v>1.212</v>
      </c>
      <c r="F18922" s="15">
        <f>ROUND(0.93,3)</f>
        <v>0.93</v>
      </c>
      <c r="G18922" s="12">
        <f t="shared" si="2431"/>
        <v>1.13</v>
      </c>
    </row>
    <row r="18923" ht="30.0" customHeight="1">
      <c r="A18923" s="10" t="s">
        <v>9086</v>
      </c>
      <c r="B18923" s="10" t="s">
        <v>42</v>
      </c>
      <c r="C18923" s="10" t="s">
        <v>351</v>
      </c>
      <c r="D18923" s="10" t="s">
        <v>9087</v>
      </c>
      <c r="E18923" s="14">
        <v>3.2</v>
      </c>
      <c r="F18923" s="15">
        <f>ROUND(0.04,3)</f>
        <v>0.04</v>
      </c>
      <c r="G18923" s="12">
        <f t="shared" si="2431"/>
        <v>0.13</v>
      </c>
    </row>
    <row r="18924" ht="30.0" customHeight="1">
      <c r="A18924" s="10" t="s">
        <v>9088</v>
      </c>
      <c r="B18924" s="10" t="s">
        <v>42</v>
      </c>
      <c r="C18924" s="10" t="s">
        <v>351</v>
      </c>
      <c r="D18924" s="10" t="s">
        <v>9089</v>
      </c>
      <c r="E18924" s="14">
        <v>0.3</v>
      </c>
      <c r="F18924" s="15">
        <f>ROUND(0.42,3)</f>
        <v>0.42</v>
      </c>
      <c r="G18924" s="12">
        <f t="shared" si="2431"/>
        <v>0.13</v>
      </c>
    </row>
    <row r="18925" ht="21.0" customHeight="1">
      <c r="A18925" s="10" t="s">
        <v>969</v>
      </c>
      <c r="B18925" s="10" t="s">
        <v>112</v>
      </c>
      <c r="C18925" s="10" t="s">
        <v>23</v>
      </c>
      <c r="D18925" s="10" t="s">
        <v>970</v>
      </c>
      <c r="E18925" s="14">
        <v>0.5</v>
      </c>
      <c r="F18925" s="15">
        <f>ROUND(2,3)</f>
        <v>2</v>
      </c>
      <c r="G18925" s="12">
        <f t="shared" si="2431"/>
        <v>1</v>
      </c>
    </row>
    <row r="18926" ht="21.0" customHeight="1">
      <c r="A18926" s="10" t="s">
        <v>22</v>
      </c>
      <c r="B18926" s="10" t="s">
        <v>18</v>
      </c>
      <c r="C18926" s="10" t="s">
        <v>23</v>
      </c>
      <c r="D18926" s="10" t="s">
        <v>24</v>
      </c>
      <c r="E18926" s="14">
        <v>0.6</v>
      </c>
      <c r="F18926" s="15">
        <f>F18930</f>
        <v>43.8</v>
      </c>
      <c r="G18926" s="12">
        <f t="shared" si="2431"/>
        <v>26.28</v>
      </c>
    </row>
    <row r="18927" ht="24.0" customHeight="1">
      <c r="A18927" s="10" t="s">
        <v>25</v>
      </c>
      <c r="B18927" s="10" t="s">
        <v>26</v>
      </c>
      <c r="C18927" s="10" t="s">
        <v>23</v>
      </c>
      <c r="D18927" s="10" t="s">
        <v>27</v>
      </c>
      <c r="E18927" s="14">
        <v>1.0</v>
      </c>
      <c r="F18927" s="15">
        <f>ROUND(21,3)</f>
        <v>21</v>
      </c>
      <c r="G18927" s="12">
        <f t="shared" si="2431"/>
        <v>21</v>
      </c>
    </row>
    <row r="18928" ht="24.0" customHeight="1">
      <c r="A18928" s="10" t="s">
        <v>28</v>
      </c>
      <c r="B18928" s="10" t="s">
        <v>26</v>
      </c>
      <c r="C18928" s="10" t="s">
        <v>23</v>
      </c>
      <c r="D18928" s="10" t="s">
        <v>29</v>
      </c>
      <c r="E18928" s="14">
        <v>1.0</v>
      </c>
      <c r="F18928" s="15">
        <f t="shared" ref="F18928:F18929" si="2432">ROUND(19,3)</f>
        <v>19</v>
      </c>
      <c r="G18928" s="12">
        <f t="shared" si="2431"/>
        <v>19</v>
      </c>
    </row>
    <row r="18929" ht="24.0" customHeight="1">
      <c r="A18929" s="10" t="s">
        <v>30</v>
      </c>
      <c r="B18929" s="10" t="s">
        <v>26</v>
      </c>
      <c r="C18929" s="10" t="s">
        <v>23</v>
      </c>
      <c r="D18929" s="10" t="s">
        <v>31</v>
      </c>
      <c r="E18929" s="14">
        <v>0.2</v>
      </c>
      <c r="F18929" s="15">
        <f t="shared" si="2432"/>
        <v>19</v>
      </c>
      <c r="G18929" s="12">
        <f t="shared" si="2431"/>
        <v>3.8</v>
      </c>
    </row>
    <row r="18930" ht="15.0" customHeight="1">
      <c r="A18930" s="11"/>
      <c r="B18930" s="11"/>
      <c r="C18930" s="11"/>
      <c r="D18930" s="10" t="s">
        <v>22</v>
      </c>
      <c r="E18930" s="14">
        <v>0.6</v>
      </c>
      <c r="F18930" s="15">
        <f>ROUND((G18927+G18928+G18929),3)</f>
        <v>43.8</v>
      </c>
      <c r="G18930" s="12">
        <f t="shared" si="2431"/>
        <v>26.28</v>
      </c>
    </row>
    <row r="18931" ht="15.0" customHeight="1">
      <c r="A18931" s="10" t="s">
        <v>33</v>
      </c>
      <c r="B18931" s="10"/>
      <c r="C18931" s="10" t="s">
        <v>33</v>
      </c>
      <c r="D18931" s="10" t="s">
        <v>424</v>
      </c>
      <c r="E18931" s="14">
        <v>5.0</v>
      </c>
      <c r="F18931" s="15">
        <f>ROUND(56.42,3)</f>
        <v>56.42</v>
      </c>
      <c r="G18931" s="12">
        <f>ROUND((E18931*F18931)/100,2)</f>
        <v>2.82</v>
      </c>
    </row>
    <row r="18932" ht="15.0" customHeight="1">
      <c r="A18932" s="16"/>
      <c r="B18932" s="16"/>
      <c r="C18932" s="16"/>
      <c r="D18932" s="17" t="s">
        <v>9069</v>
      </c>
      <c r="E18932" s="16"/>
      <c r="F18932" s="18">
        <f>ROUND((G18915+G18916+G18917+G18918+G18919+G18920+G18921+G18922+G18923+G18924+G18925+G18926+G18931)*(1+G2/100),2)</f>
        <v>59.24</v>
      </c>
      <c r="G18932" s="16"/>
    </row>
    <row r="18933" ht="21.0" customHeight="1">
      <c r="A18933" s="19" t="s">
        <v>9090</v>
      </c>
      <c r="B18933" s="20" t="s">
        <v>18</v>
      </c>
      <c r="C18933" s="20" t="s">
        <v>351</v>
      </c>
      <c r="D18933" s="20" t="s">
        <v>1756</v>
      </c>
      <c r="E18933" s="21"/>
      <c r="F18933" s="22">
        <f>F18947</f>
        <v>82.25</v>
      </c>
      <c r="G18933" s="21"/>
    </row>
    <row r="18934" ht="95.25" customHeight="1">
      <c r="A18934" s="11"/>
      <c r="B18934" s="11"/>
      <c r="C18934" s="11"/>
      <c r="D18934" s="10" t="s">
        <v>9091</v>
      </c>
    </row>
    <row r="18935" ht="30.0" customHeight="1">
      <c r="A18935" s="10" t="s">
        <v>8988</v>
      </c>
      <c r="B18935" s="10" t="s">
        <v>42</v>
      </c>
      <c r="C18935" s="10" t="s">
        <v>351</v>
      </c>
      <c r="D18935" s="10" t="s">
        <v>8989</v>
      </c>
      <c r="E18935" s="14">
        <v>1.0</v>
      </c>
      <c r="F18935" s="15">
        <f>ROUND(63,3)</f>
        <v>63</v>
      </c>
      <c r="G18935" s="12">
        <f t="shared" ref="G18935:G18945" si="2433">ROUND(E18935*F18935,2)</f>
        <v>63</v>
      </c>
    </row>
    <row r="18936" ht="30.0" customHeight="1">
      <c r="A18936" s="10" t="s">
        <v>1759</v>
      </c>
      <c r="B18936" s="10" t="s">
        <v>42</v>
      </c>
      <c r="C18936" s="10" t="s">
        <v>325</v>
      </c>
      <c r="D18936" s="10" t="s">
        <v>1760</v>
      </c>
      <c r="E18936" s="14">
        <v>0.04</v>
      </c>
      <c r="F18936" s="15">
        <f>ROUND(82.11,3)</f>
        <v>82.11</v>
      </c>
      <c r="G18936" s="12">
        <f t="shared" si="2433"/>
        <v>3.28</v>
      </c>
    </row>
    <row r="18937" ht="39.75" customHeight="1">
      <c r="A18937" s="10" t="s">
        <v>1761</v>
      </c>
      <c r="B18937" s="10" t="s">
        <v>42</v>
      </c>
      <c r="C18937" s="10" t="s">
        <v>1245</v>
      </c>
      <c r="D18937" s="10" t="s">
        <v>1762</v>
      </c>
      <c r="E18937" s="14">
        <v>0.25</v>
      </c>
      <c r="F18937" s="15">
        <f>ROUND(8.97,3)</f>
        <v>8.97</v>
      </c>
      <c r="G18937" s="12">
        <f t="shared" si="2433"/>
        <v>2.24</v>
      </c>
    </row>
    <row r="18938" ht="30.0" customHeight="1">
      <c r="A18938" s="10" t="s">
        <v>1763</v>
      </c>
      <c r="B18938" s="10" t="s">
        <v>42</v>
      </c>
      <c r="C18938" s="10" t="s">
        <v>1245</v>
      </c>
      <c r="D18938" s="10" t="s">
        <v>1764</v>
      </c>
      <c r="E18938" s="14">
        <v>0.25</v>
      </c>
      <c r="F18938" s="15">
        <f>ROUND(6.32,3)</f>
        <v>6.32</v>
      </c>
      <c r="G18938" s="12">
        <f t="shared" si="2433"/>
        <v>1.58</v>
      </c>
    </row>
    <row r="18939" ht="21.0" customHeight="1">
      <c r="A18939" s="10" t="s">
        <v>969</v>
      </c>
      <c r="B18939" s="10" t="s">
        <v>112</v>
      </c>
      <c r="C18939" s="10" t="s">
        <v>23</v>
      </c>
      <c r="D18939" s="10" t="s">
        <v>970</v>
      </c>
      <c r="E18939" s="14">
        <v>0.25</v>
      </c>
      <c r="F18939" s="15">
        <f>ROUND(2,3)</f>
        <v>2</v>
      </c>
      <c r="G18939" s="12">
        <f t="shared" si="2433"/>
        <v>0.5</v>
      </c>
    </row>
    <row r="18940" ht="30.0" customHeight="1">
      <c r="A18940" s="10" t="s">
        <v>971</v>
      </c>
      <c r="B18940" s="10" t="s">
        <v>42</v>
      </c>
      <c r="C18940" s="10" t="s">
        <v>231</v>
      </c>
      <c r="D18940" s="10" t="s">
        <v>972</v>
      </c>
      <c r="E18940" s="14">
        <v>0.1</v>
      </c>
      <c r="F18940" s="15">
        <f>ROUND(4.92,3)</f>
        <v>4.92</v>
      </c>
      <c r="G18940" s="12">
        <f t="shared" si="2433"/>
        <v>0.49</v>
      </c>
    </row>
    <row r="18941" ht="21.0" customHeight="1">
      <c r="A18941" s="10" t="s">
        <v>22</v>
      </c>
      <c r="B18941" s="10" t="s">
        <v>18</v>
      </c>
      <c r="C18941" s="10" t="s">
        <v>23</v>
      </c>
      <c r="D18941" s="10" t="s">
        <v>24</v>
      </c>
      <c r="E18941" s="14">
        <v>0.2</v>
      </c>
      <c r="F18941" s="15">
        <f>F18945</f>
        <v>43.8</v>
      </c>
      <c r="G18941" s="12">
        <f t="shared" si="2433"/>
        <v>8.76</v>
      </c>
    </row>
    <row r="18942" ht="24.0" customHeight="1">
      <c r="A18942" s="10" t="s">
        <v>25</v>
      </c>
      <c r="B18942" s="10" t="s">
        <v>26</v>
      </c>
      <c r="C18942" s="10" t="s">
        <v>23</v>
      </c>
      <c r="D18942" s="10" t="s">
        <v>27</v>
      </c>
      <c r="E18942" s="14">
        <v>1.0</v>
      </c>
      <c r="F18942" s="15">
        <f>ROUND(21,3)</f>
        <v>21</v>
      </c>
      <c r="G18942" s="12">
        <f t="shared" si="2433"/>
        <v>21</v>
      </c>
    </row>
    <row r="18943" ht="24.0" customHeight="1">
      <c r="A18943" s="10" t="s">
        <v>28</v>
      </c>
      <c r="B18943" s="10" t="s">
        <v>26</v>
      </c>
      <c r="C18943" s="10" t="s">
        <v>23</v>
      </c>
      <c r="D18943" s="10" t="s">
        <v>29</v>
      </c>
      <c r="E18943" s="14">
        <v>1.0</v>
      </c>
      <c r="F18943" s="15">
        <f t="shared" ref="F18943:F18944" si="2434">ROUND(19,3)</f>
        <v>19</v>
      </c>
      <c r="G18943" s="12">
        <f t="shared" si="2433"/>
        <v>19</v>
      </c>
    </row>
    <row r="18944" ht="24.0" customHeight="1">
      <c r="A18944" s="10" t="s">
        <v>30</v>
      </c>
      <c r="B18944" s="10" t="s">
        <v>26</v>
      </c>
      <c r="C18944" s="10" t="s">
        <v>23</v>
      </c>
      <c r="D18944" s="10" t="s">
        <v>31</v>
      </c>
      <c r="E18944" s="14">
        <v>0.2</v>
      </c>
      <c r="F18944" s="15">
        <f t="shared" si="2434"/>
        <v>19</v>
      </c>
      <c r="G18944" s="12">
        <f t="shared" si="2433"/>
        <v>3.8</v>
      </c>
    </row>
    <row r="18945" ht="15.0" customHeight="1">
      <c r="A18945" s="11"/>
      <c r="B18945" s="11"/>
      <c r="C18945" s="11"/>
      <c r="D18945" s="10" t="s">
        <v>22</v>
      </c>
      <c r="E18945" s="14">
        <v>0.2</v>
      </c>
      <c r="F18945" s="15">
        <f>ROUND((G18942+G18943+G18944),3)</f>
        <v>43.8</v>
      </c>
      <c r="G18945" s="12">
        <f t="shared" si="2433"/>
        <v>8.76</v>
      </c>
    </row>
    <row r="18946" ht="15.0" customHeight="1">
      <c r="A18946" s="10" t="s">
        <v>33</v>
      </c>
      <c r="B18946" s="10"/>
      <c r="C18946" s="10" t="s">
        <v>33</v>
      </c>
      <c r="D18946" s="10" t="s">
        <v>424</v>
      </c>
      <c r="E18946" s="14">
        <v>3.0</v>
      </c>
      <c r="F18946" s="15">
        <f>ROUND(79.85,3)</f>
        <v>79.85</v>
      </c>
      <c r="G18946" s="12">
        <f>ROUND((E18946*F18946)/100,2)</f>
        <v>2.4</v>
      </c>
    </row>
    <row r="18947" ht="15.0" customHeight="1">
      <c r="A18947" s="16"/>
      <c r="B18947" s="16"/>
      <c r="C18947" s="16"/>
      <c r="D18947" s="17" t="s">
        <v>9090</v>
      </c>
      <c r="E18947" s="16"/>
      <c r="F18947" s="18">
        <f>ROUND((G18935+G18936+G18937+G18938+G18939+G18940+G18941+G18946)*(1+G2/100),2)</f>
        <v>82.25</v>
      </c>
      <c r="G18947" s="16"/>
    </row>
    <row r="18948" ht="34.5" customHeight="1">
      <c r="A18948" s="19" t="s">
        <v>9092</v>
      </c>
      <c r="B18948" s="20" t="s">
        <v>18</v>
      </c>
      <c r="C18948" s="20" t="s">
        <v>231</v>
      </c>
      <c r="D18948" s="20" t="s">
        <v>9093</v>
      </c>
      <c r="E18948" s="21"/>
      <c r="F18948" s="22">
        <f>F18956</f>
        <v>144.54</v>
      </c>
      <c r="G18948" s="21"/>
    </row>
    <row r="18949" ht="12.0" customHeight="1">
      <c r="A18949" s="11"/>
      <c r="B18949" s="11"/>
      <c r="C18949" s="11"/>
      <c r="D18949" s="10" t="s">
        <v>9093</v>
      </c>
    </row>
    <row r="18950" ht="21.0" customHeight="1">
      <c r="A18950" s="10" t="s">
        <v>22</v>
      </c>
      <c r="B18950" s="10" t="s">
        <v>18</v>
      </c>
      <c r="C18950" s="10" t="s">
        <v>23</v>
      </c>
      <c r="D18950" s="10" t="s">
        <v>24</v>
      </c>
      <c r="E18950" s="14">
        <v>3.0</v>
      </c>
      <c r="F18950" s="15">
        <f>F18954</f>
        <v>43.8</v>
      </c>
      <c r="G18950" s="12">
        <f t="shared" ref="G18950:G18954" si="2435">ROUND(E18950*F18950,2)</f>
        <v>131.4</v>
      </c>
    </row>
    <row r="18951" ht="24.0" customHeight="1">
      <c r="A18951" s="10" t="s">
        <v>25</v>
      </c>
      <c r="B18951" s="10" t="s">
        <v>26</v>
      </c>
      <c r="C18951" s="10" t="s">
        <v>23</v>
      </c>
      <c r="D18951" s="10" t="s">
        <v>27</v>
      </c>
      <c r="E18951" s="14">
        <v>1.0</v>
      </c>
      <c r="F18951" s="15">
        <f>ROUND(21,3)</f>
        <v>21</v>
      </c>
      <c r="G18951" s="12">
        <f t="shared" si="2435"/>
        <v>21</v>
      </c>
    </row>
    <row r="18952" ht="24.0" customHeight="1">
      <c r="A18952" s="10" t="s">
        <v>28</v>
      </c>
      <c r="B18952" s="10" t="s">
        <v>26</v>
      </c>
      <c r="C18952" s="10" t="s">
        <v>23</v>
      </c>
      <c r="D18952" s="10" t="s">
        <v>29</v>
      </c>
      <c r="E18952" s="14">
        <v>1.0</v>
      </c>
      <c r="F18952" s="15">
        <f t="shared" ref="F18952:F18953" si="2436">ROUND(19,3)</f>
        <v>19</v>
      </c>
      <c r="G18952" s="12">
        <f t="shared" si="2435"/>
        <v>19</v>
      </c>
    </row>
    <row r="18953" ht="24.0" customHeight="1">
      <c r="A18953" s="10" t="s">
        <v>30</v>
      </c>
      <c r="B18953" s="10" t="s">
        <v>26</v>
      </c>
      <c r="C18953" s="10" t="s">
        <v>23</v>
      </c>
      <c r="D18953" s="10" t="s">
        <v>31</v>
      </c>
      <c r="E18953" s="14">
        <v>0.2</v>
      </c>
      <c r="F18953" s="15">
        <f t="shared" si="2436"/>
        <v>19</v>
      </c>
      <c r="G18953" s="12">
        <f t="shared" si="2435"/>
        <v>3.8</v>
      </c>
    </row>
    <row r="18954" ht="15.0" customHeight="1">
      <c r="A18954" s="11"/>
      <c r="B18954" s="11"/>
      <c r="C18954" s="11"/>
      <c r="D18954" s="10" t="s">
        <v>22</v>
      </c>
      <c r="E18954" s="14">
        <v>3.0</v>
      </c>
      <c r="F18954" s="15">
        <f>ROUND((G18951+G18952+G18953),3)</f>
        <v>43.8</v>
      </c>
      <c r="G18954" s="12">
        <f t="shared" si="2435"/>
        <v>131.4</v>
      </c>
    </row>
    <row r="18955" ht="15.0" customHeight="1">
      <c r="A18955" s="10" t="s">
        <v>32</v>
      </c>
      <c r="B18955" s="10"/>
      <c r="C18955" s="10" t="s">
        <v>33</v>
      </c>
      <c r="D18955" s="10" t="s">
        <v>34</v>
      </c>
      <c r="E18955" s="14">
        <v>10.0</v>
      </c>
      <c r="F18955" s="15">
        <f>ROUND(131.4,3)</f>
        <v>131.4</v>
      </c>
      <c r="G18955" s="12">
        <f>ROUND((E18955*F18955)/100,2)</f>
        <v>13.14</v>
      </c>
    </row>
    <row r="18956" ht="24.75" customHeight="1">
      <c r="A18956" s="16"/>
      <c r="B18956" s="16"/>
      <c r="C18956" s="16"/>
      <c r="D18956" s="17" t="s">
        <v>9092</v>
      </c>
      <c r="E18956" s="16"/>
      <c r="F18956" s="18">
        <f>ROUND((G18950+G18955)*(1+G2/100),2)</f>
        <v>144.54</v>
      </c>
      <c r="G18956" s="16"/>
    </row>
    <row r="18957" ht="24.75" customHeight="1">
      <c r="A18957" s="19" t="s">
        <v>9094</v>
      </c>
      <c r="B18957" s="20" t="s">
        <v>18</v>
      </c>
      <c r="C18957" s="20" t="s">
        <v>5</v>
      </c>
      <c r="D18957" s="20" t="s">
        <v>9095</v>
      </c>
      <c r="E18957" s="21"/>
      <c r="F18957" s="22">
        <f>F18968</f>
        <v>75.64</v>
      </c>
      <c r="G18957" s="21"/>
    </row>
    <row r="18958" ht="104.25" customHeight="1">
      <c r="A18958" s="11"/>
      <c r="B18958" s="11"/>
      <c r="C18958" s="11"/>
      <c r="D18958" s="10" t="s">
        <v>9096</v>
      </c>
    </row>
    <row r="18959" ht="104.25" customHeight="1">
      <c r="A18959" s="10" t="s">
        <v>9097</v>
      </c>
      <c r="B18959" s="10" t="s">
        <v>42</v>
      </c>
      <c r="C18959" s="10" t="s">
        <v>5</v>
      </c>
      <c r="D18959" s="10" t="s">
        <v>9098</v>
      </c>
      <c r="E18959" s="14">
        <v>1.0</v>
      </c>
      <c r="F18959" s="15">
        <f>ROUND(59.54,3)</f>
        <v>59.54</v>
      </c>
      <c r="G18959" s="12">
        <f t="shared" ref="G18959:G18966" si="2437">ROUND(E18959*F18959,2)</f>
        <v>59.54</v>
      </c>
    </row>
    <row r="18960" ht="21.0" customHeight="1">
      <c r="A18960" s="10" t="s">
        <v>967</v>
      </c>
      <c r="B18960" s="10" t="s">
        <v>42</v>
      </c>
      <c r="C18960" s="10" t="s">
        <v>325</v>
      </c>
      <c r="D18960" s="10" t="s">
        <v>968</v>
      </c>
      <c r="E18960" s="14">
        <v>0.08</v>
      </c>
      <c r="F18960" s="15">
        <f>ROUND(6.49,3)</f>
        <v>6.49</v>
      </c>
      <c r="G18960" s="12">
        <f t="shared" si="2437"/>
        <v>0.52</v>
      </c>
    </row>
    <row r="18961" ht="21.0" customHeight="1">
      <c r="A18961" s="10" t="s">
        <v>969</v>
      </c>
      <c r="B18961" s="10" t="s">
        <v>112</v>
      </c>
      <c r="C18961" s="10" t="s">
        <v>23</v>
      </c>
      <c r="D18961" s="10" t="s">
        <v>970</v>
      </c>
      <c r="E18961" s="14">
        <v>0.2</v>
      </c>
      <c r="F18961" s="15">
        <f>ROUND(2,3)</f>
        <v>2</v>
      </c>
      <c r="G18961" s="12">
        <f t="shared" si="2437"/>
        <v>0.4</v>
      </c>
    </row>
    <row r="18962" ht="30.0" customHeight="1">
      <c r="A18962" s="10" t="s">
        <v>971</v>
      </c>
      <c r="B18962" s="10" t="s">
        <v>42</v>
      </c>
      <c r="C18962" s="10" t="s">
        <v>231</v>
      </c>
      <c r="D18962" s="10" t="s">
        <v>972</v>
      </c>
      <c r="E18962" s="14">
        <v>0.2</v>
      </c>
      <c r="F18962" s="15">
        <f>ROUND(4.92,3)</f>
        <v>4.92</v>
      </c>
      <c r="G18962" s="12">
        <f t="shared" si="2437"/>
        <v>0.98</v>
      </c>
    </row>
    <row r="18963" ht="21.0" customHeight="1">
      <c r="A18963" s="10" t="s">
        <v>1046</v>
      </c>
      <c r="B18963" s="10" t="s">
        <v>18</v>
      </c>
      <c r="C18963" s="10" t="s">
        <v>23</v>
      </c>
      <c r="D18963" s="10" t="s">
        <v>1047</v>
      </c>
      <c r="E18963" s="14">
        <v>0.3</v>
      </c>
      <c r="F18963" s="15">
        <f>F18966</f>
        <v>40</v>
      </c>
      <c r="G18963" s="12">
        <f t="shared" si="2437"/>
        <v>12</v>
      </c>
    </row>
    <row r="18964" ht="24.0" customHeight="1">
      <c r="A18964" s="10" t="s">
        <v>25</v>
      </c>
      <c r="B18964" s="10" t="s">
        <v>26</v>
      </c>
      <c r="C18964" s="10" t="s">
        <v>23</v>
      </c>
      <c r="D18964" s="10" t="s">
        <v>27</v>
      </c>
      <c r="E18964" s="14">
        <v>1.0</v>
      </c>
      <c r="F18964" s="15">
        <f>ROUND(21,3)</f>
        <v>21</v>
      </c>
      <c r="G18964" s="12">
        <f t="shared" si="2437"/>
        <v>21</v>
      </c>
    </row>
    <row r="18965" ht="24.0" customHeight="1">
      <c r="A18965" s="10" t="s">
        <v>28</v>
      </c>
      <c r="B18965" s="10" t="s">
        <v>26</v>
      </c>
      <c r="C18965" s="10" t="s">
        <v>23</v>
      </c>
      <c r="D18965" s="10" t="s">
        <v>29</v>
      </c>
      <c r="E18965" s="14">
        <v>1.0</v>
      </c>
      <c r="F18965" s="15">
        <f>ROUND(19,3)</f>
        <v>19</v>
      </c>
      <c r="G18965" s="12">
        <f t="shared" si="2437"/>
        <v>19</v>
      </c>
    </row>
    <row r="18966" ht="15.0" customHeight="1">
      <c r="A18966" s="11"/>
      <c r="B18966" s="11"/>
      <c r="C18966" s="11"/>
      <c r="D18966" s="10" t="s">
        <v>1046</v>
      </c>
      <c r="E18966" s="14">
        <v>0.3</v>
      </c>
      <c r="F18966" s="15">
        <f>ROUND((G18964+G18965),3)</f>
        <v>40</v>
      </c>
      <c r="G18966" s="12">
        <f t="shared" si="2437"/>
        <v>12</v>
      </c>
    </row>
    <row r="18967" ht="15.0" customHeight="1">
      <c r="A18967" s="10" t="s">
        <v>33</v>
      </c>
      <c r="B18967" s="10"/>
      <c r="C18967" s="10" t="s">
        <v>33</v>
      </c>
      <c r="D18967" s="10" t="s">
        <v>424</v>
      </c>
      <c r="E18967" s="14">
        <v>3.0</v>
      </c>
      <c r="F18967" s="15">
        <f>ROUND(73.44,3)</f>
        <v>73.44</v>
      </c>
      <c r="G18967" s="12">
        <f>ROUND((E18967*F18967)/100,2)</f>
        <v>2.2</v>
      </c>
    </row>
    <row r="18968" ht="15.0" customHeight="1">
      <c r="A18968" s="16"/>
      <c r="B18968" s="16"/>
      <c r="C18968" s="16"/>
      <c r="D18968" s="17" t="s">
        <v>9094</v>
      </c>
      <c r="E18968" s="16"/>
      <c r="F18968" s="18">
        <f>ROUND((G18959+G18960+G18961+G18962+G18963+G18967)*(1+G2/100),2)</f>
        <v>75.64</v>
      </c>
      <c r="G18968" s="16"/>
    </row>
    <row r="18969" ht="39.75" customHeight="1">
      <c r="A18969" s="19" t="s">
        <v>9099</v>
      </c>
      <c r="B18969" s="20" t="s">
        <v>18</v>
      </c>
      <c r="C18969" s="20" t="s">
        <v>19</v>
      </c>
      <c r="D18969" s="20" t="s">
        <v>9100</v>
      </c>
      <c r="E18969" s="21"/>
      <c r="F18969" s="22">
        <f>F18978</f>
        <v>23.6</v>
      </c>
      <c r="G18969" s="21"/>
    </row>
    <row r="18970" ht="21.0" customHeight="1">
      <c r="A18970" s="11"/>
      <c r="B18970" s="11"/>
      <c r="C18970" s="11"/>
      <c r="D18970" s="10" t="s">
        <v>9101</v>
      </c>
    </row>
    <row r="18971" ht="24.0" customHeight="1">
      <c r="A18971" s="10" t="s">
        <v>8133</v>
      </c>
      <c r="B18971" s="10" t="s">
        <v>42</v>
      </c>
      <c r="C18971" s="10" t="s">
        <v>43</v>
      </c>
      <c r="D18971" s="10" t="s">
        <v>8134</v>
      </c>
      <c r="E18971" s="14">
        <v>0.1</v>
      </c>
      <c r="F18971" s="15">
        <f>ROUND(8.23,3)</f>
        <v>8.23</v>
      </c>
      <c r="G18971" s="12">
        <f t="shared" ref="G18971:G18976" si="2438">ROUND(E18971*F18971,2)</f>
        <v>0.82</v>
      </c>
    </row>
    <row r="18972" ht="21.0" customHeight="1">
      <c r="A18972" s="10" t="s">
        <v>22</v>
      </c>
      <c r="B18972" s="10" t="s">
        <v>18</v>
      </c>
      <c r="C18972" s="10" t="s">
        <v>23</v>
      </c>
      <c r="D18972" s="10" t="s">
        <v>24</v>
      </c>
      <c r="E18972" s="14">
        <v>0.5</v>
      </c>
      <c r="F18972" s="15">
        <f>F18976</f>
        <v>43.8</v>
      </c>
      <c r="G18972" s="12">
        <f t="shared" si="2438"/>
        <v>21.9</v>
      </c>
    </row>
    <row r="18973" ht="24.0" customHeight="1">
      <c r="A18973" s="10" t="s">
        <v>25</v>
      </c>
      <c r="B18973" s="10" t="s">
        <v>26</v>
      </c>
      <c r="C18973" s="10" t="s">
        <v>23</v>
      </c>
      <c r="D18973" s="10" t="s">
        <v>27</v>
      </c>
      <c r="E18973" s="14">
        <v>1.0</v>
      </c>
      <c r="F18973" s="15">
        <f>ROUND(21,3)</f>
        <v>21</v>
      </c>
      <c r="G18973" s="12">
        <f t="shared" si="2438"/>
        <v>21</v>
      </c>
    </row>
    <row r="18974" ht="24.0" customHeight="1">
      <c r="A18974" s="10" t="s">
        <v>28</v>
      </c>
      <c r="B18974" s="10" t="s">
        <v>26</v>
      </c>
      <c r="C18974" s="10" t="s">
        <v>23</v>
      </c>
      <c r="D18974" s="10" t="s">
        <v>29</v>
      </c>
      <c r="E18974" s="14">
        <v>1.0</v>
      </c>
      <c r="F18974" s="15">
        <f t="shared" ref="F18974:F18975" si="2439">ROUND(19,3)</f>
        <v>19</v>
      </c>
      <c r="G18974" s="12">
        <f t="shared" si="2438"/>
        <v>19</v>
      </c>
    </row>
    <row r="18975" ht="24.0" customHeight="1">
      <c r="A18975" s="10" t="s">
        <v>30</v>
      </c>
      <c r="B18975" s="10" t="s">
        <v>26</v>
      </c>
      <c r="C18975" s="10" t="s">
        <v>23</v>
      </c>
      <c r="D18975" s="10" t="s">
        <v>31</v>
      </c>
      <c r="E18975" s="14">
        <v>0.2</v>
      </c>
      <c r="F18975" s="15">
        <f t="shared" si="2439"/>
        <v>19</v>
      </c>
      <c r="G18975" s="12">
        <f t="shared" si="2438"/>
        <v>3.8</v>
      </c>
    </row>
    <row r="18976" ht="15.0" customHeight="1">
      <c r="A18976" s="11"/>
      <c r="B18976" s="11"/>
      <c r="C18976" s="11"/>
      <c r="D18976" s="10" t="s">
        <v>22</v>
      </c>
      <c r="E18976" s="14">
        <v>0.5</v>
      </c>
      <c r="F18976" s="15">
        <f>ROUND((G18973+G18974+G18975),3)</f>
        <v>43.8</v>
      </c>
      <c r="G18976" s="12">
        <f t="shared" si="2438"/>
        <v>21.9</v>
      </c>
    </row>
    <row r="18977" ht="15.0" customHeight="1">
      <c r="A18977" s="10" t="s">
        <v>32</v>
      </c>
      <c r="B18977" s="10"/>
      <c r="C18977" s="10" t="s">
        <v>33</v>
      </c>
      <c r="D18977" s="10" t="s">
        <v>34</v>
      </c>
      <c r="E18977" s="14">
        <v>4.0</v>
      </c>
      <c r="F18977" s="15">
        <f>ROUND(21.9,3)</f>
        <v>21.9</v>
      </c>
      <c r="G18977" s="12">
        <f>ROUND((E18977*F18977)/100,2)</f>
        <v>0.88</v>
      </c>
    </row>
    <row r="18978" ht="24.75" customHeight="1">
      <c r="A18978" s="16"/>
      <c r="B18978" s="16"/>
      <c r="C18978" s="16"/>
      <c r="D18978" s="17" t="s">
        <v>9099</v>
      </c>
      <c r="E18978" s="16"/>
      <c r="F18978" s="18">
        <f>ROUND((G18971+G18972+G18977)*(1+G2/100),2)</f>
        <v>23.6</v>
      </c>
      <c r="G18978" s="16"/>
    </row>
    <row r="18979" ht="30.0" customHeight="1">
      <c r="A18979" s="19" t="s">
        <v>9102</v>
      </c>
      <c r="B18979" s="20" t="s">
        <v>18</v>
      </c>
      <c r="C18979" s="20" t="s">
        <v>19</v>
      </c>
      <c r="D18979" s="20" t="s">
        <v>9103</v>
      </c>
      <c r="E18979" s="21"/>
      <c r="F18979" s="22">
        <f>F18989</f>
        <v>21.39</v>
      </c>
      <c r="G18979" s="21"/>
    </row>
    <row r="18980" ht="21.0" customHeight="1">
      <c r="A18980" s="11"/>
      <c r="B18980" s="11"/>
      <c r="C18980" s="11"/>
      <c r="D18980" s="10" t="s">
        <v>40</v>
      </c>
    </row>
    <row r="18981" ht="39.75" customHeight="1">
      <c r="A18981" s="10" t="s">
        <v>41</v>
      </c>
      <c r="B18981" s="10" t="s">
        <v>42</v>
      </c>
      <c r="C18981" s="10" t="s">
        <v>43</v>
      </c>
      <c r="D18981" s="10" t="s">
        <v>44</v>
      </c>
      <c r="E18981" s="14">
        <v>0.021</v>
      </c>
      <c r="F18981" s="15">
        <f>ROUND(9.13,3)</f>
        <v>9.13</v>
      </c>
      <c r="G18981" s="12">
        <f t="shared" ref="G18981:G18987" si="2440">ROUND(E18981*F18981,2)</f>
        <v>0.19</v>
      </c>
    </row>
    <row r="18982" ht="24.0" customHeight="1">
      <c r="A18982" s="10" t="s">
        <v>8126</v>
      </c>
      <c r="B18982" s="10" t="s">
        <v>42</v>
      </c>
      <c r="C18982" s="10" t="s">
        <v>43</v>
      </c>
      <c r="D18982" s="10" t="s">
        <v>8127</v>
      </c>
      <c r="E18982" s="14">
        <v>0.667</v>
      </c>
      <c r="F18982" s="15">
        <f>ROUND(6.85,3)</f>
        <v>6.85</v>
      </c>
      <c r="G18982" s="12">
        <f t="shared" si="2440"/>
        <v>4.57</v>
      </c>
    </row>
    <row r="18983" ht="39.75" customHeight="1">
      <c r="A18983" s="10" t="s">
        <v>8484</v>
      </c>
      <c r="B18983" s="10" t="s">
        <v>42</v>
      </c>
      <c r="C18983" s="10" t="s">
        <v>226</v>
      </c>
      <c r="D18983" s="10" t="s">
        <v>8485</v>
      </c>
      <c r="E18983" s="14">
        <v>0.035</v>
      </c>
      <c r="F18983" s="15">
        <f>ROUND(4.29,3)</f>
        <v>4.29</v>
      </c>
      <c r="G18983" s="12">
        <f t="shared" si="2440"/>
        <v>0.15</v>
      </c>
    </row>
    <row r="18984" ht="21.0" customHeight="1">
      <c r="A18984" s="10" t="s">
        <v>1046</v>
      </c>
      <c r="B18984" s="10" t="s">
        <v>18</v>
      </c>
      <c r="C18984" s="10" t="s">
        <v>23</v>
      </c>
      <c r="D18984" s="10" t="s">
        <v>1047</v>
      </c>
      <c r="E18984" s="14">
        <v>0.4</v>
      </c>
      <c r="F18984" s="15">
        <f>F18987</f>
        <v>40</v>
      </c>
      <c r="G18984" s="12">
        <f t="shared" si="2440"/>
        <v>16</v>
      </c>
    </row>
    <row r="18985" ht="24.0" customHeight="1">
      <c r="A18985" s="10" t="s">
        <v>25</v>
      </c>
      <c r="B18985" s="10" t="s">
        <v>26</v>
      </c>
      <c r="C18985" s="10" t="s">
        <v>23</v>
      </c>
      <c r="D18985" s="10" t="s">
        <v>27</v>
      </c>
      <c r="E18985" s="14">
        <v>1.0</v>
      </c>
      <c r="F18985" s="15">
        <f>ROUND(21,3)</f>
        <v>21</v>
      </c>
      <c r="G18985" s="12">
        <f t="shared" si="2440"/>
        <v>21</v>
      </c>
    </row>
    <row r="18986" ht="24.0" customHeight="1">
      <c r="A18986" s="10" t="s">
        <v>28</v>
      </c>
      <c r="B18986" s="10" t="s">
        <v>26</v>
      </c>
      <c r="C18986" s="10" t="s">
        <v>23</v>
      </c>
      <c r="D18986" s="10" t="s">
        <v>29</v>
      </c>
      <c r="E18986" s="14">
        <v>1.0</v>
      </c>
      <c r="F18986" s="15">
        <f>ROUND(19,3)</f>
        <v>19</v>
      </c>
      <c r="G18986" s="12">
        <f t="shared" si="2440"/>
        <v>19</v>
      </c>
    </row>
    <row r="18987" ht="15.0" customHeight="1">
      <c r="A18987" s="11"/>
      <c r="B18987" s="11"/>
      <c r="C18987" s="11"/>
      <c r="D18987" s="10" t="s">
        <v>1046</v>
      </c>
      <c r="E18987" s="14">
        <v>0.4</v>
      </c>
      <c r="F18987" s="15">
        <f>ROUND((G18985+G18986),3)</f>
        <v>40</v>
      </c>
      <c r="G18987" s="12">
        <f t="shared" si="2440"/>
        <v>16</v>
      </c>
    </row>
    <row r="18988" ht="15.0" customHeight="1">
      <c r="A18988" s="10" t="s">
        <v>32</v>
      </c>
      <c r="B18988" s="10"/>
      <c r="C18988" s="10" t="s">
        <v>33</v>
      </c>
      <c r="D18988" s="10" t="s">
        <v>34</v>
      </c>
      <c r="E18988" s="14">
        <v>3.0</v>
      </c>
      <c r="F18988" s="15">
        <f>ROUND(16,3)</f>
        <v>16</v>
      </c>
      <c r="G18988" s="12">
        <f>ROUND((E18988*F18988)/100,2)</f>
        <v>0.48</v>
      </c>
    </row>
    <row r="18989" ht="15.0" customHeight="1">
      <c r="A18989" s="16"/>
      <c r="B18989" s="16"/>
      <c r="C18989" s="16"/>
      <c r="D18989" s="17" t="s">
        <v>9102</v>
      </c>
      <c r="E18989" s="16"/>
      <c r="F18989" s="18">
        <f>ROUND((G18981+G18982+G18983+G18984+G18988)*(1+G2/100),2)</f>
        <v>21.39</v>
      </c>
      <c r="G18989" s="16"/>
    </row>
    <row r="18990" ht="39.75" customHeight="1">
      <c r="A18990" s="19" t="s">
        <v>9104</v>
      </c>
      <c r="B18990" s="20" t="s">
        <v>18</v>
      </c>
      <c r="C18990" s="20" t="s">
        <v>19</v>
      </c>
      <c r="D18990" s="20" t="s">
        <v>9105</v>
      </c>
      <c r="E18990" s="21"/>
      <c r="F18990" s="22">
        <f>F19000</f>
        <v>21.32</v>
      </c>
      <c r="G18990" s="21"/>
    </row>
    <row r="18991" ht="30.0" customHeight="1">
      <c r="A18991" s="11"/>
      <c r="B18991" s="11"/>
      <c r="C18991" s="11"/>
      <c r="D18991" s="10" t="s">
        <v>9106</v>
      </c>
    </row>
    <row r="18992" ht="39.75" customHeight="1">
      <c r="A18992" s="10" t="s">
        <v>953</v>
      </c>
      <c r="B18992" s="10" t="s">
        <v>112</v>
      </c>
      <c r="C18992" s="10" t="s">
        <v>23</v>
      </c>
      <c r="D18992" s="10" t="s">
        <v>954</v>
      </c>
      <c r="E18992" s="14">
        <v>0.3</v>
      </c>
      <c r="F18992" s="15">
        <f>ROUND(1.75,3)</f>
        <v>1.75</v>
      </c>
      <c r="G18992" s="12">
        <f t="shared" ref="G18992:G18998" si="2441">ROUND(E18992*F18992,2)</f>
        <v>0.53</v>
      </c>
    </row>
    <row r="18993" ht="21.0" customHeight="1">
      <c r="A18993" s="10" t="s">
        <v>955</v>
      </c>
      <c r="B18993" s="10" t="s">
        <v>42</v>
      </c>
      <c r="C18993" s="10" t="s">
        <v>956</v>
      </c>
      <c r="D18993" s="10" t="s">
        <v>957</v>
      </c>
      <c r="E18993" s="14">
        <v>0.2</v>
      </c>
      <c r="F18993" s="15">
        <f>ROUND(0.97,3)</f>
        <v>0.97</v>
      </c>
      <c r="G18993" s="12">
        <f t="shared" si="2441"/>
        <v>0.19</v>
      </c>
    </row>
    <row r="18994" ht="24.0" customHeight="1">
      <c r="A18994" s="10" t="s">
        <v>8133</v>
      </c>
      <c r="B18994" s="10" t="s">
        <v>42</v>
      </c>
      <c r="C18994" s="10" t="s">
        <v>43</v>
      </c>
      <c r="D18994" s="10" t="s">
        <v>8134</v>
      </c>
      <c r="E18994" s="14">
        <v>0.1</v>
      </c>
      <c r="F18994" s="15">
        <f>ROUND(8.23,3)</f>
        <v>8.23</v>
      </c>
      <c r="G18994" s="12">
        <f t="shared" si="2441"/>
        <v>0.82</v>
      </c>
    </row>
    <row r="18995" ht="21.0" customHeight="1">
      <c r="A18995" s="10" t="s">
        <v>9107</v>
      </c>
      <c r="B18995" s="10" t="s">
        <v>18</v>
      </c>
      <c r="C18995" s="10" t="s">
        <v>23</v>
      </c>
      <c r="D18995" s="10" t="s">
        <v>9108</v>
      </c>
      <c r="E18995" s="14">
        <v>0.48</v>
      </c>
      <c r="F18995" s="15">
        <f>F18998</f>
        <v>40</v>
      </c>
      <c r="G18995" s="12">
        <f t="shared" si="2441"/>
        <v>19.2</v>
      </c>
    </row>
    <row r="18996" ht="24.0" customHeight="1">
      <c r="A18996" s="10" t="s">
        <v>25</v>
      </c>
      <c r="B18996" s="10" t="s">
        <v>26</v>
      </c>
      <c r="C18996" s="10" t="s">
        <v>23</v>
      </c>
      <c r="D18996" s="10" t="s">
        <v>27</v>
      </c>
      <c r="E18996" s="14">
        <v>1.0</v>
      </c>
      <c r="F18996" s="15">
        <f>ROUND(21,3)</f>
        <v>21</v>
      </c>
      <c r="G18996" s="12">
        <f t="shared" si="2441"/>
        <v>21</v>
      </c>
    </row>
    <row r="18997" ht="24.0" customHeight="1">
      <c r="A18997" s="10" t="s">
        <v>28</v>
      </c>
      <c r="B18997" s="10" t="s">
        <v>26</v>
      </c>
      <c r="C18997" s="10" t="s">
        <v>23</v>
      </c>
      <c r="D18997" s="10" t="s">
        <v>29</v>
      </c>
      <c r="E18997" s="14">
        <v>1.0</v>
      </c>
      <c r="F18997" s="15">
        <f>ROUND(19,3)</f>
        <v>19</v>
      </c>
      <c r="G18997" s="12">
        <f t="shared" si="2441"/>
        <v>19</v>
      </c>
    </row>
    <row r="18998" ht="15.0" customHeight="1">
      <c r="A18998" s="11"/>
      <c r="B18998" s="11"/>
      <c r="C18998" s="11"/>
      <c r="D18998" s="10" t="s">
        <v>9107</v>
      </c>
      <c r="E18998" s="14">
        <v>0.48</v>
      </c>
      <c r="F18998" s="15">
        <f>ROUND((G18996+G18997),3)</f>
        <v>40</v>
      </c>
      <c r="G18998" s="12">
        <f t="shared" si="2441"/>
        <v>19.2</v>
      </c>
    </row>
    <row r="18999" ht="15.0" customHeight="1">
      <c r="A18999" s="10" t="s">
        <v>32</v>
      </c>
      <c r="B18999" s="10"/>
      <c r="C18999" s="10" t="s">
        <v>33</v>
      </c>
      <c r="D18999" s="10" t="s">
        <v>34</v>
      </c>
      <c r="E18999" s="14">
        <v>3.0</v>
      </c>
      <c r="F18999" s="15">
        <f>ROUND(19.2,3)</f>
        <v>19.2</v>
      </c>
      <c r="G18999" s="12">
        <f>ROUND((E18999*F18999)/100,2)</f>
        <v>0.58</v>
      </c>
    </row>
    <row r="19000" ht="15.0" customHeight="1">
      <c r="A19000" s="16"/>
      <c r="B19000" s="16"/>
      <c r="C19000" s="16"/>
      <c r="D19000" s="17" t="s">
        <v>9104</v>
      </c>
      <c r="E19000" s="16"/>
      <c r="F19000" s="18">
        <f>ROUND((G18992+G18993+G18994+G18995+G18999)*(1+G2/100),2)</f>
        <v>21.32</v>
      </c>
      <c r="G19000" s="16"/>
    </row>
    <row r="19001" ht="30.0" customHeight="1">
      <c r="A19001" s="19" t="s">
        <v>9109</v>
      </c>
      <c r="B19001" s="20" t="s">
        <v>18</v>
      </c>
      <c r="C19001" s="20" t="s">
        <v>251</v>
      </c>
      <c r="D19001" s="20" t="s">
        <v>9110</v>
      </c>
      <c r="E19001" s="21"/>
      <c r="F19001" s="22">
        <f>F19008</f>
        <v>2.06</v>
      </c>
      <c r="G19001" s="21"/>
    </row>
    <row r="19002" ht="67.5" customHeight="1">
      <c r="A19002" s="11"/>
      <c r="B19002" s="11"/>
      <c r="C19002" s="11"/>
      <c r="D19002" s="10" t="s">
        <v>274</v>
      </c>
    </row>
    <row r="19003" ht="30.0" customHeight="1">
      <c r="A19003" s="10" t="s">
        <v>8106</v>
      </c>
      <c r="B19003" s="10" t="s">
        <v>42</v>
      </c>
      <c r="C19003" s="10" t="s">
        <v>276</v>
      </c>
      <c r="D19003" s="10" t="s">
        <v>8107</v>
      </c>
      <c r="E19003" s="14">
        <v>0.005</v>
      </c>
      <c r="F19003" s="15">
        <f>ROUND(11.74,3)</f>
        <v>11.74</v>
      </c>
      <c r="G19003" s="12">
        <f t="shared" ref="G19003:G19007" si="2442">ROUND(E19003*F19003,2)</f>
        <v>0.06</v>
      </c>
    </row>
    <row r="19004" ht="24.0" customHeight="1">
      <c r="A19004" s="10" t="s">
        <v>8861</v>
      </c>
      <c r="B19004" s="10" t="s">
        <v>18</v>
      </c>
      <c r="C19004" s="10" t="s">
        <v>23</v>
      </c>
      <c r="D19004" s="10" t="s">
        <v>8862</v>
      </c>
      <c r="E19004" s="14">
        <v>0.05</v>
      </c>
      <c r="F19004" s="15">
        <f>F19007</f>
        <v>40</v>
      </c>
      <c r="G19004" s="12">
        <f t="shared" si="2442"/>
        <v>2</v>
      </c>
    </row>
    <row r="19005" ht="24.0" customHeight="1">
      <c r="A19005" s="10" t="s">
        <v>25</v>
      </c>
      <c r="B19005" s="10" t="s">
        <v>26</v>
      </c>
      <c r="C19005" s="10" t="s">
        <v>23</v>
      </c>
      <c r="D19005" s="10" t="s">
        <v>27</v>
      </c>
      <c r="E19005" s="14">
        <v>1.0</v>
      </c>
      <c r="F19005" s="15">
        <f>ROUND(21,3)</f>
        <v>21</v>
      </c>
      <c r="G19005" s="12">
        <f t="shared" si="2442"/>
        <v>21</v>
      </c>
    </row>
    <row r="19006" ht="24.0" customHeight="1">
      <c r="A19006" s="10" t="s">
        <v>28</v>
      </c>
      <c r="B19006" s="10" t="s">
        <v>26</v>
      </c>
      <c r="C19006" s="10" t="s">
        <v>23</v>
      </c>
      <c r="D19006" s="10" t="s">
        <v>29</v>
      </c>
      <c r="E19006" s="14">
        <v>1.0</v>
      </c>
      <c r="F19006" s="15">
        <f>ROUND(19,3)</f>
        <v>19</v>
      </c>
      <c r="G19006" s="12">
        <f t="shared" si="2442"/>
        <v>19</v>
      </c>
    </row>
    <row r="19007" ht="15.0" customHeight="1">
      <c r="A19007" s="11"/>
      <c r="B19007" s="11"/>
      <c r="C19007" s="11"/>
      <c r="D19007" s="10" t="s">
        <v>8861</v>
      </c>
      <c r="E19007" s="14">
        <v>0.05</v>
      </c>
      <c r="F19007" s="15">
        <f>ROUND((G19005+G19006),3)</f>
        <v>40</v>
      </c>
      <c r="G19007" s="12">
        <f t="shared" si="2442"/>
        <v>2</v>
      </c>
    </row>
    <row r="19008" ht="15.0" customHeight="1">
      <c r="A19008" s="16"/>
      <c r="B19008" s="16"/>
      <c r="C19008" s="16"/>
      <c r="D19008" s="17" t="s">
        <v>9109</v>
      </c>
      <c r="E19008" s="16"/>
      <c r="F19008" s="18">
        <f>ROUND((G19003+G19004)*(1+G2/100),2)</f>
        <v>2.06</v>
      </c>
      <c r="G19008" s="16"/>
    </row>
    <row r="19009" ht="30.0" customHeight="1">
      <c r="A19009" s="19" t="s">
        <v>9111</v>
      </c>
      <c r="B19009" s="20" t="s">
        <v>18</v>
      </c>
      <c r="C19009" s="20" t="s">
        <v>344</v>
      </c>
      <c r="D19009" s="20" t="s">
        <v>9112</v>
      </c>
      <c r="E19009" s="21"/>
      <c r="F19009" s="22">
        <f>F19032</f>
        <v>791.57</v>
      </c>
      <c r="G19009" s="21"/>
    </row>
    <row r="19010" ht="12.0" customHeight="1">
      <c r="A19010" s="11"/>
      <c r="B19010" s="11"/>
      <c r="C19010" s="11"/>
      <c r="D19010" s="10" t="s">
        <v>9112</v>
      </c>
    </row>
    <row r="19011" ht="21.0" customHeight="1">
      <c r="A19011" s="10" t="s">
        <v>7326</v>
      </c>
      <c r="B19011" s="10" t="s">
        <v>42</v>
      </c>
      <c r="C19011" s="10" t="s">
        <v>344</v>
      </c>
      <c r="D19011" s="10" t="s">
        <v>7327</v>
      </c>
      <c r="E19011" s="14">
        <v>2.0</v>
      </c>
      <c r="F19011" s="15">
        <f>ROUND(4.12,3)</f>
        <v>4.12</v>
      </c>
      <c r="G19011" s="12">
        <f t="shared" ref="G19011:G19030" si="2443">ROUND(E19011*F19011,2)</f>
        <v>8.24</v>
      </c>
    </row>
    <row r="19012" ht="30.0" customHeight="1">
      <c r="A19012" s="10" t="s">
        <v>7348</v>
      </c>
      <c r="B19012" s="10" t="s">
        <v>42</v>
      </c>
      <c r="C19012" s="10" t="s">
        <v>344</v>
      </c>
      <c r="D19012" s="10" t="s">
        <v>7349</v>
      </c>
      <c r="E19012" s="14">
        <v>6.0</v>
      </c>
      <c r="F19012" s="15">
        <f>ROUND(5.56,3)</f>
        <v>5.56</v>
      </c>
      <c r="G19012" s="12">
        <f t="shared" si="2443"/>
        <v>33.36</v>
      </c>
    </row>
    <row r="19013" ht="30.0" customHeight="1">
      <c r="A19013" s="10" t="s">
        <v>1378</v>
      </c>
      <c r="B19013" s="10" t="s">
        <v>42</v>
      </c>
      <c r="C19013" s="10" t="s">
        <v>330</v>
      </c>
      <c r="D19013" s="10" t="s">
        <v>1379</v>
      </c>
      <c r="E19013" s="14">
        <v>0.4</v>
      </c>
      <c r="F19013" s="15">
        <f>ROUND(6.14,3)</f>
        <v>6.14</v>
      </c>
      <c r="G19013" s="12">
        <f t="shared" si="2443"/>
        <v>2.46</v>
      </c>
    </row>
    <row r="19014" ht="39.75" customHeight="1">
      <c r="A19014" s="10" t="s">
        <v>1342</v>
      </c>
      <c r="B19014" s="10" t="s">
        <v>42</v>
      </c>
      <c r="C19014" s="10" t="s">
        <v>330</v>
      </c>
      <c r="D19014" s="10" t="s">
        <v>1343</v>
      </c>
      <c r="E19014" s="14">
        <v>1.0</v>
      </c>
      <c r="F19014" s="15">
        <f>ROUND(11.38,3)</f>
        <v>11.38</v>
      </c>
      <c r="G19014" s="12">
        <f t="shared" si="2443"/>
        <v>11.38</v>
      </c>
    </row>
    <row r="19015" ht="30.0" customHeight="1">
      <c r="A19015" s="10" t="s">
        <v>1244</v>
      </c>
      <c r="B19015" s="10" t="s">
        <v>42</v>
      </c>
      <c r="C19015" s="10" t="s">
        <v>1245</v>
      </c>
      <c r="D19015" s="10" t="s">
        <v>1246</v>
      </c>
      <c r="E19015" s="14">
        <v>1.25</v>
      </c>
      <c r="F19015" s="15">
        <f>ROUND(12.31,3)</f>
        <v>12.31</v>
      </c>
      <c r="G19015" s="12">
        <f t="shared" si="2443"/>
        <v>15.39</v>
      </c>
    </row>
    <row r="19016" ht="30.0" customHeight="1">
      <c r="A19016" s="10" t="s">
        <v>6805</v>
      </c>
      <c r="B19016" s="10" t="s">
        <v>42</v>
      </c>
      <c r="C19016" s="10" t="s">
        <v>344</v>
      </c>
      <c r="D19016" s="10" t="s">
        <v>6806</v>
      </c>
      <c r="E19016" s="14">
        <v>5.0</v>
      </c>
      <c r="F19016" s="15">
        <f>ROUND(16.44,3)</f>
        <v>16.44</v>
      </c>
      <c r="G19016" s="12">
        <f t="shared" si="2443"/>
        <v>82.2</v>
      </c>
    </row>
    <row r="19017" ht="21.0" customHeight="1">
      <c r="A19017" s="10" t="s">
        <v>967</v>
      </c>
      <c r="B19017" s="10" t="s">
        <v>42</v>
      </c>
      <c r="C19017" s="10" t="s">
        <v>325</v>
      </c>
      <c r="D19017" s="10" t="s">
        <v>968</v>
      </c>
      <c r="E19017" s="14">
        <v>0.44</v>
      </c>
      <c r="F19017" s="15">
        <f>ROUND(6.49,3)</f>
        <v>6.49</v>
      </c>
      <c r="G19017" s="12">
        <f t="shared" si="2443"/>
        <v>2.86</v>
      </c>
    </row>
    <row r="19018" ht="30.0" customHeight="1">
      <c r="A19018" s="10" t="s">
        <v>6659</v>
      </c>
      <c r="B19018" s="10" t="s">
        <v>42</v>
      </c>
      <c r="C19018" s="10" t="s">
        <v>19</v>
      </c>
      <c r="D19018" s="10" t="s">
        <v>6660</v>
      </c>
      <c r="E19018" s="14">
        <v>2.0</v>
      </c>
      <c r="F19018" s="15">
        <f>ROUND(95,3)</f>
        <v>95</v>
      </c>
      <c r="G19018" s="12">
        <f t="shared" si="2443"/>
        <v>190</v>
      </c>
    </row>
    <row r="19019" ht="39.75" customHeight="1">
      <c r="A19019" s="10" t="s">
        <v>7383</v>
      </c>
      <c r="B19019" s="10" t="s">
        <v>42</v>
      </c>
      <c r="C19019" s="10" t="s">
        <v>344</v>
      </c>
      <c r="D19019" s="10" t="s">
        <v>7384</v>
      </c>
      <c r="E19019" s="14">
        <v>3.0</v>
      </c>
      <c r="F19019" s="15">
        <f>ROUND(11.92,3)</f>
        <v>11.92</v>
      </c>
      <c r="G19019" s="12">
        <f t="shared" si="2443"/>
        <v>35.76</v>
      </c>
    </row>
    <row r="19020" ht="30.0" customHeight="1">
      <c r="A19020" s="10" t="s">
        <v>8085</v>
      </c>
      <c r="B19020" s="10" t="s">
        <v>42</v>
      </c>
      <c r="C19020" s="10" t="s">
        <v>43</v>
      </c>
      <c r="D19020" s="10" t="s">
        <v>8086</v>
      </c>
      <c r="E19020" s="14">
        <v>1.0</v>
      </c>
      <c r="F19020" s="15">
        <f>ROUND(3.7,3)</f>
        <v>3.7</v>
      </c>
      <c r="G19020" s="12">
        <f t="shared" si="2443"/>
        <v>3.7</v>
      </c>
    </row>
    <row r="19021" ht="30.0" customHeight="1">
      <c r="A19021" s="10" t="s">
        <v>971</v>
      </c>
      <c r="B19021" s="10" t="s">
        <v>42</v>
      </c>
      <c r="C19021" s="10" t="s">
        <v>231</v>
      </c>
      <c r="D19021" s="10" t="s">
        <v>972</v>
      </c>
      <c r="E19021" s="14">
        <v>1.0</v>
      </c>
      <c r="F19021" s="15">
        <f>ROUND(4.92,3)</f>
        <v>4.92</v>
      </c>
      <c r="G19021" s="12">
        <f t="shared" si="2443"/>
        <v>4.92</v>
      </c>
    </row>
    <row r="19022" ht="30.0" customHeight="1">
      <c r="A19022" s="10" t="s">
        <v>2545</v>
      </c>
      <c r="B19022" s="10" t="s">
        <v>42</v>
      </c>
      <c r="C19022" s="10" t="s">
        <v>325</v>
      </c>
      <c r="D19022" s="10" t="s">
        <v>2546</v>
      </c>
      <c r="E19022" s="14">
        <v>0.1</v>
      </c>
      <c r="F19022" s="15">
        <f>ROUND(64.19,3)</f>
        <v>64.19</v>
      </c>
      <c r="G19022" s="12">
        <f t="shared" si="2443"/>
        <v>6.42</v>
      </c>
    </row>
    <row r="19023" ht="21.0" customHeight="1">
      <c r="A19023" s="10" t="s">
        <v>955</v>
      </c>
      <c r="B19023" s="10" t="s">
        <v>42</v>
      </c>
      <c r="C19023" s="10" t="s">
        <v>956</v>
      </c>
      <c r="D19023" s="10" t="s">
        <v>957</v>
      </c>
      <c r="E19023" s="14">
        <v>2.0</v>
      </c>
      <c r="F19023" s="15">
        <f>ROUND(0.97,3)</f>
        <v>0.97</v>
      </c>
      <c r="G19023" s="12">
        <f t="shared" si="2443"/>
        <v>1.94</v>
      </c>
    </row>
    <row r="19024" ht="39.75" customHeight="1">
      <c r="A19024" s="10" t="s">
        <v>953</v>
      </c>
      <c r="B19024" s="10" t="s">
        <v>112</v>
      </c>
      <c r="C19024" s="10" t="s">
        <v>23</v>
      </c>
      <c r="D19024" s="10" t="s">
        <v>954</v>
      </c>
      <c r="E19024" s="14">
        <v>2.0</v>
      </c>
      <c r="F19024" s="15">
        <f>ROUND(1.75,3)</f>
        <v>1.75</v>
      </c>
      <c r="G19024" s="12">
        <f t="shared" si="2443"/>
        <v>3.5</v>
      </c>
    </row>
    <row r="19025" ht="21.0" customHeight="1">
      <c r="A19025" s="10" t="s">
        <v>969</v>
      </c>
      <c r="B19025" s="10" t="s">
        <v>112</v>
      </c>
      <c r="C19025" s="10" t="s">
        <v>23</v>
      </c>
      <c r="D19025" s="10" t="s">
        <v>970</v>
      </c>
      <c r="E19025" s="14">
        <v>2.0</v>
      </c>
      <c r="F19025" s="15">
        <f>ROUND(2,3)</f>
        <v>2</v>
      </c>
      <c r="G19025" s="12">
        <f t="shared" si="2443"/>
        <v>4</v>
      </c>
    </row>
    <row r="19026" ht="21.0" customHeight="1">
      <c r="A19026" s="10" t="s">
        <v>22</v>
      </c>
      <c r="B19026" s="10" t="s">
        <v>18</v>
      </c>
      <c r="C19026" s="10" t="s">
        <v>23</v>
      </c>
      <c r="D19026" s="10" t="s">
        <v>24</v>
      </c>
      <c r="E19026" s="14">
        <v>8.0</v>
      </c>
      <c r="F19026" s="15">
        <f>F19030</f>
        <v>43.8</v>
      </c>
      <c r="G19026" s="12">
        <f t="shared" si="2443"/>
        <v>350.4</v>
      </c>
    </row>
    <row r="19027" ht="24.0" customHeight="1">
      <c r="A19027" s="10" t="s">
        <v>25</v>
      </c>
      <c r="B19027" s="10" t="s">
        <v>26</v>
      </c>
      <c r="C19027" s="10" t="s">
        <v>23</v>
      </c>
      <c r="D19027" s="10" t="s">
        <v>27</v>
      </c>
      <c r="E19027" s="14">
        <v>1.0</v>
      </c>
      <c r="F19027" s="15">
        <f>ROUND(21,3)</f>
        <v>21</v>
      </c>
      <c r="G19027" s="12">
        <f t="shared" si="2443"/>
        <v>21</v>
      </c>
    </row>
    <row r="19028" ht="24.0" customHeight="1">
      <c r="A19028" s="10" t="s">
        <v>28</v>
      </c>
      <c r="B19028" s="10" t="s">
        <v>26</v>
      </c>
      <c r="C19028" s="10" t="s">
        <v>23</v>
      </c>
      <c r="D19028" s="10" t="s">
        <v>29</v>
      </c>
      <c r="E19028" s="14">
        <v>1.0</v>
      </c>
      <c r="F19028" s="15">
        <f t="shared" ref="F19028:F19029" si="2444">ROUND(19,3)</f>
        <v>19</v>
      </c>
      <c r="G19028" s="12">
        <f t="shared" si="2443"/>
        <v>19</v>
      </c>
    </row>
    <row r="19029" ht="24.0" customHeight="1">
      <c r="A19029" s="10" t="s">
        <v>30</v>
      </c>
      <c r="B19029" s="10" t="s">
        <v>26</v>
      </c>
      <c r="C19029" s="10" t="s">
        <v>23</v>
      </c>
      <c r="D19029" s="10" t="s">
        <v>31</v>
      </c>
      <c r="E19029" s="14">
        <v>0.2</v>
      </c>
      <c r="F19029" s="15">
        <f t="shared" si="2444"/>
        <v>19</v>
      </c>
      <c r="G19029" s="12">
        <f t="shared" si="2443"/>
        <v>3.8</v>
      </c>
    </row>
    <row r="19030" ht="15.0" customHeight="1">
      <c r="A19030" s="11"/>
      <c r="B19030" s="11"/>
      <c r="C19030" s="11"/>
      <c r="D19030" s="10" t="s">
        <v>22</v>
      </c>
      <c r="E19030" s="14">
        <v>8.0</v>
      </c>
      <c r="F19030" s="15">
        <f>ROUND((G19027+G19028+G19029),3)</f>
        <v>43.8</v>
      </c>
      <c r="G19030" s="12">
        <f t="shared" si="2443"/>
        <v>350.4</v>
      </c>
    </row>
    <row r="19031" ht="15.0" customHeight="1">
      <c r="A19031" s="10" t="s">
        <v>32</v>
      </c>
      <c r="B19031" s="10"/>
      <c r="C19031" s="10" t="s">
        <v>33</v>
      </c>
      <c r="D19031" s="10" t="s">
        <v>34</v>
      </c>
      <c r="E19031" s="14">
        <v>10.0</v>
      </c>
      <c r="F19031" s="15">
        <f>ROUND(350.4,3)</f>
        <v>350.4</v>
      </c>
      <c r="G19031" s="12">
        <f>ROUND((E19031*F19031)/100,2)</f>
        <v>35.04</v>
      </c>
    </row>
    <row r="19032" ht="15.0" customHeight="1">
      <c r="A19032" s="16"/>
      <c r="B19032" s="16"/>
      <c r="C19032" s="16"/>
      <c r="D19032" s="17" t="s">
        <v>9111</v>
      </c>
      <c r="E19032" s="16"/>
      <c r="F19032" s="18">
        <f>ROUND((G19011+G19012+G19013+G19014+G19015+G19016+G19017+G19018+G19019+G19020+G19021+G19022+G19023+G19024+G19025+G19026+G19031)*(1+G2/100),2)</f>
        <v>791.57</v>
      </c>
      <c r="G19032" s="16"/>
    </row>
    <row r="19033" ht="30.0" customHeight="1">
      <c r="A19033" s="19" t="s">
        <v>9113</v>
      </c>
      <c r="B19033" s="20" t="s">
        <v>18</v>
      </c>
      <c r="C19033" s="20" t="s">
        <v>9114</v>
      </c>
      <c r="D19033" s="20" t="s">
        <v>9115</v>
      </c>
      <c r="E19033" s="21"/>
      <c r="F19033" s="22">
        <f>F19041</f>
        <v>65.56</v>
      </c>
      <c r="G19033" s="21"/>
    </row>
    <row r="19034" ht="12.0" customHeight="1">
      <c r="A19034" s="11"/>
      <c r="B19034" s="11"/>
      <c r="C19034" s="11"/>
      <c r="D19034" s="10" t="s">
        <v>9116</v>
      </c>
    </row>
    <row r="19035" ht="39.75" customHeight="1">
      <c r="A19035" s="10" t="s">
        <v>6647</v>
      </c>
      <c r="B19035" s="10" t="s">
        <v>42</v>
      </c>
      <c r="C19035" s="10" t="s">
        <v>344</v>
      </c>
      <c r="D19035" s="10" t="s">
        <v>6648</v>
      </c>
      <c r="E19035" s="14">
        <v>1.0</v>
      </c>
      <c r="F19035" s="15">
        <f>ROUND(23.56,3)</f>
        <v>23.56</v>
      </c>
      <c r="G19035" s="12">
        <f t="shared" ref="G19035:G19039" si="2445">ROUND(E19035*F19035,2)</f>
        <v>23.56</v>
      </c>
    </row>
    <row r="19036" ht="21.0" customHeight="1">
      <c r="A19036" s="10" t="s">
        <v>1046</v>
      </c>
      <c r="B19036" s="10" t="s">
        <v>18</v>
      </c>
      <c r="C19036" s="10" t="s">
        <v>23</v>
      </c>
      <c r="D19036" s="10" t="s">
        <v>1047</v>
      </c>
      <c r="E19036" s="14">
        <v>1.0</v>
      </c>
      <c r="F19036" s="15">
        <f>F19039</f>
        <v>40</v>
      </c>
      <c r="G19036" s="12">
        <f t="shared" si="2445"/>
        <v>40</v>
      </c>
    </row>
    <row r="19037" ht="24.0" customHeight="1">
      <c r="A19037" s="10" t="s">
        <v>25</v>
      </c>
      <c r="B19037" s="10" t="s">
        <v>26</v>
      </c>
      <c r="C19037" s="10" t="s">
        <v>23</v>
      </c>
      <c r="D19037" s="10" t="s">
        <v>27</v>
      </c>
      <c r="E19037" s="14">
        <v>1.0</v>
      </c>
      <c r="F19037" s="15">
        <f>ROUND(21,3)</f>
        <v>21</v>
      </c>
      <c r="G19037" s="12">
        <f t="shared" si="2445"/>
        <v>21</v>
      </c>
    </row>
    <row r="19038" ht="24.0" customHeight="1">
      <c r="A19038" s="10" t="s">
        <v>28</v>
      </c>
      <c r="B19038" s="10" t="s">
        <v>26</v>
      </c>
      <c r="C19038" s="10" t="s">
        <v>23</v>
      </c>
      <c r="D19038" s="10" t="s">
        <v>29</v>
      </c>
      <c r="E19038" s="14">
        <v>1.0</v>
      </c>
      <c r="F19038" s="15">
        <f>ROUND(19,3)</f>
        <v>19</v>
      </c>
      <c r="G19038" s="12">
        <f t="shared" si="2445"/>
        <v>19</v>
      </c>
    </row>
    <row r="19039" ht="15.0" customHeight="1">
      <c r="A19039" s="11"/>
      <c r="B19039" s="11"/>
      <c r="C19039" s="11"/>
      <c r="D19039" s="10" t="s">
        <v>1046</v>
      </c>
      <c r="E19039" s="14">
        <v>1.0</v>
      </c>
      <c r="F19039" s="15">
        <f>ROUND((G19037+G19038),3)</f>
        <v>40</v>
      </c>
      <c r="G19039" s="12">
        <f t="shared" si="2445"/>
        <v>40</v>
      </c>
    </row>
    <row r="19040" ht="15.0" customHeight="1">
      <c r="A19040" s="10" t="s">
        <v>32</v>
      </c>
      <c r="B19040" s="10"/>
      <c r="C19040" s="10" t="s">
        <v>33</v>
      </c>
      <c r="D19040" s="10" t="s">
        <v>34</v>
      </c>
      <c r="E19040" s="14">
        <v>5.0</v>
      </c>
      <c r="F19040" s="15">
        <f>ROUND(40,3)</f>
        <v>40</v>
      </c>
      <c r="G19040" s="12">
        <f>ROUND((E19040*F19040)/100,2)</f>
        <v>2</v>
      </c>
    </row>
    <row r="19041" ht="15.0" customHeight="1">
      <c r="A19041" s="16"/>
      <c r="B19041" s="16"/>
      <c r="C19041" s="16"/>
      <c r="D19041" s="17" t="s">
        <v>9113</v>
      </c>
      <c r="E19041" s="16"/>
      <c r="F19041" s="18">
        <f>ROUND((G19035+G19036+G19040)*(1+G2/100),2)</f>
        <v>65.56</v>
      </c>
      <c r="G19041" s="16"/>
    </row>
    <row r="19042" ht="30.0" customHeight="1">
      <c r="A19042" s="19" t="s">
        <v>9117</v>
      </c>
      <c r="B19042" s="20" t="s">
        <v>18</v>
      </c>
      <c r="C19042" s="20" t="s">
        <v>351</v>
      </c>
      <c r="D19042" s="20" t="s">
        <v>9118</v>
      </c>
      <c r="E19042" s="21"/>
      <c r="F19042" s="22">
        <f>F19052</f>
        <v>9.89</v>
      </c>
      <c r="G19042" s="21"/>
    </row>
    <row r="19043" ht="39.75" customHeight="1">
      <c r="A19043" s="11"/>
      <c r="B19043" s="11"/>
      <c r="C19043" s="11"/>
      <c r="D19043" s="10" t="s">
        <v>4965</v>
      </c>
    </row>
    <row r="19044" ht="39.75" customHeight="1">
      <c r="A19044" s="10" t="s">
        <v>6746</v>
      </c>
      <c r="B19044" s="10" t="s">
        <v>42</v>
      </c>
      <c r="C19044" s="10" t="s">
        <v>330</v>
      </c>
      <c r="D19044" s="10" t="s">
        <v>6747</v>
      </c>
      <c r="E19044" s="14">
        <v>0.3</v>
      </c>
      <c r="F19044" s="15">
        <f>ROUND(4.59,3)</f>
        <v>4.59</v>
      </c>
      <c r="G19044" s="12">
        <f t="shared" ref="G19044:G19050" si="2446">ROUND(E19044*F19044,2)</f>
        <v>1.38</v>
      </c>
    </row>
    <row r="19045" ht="21.0" customHeight="1">
      <c r="A19045" s="10" t="s">
        <v>329</v>
      </c>
      <c r="B19045" s="10" t="s">
        <v>42</v>
      </c>
      <c r="C19045" s="10" t="s">
        <v>330</v>
      </c>
      <c r="D19045" s="10" t="s">
        <v>331</v>
      </c>
      <c r="E19045" s="14">
        <v>0.6</v>
      </c>
      <c r="F19045" s="15">
        <f>ROUND(4.8,3)</f>
        <v>4.8</v>
      </c>
      <c r="G19045" s="12">
        <f t="shared" si="2446"/>
        <v>2.88</v>
      </c>
    </row>
    <row r="19046" ht="21.0" customHeight="1">
      <c r="A19046" s="10" t="s">
        <v>22</v>
      </c>
      <c r="B19046" s="10" t="s">
        <v>18</v>
      </c>
      <c r="C19046" s="10" t="s">
        <v>23</v>
      </c>
      <c r="D19046" s="10" t="s">
        <v>24</v>
      </c>
      <c r="E19046" s="14">
        <v>0.12</v>
      </c>
      <c r="F19046" s="15">
        <f>F19050</f>
        <v>43.8</v>
      </c>
      <c r="G19046" s="12">
        <f t="shared" si="2446"/>
        <v>5.26</v>
      </c>
    </row>
    <row r="19047" ht="24.0" customHeight="1">
      <c r="A19047" s="10" t="s">
        <v>25</v>
      </c>
      <c r="B19047" s="10" t="s">
        <v>26</v>
      </c>
      <c r="C19047" s="10" t="s">
        <v>23</v>
      </c>
      <c r="D19047" s="10" t="s">
        <v>27</v>
      </c>
      <c r="E19047" s="14">
        <v>1.0</v>
      </c>
      <c r="F19047" s="15">
        <f>ROUND(21,3)</f>
        <v>21</v>
      </c>
      <c r="G19047" s="12">
        <f t="shared" si="2446"/>
        <v>21</v>
      </c>
    </row>
    <row r="19048" ht="24.0" customHeight="1">
      <c r="A19048" s="10" t="s">
        <v>28</v>
      </c>
      <c r="B19048" s="10" t="s">
        <v>26</v>
      </c>
      <c r="C19048" s="10" t="s">
        <v>23</v>
      </c>
      <c r="D19048" s="10" t="s">
        <v>29</v>
      </c>
      <c r="E19048" s="14">
        <v>1.0</v>
      </c>
      <c r="F19048" s="15">
        <f t="shared" ref="F19048:F19049" si="2447">ROUND(19,3)</f>
        <v>19</v>
      </c>
      <c r="G19048" s="12">
        <f t="shared" si="2446"/>
        <v>19</v>
      </c>
    </row>
    <row r="19049" ht="24.0" customHeight="1">
      <c r="A19049" s="10" t="s">
        <v>30</v>
      </c>
      <c r="B19049" s="10" t="s">
        <v>26</v>
      </c>
      <c r="C19049" s="10" t="s">
        <v>23</v>
      </c>
      <c r="D19049" s="10" t="s">
        <v>31</v>
      </c>
      <c r="E19049" s="14">
        <v>0.2</v>
      </c>
      <c r="F19049" s="15">
        <f t="shared" si="2447"/>
        <v>19</v>
      </c>
      <c r="G19049" s="12">
        <f t="shared" si="2446"/>
        <v>3.8</v>
      </c>
    </row>
    <row r="19050" ht="15.0" customHeight="1">
      <c r="A19050" s="11"/>
      <c r="B19050" s="11"/>
      <c r="C19050" s="11"/>
      <c r="D19050" s="10" t="s">
        <v>22</v>
      </c>
      <c r="E19050" s="14">
        <v>0.12</v>
      </c>
      <c r="F19050" s="15">
        <f>ROUND((G19047+G19048+G19049),3)</f>
        <v>43.8</v>
      </c>
      <c r="G19050" s="12">
        <f t="shared" si="2446"/>
        <v>5.26</v>
      </c>
    </row>
    <row r="19051" ht="15.0" customHeight="1">
      <c r="A19051" s="10" t="s">
        <v>32</v>
      </c>
      <c r="B19051" s="10"/>
      <c r="C19051" s="10" t="s">
        <v>33</v>
      </c>
      <c r="D19051" s="10" t="s">
        <v>34</v>
      </c>
      <c r="E19051" s="14">
        <v>7.0</v>
      </c>
      <c r="F19051" s="15">
        <f>ROUND(5.26,3)</f>
        <v>5.26</v>
      </c>
      <c r="G19051" s="12">
        <f>ROUND((E19051*F19051)/100,2)</f>
        <v>0.37</v>
      </c>
    </row>
    <row r="19052" ht="15.0" customHeight="1">
      <c r="A19052" s="16"/>
      <c r="B19052" s="16"/>
      <c r="C19052" s="16"/>
      <c r="D19052" s="17" t="s">
        <v>9117</v>
      </c>
      <c r="E19052" s="16"/>
      <c r="F19052" s="18">
        <f>ROUND((G19044+G19045+G19046+G19051)*(1+G2/100),2)</f>
        <v>9.89</v>
      </c>
      <c r="G19052" s="16"/>
    </row>
    <row r="19053" ht="48.75" customHeight="1">
      <c r="A19053" s="19" t="s">
        <v>9119</v>
      </c>
      <c r="B19053" s="20" t="s">
        <v>18</v>
      </c>
      <c r="C19053" s="20" t="s">
        <v>351</v>
      </c>
      <c r="D19053" s="20" t="s">
        <v>9120</v>
      </c>
      <c r="E19053" s="21"/>
      <c r="F19053" s="22">
        <f>F19071</f>
        <v>29.14</v>
      </c>
      <c r="G19053" s="21"/>
    </row>
    <row r="19054" ht="21.0" customHeight="1">
      <c r="A19054" s="11"/>
      <c r="B19054" s="11"/>
      <c r="C19054" s="11"/>
      <c r="D19054" s="10" t="s">
        <v>9121</v>
      </c>
    </row>
    <row r="19055" ht="30.0" customHeight="1">
      <c r="A19055" s="10" t="s">
        <v>3259</v>
      </c>
      <c r="B19055" s="10" t="s">
        <v>42</v>
      </c>
      <c r="C19055" s="10" t="s">
        <v>226</v>
      </c>
      <c r="D19055" s="10" t="s">
        <v>3260</v>
      </c>
      <c r="E19055" s="14">
        <v>0.04286</v>
      </c>
      <c r="F19055" s="15">
        <f>ROUND(28.1,3)</f>
        <v>28.1</v>
      </c>
      <c r="G19055" s="12">
        <f t="shared" ref="G19055:G19069" si="2448">ROUND(E19055*F19055,2)</f>
        <v>1.2</v>
      </c>
    </row>
    <row r="19056" ht="30.0" customHeight="1">
      <c r="A19056" s="10" t="s">
        <v>6837</v>
      </c>
      <c r="B19056" s="10" t="s">
        <v>42</v>
      </c>
      <c r="C19056" s="10" t="s">
        <v>344</v>
      </c>
      <c r="D19056" s="10" t="s">
        <v>6838</v>
      </c>
      <c r="E19056" s="14">
        <v>0.14286</v>
      </c>
      <c r="F19056" s="15">
        <f>ROUND(7.99,3)</f>
        <v>7.99</v>
      </c>
      <c r="G19056" s="12">
        <f t="shared" si="2448"/>
        <v>1.14</v>
      </c>
    </row>
    <row r="19057" ht="21.0" customHeight="1">
      <c r="A19057" s="10" t="s">
        <v>6831</v>
      </c>
      <c r="B19057" s="10" t="s">
        <v>42</v>
      </c>
      <c r="C19057" s="10" t="s">
        <v>344</v>
      </c>
      <c r="D19057" s="10" t="s">
        <v>6832</v>
      </c>
      <c r="E19057" s="14">
        <v>0.28571</v>
      </c>
      <c r="F19057" s="15">
        <f>ROUND(2.93,3)</f>
        <v>2.93</v>
      </c>
      <c r="G19057" s="12">
        <f t="shared" si="2448"/>
        <v>0.84</v>
      </c>
    </row>
    <row r="19058" ht="30.0" customHeight="1">
      <c r="A19058" s="10" t="s">
        <v>6882</v>
      </c>
      <c r="B19058" s="10" t="s">
        <v>42</v>
      </c>
      <c r="C19058" s="10" t="s">
        <v>344</v>
      </c>
      <c r="D19058" s="10" t="s">
        <v>6883</v>
      </c>
      <c r="E19058" s="14">
        <v>0.14286</v>
      </c>
      <c r="F19058" s="15">
        <f>ROUND(2.3,3)</f>
        <v>2.3</v>
      </c>
      <c r="G19058" s="12">
        <f t="shared" si="2448"/>
        <v>0.33</v>
      </c>
    </row>
    <row r="19059" ht="21.0" customHeight="1">
      <c r="A19059" s="10" t="s">
        <v>6888</v>
      </c>
      <c r="B19059" s="10" t="s">
        <v>42</v>
      </c>
      <c r="C19059" s="10" t="s">
        <v>344</v>
      </c>
      <c r="D19059" s="10" t="s">
        <v>6889</v>
      </c>
      <c r="E19059" s="14">
        <v>0.05714</v>
      </c>
      <c r="F19059" s="15">
        <f>ROUND(5.04,3)</f>
        <v>5.04</v>
      </c>
      <c r="G19059" s="12">
        <f t="shared" si="2448"/>
        <v>0.29</v>
      </c>
    </row>
    <row r="19060" ht="30.0" customHeight="1">
      <c r="A19060" s="10" t="s">
        <v>3118</v>
      </c>
      <c r="B19060" s="10" t="s">
        <v>42</v>
      </c>
      <c r="C19060" s="10" t="s">
        <v>344</v>
      </c>
      <c r="D19060" s="10" t="s">
        <v>3119</v>
      </c>
      <c r="E19060" s="14">
        <v>0.07143</v>
      </c>
      <c r="F19060" s="15">
        <f>ROUND(17.99,3)</f>
        <v>17.99</v>
      </c>
      <c r="G19060" s="12">
        <f t="shared" si="2448"/>
        <v>1.29</v>
      </c>
    </row>
    <row r="19061" ht="30.0" customHeight="1">
      <c r="A19061" s="10" t="s">
        <v>3229</v>
      </c>
      <c r="B19061" s="10" t="s">
        <v>42</v>
      </c>
      <c r="C19061" s="10" t="s">
        <v>344</v>
      </c>
      <c r="D19061" s="10" t="s">
        <v>3230</v>
      </c>
      <c r="E19061" s="14">
        <v>0.57143</v>
      </c>
      <c r="F19061" s="15">
        <f>ROUND(0.24,3)</f>
        <v>0.24</v>
      </c>
      <c r="G19061" s="12">
        <f t="shared" si="2448"/>
        <v>0.14</v>
      </c>
    </row>
    <row r="19062" ht="21.0" customHeight="1">
      <c r="A19062" s="10" t="s">
        <v>967</v>
      </c>
      <c r="B19062" s="10" t="s">
        <v>42</v>
      </c>
      <c r="C19062" s="10" t="s">
        <v>325</v>
      </c>
      <c r="D19062" s="10" t="s">
        <v>968</v>
      </c>
      <c r="E19062" s="14">
        <v>0.02857</v>
      </c>
      <c r="F19062" s="15">
        <f>ROUND(6.49,3)</f>
        <v>6.49</v>
      </c>
      <c r="G19062" s="12">
        <f t="shared" si="2448"/>
        <v>0.19</v>
      </c>
    </row>
    <row r="19063" ht="21.0" customHeight="1">
      <c r="A19063" s="10" t="s">
        <v>969</v>
      </c>
      <c r="B19063" s="10" t="s">
        <v>112</v>
      </c>
      <c r="C19063" s="10" t="s">
        <v>23</v>
      </c>
      <c r="D19063" s="10" t="s">
        <v>970</v>
      </c>
      <c r="E19063" s="14">
        <v>0.2</v>
      </c>
      <c r="F19063" s="15">
        <f>ROUND(2,3)</f>
        <v>2</v>
      </c>
      <c r="G19063" s="12">
        <f t="shared" si="2448"/>
        <v>0.4</v>
      </c>
    </row>
    <row r="19064" ht="30.0" customHeight="1">
      <c r="A19064" s="10" t="s">
        <v>971</v>
      </c>
      <c r="B19064" s="10" t="s">
        <v>42</v>
      </c>
      <c r="C19064" s="10" t="s">
        <v>231</v>
      </c>
      <c r="D19064" s="10" t="s">
        <v>972</v>
      </c>
      <c r="E19064" s="14">
        <v>1.0</v>
      </c>
      <c r="F19064" s="15">
        <f>ROUND(4.92,3)</f>
        <v>4.92</v>
      </c>
      <c r="G19064" s="12">
        <f t="shared" si="2448"/>
        <v>4.92</v>
      </c>
    </row>
    <row r="19065" ht="21.0" customHeight="1">
      <c r="A19065" s="10" t="s">
        <v>22</v>
      </c>
      <c r="B19065" s="10" t="s">
        <v>18</v>
      </c>
      <c r="C19065" s="10" t="s">
        <v>23</v>
      </c>
      <c r="D19065" s="10" t="s">
        <v>24</v>
      </c>
      <c r="E19065" s="14">
        <v>0.4</v>
      </c>
      <c r="F19065" s="15">
        <f>F19069</f>
        <v>43.8</v>
      </c>
      <c r="G19065" s="12">
        <f t="shared" si="2448"/>
        <v>17.52</v>
      </c>
    </row>
    <row r="19066" ht="24.0" customHeight="1">
      <c r="A19066" s="10" t="s">
        <v>25</v>
      </c>
      <c r="B19066" s="10" t="s">
        <v>26</v>
      </c>
      <c r="C19066" s="10" t="s">
        <v>23</v>
      </c>
      <c r="D19066" s="10" t="s">
        <v>27</v>
      </c>
      <c r="E19066" s="14">
        <v>1.0</v>
      </c>
      <c r="F19066" s="15">
        <f>ROUND(21,3)</f>
        <v>21</v>
      </c>
      <c r="G19066" s="12">
        <f t="shared" si="2448"/>
        <v>21</v>
      </c>
    </row>
    <row r="19067" ht="24.0" customHeight="1">
      <c r="A19067" s="10" t="s">
        <v>28</v>
      </c>
      <c r="B19067" s="10" t="s">
        <v>26</v>
      </c>
      <c r="C19067" s="10" t="s">
        <v>23</v>
      </c>
      <c r="D19067" s="10" t="s">
        <v>29</v>
      </c>
      <c r="E19067" s="14">
        <v>1.0</v>
      </c>
      <c r="F19067" s="15">
        <f t="shared" ref="F19067:F19068" si="2449">ROUND(19,3)</f>
        <v>19</v>
      </c>
      <c r="G19067" s="12">
        <f t="shared" si="2448"/>
        <v>19</v>
      </c>
    </row>
    <row r="19068" ht="24.0" customHeight="1">
      <c r="A19068" s="10" t="s">
        <v>30</v>
      </c>
      <c r="B19068" s="10" t="s">
        <v>26</v>
      </c>
      <c r="C19068" s="10" t="s">
        <v>23</v>
      </c>
      <c r="D19068" s="10" t="s">
        <v>31</v>
      </c>
      <c r="E19068" s="14">
        <v>0.2</v>
      </c>
      <c r="F19068" s="15">
        <f t="shared" si="2449"/>
        <v>19</v>
      </c>
      <c r="G19068" s="12">
        <f t="shared" si="2448"/>
        <v>3.8</v>
      </c>
    </row>
    <row r="19069" ht="15.0" customHeight="1">
      <c r="A19069" s="11"/>
      <c r="B19069" s="11"/>
      <c r="C19069" s="11"/>
      <c r="D19069" s="10" t="s">
        <v>22</v>
      </c>
      <c r="E19069" s="14">
        <v>0.4</v>
      </c>
      <c r="F19069" s="15">
        <f>ROUND((G19066+G19067+G19068),3)</f>
        <v>43.8</v>
      </c>
      <c r="G19069" s="12">
        <f t="shared" si="2448"/>
        <v>17.52</v>
      </c>
    </row>
    <row r="19070" ht="15.0" customHeight="1">
      <c r="A19070" s="10" t="s">
        <v>32</v>
      </c>
      <c r="B19070" s="10"/>
      <c r="C19070" s="10" t="s">
        <v>33</v>
      </c>
      <c r="D19070" s="10" t="s">
        <v>34</v>
      </c>
      <c r="E19070" s="14">
        <v>5.0</v>
      </c>
      <c r="F19070" s="15">
        <f>ROUND(17.52,3)</f>
        <v>17.52</v>
      </c>
      <c r="G19070" s="12">
        <f>ROUND((E19070*F19070)/100,2)</f>
        <v>0.88</v>
      </c>
    </row>
    <row r="19071" ht="15.0" customHeight="1">
      <c r="A19071" s="16"/>
      <c r="B19071" s="16"/>
      <c r="C19071" s="16"/>
      <c r="D19071" s="17" t="s">
        <v>9119</v>
      </c>
      <c r="E19071" s="16"/>
      <c r="F19071" s="18">
        <f>ROUND((G19055+G19056+G19057+G19058+G19059+G19060+G19061+G19062+G19063+G19064+G19065+G19070)*(1+G2/100),2)</f>
        <v>29.14</v>
      </c>
      <c r="G19071" s="16"/>
    </row>
    <row r="19072" ht="21.0" customHeight="1">
      <c r="A19072" s="19" t="s">
        <v>5656</v>
      </c>
      <c r="B19072" s="20" t="s">
        <v>18</v>
      </c>
      <c r="C19072" s="20" t="s">
        <v>251</v>
      </c>
      <c r="D19072" s="20" t="s">
        <v>5657</v>
      </c>
      <c r="E19072" s="21"/>
      <c r="F19072" s="22">
        <f>F19085</f>
        <v>31.45</v>
      </c>
      <c r="G19072" s="21"/>
    </row>
    <row r="19073" ht="57.75" customHeight="1">
      <c r="A19073" s="11"/>
      <c r="B19073" s="11"/>
      <c r="C19073" s="11"/>
      <c r="D19073" s="10" t="s">
        <v>5658</v>
      </c>
    </row>
    <row r="19074" ht="39.75" customHeight="1">
      <c r="A19074" s="10" t="s">
        <v>2142</v>
      </c>
      <c r="B19074" s="10" t="s">
        <v>42</v>
      </c>
      <c r="C19074" s="10" t="s">
        <v>184</v>
      </c>
      <c r="D19074" s="10" t="s">
        <v>2143</v>
      </c>
      <c r="E19074" s="14">
        <v>0.92</v>
      </c>
      <c r="F19074" s="15">
        <f>ROUND(6.8,3)</f>
        <v>6.8</v>
      </c>
      <c r="G19074" s="12">
        <f t="shared" ref="G19074:G19083" si="2450">ROUND(E19074*F19074,2)</f>
        <v>6.26</v>
      </c>
    </row>
    <row r="19075" ht="30.0" customHeight="1">
      <c r="A19075" s="10" t="s">
        <v>1227</v>
      </c>
      <c r="B19075" s="10" t="s">
        <v>42</v>
      </c>
      <c r="C19075" s="10" t="s">
        <v>226</v>
      </c>
      <c r="D19075" s="10" t="s">
        <v>1228</v>
      </c>
      <c r="E19075" s="14">
        <v>0.022</v>
      </c>
      <c r="F19075" s="15">
        <f>ROUND(27.5,3)</f>
        <v>27.5</v>
      </c>
      <c r="G19075" s="12">
        <f t="shared" si="2450"/>
        <v>0.61</v>
      </c>
    </row>
    <row r="19076" ht="21.0" customHeight="1">
      <c r="A19076" s="10" t="s">
        <v>1857</v>
      </c>
      <c r="B19076" s="10" t="s">
        <v>42</v>
      </c>
      <c r="C19076" s="10" t="s">
        <v>231</v>
      </c>
      <c r="D19076" s="10" t="s">
        <v>1858</v>
      </c>
      <c r="E19076" s="14">
        <v>0.33</v>
      </c>
      <c r="F19076" s="15">
        <f>ROUND(1.05,3)</f>
        <v>1.05</v>
      </c>
      <c r="G19076" s="12">
        <f t="shared" si="2450"/>
        <v>0.35</v>
      </c>
    </row>
    <row r="19077" ht="30.0" customHeight="1">
      <c r="A19077" s="10" t="s">
        <v>2028</v>
      </c>
      <c r="B19077" s="10" t="s">
        <v>42</v>
      </c>
      <c r="C19077" s="10" t="s">
        <v>1997</v>
      </c>
      <c r="D19077" s="10" t="s">
        <v>2029</v>
      </c>
      <c r="E19077" s="14">
        <v>0.2</v>
      </c>
      <c r="F19077" s="15">
        <f>ROUND(2.8,3)</f>
        <v>2.8</v>
      </c>
      <c r="G19077" s="12">
        <f t="shared" si="2450"/>
        <v>0.56</v>
      </c>
    </row>
    <row r="19078" ht="30.0" customHeight="1">
      <c r="A19078" s="10" t="s">
        <v>2026</v>
      </c>
      <c r="B19078" s="10" t="s">
        <v>42</v>
      </c>
      <c r="C19078" s="10" t="s">
        <v>1997</v>
      </c>
      <c r="D19078" s="10" t="s">
        <v>2027</v>
      </c>
      <c r="E19078" s="14">
        <v>0.1</v>
      </c>
      <c r="F19078" s="15">
        <f>ROUND(11.1,3)</f>
        <v>11.1</v>
      </c>
      <c r="G19078" s="12">
        <f t="shared" si="2450"/>
        <v>1.11</v>
      </c>
    </row>
    <row r="19079" ht="21.0" customHeight="1">
      <c r="A19079" s="10" t="s">
        <v>22</v>
      </c>
      <c r="B19079" s="10" t="s">
        <v>18</v>
      </c>
      <c r="C19079" s="10" t="s">
        <v>23</v>
      </c>
      <c r="D19079" s="10" t="s">
        <v>24</v>
      </c>
      <c r="E19079" s="14">
        <v>0.5</v>
      </c>
      <c r="F19079" s="15">
        <f>F19083</f>
        <v>43.8</v>
      </c>
      <c r="G19079" s="12">
        <f t="shared" si="2450"/>
        <v>21.9</v>
      </c>
    </row>
    <row r="19080" ht="24.0" customHeight="1">
      <c r="A19080" s="10" t="s">
        <v>25</v>
      </c>
      <c r="B19080" s="10" t="s">
        <v>26</v>
      </c>
      <c r="C19080" s="10" t="s">
        <v>23</v>
      </c>
      <c r="D19080" s="10" t="s">
        <v>27</v>
      </c>
      <c r="E19080" s="14">
        <v>1.0</v>
      </c>
      <c r="F19080" s="15">
        <f>ROUND(21,3)</f>
        <v>21</v>
      </c>
      <c r="G19080" s="12">
        <f t="shared" si="2450"/>
        <v>21</v>
      </c>
    </row>
    <row r="19081" ht="24.0" customHeight="1">
      <c r="A19081" s="10" t="s">
        <v>28</v>
      </c>
      <c r="B19081" s="10" t="s">
        <v>26</v>
      </c>
      <c r="C19081" s="10" t="s">
        <v>23</v>
      </c>
      <c r="D19081" s="10" t="s">
        <v>29</v>
      </c>
      <c r="E19081" s="14">
        <v>1.0</v>
      </c>
      <c r="F19081" s="15">
        <f t="shared" ref="F19081:F19082" si="2451">ROUND(19,3)</f>
        <v>19</v>
      </c>
      <c r="G19081" s="12">
        <f t="shared" si="2450"/>
        <v>19</v>
      </c>
    </row>
    <row r="19082" ht="24.0" customHeight="1">
      <c r="A19082" s="10" t="s">
        <v>30</v>
      </c>
      <c r="B19082" s="10" t="s">
        <v>26</v>
      </c>
      <c r="C19082" s="10" t="s">
        <v>23</v>
      </c>
      <c r="D19082" s="10" t="s">
        <v>31</v>
      </c>
      <c r="E19082" s="14">
        <v>0.2</v>
      </c>
      <c r="F19082" s="15">
        <f t="shared" si="2451"/>
        <v>19</v>
      </c>
      <c r="G19082" s="12">
        <f t="shared" si="2450"/>
        <v>3.8</v>
      </c>
    </row>
    <row r="19083" ht="15.0" customHeight="1">
      <c r="A19083" s="11"/>
      <c r="B19083" s="11"/>
      <c r="C19083" s="11"/>
      <c r="D19083" s="10" t="s">
        <v>22</v>
      </c>
      <c r="E19083" s="14">
        <v>0.5</v>
      </c>
      <c r="F19083" s="15">
        <f>ROUND((G19080+G19081+G19082),3)</f>
        <v>43.8</v>
      </c>
      <c r="G19083" s="12">
        <f t="shared" si="2450"/>
        <v>21.9</v>
      </c>
    </row>
    <row r="19084" ht="15.0" customHeight="1">
      <c r="A19084" s="10" t="s">
        <v>32</v>
      </c>
      <c r="B19084" s="10"/>
      <c r="C19084" s="10" t="s">
        <v>33</v>
      </c>
      <c r="D19084" s="10" t="s">
        <v>34</v>
      </c>
      <c r="E19084" s="14">
        <v>3.0</v>
      </c>
      <c r="F19084" s="15">
        <f>ROUND(21.9,3)</f>
        <v>21.9</v>
      </c>
      <c r="G19084" s="12">
        <f>ROUND((E19084*F19084)/100,2)</f>
        <v>0.66</v>
      </c>
    </row>
    <row r="19085" ht="15.0" customHeight="1">
      <c r="A19085" s="16"/>
      <c r="B19085" s="16"/>
      <c r="C19085" s="16"/>
      <c r="D19085" s="17" t="s">
        <v>5656</v>
      </c>
      <c r="E19085" s="16"/>
      <c r="F19085" s="18">
        <f>ROUND((G19074+G19075+G19076+G19077+G19078+G19079+G19084)*(1+G2/100),2)</f>
        <v>31.45</v>
      </c>
      <c r="G19085" s="16"/>
    </row>
    <row r="19086" ht="30.0" customHeight="1">
      <c r="A19086" s="19" t="s">
        <v>5662</v>
      </c>
      <c r="B19086" s="20" t="s">
        <v>18</v>
      </c>
      <c r="C19086" s="20" t="s">
        <v>251</v>
      </c>
      <c r="D19086" s="20" t="s">
        <v>5663</v>
      </c>
      <c r="E19086" s="21"/>
      <c r="F19086" s="22">
        <f>F19099</f>
        <v>19.23</v>
      </c>
      <c r="G19086" s="21"/>
    </row>
    <row r="19087" ht="57.75" customHeight="1">
      <c r="A19087" s="11"/>
      <c r="B19087" s="11"/>
      <c r="C19087" s="11"/>
      <c r="D19087" s="10" t="s">
        <v>5664</v>
      </c>
    </row>
    <row r="19088" ht="39.75" customHeight="1">
      <c r="A19088" s="10" t="s">
        <v>1994</v>
      </c>
      <c r="B19088" s="10" t="s">
        <v>42</v>
      </c>
      <c r="C19088" s="10" t="s">
        <v>184</v>
      </c>
      <c r="D19088" s="10" t="s">
        <v>1995</v>
      </c>
      <c r="E19088" s="14">
        <v>0.34</v>
      </c>
      <c r="F19088" s="15">
        <f>ROUND(15.2,3)</f>
        <v>15.2</v>
      </c>
      <c r="G19088" s="12">
        <f t="shared" ref="G19088:G19097" si="2452">ROUND(E19088*F19088,2)</f>
        <v>5.17</v>
      </c>
    </row>
    <row r="19089" ht="30.0" customHeight="1">
      <c r="A19089" s="10" t="s">
        <v>1227</v>
      </c>
      <c r="B19089" s="10" t="s">
        <v>42</v>
      </c>
      <c r="C19089" s="10" t="s">
        <v>226</v>
      </c>
      <c r="D19089" s="10" t="s">
        <v>1228</v>
      </c>
      <c r="E19089" s="14">
        <v>0.022</v>
      </c>
      <c r="F19089" s="15">
        <f>ROUND(27.5,3)</f>
        <v>27.5</v>
      </c>
      <c r="G19089" s="12">
        <f t="shared" si="2452"/>
        <v>0.61</v>
      </c>
    </row>
    <row r="19090" ht="21.0" customHeight="1">
      <c r="A19090" s="10" t="s">
        <v>1857</v>
      </c>
      <c r="B19090" s="10" t="s">
        <v>42</v>
      </c>
      <c r="C19090" s="10" t="s">
        <v>231</v>
      </c>
      <c r="D19090" s="10" t="s">
        <v>1858</v>
      </c>
      <c r="E19090" s="14">
        <v>0.375</v>
      </c>
      <c r="F19090" s="15">
        <f>ROUND(1.05,3)</f>
        <v>1.05</v>
      </c>
      <c r="G19090" s="12">
        <f t="shared" si="2452"/>
        <v>0.39</v>
      </c>
    </row>
    <row r="19091" ht="30.0" customHeight="1">
      <c r="A19091" s="10" t="s">
        <v>2028</v>
      </c>
      <c r="B19091" s="10" t="s">
        <v>42</v>
      </c>
      <c r="C19091" s="10" t="s">
        <v>1997</v>
      </c>
      <c r="D19091" s="10" t="s">
        <v>2029</v>
      </c>
      <c r="E19091" s="14">
        <v>0.24</v>
      </c>
      <c r="F19091" s="15">
        <f>ROUND(2.8,3)</f>
        <v>2.8</v>
      </c>
      <c r="G19091" s="12">
        <f t="shared" si="2452"/>
        <v>0.67</v>
      </c>
    </row>
    <row r="19092" ht="30.0" customHeight="1">
      <c r="A19092" s="10" t="s">
        <v>2026</v>
      </c>
      <c r="B19092" s="10" t="s">
        <v>42</v>
      </c>
      <c r="C19092" s="10" t="s">
        <v>1997</v>
      </c>
      <c r="D19092" s="10" t="s">
        <v>2027</v>
      </c>
      <c r="E19092" s="14">
        <v>0.1</v>
      </c>
      <c r="F19092" s="15">
        <f>ROUND(11.1,3)</f>
        <v>11.1</v>
      </c>
      <c r="G19092" s="12">
        <f t="shared" si="2452"/>
        <v>1.11</v>
      </c>
    </row>
    <row r="19093" ht="21.0" customHeight="1">
      <c r="A19093" s="10" t="s">
        <v>22</v>
      </c>
      <c r="B19093" s="10" t="s">
        <v>18</v>
      </c>
      <c r="C19093" s="10" t="s">
        <v>23</v>
      </c>
      <c r="D19093" s="10" t="s">
        <v>24</v>
      </c>
      <c r="E19093" s="14">
        <v>0.25</v>
      </c>
      <c r="F19093" s="15">
        <f>F19097</f>
        <v>43.8</v>
      </c>
      <c r="G19093" s="12">
        <f t="shared" si="2452"/>
        <v>10.95</v>
      </c>
    </row>
    <row r="19094" ht="24.0" customHeight="1">
      <c r="A19094" s="10" t="s">
        <v>25</v>
      </c>
      <c r="B19094" s="10" t="s">
        <v>26</v>
      </c>
      <c r="C19094" s="10" t="s">
        <v>23</v>
      </c>
      <c r="D19094" s="10" t="s">
        <v>27</v>
      </c>
      <c r="E19094" s="14">
        <v>1.0</v>
      </c>
      <c r="F19094" s="15">
        <f>ROUND(21,3)</f>
        <v>21</v>
      </c>
      <c r="G19094" s="12">
        <f t="shared" si="2452"/>
        <v>21</v>
      </c>
    </row>
    <row r="19095" ht="24.0" customHeight="1">
      <c r="A19095" s="10" t="s">
        <v>28</v>
      </c>
      <c r="B19095" s="10" t="s">
        <v>26</v>
      </c>
      <c r="C19095" s="10" t="s">
        <v>23</v>
      </c>
      <c r="D19095" s="10" t="s">
        <v>29</v>
      </c>
      <c r="E19095" s="14">
        <v>1.0</v>
      </c>
      <c r="F19095" s="15">
        <f t="shared" ref="F19095:F19096" si="2453">ROUND(19,3)</f>
        <v>19</v>
      </c>
      <c r="G19095" s="12">
        <f t="shared" si="2452"/>
        <v>19</v>
      </c>
    </row>
    <row r="19096" ht="24.0" customHeight="1">
      <c r="A19096" s="10" t="s">
        <v>30</v>
      </c>
      <c r="B19096" s="10" t="s">
        <v>26</v>
      </c>
      <c r="C19096" s="10" t="s">
        <v>23</v>
      </c>
      <c r="D19096" s="10" t="s">
        <v>31</v>
      </c>
      <c r="E19096" s="14">
        <v>0.2</v>
      </c>
      <c r="F19096" s="15">
        <f t="shared" si="2453"/>
        <v>19</v>
      </c>
      <c r="G19096" s="12">
        <f t="shared" si="2452"/>
        <v>3.8</v>
      </c>
    </row>
    <row r="19097" ht="15.0" customHeight="1">
      <c r="A19097" s="11"/>
      <c r="B19097" s="11"/>
      <c r="C19097" s="11"/>
      <c r="D19097" s="10" t="s">
        <v>22</v>
      </c>
      <c r="E19097" s="14">
        <v>0.25</v>
      </c>
      <c r="F19097" s="15">
        <f>ROUND((G19094+G19095+G19096),3)</f>
        <v>43.8</v>
      </c>
      <c r="G19097" s="12">
        <f t="shared" si="2452"/>
        <v>10.95</v>
      </c>
    </row>
    <row r="19098" ht="15.0" customHeight="1">
      <c r="A19098" s="10" t="s">
        <v>32</v>
      </c>
      <c r="B19098" s="10"/>
      <c r="C19098" s="10" t="s">
        <v>33</v>
      </c>
      <c r="D19098" s="10" t="s">
        <v>34</v>
      </c>
      <c r="E19098" s="14">
        <v>3.0</v>
      </c>
      <c r="F19098" s="15">
        <f>ROUND(10.95,3)</f>
        <v>10.95</v>
      </c>
      <c r="G19098" s="12">
        <f>ROUND((E19098*F19098)/100,2)</f>
        <v>0.33</v>
      </c>
    </row>
    <row r="19099" ht="15.0" customHeight="1">
      <c r="A19099" s="16"/>
      <c r="B19099" s="16"/>
      <c r="C19099" s="16"/>
      <c r="D19099" s="17" t="s">
        <v>5662</v>
      </c>
      <c r="E19099" s="16"/>
      <c r="F19099" s="18">
        <f>ROUND((G19088+G19089+G19090+G19091+G19092+G19093+G19098)*(1+G2/100),2)</f>
        <v>19.23</v>
      </c>
      <c r="G19099" s="16"/>
    </row>
    <row r="19100" ht="30.0" customHeight="1">
      <c r="A19100" s="19" t="s">
        <v>9122</v>
      </c>
      <c r="B19100" s="20" t="s">
        <v>18</v>
      </c>
      <c r="C19100" s="20" t="s">
        <v>1357</v>
      </c>
      <c r="D19100" s="20" t="s">
        <v>9123</v>
      </c>
      <c r="E19100" s="21"/>
      <c r="F19100" s="22">
        <f>F19116</f>
        <v>64.5</v>
      </c>
      <c r="G19100" s="21"/>
    </row>
    <row r="19101" ht="132.0" customHeight="1">
      <c r="A19101" s="11"/>
      <c r="B19101" s="11"/>
      <c r="C19101" s="11"/>
      <c r="D19101" s="10" t="s">
        <v>9124</v>
      </c>
    </row>
    <row r="19102" ht="30.0" customHeight="1">
      <c r="A19102" s="10" t="s">
        <v>9125</v>
      </c>
      <c r="B19102" s="10" t="s">
        <v>42</v>
      </c>
      <c r="C19102" s="10" t="s">
        <v>351</v>
      </c>
      <c r="D19102" s="10" t="s">
        <v>9126</v>
      </c>
      <c r="E19102" s="14">
        <v>1.0</v>
      </c>
      <c r="F19102" s="15">
        <f>ROUND(2.332,3)</f>
        <v>2.332</v>
      </c>
      <c r="G19102" s="12">
        <f t="shared" ref="G19102:G19114" si="2454">ROUND(E19102*F19102,2)</f>
        <v>2.33</v>
      </c>
    </row>
    <row r="19103" ht="21.0" customHeight="1">
      <c r="A19103" s="10" t="s">
        <v>967</v>
      </c>
      <c r="B19103" s="10" t="s">
        <v>42</v>
      </c>
      <c r="C19103" s="10" t="s">
        <v>325</v>
      </c>
      <c r="D19103" s="10" t="s">
        <v>968</v>
      </c>
      <c r="E19103" s="14">
        <v>0.2</v>
      </c>
      <c r="F19103" s="15">
        <f>ROUND(6.49,3)</f>
        <v>6.49</v>
      </c>
      <c r="G19103" s="12">
        <f t="shared" si="2454"/>
        <v>1.3</v>
      </c>
    </row>
    <row r="19104" ht="30.0" customHeight="1">
      <c r="A19104" s="10" t="s">
        <v>4422</v>
      </c>
      <c r="B19104" s="10" t="s">
        <v>42</v>
      </c>
      <c r="C19104" s="10" t="s">
        <v>1825</v>
      </c>
      <c r="D19104" s="10" t="s">
        <v>4423</v>
      </c>
      <c r="E19104" s="14">
        <v>0.21</v>
      </c>
      <c r="F19104" s="15">
        <f>ROUND(33.6,3)</f>
        <v>33.6</v>
      </c>
      <c r="G19104" s="12">
        <f t="shared" si="2454"/>
        <v>7.06</v>
      </c>
    </row>
    <row r="19105" ht="39.75" customHeight="1">
      <c r="A19105" s="10" t="s">
        <v>8388</v>
      </c>
      <c r="B19105" s="10" t="s">
        <v>42</v>
      </c>
      <c r="C19105" s="10" t="s">
        <v>325</v>
      </c>
      <c r="D19105" s="10" t="s">
        <v>8389</v>
      </c>
      <c r="E19105" s="14">
        <v>0.08</v>
      </c>
      <c r="F19105" s="15">
        <f>ROUND(59.83,3)</f>
        <v>59.83</v>
      </c>
      <c r="G19105" s="12">
        <f t="shared" si="2454"/>
        <v>4.79</v>
      </c>
    </row>
    <row r="19106" ht="39.75" customHeight="1">
      <c r="A19106" s="10" t="s">
        <v>8419</v>
      </c>
      <c r="B19106" s="10" t="s">
        <v>42</v>
      </c>
      <c r="C19106" s="10" t="s">
        <v>19</v>
      </c>
      <c r="D19106" s="10" t="s">
        <v>8420</v>
      </c>
      <c r="E19106" s="14">
        <v>1.1</v>
      </c>
      <c r="F19106" s="15">
        <f>ROUND(18.87,3)</f>
        <v>18.87</v>
      </c>
      <c r="G19106" s="12">
        <f t="shared" si="2454"/>
        <v>20.76</v>
      </c>
    </row>
    <row r="19107" ht="21.0" customHeight="1">
      <c r="A19107" s="10" t="s">
        <v>9127</v>
      </c>
      <c r="B19107" s="10" t="s">
        <v>42</v>
      </c>
      <c r="C19107" s="10" t="s">
        <v>5</v>
      </c>
      <c r="D19107" s="10" t="s">
        <v>3983</v>
      </c>
      <c r="E19107" s="14">
        <v>12.0</v>
      </c>
      <c r="F19107" s="15">
        <f>ROUND(0.2,3)</f>
        <v>0.2</v>
      </c>
      <c r="G19107" s="12">
        <f t="shared" si="2454"/>
        <v>2.4</v>
      </c>
    </row>
    <row r="19108" ht="30.0" customHeight="1">
      <c r="A19108" s="10" t="s">
        <v>9128</v>
      </c>
      <c r="B19108" s="10" t="s">
        <v>42</v>
      </c>
      <c r="C19108" s="10" t="s">
        <v>351</v>
      </c>
      <c r="D19108" s="10" t="s">
        <v>1892</v>
      </c>
      <c r="E19108" s="14">
        <v>0.7</v>
      </c>
      <c r="F19108" s="15">
        <f>ROUND(5.5,3)</f>
        <v>5.5</v>
      </c>
      <c r="G19108" s="12">
        <f t="shared" si="2454"/>
        <v>3.85</v>
      </c>
    </row>
    <row r="19109" ht="30.0" customHeight="1">
      <c r="A19109" s="10" t="s">
        <v>1862</v>
      </c>
      <c r="B19109" s="10" t="s">
        <v>42</v>
      </c>
      <c r="C19109" s="10" t="s">
        <v>1245</v>
      </c>
      <c r="D19109" s="10" t="s">
        <v>1863</v>
      </c>
      <c r="E19109" s="14">
        <v>0.15</v>
      </c>
      <c r="F19109" s="15">
        <f>ROUND(6.32,3)</f>
        <v>6.32</v>
      </c>
      <c r="G19109" s="12">
        <f t="shared" si="2454"/>
        <v>0.95</v>
      </c>
    </row>
    <row r="19110" ht="24.0" customHeight="1">
      <c r="A19110" s="10" t="s">
        <v>286</v>
      </c>
      <c r="B19110" s="10" t="s">
        <v>18</v>
      </c>
      <c r="C19110" s="10" t="s">
        <v>23</v>
      </c>
      <c r="D19110" s="10" t="s">
        <v>287</v>
      </c>
      <c r="E19110" s="14">
        <v>0.4</v>
      </c>
      <c r="F19110" s="15">
        <f>F19114</f>
        <v>49.5</v>
      </c>
      <c r="G19110" s="12">
        <f t="shared" si="2454"/>
        <v>19.8</v>
      </c>
    </row>
    <row r="19111" ht="24.0" customHeight="1">
      <c r="A19111" s="10" t="s">
        <v>288</v>
      </c>
      <c r="B19111" s="10" t="s">
        <v>26</v>
      </c>
      <c r="C19111" s="10" t="s">
        <v>23</v>
      </c>
      <c r="D19111" s="10" t="s">
        <v>289</v>
      </c>
      <c r="E19111" s="14">
        <v>1.0</v>
      </c>
      <c r="F19111" s="15">
        <f>ROUND(21,3)</f>
        <v>21</v>
      </c>
      <c r="G19111" s="12">
        <f t="shared" si="2454"/>
        <v>21</v>
      </c>
    </row>
    <row r="19112" ht="24.0" customHeight="1">
      <c r="A19112" s="10" t="s">
        <v>290</v>
      </c>
      <c r="B19112" s="10" t="s">
        <v>26</v>
      </c>
      <c r="C19112" s="10" t="s">
        <v>23</v>
      </c>
      <c r="D19112" s="10" t="s">
        <v>291</v>
      </c>
      <c r="E19112" s="14">
        <v>1.0</v>
      </c>
      <c r="F19112" s="15">
        <f t="shared" ref="F19112:F19113" si="2455">ROUND(19,3)</f>
        <v>19</v>
      </c>
      <c r="G19112" s="12">
        <f t="shared" si="2454"/>
        <v>19</v>
      </c>
    </row>
    <row r="19113" ht="24.0" customHeight="1">
      <c r="A19113" s="10" t="s">
        <v>292</v>
      </c>
      <c r="B19113" s="10" t="s">
        <v>26</v>
      </c>
      <c r="C19113" s="10" t="s">
        <v>23</v>
      </c>
      <c r="D19113" s="10" t="s">
        <v>293</v>
      </c>
      <c r="E19113" s="14">
        <v>0.5</v>
      </c>
      <c r="F19113" s="15">
        <f t="shared" si="2455"/>
        <v>19</v>
      </c>
      <c r="G19113" s="12">
        <f t="shared" si="2454"/>
        <v>9.5</v>
      </c>
    </row>
    <row r="19114" ht="15.0" customHeight="1">
      <c r="A19114" s="11"/>
      <c r="B19114" s="11"/>
      <c r="C19114" s="11"/>
      <c r="D19114" s="10" t="s">
        <v>286</v>
      </c>
      <c r="E19114" s="14">
        <v>0.4</v>
      </c>
      <c r="F19114" s="15">
        <f>ROUND((G19111+G19112+G19113),3)</f>
        <v>49.5</v>
      </c>
      <c r="G19114" s="12">
        <f t="shared" si="2454"/>
        <v>19.8</v>
      </c>
    </row>
    <row r="19115" ht="15.0" customHeight="1">
      <c r="A19115" s="10" t="s">
        <v>33</v>
      </c>
      <c r="B19115" s="10"/>
      <c r="C19115" s="10" t="s">
        <v>33</v>
      </c>
      <c r="D19115" s="10" t="s">
        <v>424</v>
      </c>
      <c r="E19115" s="14">
        <v>2.0</v>
      </c>
      <c r="F19115" s="15">
        <f>ROUND(63.24,3)</f>
        <v>63.24</v>
      </c>
      <c r="G19115" s="12">
        <f>ROUND((E19115*F19115)/100,2)</f>
        <v>1.26</v>
      </c>
    </row>
    <row r="19116" ht="15.0" customHeight="1">
      <c r="A19116" s="16"/>
      <c r="B19116" s="16"/>
      <c r="C19116" s="16"/>
      <c r="D19116" s="17" t="s">
        <v>9122</v>
      </c>
      <c r="E19116" s="16"/>
      <c r="F19116" s="18">
        <f>ROUND((G19102+G19103+G19104+G19105+G19106+G19107+G19108+G19109+G19110+G19115)*(1+G2/100),2)</f>
        <v>64.5</v>
      </c>
      <c r="G19116" s="16"/>
    </row>
    <row r="19117" ht="39.75" customHeight="1">
      <c r="A19117" s="19" t="s">
        <v>9129</v>
      </c>
      <c r="B19117" s="20" t="s">
        <v>18</v>
      </c>
      <c r="C19117" s="20" t="s">
        <v>19</v>
      </c>
      <c r="D19117" s="20" t="s">
        <v>9130</v>
      </c>
      <c r="E19117" s="21"/>
      <c r="F19117" s="22">
        <f>F19127</f>
        <v>36.52</v>
      </c>
      <c r="G19117" s="21"/>
    </row>
    <row r="19118" ht="177.75" customHeight="1">
      <c r="A19118" s="11"/>
      <c r="B19118" s="11"/>
      <c r="C19118" s="11"/>
      <c r="D19118" s="10" t="s">
        <v>9131</v>
      </c>
    </row>
    <row r="19119" ht="48.75" customHeight="1">
      <c r="A19119" s="10" t="s">
        <v>9132</v>
      </c>
      <c r="B19119" s="10" t="s">
        <v>42</v>
      </c>
      <c r="C19119" s="10" t="s">
        <v>5</v>
      </c>
      <c r="D19119" s="10" t="s">
        <v>9133</v>
      </c>
      <c r="E19119" s="14">
        <v>24.0</v>
      </c>
      <c r="F19119" s="15">
        <f>ROUND(0.35,3)</f>
        <v>0.35</v>
      </c>
      <c r="G19119" s="12">
        <f t="shared" ref="G19119:G19125" si="2456">ROUND(E19119*F19119,2)</f>
        <v>8.4</v>
      </c>
    </row>
    <row r="19120" ht="30.0" customHeight="1">
      <c r="A19120" s="10" t="s">
        <v>1382</v>
      </c>
      <c r="B19120" s="10" t="s">
        <v>42</v>
      </c>
      <c r="C19120" s="10" t="s">
        <v>184</v>
      </c>
      <c r="D19120" s="10" t="s">
        <v>1383</v>
      </c>
      <c r="E19120" s="14">
        <v>0.76</v>
      </c>
      <c r="F19120" s="15">
        <f>ROUND(1.47,3)</f>
        <v>1.47</v>
      </c>
      <c r="G19120" s="12">
        <f t="shared" si="2456"/>
        <v>1.12</v>
      </c>
    </row>
    <row r="19121" ht="21.0" customHeight="1">
      <c r="A19121" s="10" t="s">
        <v>22</v>
      </c>
      <c r="B19121" s="10" t="s">
        <v>18</v>
      </c>
      <c r="C19121" s="10" t="s">
        <v>23</v>
      </c>
      <c r="D19121" s="10" t="s">
        <v>24</v>
      </c>
      <c r="E19121" s="14">
        <v>0.6</v>
      </c>
      <c r="F19121" s="15">
        <f>F19125</f>
        <v>43.8</v>
      </c>
      <c r="G19121" s="12">
        <f t="shared" si="2456"/>
        <v>26.28</v>
      </c>
    </row>
    <row r="19122" ht="24.0" customHeight="1">
      <c r="A19122" s="10" t="s">
        <v>25</v>
      </c>
      <c r="B19122" s="10" t="s">
        <v>26</v>
      </c>
      <c r="C19122" s="10" t="s">
        <v>23</v>
      </c>
      <c r="D19122" s="10" t="s">
        <v>27</v>
      </c>
      <c r="E19122" s="14">
        <v>1.0</v>
      </c>
      <c r="F19122" s="15">
        <f>ROUND(21,3)</f>
        <v>21</v>
      </c>
      <c r="G19122" s="12">
        <f t="shared" si="2456"/>
        <v>21</v>
      </c>
    </row>
    <row r="19123" ht="24.0" customHeight="1">
      <c r="A19123" s="10" t="s">
        <v>28</v>
      </c>
      <c r="B19123" s="10" t="s">
        <v>26</v>
      </c>
      <c r="C19123" s="10" t="s">
        <v>23</v>
      </c>
      <c r="D19123" s="10" t="s">
        <v>29</v>
      </c>
      <c r="E19123" s="14">
        <v>1.0</v>
      </c>
      <c r="F19123" s="15">
        <f t="shared" ref="F19123:F19124" si="2457">ROUND(19,3)</f>
        <v>19</v>
      </c>
      <c r="G19123" s="12">
        <f t="shared" si="2456"/>
        <v>19</v>
      </c>
    </row>
    <row r="19124" ht="24.0" customHeight="1">
      <c r="A19124" s="10" t="s">
        <v>30</v>
      </c>
      <c r="B19124" s="10" t="s">
        <v>26</v>
      </c>
      <c r="C19124" s="10" t="s">
        <v>23</v>
      </c>
      <c r="D19124" s="10" t="s">
        <v>31</v>
      </c>
      <c r="E19124" s="14">
        <v>0.2</v>
      </c>
      <c r="F19124" s="15">
        <f t="shared" si="2457"/>
        <v>19</v>
      </c>
      <c r="G19124" s="12">
        <f t="shared" si="2456"/>
        <v>3.8</v>
      </c>
    </row>
    <row r="19125" ht="15.0" customHeight="1">
      <c r="A19125" s="11"/>
      <c r="B19125" s="11"/>
      <c r="C19125" s="11"/>
      <c r="D19125" s="10" t="s">
        <v>22</v>
      </c>
      <c r="E19125" s="14">
        <v>0.6</v>
      </c>
      <c r="F19125" s="15">
        <f>ROUND((G19122+G19123+G19124),3)</f>
        <v>43.8</v>
      </c>
      <c r="G19125" s="12">
        <f t="shared" si="2456"/>
        <v>26.28</v>
      </c>
    </row>
    <row r="19126" ht="15.0" customHeight="1">
      <c r="A19126" s="10" t="s">
        <v>33</v>
      </c>
      <c r="B19126" s="10"/>
      <c r="C19126" s="10" t="s">
        <v>33</v>
      </c>
      <c r="D19126" s="10" t="s">
        <v>424</v>
      </c>
      <c r="E19126" s="14">
        <v>2.0</v>
      </c>
      <c r="F19126" s="15">
        <f>ROUND(35.8,3)</f>
        <v>35.8</v>
      </c>
      <c r="G19126" s="12">
        <f>ROUND((E19126*F19126)/100,2)</f>
        <v>0.72</v>
      </c>
    </row>
    <row r="19127" ht="24.75" customHeight="1">
      <c r="A19127" s="16"/>
      <c r="B19127" s="16"/>
      <c r="C19127" s="16"/>
      <c r="D19127" s="17" t="s">
        <v>9129</v>
      </c>
      <c r="E19127" s="16"/>
      <c r="F19127" s="18">
        <f>ROUND((G19119+G19120+G19121+G19126)*(1+G2/100),2)</f>
        <v>36.52</v>
      </c>
      <c r="G19127" s="16"/>
    </row>
    <row r="19128" ht="48.75" customHeight="1">
      <c r="A19128" s="19" t="s">
        <v>5328</v>
      </c>
      <c r="B19128" s="20" t="s">
        <v>18</v>
      </c>
      <c r="C19128" s="20" t="s">
        <v>19</v>
      </c>
      <c r="D19128" s="20" t="s">
        <v>5329</v>
      </c>
      <c r="E19128" s="21"/>
      <c r="F19128" s="22">
        <f>F19138</f>
        <v>19.06</v>
      </c>
      <c r="G19128" s="21"/>
    </row>
    <row r="19129" ht="21.0" customHeight="1">
      <c r="A19129" s="11"/>
      <c r="B19129" s="11"/>
      <c r="C19129" s="11"/>
      <c r="D19129" s="10" t="s">
        <v>5330</v>
      </c>
    </row>
    <row r="19130" ht="39.75" customHeight="1">
      <c r="A19130" s="10" t="s">
        <v>5004</v>
      </c>
      <c r="B19130" s="10" t="s">
        <v>42</v>
      </c>
      <c r="C19130" s="10" t="s">
        <v>43</v>
      </c>
      <c r="D19130" s="10" t="s">
        <v>5005</v>
      </c>
      <c r="E19130" s="14">
        <v>0.029</v>
      </c>
      <c r="F19130" s="15">
        <f>ROUND(110.7,3)</f>
        <v>110.7</v>
      </c>
      <c r="G19130" s="12">
        <f t="shared" ref="G19130:G19136" si="2458">ROUND(E19130*F19130,2)</f>
        <v>3.21</v>
      </c>
    </row>
    <row r="19131" ht="30.0" customHeight="1">
      <c r="A19131" s="10" t="s">
        <v>5006</v>
      </c>
      <c r="B19131" s="10" t="s">
        <v>42</v>
      </c>
      <c r="C19131" s="10" t="s">
        <v>276</v>
      </c>
      <c r="D19131" s="10" t="s">
        <v>5007</v>
      </c>
      <c r="E19131" s="14">
        <v>0.016</v>
      </c>
      <c r="F19131" s="15">
        <f>ROUND(70.68,3)</f>
        <v>70.68</v>
      </c>
      <c r="G19131" s="12">
        <f t="shared" si="2458"/>
        <v>1.13</v>
      </c>
    </row>
    <row r="19132" ht="21.0" customHeight="1">
      <c r="A19132" s="10" t="s">
        <v>1416</v>
      </c>
      <c r="B19132" s="10" t="s">
        <v>18</v>
      </c>
      <c r="C19132" s="10" t="s">
        <v>23</v>
      </c>
      <c r="D19132" s="10" t="s">
        <v>1417</v>
      </c>
      <c r="E19132" s="14">
        <v>0.32</v>
      </c>
      <c r="F19132" s="15">
        <f>F19136</f>
        <v>43.8</v>
      </c>
      <c r="G19132" s="12">
        <f t="shared" si="2458"/>
        <v>14.02</v>
      </c>
    </row>
    <row r="19133" ht="24.0" customHeight="1">
      <c r="A19133" s="10" t="s">
        <v>1418</v>
      </c>
      <c r="B19133" s="10" t="s">
        <v>26</v>
      </c>
      <c r="C19133" s="10" t="s">
        <v>23</v>
      </c>
      <c r="D19133" s="10" t="s">
        <v>1419</v>
      </c>
      <c r="E19133" s="14">
        <v>1.0</v>
      </c>
      <c r="F19133" s="15">
        <f>ROUND(21,3)</f>
        <v>21</v>
      </c>
      <c r="G19133" s="12">
        <f t="shared" si="2458"/>
        <v>21</v>
      </c>
    </row>
    <row r="19134" ht="24.0" customHeight="1">
      <c r="A19134" s="10" t="s">
        <v>1420</v>
      </c>
      <c r="B19134" s="10" t="s">
        <v>26</v>
      </c>
      <c r="C19134" s="10" t="s">
        <v>23</v>
      </c>
      <c r="D19134" s="10" t="s">
        <v>1421</v>
      </c>
      <c r="E19134" s="14">
        <v>1.0</v>
      </c>
      <c r="F19134" s="15">
        <f t="shared" ref="F19134:F19135" si="2459">ROUND(19,3)</f>
        <v>19</v>
      </c>
      <c r="G19134" s="12">
        <f t="shared" si="2458"/>
        <v>19</v>
      </c>
    </row>
    <row r="19135" ht="24.0" customHeight="1">
      <c r="A19135" s="10" t="s">
        <v>30</v>
      </c>
      <c r="B19135" s="10" t="s">
        <v>26</v>
      </c>
      <c r="C19135" s="10" t="s">
        <v>23</v>
      </c>
      <c r="D19135" s="10" t="s">
        <v>31</v>
      </c>
      <c r="E19135" s="14">
        <v>0.2</v>
      </c>
      <c r="F19135" s="15">
        <f t="shared" si="2459"/>
        <v>19</v>
      </c>
      <c r="G19135" s="12">
        <f t="shared" si="2458"/>
        <v>3.8</v>
      </c>
    </row>
    <row r="19136" ht="15.0" customHeight="1">
      <c r="A19136" s="11"/>
      <c r="B19136" s="11"/>
      <c r="C19136" s="11"/>
      <c r="D19136" s="10" t="s">
        <v>1416</v>
      </c>
      <c r="E19136" s="14">
        <v>0.32</v>
      </c>
      <c r="F19136" s="15">
        <f>ROUND((G19133+G19134+G19135),3)</f>
        <v>43.8</v>
      </c>
      <c r="G19136" s="12">
        <f t="shared" si="2458"/>
        <v>14.02</v>
      </c>
    </row>
    <row r="19137" ht="15.0" customHeight="1">
      <c r="A19137" s="10" t="s">
        <v>32</v>
      </c>
      <c r="B19137" s="10"/>
      <c r="C19137" s="10" t="s">
        <v>33</v>
      </c>
      <c r="D19137" s="10" t="s">
        <v>34</v>
      </c>
      <c r="E19137" s="14">
        <v>5.0</v>
      </c>
      <c r="F19137" s="15">
        <f>ROUND(14.02,3)</f>
        <v>14.02</v>
      </c>
      <c r="G19137" s="12">
        <f>ROUND((E19137*F19137)/100,2)</f>
        <v>0.7</v>
      </c>
    </row>
    <row r="19138" ht="15.0" customHeight="1">
      <c r="A19138" s="16"/>
      <c r="B19138" s="16"/>
      <c r="C19138" s="16"/>
      <c r="D19138" s="17" t="s">
        <v>5328</v>
      </c>
      <c r="E19138" s="16"/>
      <c r="F19138" s="18">
        <f>ROUND((G19130+G19131+G19132+G19137)*(1+G2/100),2)</f>
        <v>19.06</v>
      </c>
      <c r="G19138" s="16"/>
    </row>
    <row r="19139" ht="30.0" customHeight="1">
      <c r="A19139" s="19" t="s">
        <v>9134</v>
      </c>
      <c r="B19139" s="20" t="s">
        <v>18</v>
      </c>
      <c r="C19139" s="20" t="s">
        <v>19</v>
      </c>
      <c r="D19139" s="20" t="s">
        <v>9135</v>
      </c>
      <c r="E19139" s="21"/>
      <c r="F19139" s="22">
        <f>F19149</f>
        <v>18.94</v>
      </c>
      <c r="G19139" s="21"/>
    </row>
    <row r="19140" ht="21.0" customHeight="1">
      <c r="A19140" s="11"/>
      <c r="B19140" s="11"/>
      <c r="C19140" s="11"/>
      <c r="D19140" s="10" t="s">
        <v>9135</v>
      </c>
    </row>
    <row r="19141" ht="39.75" customHeight="1">
      <c r="A19141" s="10" t="s">
        <v>5004</v>
      </c>
      <c r="B19141" s="10" t="s">
        <v>42</v>
      </c>
      <c r="C19141" s="10" t="s">
        <v>43</v>
      </c>
      <c r="D19141" s="10" t="s">
        <v>5005</v>
      </c>
      <c r="E19141" s="14">
        <v>0.025</v>
      </c>
      <c r="F19141" s="15">
        <f>ROUND(110.7,3)</f>
        <v>110.7</v>
      </c>
      <c r="G19141" s="12">
        <f t="shared" ref="G19141:G19147" si="2460">ROUND(E19141*F19141,2)</f>
        <v>2.77</v>
      </c>
    </row>
    <row r="19142" ht="39.75" customHeight="1">
      <c r="A19142" s="10" t="s">
        <v>7884</v>
      </c>
      <c r="B19142" s="10" t="s">
        <v>42</v>
      </c>
      <c r="C19142" s="10" t="s">
        <v>276</v>
      </c>
      <c r="D19142" s="10" t="s">
        <v>7885</v>
      </c>
      <c r="E19142" s="14">
        <v>0.034</v>
      </c>
      <c r="F19142" s="15">
        <f>ROUND(114.75,3)</f>
        <v>114.75</v>
      </c>
      <c r="G19142" s="12">
        <f t="shared" si="2460"/>
        <v>3.9</v>
      </c>
    </row>
    <row r="19143" ht="21.0" customHeight="1">
      <c r="A19143" s="10" t="s">
        <v>1416</v>
      </c>
      <c r="B19143" s="10" t="s">
        <v>18</v>
      </c>
      <c r="C19143" s="10" t="s">
        <v>23</v>
      </c>
      <c r="D19143" s="10" t="s">
        <v>1417</v>
      </c>
      <c r="E19143" s="14">
        <v>0.267</v>
      </c>
      <c r="F19143" s="15">
        <f>F19147</f>
        <v>43.8</v>
      </c>
      <c r="G19143" s="12">
        <f t="shared" si="2460"/>
        <v>11.69</v>
      </c>
    </row>
    <row r="19144" ht="24.0" customHeight="1">
      <c r="A19144" s="10" t="s">
        <v>1418</v>
      </c>
      <c r="B19144" s="10" t="s">
        <v>26</v>
      </c>
      <c r="C19144" s="10" t="s">
        <v>23</v>
      </c>
      <c r="D19144" s="10" t="s">
        <v>1419</v>
      </c>
      <c r="E19144" s="14">
        <v>1.0</v>
      </c>
      <c r="F19144" s="15">
        <f>ROUND(21,3)</f>
        <v>21</v>
      </c>
      <c r="G19144" s="12">
        <f t="shared" si="2460"/>
        <v>21</v>
      </c>
    </row>
    <row r="19145" ht="24.0" customHeight="1">
      <c r="A19145" s="10" t="s">
        <v>1420</v>
      </c>
      <c r="B19145" s="10" t="s">
        <v>26</v>
      </c>
      <c r="C19145" s="10" t="s">
        <v>23</v>
      </c>
      <c r="D19145" s="10" t="s">
        <v>1421</v>
      </c>
      <c r="E19145" s="14">
        <v>1.0</v>
      </c>
      <c r="F19145" s="15">
        <f t="shared" ref="F19145:F19146" si="2461">ROUND(19,3)</f>
        <v>19</v>
      </c>
      <c r="G19145" s="12">
        <f t="shared" si="2460"/>
        <v>19</v>
      </c>
    </row>
    <row r="19146" ht="24.0" customHeight="1">
      <c r="A19146" s="10" t="s">
        <v>30</v>
      </c>
      <c r="B19146" s="10" t="s">
        <v>26</v>
      </c>
      <c r="C19146" s="10" t="s">
        <v>23</v>
      </c>
      <c r="D19146" s="10" t="s">
        <v>31</v>
      </c>
      <c r="E19146" s="14">
        <v>0.2</v>
      </c>
      <c r="F19146" s="15">
        <f t="shared" si="2461"/>
        <v>19</v>
      </c>
      <c r="G19146" s="12">
        <f t="shared" si="2460"/>
        <v>3.8</v>
      </c>
    </row>
    <row r="19147" ht="15.0" customHeight="1">
      <c r="A19147" s="11"/>
      <c r="B19147" s="11"/>
      <c r="C19147" s="11"/>
      <c r="D19147" s="10" t="s">
        <v>1416</v>
      </c>
      <c r="E19147" s="14">
        <v>0.267</v>
      </c>
      <c r="F19147" s="15">
        <f>ROUND((G19144+G19145+G19146),3)</f>
        <v>43.8</v>
      </c>
      <c r="G19147" s="12">
        <f t="shared" si="2460"/>
        <v>11.69</v>
      </c>
    </row>
    <row r="19148" ht="15.0" customHeight="1">
      <c r="A19148" s="10" t="s">
        <v>32</v>
      </c>
      <c r="B19148" s="10"/>
      <c r="C19148" s="10" t="s">
        <v>33</v>
      </c>
      <c r="D19148" s="10" t="s">
        <v>34</v>
      </c>
      <c r="E19148" s="14">
        <v>5.0</v>
      </c>
      <c r="F19148" s="15">
        <f>ROUND(11.69,3)</f>
        <v>11.69</v>
      </c>
      <c r="G19148" s="12">
        <f>ROUND((E19148*F19148)/100,2)</f>
        <v>0.58</v>
      </c>
    </row>
    <row r="19149" ht="15.0" customHeight="1">
      <c r="A19149" s="16"/>
      <c r="B19149" s="16"/>
      <c r="C19149" s="16"/>
      <c r="D19149" s="17" t="s">
        <v>9134</v>
      </c>
      <c r="E19149" s="16"/>
      <c r="F19149" s="18">
        <f>ROUND((G19141+G19142+G19143+G19148)*(1+G2/100),2)</f>
        <v>18.94</v>
      </c>
      <c r="G19149" s="16"/>
    </row>
    <row r="19150" ht="30.0" customHeight="1">
      <c r="A19150" s="19" t="s">
        <v>9136</v>
      </c>
      <c r="B19150" s="20" t="s">
        <v>18</v>
      </c>
      <c r="C19150" s="20" t="s">
        <v>231</v>
      </c>
      <c r="D19150" s="20" t="s">
        <v>9137</v>
      </c>
      <c r="E19150" s="21"/>
      <c r="F19150" s="22">
        <f>F19157</f>
        <v>460.43</v>
      </c>
      <c r="G19150" s="21"/>
    </row>
    <row r="19151" ht="12.0" customHeight="1">
      <c r="A19151" s="11"/>
      <c r="B19151" s="11"/>
      <c r="C19151" s="11"/>
      <c r="D19151" s="10" t="s">
        <v>9137</v>
      </c>
    </row>
    <row r="19152" ht="30.0" customHeight="1">
      <c r="A19152" s="10" t="s">
        <v>581</v>
      </c>
      <c r="B19152" s="10" t="s">
        <v>42</v>
      </c>
      <c r="C19152" s="10" t="s">
        <v>231</v>
      </c>
      <c r="D19152" s="10" t="s">
        <v>582</v>
      </c>
      <c r="E19152" s="14">
        <v>1.0</v>
      </c>
      <c r="F19152" s="15">
        <f>ROUND(172,3)</f>
        <v>172</v>
      </c>
      <c r="G19152" s="12">
        <f t="shared" ref="G19152:G19156" si="2462">ROUND(E19152*F19152,2)</f>
        <v>172</v>
      </c>
    </row>
    <row r="19153" ht="30.0" customHeight="1">
      <c r="A19153" s="10" t="s">
        <v>583</v>
      </c>
      <c r="B19153" s="10" t="s">
        <v>42</v>
      </c>
      <c r="C19153" s="10" t="s">
        <v>584</v>
      </c>
      <c r="D19153" s="10" t="s">
        <v>585</v>
      </c>
      <c r="E19153" s="14">
        <v>1.0</v>
      </c>
      <c r="F19153" s="15">
        <f>ROUND(30.77,3)</f>
        <v>30.77</v>
      </c>
      <c r="G19153" s="12">
        <f t="shared" si="2462"/>
        <v>30.77</v>
      </c>
    </row>
    <row r="19154" ht="30.0" customHeight="1">
      <c r="A19154" s="10" t="s">
        <v>586</v>
      </c>
      <c r="B19154" s="10" t="s">
        <v>42</v>
      </c>
      <c r="C19154" s="10" t="s">
        <v>344</v>
      </c>
      <c r="D19154" s="10" t="s">
        <v>587</v>
      </c>
      <c r="E19154" s="14">
        <v>3.0</v>
      </c>
      <c r="F19154" s="15">
        <f>ROUND(32.22,3)</f>
        <v>32.22</v>
      </c>
      <c r="G19154" s="12">
        <f t="shared" si="2462"/>
        <v>96.66</v>
      </c>
    </row>
    <row r="19155" ht="30.0" customHeight="1">
      <c r="A19155" s="10" t="s">
        <v>588</v>
      </c>
      <c r="B19155" s="10" t="s">
        <v>42</v>
      </c>
      <c r="C19155" s="10" t="s">
        <v>231</v>
      </c>
      <c r="D19155" s="10" t="s">
        <v>589</v>
      </c>
      <c r="E19155" s="14">
        <v>1.0</v>
      </c>
      <c r="F19155" s="15">
        <f>ROUND(42,3)</f>
        <v>42</v>
      </c>
      <c r="G19155" s="12">
        <f t="shared" si="2462"/>
        <v>42</v>
      </c>
    </row>
    <row r="19156" ht="30.0" customHeight="1">
      <c r="A19156" s="10" t="s">
        <v>590</v>
      </c>
      <c r="B19156" s="10" t="s">
        <v>42</v>
      </c>
      <c r="C19156" s="10" t="s">
        <v>231</v>
      </c>
      <c r="D19156" s="10" t="s">
        <v>591</v>
      </c>
      <c r="E19156" s="14">
        <v>1.0</v>
      </c>
      <c r="F19156" s="15">
        <f>ROUND(119,3)</f>
        <v>119</v>
      </c>
      <c r="G19156" s="12">
        <f t="shared" si="2462"/>
        <v>119</v>
      </c>
    </row>
    <row r="19157" ht="15.0" customHeight="1">
      <c r="A19157" s="16"/>
      <c r="B19157" s="16"/>
      <c r="C19157" s="16"/>
      <c r="D19157" s="17" t="s">
        <v>9136</v>
      </c>
      <c r="E19157" s="16"/>
      <c r="F19157" s="18">
        <f>ROUND((G19152+G19153+G19154+G19155+G19156)*(1+G2/100),2)</f>
        <v>460.43</v>
      </c>
      <c r="G19157" s="16"/>
    </row>
    <row r="19158" ht="21.0" customHeight="1">
      <c r="A19158" s="19" t="s">
        <v>9138</v>
      </c>
      <c r="B19158" s="20" t="s">
        <v>18</v>
      </c>
      <c r="C19158" s="20" t="s">
        <v>19</v>
      </c>
      <c r="D19158" s="20" t="s">
        <v>9139</v>
      </c>
      <c r="E19158" s="21"/>
      <c r="F19158" s="22">
        <f>F19169</f>
        <v>17.94</v>
      </c>
      <c r="G19158" s="21"/>
    </row>
    <row r="19159" ht="48.75" customHeight="1">
      <c r="A19159" s="11"/>
      <c r="B19159" s="11"/>
      <c r="C19159" s="11"/>
      <c r="D19159" s="10" t="s">
        <v>9140</v>
      </c>
    </row>
    <row r="19160" ht="21.0" customHeight="1">
      <c r="A19160" s="10" t="s">
        <v>235</v>
      </c>
      <c r="B19160" s="10" t="s">
        <v>42</v>
      </c>
      <c r="C19160" s="10" t="s">
        <v>231</v>
      </c>
      <c r="D19160" s="10" t="s">
        <v>236</v>
      </c>
      <c r="E19160" s="14">
        <v>0.34</v>
      </c>
      <c r="F19160" s="15">
        <f>ROUND(30.17,3)</f>
        <v>30.17</v>
      </c>
      <c r="G19160" s="12">
        <f t="shared" ref="G19160:G19167" si="2463">ROUND(E19160*F19160,2)</f>
        <v>10.26</v>
      </c>
    </row>
    <row r="19161" ht="21.0" customHeight="1">
      <c r="A19161" s="10" t="s">
        <v>230</v>
      </c>
      <c r="B19161" s="10" t="s">
        <v>42</v>
      </c>
      <c r="C19161" s="10" t="s">
        <v>231</v>
      </c>
      <c r="D19161" s="10" t="s">
        <v>232</v>
      </c>
      <c r="E19161" s="14">
        <v>0.055</v>
      </c>
      <c r="F19161" s="15">
        <f>ROUND(3.47,3)</f>
        <v>3.47</v>
      </c>
      <c r="G19161" s="12">
        <f t="shared" si="2463"/>
        <v>0.19</v>
      </c>
    </row>
    <row r="19162" ht="21.0" customHeight="1">
      <c r="A19162" s="10" t="s">
        <v>242</v>
      </c>
      <c r="B19162" s="10" t="s">
        <v>42</v>
      </c>
      <c r="C19162" s="10" t="s">
        <v>226</v>
      </c>
      <c r="D19162" s="10" t="s">
        <v>243</v>
      </c>
      <c r="E19162" s="14">
        <v>0.5</v>
      </c>
      <c r="F19162" s="15">
        <f>ROUND(1.32,3)</f>
        <v>1.32</v>
      </c>
      <c r="G19162" s="12">
        <f t="shared" si="2463"/>
        <v>0.66</v>
      </c>
    </row>
    <row r="19163" ht="21.0" customHeight="1">
      <c r="A19163" s="10" t="s">
        <v>22</v>
      </c>
      <c r="B19163" s="10" t="s">
        <v>18</v>
      </c>
      <c r="C19163" s="10" t="s">
        <v>23</v>
      </c>
      <c r="D19163" s="10" t="s">
        <v>24</v>
      </c>
      <c r="E19163" s="14">
        <v>0.15</v>
      </c>
      <c r="F19163" s="15">
        <f>F19167</f>
        <v>43.8</v>
      </c>
      <c r="G19163" s="12">
        <f t="shared" si="2463"/>
        <v>6.57</v>
      </c>
    </row>
    <row r="19164" ht="24.0" customHeight="1">
      <c r="A19164" s="10" t="s">
        <v>25</v>
      </c>
      <c r="B19164" s="10" t="s">
        <v>26</v>
      </c>
      <c r="C19164" s="10" t="s">
        <v>23</v>
      </c>
      <c r="D19164" s="10" t="s">
        <v>27</v>
      </c>
      <c r="E19164" s="14">
        <v>1.0</v>
      </c>
      <c r="F19164" s="15">
        <f>ROUND(21,3)</f>
        <v>21</v>
      </c>
      <c r="G19164" s="12">
        <f t="shared" si="2463"/>
        <v>21</v>
      </c>
    </row>
    <row r="19165" ht="24.0" customHeight="1">
      <c r="A19165" s="10" t="s">
        <v>28</v>
      </c>
      <c r="B19165" s="10" t="s">
        <v>26</v>
      </c>
      <c r="C19165" s="10" t="s">
        <v>23</v>
      </c>
      <c r="D19165" s="10" t="s">
        <v>29</v>
      </c>
      <c r="E19165" s="14">
        <v>1.0</v>
      </c>
      <c r="F19165" s="15">
        <f t="shared" ref="F19165:F19166" si="2464">ROUND(19,3)</f>
        <v>19</v>
      </c>
      <c r="G19165" s="12">
        <f t="shared" si="2463"/>
        <v>19</v>
      </c>
    </row>
    <row r="19166" ht="24.0" customHeight="1">
      <c r="A19166" s="10" t="s">
        <v>30</v>
      </c>
      <c r="B19166" s="10" t="s">
        <v>26</v>
      </c>
      <c r="C19166" s="10" t="s">
        <v>23</v>
      </c>
      <c r="D19166" s="10" t="s">
        <v>31</v>
      </c>
      <c r="E19166" s="14">
        <v>0.2</v>
      </c>
      <c r="F19166" s="15">
        <f t="shared" si="2464"/>
        <v>19</v>
      </c>
      <c r="G19166" s="12">
        <f t="shared" si="2463"/>
        <v>3.8</v>
      </c>
    </row>
    <row r="19167" ht="15.0" customHeight="1">
      <c r="A19167" s="11"/>
      <c r="B19167" s="11"/>
      <c r="C19167" s="11"/>
      <c r="D19167" s="10" t="s">
        <v>22</v>
      </c>
      <c r="E19167" s="14">
        <v>0.15</v>
      </c>
      <c r="F19167" s="15">
        <f>ROUND((G19164+G19165+G19166),3)</f>
        <v>43.8</v>
      </c>
      <c r="G19167" s="12">
        <f t="shared" si="2463"/>
        <v>6.57</v>
      </c>
    </row>
    <row r="19168" ht="15.0" customHeight="1">
      <c r="A19168" s="10" t="s">
        <v>32</v>
      </c>
      <c r="B19168" s="10"/>
      <c r="C19168" s="10" t="s">
        <v>33</v>
      </c>
      <c r="D19168" s="10" t="s">
        <v>34</v>
      </c>
      <c r="E19168" s="14">
        <v>4.0</v>
      </c>
      <c r="F19168" s="15">
        <f>ROUND(6.57,3)</f>
        <v>6.57</v>
      </c>
      <c r="G19168" s="12">
        <f>ROUND((E19168*F19168)/100,2)</f>
        <v>0.26</v>
      </c>
    </row>
    <row r="19169" ht="15.0" customHeight="1">
      <c r="A19169" s="16"/>
      <c r="B19169" s="16"/>
      <c r="C19169" s="16"/>
      <c r="D19169" s="17" t="s">
        <v>9138</v>
      </c>
      <c r="E19169" s="16"/>
      <c r="F19169" s="18">
        <f>ROUND((G19160+G19161+G19162+G19163+G19168)*(1+G2/100),2)</f>
        <v>17.94</v>
      </c>
      <c r="G19169" s="16"/>
    </row>
    <row r="19170" ht="39.75" customHeight="1">
      <c r="A19170" s="19" t="s">
        <v>9141</v>
      </c>
      <c r="B19170" s="20" t="s">
        <v>18</v>
      </c>
      <c r="C19170" s="20" t="s">
        <v>19</v>
      </c>
      <c r="D19170" s="20" t="s">
        <v>9142</v>
      </c>
      <c r="E19170" s="21"/>
      <c r="F19170" s="22">
        <f>F19180</f>
        <v>14.39</v>
      </c>
      <c r="G19170" s="21"/>
    </row>
    <row r="19171" ht="21.0" customHeight="1">
      <c r="A19171" s="11"/>
      <c r="B19171" s="11"/>
      <c r="C19171" s="11"/>
      <c r="D19171" s="10" t="s">
        <v>9142</v>
      </c>
    </row>
    <row r="19172" ht="21.0" customHeight="1">
      <c r="A19172" s="10" t="s">
        <v>237</v>
      </c>
      <c r="B19172" s="10" t="s">
        <v>42</v>
      </c>
      <c r="C19172" s="10" t="s">
        <v>231</v>
      </c>
      <c r="D19172" s="10" t="s">
        <v>238</v>
      </c>
      <c r="E19172" s="14">
        <v>0.333</v>
      </c>
      <c r="F19172" s="15">
        <f>ROUND(6.32,3)</f>
        <v>6.32</v>
      </c>
      <c r="G19172" s="12">
        <f t="shared" ref="G19172:G19178" si="2465">ROUND(E19172*F19172,2)</f>
        <v>2.1</v>
      </c>
    </row>
    <row r="19173" ht="21.0" customHeight="1">
      <c r="A19173" s="10" t="s">
        <v>242</v>
      </c>
      <c r="B19173" s="10" t="s">
        <v>42</v>
      </c>
      <c r="C19173" s="10" t="s">
        <v>226</v>
      </c>
      <c r="D19173" s="10" t="s">
        <v>243</v>
      </c>
      <c r="E19173" s="14">
        <v>0.2</v>
      </c>
      <c r="F19173" s="15">
        <f>ROUND(1.32,3)</f>
        <v>1.32</v>
      </c>
      <c r="G19173" s="12">
        <f t="shared" si="2465"/>
        <v>0.26</v>
      </c>
    </row>
    <row r="19174" ht="21.0" customHeight="1">
      <c r="A19174" s="10" t="s">
        <v>22</v>
      </c>
      <c r="B19174" s="10" t="s">
        <v>18</v>
      </c>
      <c r="C19174" s="10" t="s">
        <v>23</v>
      </c>
      <c r="D19174" s="10" t="s">
        <v>24</v>
      </c>
      <c r="E19174" s="14">
        <v>0.26666</v>
      </c>
      <c r="F19174" s="15">
        <f>F19178</f>
        <v>43.8</v>
      </c>
      <c r="G19174" s="12">
        <f t="shared" si="2465"/>
        <v>11.68</v>
      </c>
    </row>
    <row r="19175" ht="24.0" customHeight="1">
      <c r="A19175" s="10" t="s">
        <v>25</v>
      </c>
      <c r="B19175" s="10" t="s">
        <v>26</v>
      </c>
      <c r="C19175" s="10" t="s">
        <v>23</v>
      </c>
      <c r="D19175" s="10" t="s">
        <v>27</v>
      </c>
      <c r="E19175" s="14">
        <v>1.0</v>
      </c>
      <c r="F19175" s="15">
        <f>ROUND(21,3)</f>
        <v>21</v>
      </c>
      <c r="G19175" s="12">
        <f t="shared" si="2465"/>
        <v>21</v>
      </c>
    </row>
    <row r="19176" ht="24.0" customHeight="1">
      <c r="A19176" s="10" t="s">
        <v>28</v>
      </c>
      <c r="B19176" s="10" t="s">
        <v>26</v>
      </c>
      <c r="C19176" s="10" t="s">
        <v>23</v>
      </c>
      <c r="D19176" s="10" t="s">
        <v>29</v>
      </c>
      <c r="E19176" s="14">
        <v>1.0</v>
      </c>
      <c r="F19176" s="15">
        <f t="shared" ref="F19176:F19177" si="2466">ROUND(19,3)</f>
        <v>19</v>
      </c>
      <c r="G19176" s="12">
        <f t="shared" si="2465"/>
        <v>19</v>
      </c>
    </row>
    <row r="19177" ht="24.0" customHeight="1">
      <c r="A19177" s="10" t="s">
        <v>30</v>
      </c>
      <c r="B19177" s="10" t="s">
        <v>26</v>
      </c>
      <c r="C19177" s="10" t="s">
        <v>23</v>
      </c>
      <c r="D19177" s="10" t="s">
        <v>31</v>
      </c>
      <c r="E19177" s="14">
        <v>0.2</v>
      </c>
      <c r="F19177" s="15">
        <f t="shared" si="2466"/>
        <v>19</v>
      </c>
      <c r="G19177" s="12">
        <f t="shared" si="2465"/>
        <v>3.8</v>
      </c>
    </row>
    <row r="19178" ht="15.0" customHeight="1">
      <c r="A19178" s="11"/>
      <c r="B19178" s="11"/>
      <c r="C19178" s="11"/>
      <c r="D19178" s="10" t="s">
        <v>22</v>
      </c>
      <c r="E19178" s="14">
        <v>0.26666</v>
      </c>
      <c r="F19178" s="15">
        <f>ROUND((G19175+G19176+G19177),3)</f>
        <v>43.8</v>
      </c>
      <c r="G19178" s="12">
        <f t="shared" si="2465"/>
        <v>11.68</v>
      </c>
    </row>
    <row r="19179" ht="15.0" customHeight="1">
      <c r="A19179" s="10" t="s">
        <v>32</v>
      </c>
      <c r="B19179" s="10"/>
      <c r="C19179" s="10" t="s">
        <v>33</v>
      </c>
      <c r="D19179" s="10" t="s">
        <v>34</v>
      </c>
      <c r="E19179" s="14">
        <v>3.0</v>
      </c>
      <c r="F19179" s="15">
        <f>ROUND(11.68,3)</f>
        <v>11.68</v>
      </c>
      <c r="G19179" s="12">
        <f>ROUND((E19179*F19179)/100,2)</f>
        <v>0.35</v>
      </c>
    </row>
    <row r="19180" ht="15.0" customHeight="1">
      <c r="A19180" s="16"/>
      <c r="B19180" s="16"/>
      <c r="C19180" s="16"/>
      <c r="D19180" s="17" t="s">
        <v>9141</v>
      </c>
      <c r="E19180" s="16"/>
      <c r="F19180" s="18">
        <f>ROUND((G19172+G19173+G19174+G19179)*(1+G2/100),2)</f>
        <v>14.39</v>
      </c>
      <c r="G19180" s="16"/>
    </row>
    <row r="19181" ht="30.0" customHeight="1">
      <c r="A19181" s="19" t="s">
        <v>9143</v>
      </c>
      <c r="B19181" s="20" t="s">
        <v>18</v>
      </c>
      <c r="C19181" s="20" t="s">
        <v>231</v>
      </c>
      <c r="D19181" s="20" t="s">
        <v>9144</v>
      </c>
      <c r="E19181" s="21"/>
      <c r="F19181" s="22">
        <f>F19191</f>
        <v>18.37</v>
      </c>
      <c r="G19181" s="21"/>
    </row>
    <row r="19182" ht="12.0" customHeight="1">
      <c r="A19182" s="11"/>
      <c r="B19182" s="11"/>
      <c r="C19182" s="11"/>
      <c r="D19182" s="10" t="s">
        <v>9144</v>
      </c>
    </row>
    <row r="19183" ht="21.0" customHeight="1">
      <c r="A19183" s="10" t="s">
        <v>237</v>
      </c>
      <c r="B19183" s="10" t="s">
        <v>42</v>
      </c>
      <c r="C19183" s="10" t="s">
        <v>231</v>
      </c>
      <c r="D19183" s="10" t="s">
        <v>238</v>
      </c>
      <c r="E19183" s="14">
        <v>0.5</v>
      </c>
      <c r="F19183" s="15">
        <f>ROUND(6.32,3)</f>
        <v>6.32</v>
      </c>
      <c r="G19183" s="12">
        <f t="shared" ref="G19183:G19189" si="2467">ROUND(E19183*F19183,2)</f>
        <v>3.16</v>
      </c>
    </row>
    <row r="19184" ht="21.0" customHeight="1">
      <c r="A19184" s="10" t="s">
        <v>242</v>
      </c>
      <c r="B19184" s="10" t="s">
        <v>42</v>
      </c>
      <c r="C19184" s="10" t="s">
        <v>226</v>
      </c>
      <c r="D19184" s="10" t="s">
        <v>243</v>
      </c>
      <c r="E19184" s="14">
        <v>0.133</v>
      </c>
      <c r="F19184" s="15">
        <f>ROUND(1.32,3)</f>
        <v>1.32</v>
      </c>
      <c r="G19184" s="12">
        <f t="shared" si="2467"/>
        <v>0.18</v>
      </c>
    </row>
    <row r="19185" ht="21.0" customHeight="1">
      <c r="A19185" s="10" t="s">
        <v>22</v>
      </c>
      <c r="B19185" s="10" t="s">
        <v>18</v>
      </c>
      <c r="C19185" s="10" t="s">
        <v>23</v>
      </c>
      <c r="D19185" s="10" t="s">
        <v>24</v>
      </c>
      <c r="E19185" s="14">
        <v>0.333</v>
      </c>
      <c r="F19185" s="15">
        <f>F19189</f>
        <v>43.8</v>
      </c>
      <c r="G19185" s="12">
        <f t="shared" si="2467"/>
        <v>14.59</v>
      </c>
    </row>
    <row r="19186" ht="24.0" customHeight="1">
      <c r="A19186" s="10" t="s">
        <v>25</v>
      </c>
      <c r="B19186" s="10" t="s">
        <v>26</v>
      </c>
      <c r="C19186" s="10" t="s">
        <v>23</v>
      </c>
      <c r="D19186" s="10" t="s">
        <v>27</v>
      </c>
      <c r="E19186" s="14">
        <v>1.0</v>
      </c>
      <c r="F19186" s="15">
        <f>ROUND(21,3)</f>
        <v>21</v>
      </c>
      <c r="G19186" s="12">
        <f t="shared" si="2467"/>
        <v>21</v>
      </c>
    </row>
    <row r="19187" ht="24.0" customHeight="1">
      <c r="A19187" s="10" t="s">
        <v>28</v>
      </c>
      <c r="B19187" s="10" t="s">
        <v>26</v>
      </c>
      <c r="C19187" s="10" t="s">
        <v>23</v>
      </c>
      <c r="D19187" s="10" t="s">
        <v>29</v>
      </c>
      <c r="E19187" s="14">
        <v>1.0</v>
      </c>
      <c r="F19187" s="15">
        <f t="shared" ref="F19187:F19188" si="2468">ROUND(19,3)</f>
        <v>19</v>
      </c>
      <c r="G19187" s="12">
        <f t="shared" si="2467"/>
        <v>19</v>
      </c>
    </row>
    <row r="19188" ht="24.0" customHeight="1">
      <c r="A19188" s="10" t="s">
        <v>30</v>
      </c>
      <c r="B19188" s="10" t="s">
        <v>26</v>
      </c>
      <c r="C19188" s="10" t="s">
        <v>23</v>
      </c>
      <c r="D19188" s="10" t="s">
        <v>31</v>
      </c>
      <c r="E19188" s="14">
        <v>0.2</v>
      </c>
      <c r="F19188" s="15">
        <f t="shared" si="2468"/>
        <v>19</v>
      </c>
      <c r="G19188" s="12">
        <f t="shared" si="2467"/>
        <v>3.8</v>
      </c>
    </row>
    <row r="19189" ht="15.0" customHeight="1">
      <c r="A19189" s="11"/>
      <c r="B19189" s="11"/>
      <c r="C19189" s="11"/>
      <c r="D19189" s="10" t="s">
        <v>22</v>
      </c>
      <c r="E19189" s="14">
        <v>0.333</v>
      </c>
      <c r="F19189" s="15">
        <f>ROUND((G19186+G19187+G19188),3)</f>
        <v>43.8</v>
      </c>
      <c r="G19189" s="12">
        <f t="shared" si="2467"/>
        <v>14.59</v>
      </c>
    </row>
    <row r="19190" ht="15.0" customHeight="1">
      <c r="A19190" s="10" t="s">
        <v>32</v>
      </c>
      <c r="B19190" s="10"/>
      <c r="C19190" s="10" t="s">
        <v>33</v>
      </c>
      <c r="D19190" s="10" t="s">
        <v>34</v>
      </c>
      <c r="E19190" s="14">
        <v>3.0</v>
      </c>
      <c r="F19190" s="15">
        <f>ROUND(14.59,3)</f>
        <v>14.59</v>
      </c>
      <c r="G19190" s="12">
        <f>ROUND((E19190*F19190)/100,2)</f>
        <v>0.44</v>
      </c>
    </row>
    <row r="19191" ht="24.75" customHeight="1">
      <c r="A19191" s="16"/>
      <c r="B19191" s="16"/>
      <c r="C19191" s="16"/>
      <c r="D19191" s="17" t="s">
        <v>9143</v>
      </c>
      <c r="E19191" s="16"/>
      <c r="F19191" s="18">
        <f>ROUND((G19183+G19184+G19185+G19190)*(1+G2/100),2)</f>
        <v>18.37</v>
      </c>
      <c r="G19191" s="16"/>
    </row>
    <row r="19192" ht="24.75" customHeight="1">
      <c r="A19192" s="19" t="s">
        <v>9145</v>
      </c>
      <c r="B19192" s="20" t="s">
        <v>18</v>
      </c>
      <c r="C19192" s="20" t="s">
        <v>295</v>
      </c>
      <c r="D19192" s="20" t="s">
        <v>9146</v>
      </c>
      <c r="E19192" s="21"/>
      <c r="F19192" s="22">
        <f>F19202</f>
        <v>51.76</v>
      </c>
      <c r="G19192" s="21"/>
    </row>
    <row r="19193" ht="12.0" customHeight="1">
      <c r="A19193" s="11"/>
      <c r="B19193" s="11"/>
      <c r="C19193" s="11"/>
      <c r="D19193" s="10" t="s">
        <v>9146</v>
      </c>
    </row>
    <row r="19194" ht="21.0" customHeight="1">
      <c r="A19194" s="10" t="s">
        <v>237</v>
      </c>
      <c r="B19194" s="10" t="s">
        <v>42</v>
      </c>
      <c r="C19194" s="10" t="s">
        <v>231</v>
      </c>
      <c r="D19194" s="10" t="s">
        <v>238</v>
      </c>
      <c r="E19194" s="14">
        <v>1.0</v>
      </c>
      <c r="F19194" s="15">
        <f>ROUND(6.32,3)</f>
        <v>6.32</v>
      </c>
      <c r="G19194" s="12">
        <f t="shared" ref="G19194:G19200" si="2469">ROUND(E19194*F19194,2)</f>
        <v>6.32</v>
      </c>
    </row>
    <row r="19195" ht="21.0" customHeight="1">
      <c r="A19195" s="10" t="s">
        <v>242</v>
      </c>
      <c r="B19195" s="10" t="s">
        <v>42</v>
      </c>
      <c r="C19195" s="10" t="s">
        <v>226</v>
      </c>
      <c r="D19195" s="10" t="s">
        <v>243</v>
      </c>
      <c r="E19195" s="14">
        <v>0.25</v>
      </c>
      <c r="F19195" s="15">
        <f>ROUND(1.32,3)</f>
        <v>1.32</v>
      </c>
      <c r="G19195" s="12">
        <f t="shared" si="2469"/>
        <v>0.33</v>
      </c>
    </row>
    <row r="19196" ht="21.0" customHeight="1">
      <c r="A19196" s="10" t="s">
        <v>22</v>
      </c>
      <c r="B19196" s="10" t="s">
        <v>18</v>
      </c>
      <c r="C19196" s="10" t="s">
        <v>23</v>
      </c>
      <c r="D19196" s="10" t="s">
        <v>24</v>
      </c>
      <c r="E19196" s="14">
        <v>1.0</v>
      </c>
      <c r="F19196" s="15">
        <f>F19200</f>
        <v>43.8</v>
      </c>
      <c r="G19196" s="12">
        <f t="shared" si="2469"/>
        <v>43.8</v>
      </c>
    </row>
    <row r="19197" ht="24.0" customHeight="1">
      <c r="A19197" s="10" t="s">
        <v>25</v>
      </c>
      <c r="B19197" s="10" t="s">
        <v>26</v>
      </c>
      <c r="C19197" s="10" t="s">
        <v>23</v>
      </c>
      <c r="D19197" s="10" t="s">
        <v>27</v>
      </c>
      <c r="E19197" s="14">
        <v>1.0</v>
      </c>
      <c r="F19197" s="15">
        <f>ROUND(21,3)</f>
        <v>21</v>
      </c>
      <c r="G19197" s="12">
        <f t="shared" si="2469"/>
        <v>21</v>
      </c>
    </row>
    <row r="19198" ht="24.0" customHeight="1">
      <c r="A19198" s="10" t="s">
        <v>28</v>
      </c>
      <c r="B19198" s="10" t="s">
        <v>26</v>
      </c>
      <c r="C19198" s="10" t="s">
        <v>23</v>
      </c>
      <c r="D19198" s="10" t="s">
        <v>29</v>
      </c>
      <c r="E19198" s="14">
        <v>1.0</v>
      </c>
      <c r="F19198" s="15">
        <f t="shared" ref="F19198:F19199" si="2470">ROUND(19,3)</f>
        <v>19</v>
      </c>
      <c r="G19198" s="12">
        <f t="shared" si="2469"/>
        <v>19</v>
      </c>
    </row>
    <row r="19199" ht="24.0" customHeight="1">
      <c r="A19199" s="10" t="s">
        <v>30</v>
      </c>
      <c r="B19199" s="10" t="s">
        <v>26</v>
      </c>
      <c r="C19199" s="10" t="s">
        <v>23</v>
      </c>
      <c r="D19199" s="10" t="s">
        <v>31</v>
      </c>
      <c r="E19199" s="14">
        <v>0.2</v>
      </c>
      <c r="F19199" s="15">
        <f t="shared" si="2470"/>
        <v>19</v>
      </c>
      <c r="G19199" s="12">
        <f t="shared" si="2469"/>
        <v>3.8</v>
      </c>
    </row>
    <row r="19200" ht="15.0" customHeight="1">
      <c r="A19200" s="11"/>
      <c r="B19200" s="11"/>
      <c r="C19200" s="11"/>
      <c r="D19200" s="10" t="s">
        <v>22</v>
      </c>
      <c r="E19200" s="14">
        <v>1.0</v>
      </c>
      <c r="F19200" s="15">
        <f>ROUND((G19197+G19198+G19199),3)</f>
        <v>43.8</v>
      </c>
      <c r="G19200" s="12">
        <f t="shared" si="2469"/>
        <v>43.8</v>
      </c>
    </row>
    <row r="19201" ht="15.0" customHeight="1">
      <c r="A19201" s="10" t="s">
        <v>32</v>
      </c>
      <c r="B19201" s="10"/>
      <c r="C19201" s="10" t="s">
        <v>33</v>
      </c>
      <c r="D19201" s="10" t="s">
        <v>34</v>
      </c>
      <c r="E19201" s="14">
        <v>3.0</v>
      </c>
      <c r="F19201" s="15">
        <f>ROUND(43.8,3)</f>
        <v>43.8</v>
      </c>
      <c r="G19201" s="12">
        <f>ROUND((E19201*F19201)/100,2)</f>
        <v>1.31</v>
      </c>
    </row>
    <row r="19202" ht="15.0" customHeight="1">
      <c r="A19202" s="16"/>
      <c r="B19202" s="16"/>
      <c r="C19202" s="16"/>
      <c r="D19202" s="17" t="s">
        <v>9145</v>
      </c>
      <c r="E19202" s="16"/>
      <c r="F19202" s="18">
        <f>ROUND((G19194+G19195+G19196+G19201)*(1+G2/100),2)</f>
        <v>51.76</v>
      </c>
      <c r="G19202" s="16"/>
    </row>
    <row r="19203" ht="30.0" customHeight="1">
      <c r="A19203" s="19" t="s">
        <v>9147</v>
      </c>
      <c r="B19203" s="20" t="s">
        <v>18</v>
      </c>
      <c r="C19203" s="20" t="s">
        <v>351</v>
      </c>
      <c r="D19203" s="20" t="s">
        <v>9148</v>
      </c>
      <c r="E19203" s="21"/>
      <c r="F19203" s="22">
        <f>F19215</f>
        <v>244.82</v>
      </c>
      <c r="G19203" s="21"/>
    </row>
    <row r="19204" ht="21.0" customHeight="1">
      <c r="A19204" s="11"/>
      <c r="B19204" s="11"/>
      <c r="C19204" s="11"/>
      <c r="D19204" s="10" t="s">
        <v>5877</v>
      </c>
    </row>
    <row r="19205" ht="39.75" customHeight="1">
      <c r="A19205" s="10" t="s">
        <v>8681</v>
      </c>
      <c r="B19205" s="10" t="s">
        <v>42</v>
      </c>
      <c r="C19205" s="10" t="s">
        <v>344</v>
      </c>
      <c r="D19205" s="10" t="s">
        <v>8682</v>
      </c>
      <c r="E19205" s="14">
        <v>2.0</v>
      </c>
      <c r="F19205" s="15">
        <f>ROUND(109,3)</f>
        <v>109</v>
      </c>
      <c r="G19205" s="12">
        <f t="shared" ref="G19205:G19213" si="2471">ROUND(E19205*F19205,2)</f>
        <v>218</v>
      </c>
    </row>
    <row r="19206" ht="21.0" customHeight="1">
      <c r="A19206" s="10" t="s">
        <v>967</v>
      </c>
      <c r="B19206" s="10" t="s">
        <v>42</v>
      </c>
      <c r="C19206" s="10" t="s">
        <v>325</v>
      </c>
      <c r="D19206" s="10" t="s">
        <v>968</v>
      </c>
      <c r="E19206" s="14">
        <v>0.12</v>
      </c>
      <c r="F19206" s="15">
        <f>ROUND(6.49,3)</f>
        <v>6.49</v>
      </c>
      <c r="G19206" s="12">
        <f t="shared" si="2471"/>
        <v>0.78</v>
      </c>
    </row>
    <row r="19207" ht="21.0" customHeight="1">
      <c r="A19207" s="10" t="s">
        <v>969</v>
      </c>
      <c r="B19207" s="10" t="s">
        <v>112</v>
      </c>
      <c r="C19207" s="10" t="s">
        <v>23</v>
      </c>
      <c r="D19207" s="10" t="s">
        <v>970</v>
      </c>
      <c r="E19207" s="14">
        <v>1.0</v>
      </c>
      <c r="F19207" s="15">
        <f>ROUND(2,3)</f>
        <v>2</v>
      </c>
      <c r="G19207" s="12">
        <f t="shared" si="2471"/>
        <v>2</v>
      </c>
    </row>
    <row r="19208" ht="30.0" customHeight="1">
      <c r="A19208" s="10" t="s">
        <v>971</v>
      </c>
      <c r="B19208" s="10" t="s">
        <v>42</v>
      </c>
      <c r="C19208" s="10" t="s">
        <v>231</v>
      </c>
      <c r="D19208" s="10" t="s">
        <v>972</v>
      </c>
      <c r="E19208" s="14">
        <v>0.3</v>
      </c>
      <c r="F19208" s="15">
        <f>ROUND(4.92,3)</f>
        <v>4.92</v>
      </c>
      <c r="G19208" s="12">
        <f t="shared" si="2471"/>
        <v>1.48</v>
      </c>
    </row>
    <row r="19209" ht="21.0" customHeight="1">
      <c r="A19209" s="10" t="s">
        <v>22</v>
      </c>
      <c r="B19209" s="10" t="s">
        <v>18</v>
      </c>
      <c r="C19209" s="10" t="s">
        <v>23</v>
      </c>
      <c r="D19209" s="10" t="s">
        <v>24</v>
      </c>
      <c r="E19209" s="14">
        <v>0.5</v>
      </c>
      <c r="F19209" s="15">
        <f>F19213</f>
        <v>43.8</v>
      </c>
      <c r="G19209" s="12">
        <f t="shared" si="2471"/>
        <v>21.9</v>
      </c>
    </row>
    <row r="19210" ht="24.0" customHeight="1">
      <c r="A19210" s="10" t="s">
        <v>25</v>
      </c>
      <c r="B19210" s="10" t="s">
        <v>26</v>
      </c>
      <c r="C19210" s="10" t="s">
        <v>23</v>
      </c>
      <c r="D19210" s="10" t="s">
        <v>27</v>
      </c>
      <c r="E19210" s="14">
        <v>1.0</v>
      </c>
      <c r="F19210" s="15">
        <f>ROUND(21,3)</f>
        <v>21</v>
      </c>
      <c r="G19210" s="12">
        <f t="shared" si="2471"/>
        <v>21</v>
      </c>
    </row>
    <row r="19211" ht="24.0" customHeight="1">
      <c r="A19211" s="10" t="s">
        <v>28</v>
      </c>
      <c r="B19211" s="10" t="s">
        <v>26</v>
      </c>
      <c r="C19211" s="10" t="s">
        <v>23</v>
      </c>
      <c r="D19211" s="10" t="s">
        <v>29</v>
      </c>
      <c r="E19211" s="14">
        <v>1.0</v>
      </c>
      <c r="F19211" s="15">
        <f t="shared" ref="F19211:F19212" si="2472">ROUND(19,3)</f>
        <v>19</v>
      </c>
      <c r="G19211" s="12">
        <f t="shared" si="2471"/>
        <v>19</v>
      </c>
    </row>
    <row r="19212" ht="24.0" customHeight="1">
      <c r="A19212" s="10" t="s">
        <v>30</v>
      </c>
      <c r="B19212" s="10" t="s">
        <v>26</v>
      </c>
      <c r="C19212" s="10" t="s">
        <v>23</v>
      </c>
      <c r="D19212" s="10" t="s">
        <v>31</v>
      </c>
      <c r="E19212" s="14">
        <v>0.2</v>
      </c>
      <c r="F19212" s="15">
        <f t="shared" si="2472"/>
        <v>19</v>
      </c>
      <c r="G19212" s="12">
        <f t="shared" si="2471"/>
        <v>3.8</v>
      </c>
    </row>
    <row r="19213" ht="15.0" customHeight="1">
      <c r="A19213" s="11"/>
      <c r="B19213" s="11"/>
      <c r="C19213" s="11"/>
      <c r="D19213" s="10" t="s">
        <v>22</v>
      </c>
      <c r="E19213" s="14">
        <v>0.5</v>
      </c>
      <c r="F19213" s="15">
        <f>ROUND((G19210+G19211+G19212),3)</f>
        <v>43.8</v>
      </c>
      <c r="G19213" s="12">
        <f t="shared" si="2471"/>
        <v>21.9</v>
      </c>
    </row>
    <row r="19214" ht="15.0" customHeight="1">
      <c r="A19214" s="10" t="s">
        <v>32</v>
      </c>
      <c r="B19214" s="10"/>
      <c r="C19214" s="10" t="s">
        <v>33</v>
      </c>
      <c r="D19214" s="10" t="s">
        <v>34</v>
      </c>
      <c r="E19214" s="14">
        <v>3.0</v>
      </c>
      <c r="F19214" s="15">
        <f>ROUND(21.9,3)</f>
        <v>21.9</v>
      </c>
      <c r="G19214" s="12">
        <f>ROUND((E19214*F19214)/100,2)</f>
        <v>0.66</v>
      </c>
    </row>
    <row r="19215" ht="15.0" customHeight="1">
      <c r="A19215" s="16"/>
      <c r="B19215" s="16"/>
      <c r="C19215" s="16"/>
      <c r="D19215" s="17" t="s">
        <v>9147</v>
      </c>
      <c r="E19215" s="16"/>
      <c r="F19215" s="18">
        <f>ROUND((G19205+G19206+G19207+G19208+G19209+G19214)*(1+G2/100),2)</f>
        <v>244.82</v>
      </c>
      <c r="G19215" s="16"/>
    </row>
    <row r="19216" ht="39.75" customHeight="1">
      <c r="A19216" s="19" t="s">
        <v>9149</v>
      </c>
      <c r="B19216" s="20" t="s">
        <v>18</v>
      </c>
      <c r="C19216" s="20" t="s">
        <v>231</v>
      </c>
      <c r="D19216" s="20" t="s">
        <v>9150</v>
      </c>
      <c r="E19216" s="21"/>
      <c r="F19216" s="22">
        <f>F19228</f>
        <v>61.73</v>
      </c>
      <c r="G19216" s="21"/>
    </row>
    <row r="19217" ht="76.5" customHeight="1">
      <c r="A19217" s="11"/>
      <c r="B19217" s="11"/>
      <c r="C19217" s="11"/>
      <c r="D19217" s="10" t="s">
        <v>9151</v>
      </c>
    </row>
    <row r="19218" ht="57.75" customHeight="1">
      <c r="A19218" s="10" t="s">
        <v>7738</v>
      </c>
      <c r="B19218" s="10" t="s">
        <v>42</v>
      </c>
      <c r="C19218" s="10" t="s">
        <v>1298</v>
      </c>
      <c r="D19218" s="10" t="s">
        <v>7739</v>
      </c>
      <c r="E19218" s="14">
        <v>0.06</v>
      </c>
      <c r="F19218" s="15">
        <f>ROUND(89.21,3)</f>
        <v>89.21</v>
      </c>
      <c r="G19218" s="12">
        <f t="shared" ref="G19218:G19226" si="2473">ROUND(E19218*F19218,2)</f>
        <v>5.35</v>
      </c>
    </row>
    <row r="19219" ht="30.0" customHeight="1">
      <c r="A19219" s="10" t="s">
        <v>1308</v>
      </c>
      <c r="B19219" s="10" t="s">
        <v>42</v>
      </c>
      <c r="C19219" s="10" t="s">
        <v>184</v>
      </c>
      <c r="D19219" s="10" t="s">
        <v>1309</v>
      </c>
      <c r="E19219" s="14">
        <v>0.04</v>
      </c>
      <c r="F19219" s="15">
        <f>ROUND(29.84,3)</f>
        <v>29.84</v>
      </c>
      <c r="G19219" s="12">
        <f t="shared" si="2473"/>
        <v>1.19</v>
      </c>
    </row>
    <row r="19220" ht="57.75" customHeight="1">
      <c r="A19220" s="10" t="s">
        <v>7743</v>
      </c>
      <c r="B19220" s="10" t="s">
        <v>42</v>
      </c>
      <c r="C19220" s="10" t="s">
        <v>184</v>
      </c>
      <c r="D19220" s="10" t="s">
        <v>7744</v>
      </c>
      <c r="E19220" s="14">
        <v>0.02</v>
      </c>
      <c r="F19220" s="15">
        <f>ROUND(37.44,3)</f>
        <v>37.44</v>
      </c>
      <c r="G19220" s="12">
        <f t="shared" si="2473"/>
        <v>0.75</v>
      </c>
    </row>
    <row r="19221" ht="30.0" customHeight="1">
      <c r="A19221" s="10" t="s">
        <v>1227</v>
      </c>
      <c r="B19221" s="10" t="s">
        <v>42</v>
      </c>
      <c r="C19221" s="10" t="s">
        <v>226</v>
      </c>
      <c r="D19221" s="10" t="s">
        <v>1228</v>
      </c>
      <c r="E19221" s="14">
        <v>0.011</v>
      </c>
      <c r="F19221" s="15">
        <f>ROUND(27.5,3)</f>
        <v>27.5</v>
      </c>
      <c r="G19221" s="12">
        <f t="shared" si="2473"/>
        <v>0.3</v>
      </c>
    </row>
    <row r="19222" ht="21.0" customHeight="1">
      <c r="A19222" s="10" t="s">
        <v>22</v>
      </c>
      <c r="B19222" s="10" t="s">
        <v>18</v>
      </c>
      <c r="C19222" s="10" t="s">
        <v>23</v>
      </c>
      <c r="D19222" s="10" t="s">
        <v>24</v>
      </c>
      <c r="E19222" s="14">
        <v>1.2</v>
      </c>
      <c r="F19222" s="15">
        <f>F19226</f>
        <v>43.8</v>
      </c>
      <c r="G19222" s="12">
        <f t="shared" si="2473"/>
        <v>52.56</v>
      </c>
    </row>
    <row r="19223" ht="24.0" customHeight="1">
      <c r="A19223" s="10" t="s">
        <v>25</v>
      </c>
      <c r="B19223" s="10" t="s">
        <v>26</v>
      </c>
      <c r="C19223" s="10" t="s">
        <v>23</v>
      </c>
      <c r="D19223" s="10" t="s">
        <v>27</v>
      </c>
      <c r="E19223" s="14">
        <v>1.0</v>
      </c>
      <c r="F19223" s="15">
        <f>ROUND(21,3)</f>
        <v>21</v>
      </c>
      <c r="G19223" s="12">
        <f t="shared" si="2473"/>
        <v>21</v>
      </c>
    </row>
    <row r="19224" ht="24.0" customHeight="1">
      <c r="A19224" s="10" t="s">
        <v>28</v>
      </c>
      <c r="B19224" s="10" t="s">
        <v>26</v>
      </c>
      <c r="C19224" s="10" t="s">
        <v>23</v>
      </c>
      <c r="D19224" s="10" t="s">
        <v>29</v>
      </c>
      <c r="E19224" s="14">
        <v>1.0</v>
      </c>
      <c r="F19224" s="15">
        <f t="shared" ref="F19224:F19225" si="2474">ROUND(19,3)</f>
        <v>19</v>
      </c>
      <c r="G19224" s="12">
        <f t="shared" si="2473"/>
        <v>19</v>
      </c>
    </row>
    <row r="19225" ht="24.0" customHeight="1">
      <c r="A19225" s="10" t="s">
        <v>30</v>
      </c>
      <c r="B19225" s="10" t="s">
        <v>26</v>
      </c>
      <c r="C19225" s="10" t="s">
        <v>23</v>
      </c>
      <c r="D19225" s="10" t="s">
        <v>31</v>
      </c>
      <c r="E19225" s="14">
        <v>0.2</v>
      </c>
      <c r="F19225" s="15">
        <f t="shared" si="2474"/>
        <v>19</v>
      </c>
      <c r="G19225" s="12">
        <f t="shared" si="2473"/>
        <v>3.8</v>
      </c>
    </row>
    <row r="19226" ht="15.0" customHeight="1">
      <c r="A19226" s="11"/>
      <c r="B19226" s="11"/>
      <c r="C19226" s="11"/>
      <c r="D19226" s="10" t="s">
        <v>22</v>
      </c>
      <c r="E19226" s="14">
        <v>1.2</v>
      </c>
      <c r="F19226" s="15">
        <f>ROUND((G19223+G19224+G19225),3)</f>
        <v>43.8</v>
      </c>
      <c r="G19226" s="12">
        <f t="shared" si="2473"/>
        <v>52.56</v>
      </c>
    </row>
    <row r="19227" ht="15.0" customHeight="1">
      <c r="A19227" s="10" t="s">
        <v>32</v>
      </c>
      <c r="B19227" s="10"/>
      <c r="C19227" s="10" t="s">
        <v>33</v>
      </c>
      <c r="D19227" s="10" t="s">
        <v>34</v>
      </c>
      <c r="E19227" s="14">
        <v>3.0</v>
      </c>
      <c r="F19227" s="15">
        <f>ROUND(52.56,3)</f>
        <v>52.56</v>
      </c>
      <c r="G19227" s="12">
        <f>ROUND((E19227*F19227)/100,2)</f>
        <v>1.58</v>
      </c>
    </row>
    <row r="19228" ht="24.75" customHeight="1">
      <c r="A19228" s="16"/>
      <c r="B19228" s="16"/>
      <c r="C19228" s="16"/>
      <c r="D19228" s="17" t="s">
        <v>9149</v>
      </c>
      <c r="E19228" s="16"/>
      <c r="F19228" s="18">
        <f>ROUND((G19218+G19219+G19220+G19221+G19222+G19227)*(1+G2/100),2)</f>
        <v>61.73</v>
      </c>
      <c r="G19228" s="16"/>
    </row>
    <row r="19229" ht="39.75" customHeight="1">
      <c r="A19229" s="19" t="s">
        <v>2442</v>
      </c>
      <c r="B19229" s="20" t="s">
        <v>18</v>
      </c>
      <c r="C19229" s="20" t="s">
        <v>295</v>
      </c>
      <c r="D19229" s="20" t="s">
        <v>2443</v>
      </c>
      <c r="E19229" s="21"/>
      <c r="F19229" s="22">
        <f>F19240</f>
        <v>30.66</v>
      </c>
      <c r="G19229" s="21"/>
    </row>
    <row r="19230" ht="67.5" customHeight="1">
      <c r="A19230" s="11"/>
      <c r="B19230" s="11"/>
      <c r="C19230" s="11"/>
      <c r="D19230" s="10" t="s">
        <v>2444</v>
      </c>
    </row>
    <row r="19231" ht="24.0" customHeight="1">
      <c r="A19231" s="10" t="s">
        <v>1281</v>
      </c>
      <c r="B19231" s="10" t="s">
        <v>42</v>
      </c>
      <c r="C19231" s="10" t="s">
        <v>43</v>
      </c>
      <c r="D19231" s="10" t="s">
        <v>1282</v>
      </c>
      <c r="E19231" s="14">
        <v>0.063</v>
      </c>
      <c r="F19231" s="15">
        <f>ROUND(29.06,3)</f>
        <v>29.06</v>
      </c>
      <c r="G19231" s="12">
        <f t="shared" ref="G19231:G19238" si="2475">ROUND(E19231*F19231,2)</f>
        <v>1.83</v>
      </c>
    </row>
    <row r="19232" ht="30.0" customHeight="1">
      <c r="A19232" s="10" t="s">
        <v>1308</v>
      </c>
      <c r="B19232" s="10" t="s">
        <v>42</v>
      </c>
      <c r="C19232" s="10" t="s">
        <v>184</v>
      </c>
      <c r="D19232" s="10" t="s">
        <v>1309</v>
      </c>
      <c r="E19232" s="14">
        <v>0.2</v>
      </c>
      <c r="F19232" s="15">
        <f>ROUND(29.84,3)</f>
        <v>29.84</v>
      </c>
      <c r="G19232" s="12">
        <f t="shared" si="2475"/>
        <v>5.97</v>
      </c>
    </row>
    <row r="19233" ht="30.0" customHeight="1">
      <c r="A19233" s="10" t="s">
        <v>1227</v>
      </c>
      <c r="B19233" s="10" t="s">
        <v>42</v>
      </c>
      <c r="C19233" s="10" t="s">
        <v>226</v>
      </c>
      <c r="D19233" s="10" t="s">
        <v>1228</v>
      </c>
      <c r="E19233" s="14">
        <v>0.011</v>
      </c>
      <c r="F19233" s="15">
        <f>ROUND(27.5,3)</f>
        <v>27.5</v>
      </c>
      <c r="G19233" s="12">
        <f t="shared" si="2475"/>
        <v>0.3</v>
      </c>
    </row>
    <row r="19234" ht="21.0" customHeight="1">
      <c r="A19234" s="10" t="s">
        <v>22</v>
      </c>
      <c r="B19234" s="10" t="s">
        <v>18</v>
      </c>
      <c r="C19234" s="10" t="s">
        <v>23</v>
      </c>
      <c r="D19234" s="10" t="s">
        <v>24</v>
      </c>
      <c r="E19234" s="14">
        <v>0.5</v>
      </c>
      <c r="F19234" s="15">
        <f>F19238</f>
        <v>43.8</v>
      </c>
      <c r="G19234" s="12">
        <f t="shared" si="2475"/>
        <v>21.9</v>
      </c>
    </row>
    <row r="19235" ht="24.0" customHeight="1">
      <c r="A19235" s="10" t="s">
        <v>25</v>
      </c>
      <c r="B19235" s="10" t="s">
        <v>26</v>
      </c>
      <c r="C19235" s="10" t="s">
        <v>23</v>
      </c>
      <c r="D19235" s="10" t="s">
        <v>27</v>
      </c>
      <c r="E19235" s="14">
        <v>1.0</v>
      </c>
      <c r="F19235" s="15">
        <f>ROUND(21,3)</f>
        <v>21</v>
      </c>
      <c r="G19235" s="12">
        <f t="shared" si="2475"/>
        <v>21</v>
      </c>
    </row>
    <row r="19236" ht="24.0" customHeight="1">
      <c r="A19236" s="10" t="s">
        <v>28</v>
      </c>
      <c r="B19236" s="10" t="s">
        <v>26</v>
      </c>
      <c r="C19236" s="10" t="s">
        <v>23</v>
      </c>
      <c r="D19236" s="10" t="s">
        <v>29</v>
      </c>
      <c r="E19236" s="14">
        <v>1.0</v>
      </c>
      <c r="F19236" s="15">
        <f t="shared" ref="F19236:F19237" si="2476">ROUND(19,3)</f>
        <v>19</v>
      </c>
      <c r="G19236" s="12">
        <f t="shared" si="2475"/>
        <v>19</v>
      </c>
    </row>
    <row r="19237" ht="24.0" customHeight="1">
      <c r="A19237" s="10" t="s">
        <v>30</v>
      </c>
      <c r="B19237" s="10" t="s">
        <v>26</v>
      </c>
      <c r="C19237" s="10" t="s">
        <v>23</v>
      </c>
      <c r="D19237" s="10" t="s">
        <v>31</v>
      </c>
      <c r="E19237" s="14">
        <v>0.2</v>
      </c>
      <c r="F19237" s="15">
        <f t="shared" si="2476"/>
        <v>19</v>
      </c>
      <c r="G19237" s="12">
        <f t="shared" si="2475"/>
        <v>3.8</v>
      </c>
    </row>
    <row r="19238" ht="15.0" customHeight="1">
      <c r="A19238" s="11"/>
      <c r="B19238" s="11"/>
      <c r="C19238" s="11"/>
      <c r="D19238" s="10" t="s">
        <v>22</v>
      </c>
      <c r="E19238" s="14">
        <v>0.5</v>
      </c>
      <c r="F19238" s="15">
        <f>ROUND((G19235+G19236+G19237),3)</f>
        <v>43.8</v>
      </c>
      <c r="G19238" s="12">
        <f t="shared" si="2475"/>
        <v>21.9</v>
      </c>
    </row>
    <row r="19239" ht="15.0" customHeight="1">
      <c r="A19239" s="10" t="s">
        <v>32</v>
      </c>
      <c r="B19239" s="10"/>
      <c r="C19239" s="10" t="s">
        <v>33</v>
      </c>
      <c r="D19239" s="10" t="s">
        <v>34</v>
      </c>
      <c r="E19239" s="14">
        <v>3.0</v>
      </c>
      <c r="F19239" s="15">
        <f>ROUND(21.9,3)</f>
        <v>21.9</v>
      </c>
      <c r="G19239" s="12">
        <f>ROUND((E19239*F19239)/100,2)</f>
        <v>0.66</v>
      </c>
    </row>
    <row r="19240" ht="15.0" customHeight="1">
      <c r="A19240" s="16"/>
      <c r="B19240" s="16"/>
      <c r="C19240" s="16"/>
      <c r="D19240" s="17" t="s">
        <v>2442</v>
      </c>
      <c r="E19240" s="16"/>
      <c r="F19240" s="18">
        <f>ROUND((G19231+G19232+G19233+G19234+G19239)*(1+G2/100),2)</f>
        <v>30.66</v>
      </c>
      <c r="G19240" s="16"/>
    </row>
    <row r="19241" ht="30.0" customHeight="1">
      <c r="A19241" s="19" t="s">
        <v>9152</v>
      </c>
      <c r="B19241" s="20" t="s">
        <v>18</v>
      </c>
      <c r="C19241" s="20" t="s">
        <v>231</v>
      </c>
      <c r="D19241" s="20" t="s">
        <v>9153</v>
      </c>
      <c r="E19241" s="21"/>
      <c r="F19241" s="22" t="str">
        <f>F19249</f>
        <v>#ERROR!</v>
      </c>
      <c r="G19241" s="21"/>
    </row>
    <row r="19242" ht="67.5" customHeight="1">
      <c r="A19242" s="11"/>
      <c r="B19242" s="11"/>
      <c r="C19242" s="11"/>
      <c r="D19242" s="10" t="s">
        <v>9154</v>
      </c>
    </row>
    <row r="19243" ht="30.0" customHeight="1">
      <c r="A19243" s="10" t="s">
        <v>1006</v>
      </c>
      <c r="B19243" s="10" t="s">
        <v>42</v>
      </c>
      <c r="C19243" s="10" t="s">
        <v>184</v>
      </c>
      <c r="D19243" s="10" t="s">
        <v>1007</v>
      </c>
      <c r="E19243" s="14">
        <v>0.04</v>
      </c>
      <c r="F19243" s="15">
        <f>ROUND(16.81,3)</f>
        <v>16.81</v>
      </c>
      <c r="G19243" s="12">
        <f t="shared" ref="G19243:G19247" si="2477">ROUND(E19243*F19243,2)</f>
        <v>0.67</v>
      </c>
    </row>
    <row r="19244" ht="39.75" customHeight="1">
      <c r="A19244" s="10" t="s">
        <v>1303</v>
      </c>
      <c r="B19244" s="10" t="s">
        <v>42</v>
      </c>
      <c r="C19244" s="10" t="s">
        <v>184</v>
      </c>
      <c r="D19244" s="10" t="s">
        <v>1304</v>
      </c>
      <c r="E19244" s="14">
        <v>0.176</v>
      </c>
      <c r="F19244" s="15">
        <f>ROUND(24.84,3)</f>
        <v>24.84</v>
      </c>
      <c r="G19244" s="12">
        <f t="shared" si="2477"/>
        <v>4.37</v>
      </c>
    </row>
    <row r="19245" ht="30.0" customHeight="1">
      <c r="A19245" s="10" t="s">
        <v>1227</v>
      </c>
      <c r="B19245" s="10" t="s">
        <v>42</v>
      </c>
      <c r="C19245" s="10" t="s">
        <v>226</v>
      </c>
      <c r="D19245" s="10" t="s">
        <v>1228</v>
      </c>
      <c r="E19245" s="14">
        <v>0.001</v>
      </c>
      <c r="F19245" s="15">
        <f>ROUND(27.5,3)</f>
        <v>27.5</v>
      </c>
      <c r="G19245" s="12">
        <f t="shared" si="2477"/>
        <v>0.03</v>
      </c>
    </row>
    <row r="19246" ht="30.0" customHeight="1">
      <c r="A19246" s="10" t="s">
        <v>2458</v>
      </c>
      <c r="B19246" s="10" t="s">
        <v>18</v>
      </c>
      <c r="C19246" s="10" t="s">
        <v>23</v>
      </c>
      <c r="D19246" s="10" t="s">
        <v>2459</v>
      </c>
      <c r="E19246" s="14">
        <v>1.2</v>
      </c>
      <c r="F19246" s="15" t="str">
        <f>F19247</f>
        <v>#ERROR!</v>
      </c>
      <c r="G19246" s="12" t="str">
        <f t="shared" si="2477"/>
        <v>#ERROR!</v>
      </c>
    </row>
    <row r="19247" ht="15.0" customHeight="1">
      <c r="A19247" s="11"/>
      <c r="B19247" s="11"/>
      <c r="C19247" s="11"/>
      <c r="D19247" s="10" t="s">
        <v>2458</v>
      </c>
      <c r="E19247" s="14">
        <v>1.2</v>
      </c>
      <c r="F19247" s="15" t="str">
        <f>ROUND((),3)</f>
        <v>#ERROR!</v>
      </c>
      <c r="G19247" s="12" t="str">
        <f t="shared" si="2477"/>
        <v>#ERROR!</v>
      </c>
    </row>
    <row r="19248" ht="15.0" customHeight="1">
      <c r="A19248" s="10" t="s">
        <v>32</v>
      </c>
      <c r="B19248" s="10"/>
      <c r="C19248" s="10" t="s">
        <v>33</v>
      </c>
      <c r="D19248" s="10" t="s">
        <v>34</v>
      </c>
      <c r="E19248" s="14">
        <v>3.0</v>
      </c>
      <c r="F19248" s="15">
        <f>ROUND(59.4,3)</f>
        <v>59.4</v>
      </c>
      <c r="G19248" s="12">
        <f>ROUND((E19248*F19248)/100,2)</f>
        <v>1.78</v>
      </c>
    </row>
    <row r="19249" ht="15.0" customHeight="1">
      <c r="A19249" s="16"/>
      <c r="B19249" s="16"/>
      <c r="C19249" s="16"/>
      <c r="D19249" s="17" t="s">
        <v>9152</v>
      </c>
      <c r="E19249" s="16"/>
      <c r="F19249" s="18" t="str">
        <f>ROUND((G19243+G19244+G19245+G19246+G19248)*(1+G2/100),2)</f>
        <v>#ERROR!</v>
      </c>
      <c r="G19249" s="16"/>
    </row>
    <row r="19250" ht="24.75" customHeight="1">
      <c r="A19250" s="19" t="s">
        <v>9155</v>
      </c>
      <c r="B19250" s="20" t="s">
        <v>18</v>
      </c>
      <c r="C19250" s="20" t="s">
        <v>251</v>
      </c>
      <c r="D19250" s="20" t="s">
        <v>9156</v>
      </c>
      <c r="E19250" s="21"/>
      <c r="F19250" s="22">
        <f>F19264</f>
        <v>221.26</v>
      </c>
      <c r="G19250" s="21"/>
    </row>
    <row r="19251" ht="12.0" customHeight="1">
      <c r="A19251" s="11"/>
      <c r="B19251" s="11"/>
      <c r="C19251" s="11"/>
      <c r="D19251" s="10" t="s">
        <v>9156</v>
      </c>
    </row>
    <row r="19252" ht="24.0" customHeight="1">
      <c r="A19252" s="10" t="s">
        <v>8133</v>
      </c>
      <c r="B19252" s="10" t="s">
        <v>42</v>
      </c>
      <c r="C19252" s="10" t="s">
        <v>43</v>
      </c>
      <c r="D19252" s="10" t="s">
        <v>8134</v>
      </c>
      <c r="E19252" s="14">
        <v>0.2</v>
      </c>
      <c r="F19252" s="15">
        <f>ROUND(8.23,3)</f>
        <v>8.23</v>
      </c>
      <c r="G19252" s="12">
        <f t="shared" ref="G19252:G19262" si="2478">ROUND(E19252*F19252,2)</f>
        <v>1.65</v>
      </c>
    </row>
    <row r="19253" ht="39.75" customHeight="1">
      <c r="A19253" s="10" t="s">
        <v>6251</v>
      </c>
      <c r="B19253" s="10" t="s">
        <v>42</v>
      </c>
      <c r="C19253" s="10" t="s">
        <v>1825</v>
      </c>
      <c r="D19253" s="10" t="s">
        <v>6252</v>
      </c>
      <c r="E19253" s="14">
        <v>0.1</v>
      </c>
      <c r="F19253" s="15">
        <f>ROUND(17.82,3)</f>
        <v>17.82</v>
      </c>
      <c r="G19253" s="12">
        <f t="shared" si="2478"/>
        <v>1.78</v>
      </c>
    </row>
    <row r="19254" ht="30.0" customHeight="1">
      <c r="A19254" s="10" t="s">
        <v>7513</v>
      </c>
      <c r="B19254" s="10" t="s">
        <v>42</v>
      </c>
      <c r="C19254" s="10" t="s">
        <v>43</v>
      </c>
      <c r="D19254" s="10" t="s">
        <v>7514</v>
      </c>
      <c r="E19254" s="14">
        <v>0.5</v>
      </c>
      <c r="F19254" s="15">
        <f>ROUND(6.6,3)</f>
        <v>6.6</v>
      </c>
      <c r="G19254" s="12">
        <f t="shared" si="2478"/>
        <v>3.3</v>
      </c>
    </row>
    <row r="19255" ht="30.0" customHeight="1">
      <c r="A19255" s="10" t="s">
        <v>6318</v>
      </c>
      <c r="B19255" s="10" t="s">
        <v>42</v>
      </c>
      <c r="C19255" s="10" t="s">
        <v>325</v>
      </c>
      <c r="D19255" s="10" t="s">
        <v>6319</v>
      </c>
      <c r="E19255" s="14">
        <v>0.333</v>
      </c>
      <c r="F19255" s="15">
        <f>ROUND(5.98,3)</f>
        <v>5.98</v>
      </c>
      <c r="G19255" s="12">
        <f t="shared" si="2478"/>
        <v>1.99</v>
      </c>
    </row>
    <row r="19256" ht="30.0" customHeight="1">
      <c r="A19256" s="10" t="s">
        <v>8732</v>
      </c>
      <c r="B19256" s="10" t="s">
        <v>42</v>
      </c>
      <c r="C19256" s="10" t="s">
        <v>1825</v>
      </c>
      <c r="D19256" s="10" t="s">
        <v>8733</v>
      </c>
      <c r="E19256" s="14">
        <v>0.1</v>
      </c>
      <c r="F19256" s="15">
        <f>ROUND(6.52,3)</f>
        <v>6.52</v>
      </c>
      <c r="G19256" s="12">
        <f t="shared" si="2478"/>
        <v>0.65</v>
      </c>
    </row>
    <row r="19257" ht="39.75" customHeight="1">
      <c r="A19257" s="10" t="s">
        <v>2541</v>
      </c>
      <c r="B19257" s="10" t="s">
        <v>42</v>
      </c>
      <c r="C19257" s="10" t="s">
        <v>226</v>
      </c>
      <c r="D19257" s="10" t="s">
        <v>2542</v>
      </c>
      <c r="E19257" s="14">
        <v>0.328</v>
      </c>
      <c r="F19257" s="15">
        <f>ROUND(19.53,3)</f>
        <v>19.53</v>
      </c>
      <c r="G19257" s="12">
        <f t="shared" si="2478"/>
        <v>6.41</v>
      </c>
    </row>
    <row r="19258" ht="21.0" customHeight="1">
      <c r="A19258" s="10" t="s">
        <v>8780</v>
      </c>
      <c r="B19258" s="10" t="s">
        <v>42</v>
      </c>
      <c r="C19258" s="10" t="s">
        <v>231</v>
      </c>
      <c r="D19258" s="10" t="s">
        <v>8781</v>
      </c>
      <c r="E19258" s="14">
        <v>13.666</v>
      </c>
      <c r="F19258" s="15">
        <f>ROUND(3.26,3)</f>
        <v>3.26</v>
      </c>
      <c r="G19258" s="12">
        <f t="shared" si="2478"/>
        <v>44.55</v>
      </c>
    </row>
    <row r="19259" ht="30.0" customHeight="1">
      <c r="A19259" s="10" t="s">
        <v>8165</v>
      </c>
      <c r="B19259" s="10" t="s">
        <v>42</v>
      </c>
      <c r="C19259" s="10" t="s">
        <v>43</v>
      </c>
      <c r="D19259" s="10" t="s">
        <v>8166</v>
      </c>
      <c r="E19259" s="14">
        <v>0.6</v>
      </c>
      <c r="F19259" s="15">
        <f>ROUND(82.56,3)</f>
        <v>82.56</v>
      </c>
      <c r="G19259" s="12">
        <f t="shared" si="2478"/>
        <v>49.54</v>
      </c>
    </row>
    <row r="19260" ht="21.0" customHeight="1">
      <c r="A19260" s="10" t="s">
        <v>969</v>
      </c>
      <c r="B19260" s="10" t="s">
        <v>112</v>
      </c>
      <c r="C19260" s="10" t="s">
        <v>23</v>
      </c>
      <c r="D19260" s="10" t="s">
        <v>970</v>
      </c>
      <c r="E19260" s="14">
        <v>1.0</v>
      </c>
      <c r="F19260" s="15">
        <f>ROUND(2,3)</f>
        <v>2</v>
      </c>
      <c r="G19260" s="12">
        <f t="shared" si="2478"/>
        <v>2</v>
      </c>
    </row>
    <row r="19261" ht="24.0" customHeight="1">
      <c r="A19261" s="10" t="s">
        <v>6150</v>
      </c>
      <c r="B19261" s="10" t="s">
        <v>112</v>
      </c>
      <c r="C19261" s="10" t="s">
        <v>23</v>
      </c>
      <c r="D19261" s="10" t="s">
        <v>6151</v>
      </c>
      <c r="E19261" s="14">
        <v>3.0</v>
      </c>
      <c r="F19261" s="15">
        <f>ROUND(3.5,3)</f>
        <v>3.5</v>
      </c>
      <c r="G19261" s="12">
        <f t="shared" si="2478"/>
        <v>10.5</v>
      </c>
    </row>
    <row r="19262" ht="24.0" customHeight="1">
      <c r="A19262" s="10" t="s">
        <v>1186</v>
      </c>
      <c r="B19262" s="10" t="s">
        <v>26</v>
      </c>
      <c r="C19262" s="10" t="s">
        <v>23</v>
      </c>
      <c r="D19262" s="10" t="s">
        <v>1187</v>
      </c>
      <c r="E19262" s="14">
        <v>1.867</v>
      </c>
      <c r="F19262" s="15">
        <f>ROUND(49.5,3)</f>
        <v>49.5</v>
      </c>
      <c r="G19262" s="12">
        <f t="shared" si="2478"/>
        <v>92.42</v>
      </c>
    </row>
    <row r="19263" ht="15.0" customHeight="1">
      <c r="A19263" s="10" t="s">
        <v>9157</v>
      </c>
      <c r="B19263" s="10"/>
      <c r="C19263" s="10" t="s">
        <v>33</v>
      </c>
      <c r="D19263" s="10" t="s">
        <v>34</v>
      </c>
      <c r="E19263" s="14">
        <v>7.0</v>
      </c>
      <c r="F19263" s="15">
        <f>ROUND(92.42,3)</f>
        <v>92.42</v>
      </c>
      <c r="G19263" s="12">
        <f>ROUND((E19263*F19263)/100,2)</f>
        <v>6.47</v>
      </c>
    </row>
    <row r="19264" ht="15.0" customHeight="1">
      <c r="A19264" s="16"/>
      <c r="B19264" s="16"/>
      <c r="C19264" s="16"/>
      <c r="D19264" s="17" t="s">
        <v>9155</v>
      </c>
      <c r="E19264" s="16"/>
      <c r="F19264" s="18">
        <f>ROUND((G19252+G19253+G19254+G19255+G19256+G19257+G19258+G19259+G19260+G19261+G19262+G19263)*(1+G2/100),2)</f>
        <v>221.26</v>
      </c>
      <c r="G19264" s="16"/>
    </row>
    <row r="19265" ht="39.75" customHeight="1">
      <c r="A19265" s="19" t="s">
        <v>9158</v>
      </c>
      <c r="B19265" s="20" t="s">
        <v>18</v>
      </c>
      <c r="C19265" s="20" t="s">
        <v>19</v>
      </c>
      <c r="D19265" s="20" t="s">
        <v>9159</v>
      </c>
      <c r="E19265" s="21"/>
      <c r="F19265" s="22">
        <f>F19274</f>
        <v>123.54</v>
      </c>
      <c r="G19265" s="21"/>
    </row>
    <row r="19266" ht="113.25" customHeight="1">
      <c r="A19266" s="11"/>
      <c r="B19266" s="11"/>
      <c r="C19266" s="11"/>
      <c r="D19266" s="10" t="s">
        <v>9160</v>
      </c>
    </row>
    <row r="19267" ht="57.75" customHeight="1">
      <c r="A19267" s="10" t="s">
        <v>7598</v>
      </c>
      <c r="B19267" s="10" t="s">
        <v>42</v>
      </c>
      <c r="C19267" s="10" t="s">
        <v>184</v>
      </c>
      <c r="D19267" s="10" t="s">
        <v>7599</v>
      </c>
      <c r="E19267" s="14">
        <v>0.66</v>
      </c>
      <c r="F19267" s="15">
        <f>ROUND(146.16,3)</f>
        <v>146.16</v>
      </c>
      <c r="G19267" s="12">
        <f t="shared" ref="G19267:G19272" si="2479">ROUND(E19267*F19267,2)</f>
        <v>96.47</v>
      </c>
    </row>
    <row r="19268" ht="21.0" customHeight="1">
      <c r="A19268" s="10" t="s">
        <v>22</v>
      </c>
      <c r="B19268" s="10" t="s">
        <v>18</v>
      </c>
      <c r="C19268" s="10" t="s">
        <v>23</v>
      </c>
      <c r="D19268" s="10" t="s">
        <v>24</v>
      </c>
      <c r="E19268" s="14">
        <v>0.6</v>
      </c>
      <c r="F19268" s="15">
        <f>F19272</f>
        <v>43.8</v>
      </c>
      <c r="G19268" s="12">
        <f t="shared" si="2479"/>
        <v>26.28</v>
      </c>
    </row>
    <row r="19269" ht="24.0" customHeight="1">
      <c r="A19269" s="10" t="s">
        <v>25</v>
      </c>
      <c r="B19269" s="10" t="s">
        <v>26</v>
      </c>
      <c r="C19269" s="10" t="s">
        <v>23</v>
      </c>
      <c r="D19269" s="10" t="s">
        <v>27</v>
      </c>
      <c r="E19269" s="14">
        <v>1.0</v>
      </c>
      <c r="F19269" s="15">
        <f>ROUND(21,3)</f>
        <v>21</v>
      </c>
      <c r="G19269" s="12">
        <f t="shared" si="2479"/>
        <v>21</v>
      </c>
    </row>
    <row r="19270" ht="24.0" customHeight="1">
      <c r="A19270" s="10" t="s">
        <v>28</v>
      </c>
      <c r="B19270" s="10" t="s">
        <v>26</v>
      </c>
      <c r="C19270" s="10" t="s">
        <v>23</v>
      </c>
      <c r="D19270" s="10" t="s">
        <v>29</v>
      </c>
      <c r="E19270" s="14">
        <v>1.0</v>
      </c>
      <c r="F19270" s="15">
        <f t="shared" ref="F19270:F19271" si="2480">ROUND(19,3)</f>
        <v>19</v>
      </c>
      <c r="G19270" s="12">
        <f t="shared" si="2479"/>
        <v>19</v>
      </c>
    </row>
    <row r="19271" ht="24.0" customHeight="1">
      <c r="A19271" s="10" t="s">
        <v>30</v>
      </c>
      <c r="B19271" s="10" t="s">
        <v>26</v>
      </c>
      <c r="C19271" s="10" t="s">
        <v>23</v>
      </c>
      <c r="D19271" s="10" t="s">
        <v>31</v>
      </c>
      <c r="E19271" s="14">
        <v>0.2</v>
      </c>
      <c r="F19271" s="15">
        <f t="shared" si="2480"/>
        <v>19</v>
      </c>
      <c r="G19271" s="12">
        <f t="shared" si="2479"/>
        <v>3.8</v>
      </c>
    </row>
    <row r="19272" ht="15.0" customHeight="1">
      <c r="A19272" s="11"/>
      <c r="B19272" s="11"/>
      <c r="C19272" s="11"/>
      <c r="D19272" s="10" t="s">
        <v>22</v>
      </c>
      <c r="E19272" s="14">
        <v>0.6</v>
      </c>
      <c r="F19272" s="15">
        <f>ROUND((G19269+G19270+G19271),3)</f>
        <v>43.8</v>
      </c>
      <c r="G19272" s="12">
        <f t="shared" si="2479"/>
        <v>26.28</v>
      </c>
    </row>
    <row r="19273" ht="15.0" customHeight="1">
      <c r="A19273" s="10" t="s">
        <v>32</v>
      </c>
      <c r="B19273" s="10"/>
      <c r="C19273" s="10" t="s">
        <v>33</v>
      </c>
      <c r="D19273" s="10" t="s">
        <v>34</v>
      </c>
      <c r="E19273" s="14">
        <v>3.0</v>
      </c>
      <c r="F19273" s="15">
        <f>ROUND(26.28,3)</f>
        <v>26.28</v>
      </c>
      <c r="G19273" s="12">
        <f>ROUND((E19273*F19273)/100,2)</f>
        <v>0.79</v>
      </c>
    </row>
    <row r="19274" ht="15.0" customHeight="1">
      <c r="A19274" s="16"/>
      <c r="B19274" s="16"/>
      <c r="C19274" s="16"/>
      <c r="D19274" s="17" t="s">
        <v>9158</v>
      </c>
      <c r="E19274" s="16"/>
      <c r="F19274" s="18">
        <f>ROUND((G19267+G19268+G19273)*(1+G2/100),2)</f>
        <v>123.54</v>
      </c>
      <c r="G19274" s="16"/>
    </row>
    <row r="19275" ht="39.75" customHeight="1">
      <c r="A19275" s="19" t="s">
        <v>9161</v>
      </c>
      <c r="B19275" s="20" t="s">
        <v>18</v>
      </c>
      <c r="C19275" s="20" t="s">
        <v>19</v>
      </c>
      <c r="D19275" s="20" t="s">
        <v>9162</v>
      </c>
      <c r="E19275" s="21"/>
      <c r="F19275" s="22">
        <f>F19284</f>
        <v>137.26</v>
      </c>
      <c r="G19275" s="21"/>
    </row>
    <row r="19276" ht="21.0" customHeight="1">
      <c r="A19276" s="11"/>
      <c r="B19276" s="11"/>
      <c r="C19276" s="11"/>
      <c r="D19276" s="10" t="s">
        <v>9162</v>
      </c>
    </row>
    <row r="19277" ht="57.75" customHeight="1">
      <c r="A19277" s="10" t="s">
        <v>7598</v>
      </c>
      <c r="B19277" s="10" t="s">
        <v>42</v>
      </c>
      <c r="C19277" s="10" t="s">
        <v>184</v>
      </c>
      <c r="D19277" s="10" t="s">
        <v>7599</v>
      </c>
      <c r="E19277" s="14">
        <v>0.66</v>
      </c>
      <c r="F19277" s="15">
        <f>ROUND(146.16,3)</f>
        <v>146.16</v>
      </c>
      <c r="G19277" s="12">
        <f t="shared" ref="G19277:G19282" si="2481">ROUND(E19277*F19277,2)</f>
        <v>96.47</v>
      </c>
    </row>
    <row r="19278" ht="24.0" customHeight="1">
      <c r="A19278" s="10" t="s">
        <v>286</v>
      </c>
      <c r="B19278" s="10" t="s">
        <v>18</v>
      </c>
      <c r="C19278" s="10" t="s">
        <v>23</v>
      </c>
      <c r="D19278" s="10" t="s">
        <v>287</v>
      </c>
      <c r="E19278" s="14">
        <v>0.8</v>
      </c>
      <c r="F19278" s="15">
        <f>F19282</f>
        <v>49.5</v>
      </c>
      <c r="G19278" s="12">
        <f t="shared" si="2481"/>
        <v>39.6</v>
      </c>
    </row>
    <row r="19279" ht="24.0" customHeight="1">
      <c r="A19279" s="10" t="s">
        <v>288</v>
      </c>
      <c r="B19279" s="10" t="s">
        <v>26</v>
      </c>
      <c r="C19279" s="10" t="s">
        <v>23</v>
      </c>
      <c r="D19279" s="10" t="s">
        <v>289</v>
      </c>
      <c r="E19279" s="14">
        <v>1.0</v>
      </c>
      <c r="F19279" s="15">
        <f>ROUND(21,3)</f>
        <v>21</v>
      </c>
      <c r="G19279" s="12">
        <f t="shared" si="2481"/>
        <v>21</v>
      </c>
    </row>
    <row r="19280" ht="24.0" customHeight="1">
      <c r="A19280" s="10" t="s">
        <v>290</v>
      </c>
      <c r="B19280" s="10" t="s">
        <v>26</v>
      </c>
      <c r="C19280" s="10" t="s">
        <v>23</v>
      </c>
      <c r="D19280" s="10" t="s">
        <v>291</v>
      </c>
      <c r="E19280" s="14">
        <v>1.0</v>
      </c>
      <c r="F19280" s="15">
        <f t="shared" ref="F19280:F19281" si="2482">ROUND(19,3)</f>
        <v>19</v>
      </c>
      <c r="G19280" s="12">
        <f t="shared" si="2481"/>
        <v>19</v>
      </c>
    </row>
    <row r="19281" ht="24.0" customHeight="1">
      <c r="A19281" s="10" t="s">
        <v>292</v>
      </c>
      <c r="B19281" s="10" t="s">
        <v>26</v>
      </c>
      <c r="C19281" s="10" t="s">
        <v>23</v>
      </c>
      <c r="D19281" s="10" t="s">
        <v>293</v>
      </c>
      <c r="E19281" s="14">
        <v>0.5</v>
      </c>
      <c r="F19281" s="15">
        <f t="shared" si="2482"/>
        <v>19</v>
      </c>
      <c r="G19281" s="12">
        <f t="shared" si="2481"/>
        <v>9.5</v>
      </c>
    </row>
    <row r="19282" ht="15.0" customHeight="1">
      <c r="A19282" s="11"/>
      <c r="B19282" s="11"/>
      <c r="C19282" s="11"/>
      <c r="D19282" s="10" t="s">
        <v>286</v>
      </c>
      <c r="E19282" s="14">
        <v>0.8</v>
      </c>
      <c r="F19282" s="15">
        <f>ROUND((G19279+G19280+G19281),3)</f>
        <v>49.5</v>
      </c>
      <c r="G19282" s="12">
        <f t="shared" si="2481"/>
        <v>39.6</v>
      </c>
    </row>
    <row r="19283" ht="15.0" customHeight="1">
      <c r="A19283" s="10" t="s">
        <v>32</v>
      </c>
      <c r="B19283" s="10"/>
      <c r="C19283" s="10" t="s">
        <v>33</v>
      </c>
      <c r="D19283" s="10" t="s">
        <v>34</v>
      </c>
      <c r="E19283" s="14">
        <v>3.0</v>
      </c>
      <c r="F19283" s="15">
        <f>ROUND(39.6,3)</f>
        <v>39.6</v>
      </c>
      <c r="G19283" s="12">
        <f>ROUND((E19283*F19283)/100,2)</f>
        <v>1.19</v>
      </c>
    </row>
    <row r="19284" ht="15.0" customHeight="1">
      <c r="A19284" s="16"/>
      <c r="B19284" s="16"/>
      <c r="C19284" s="16"/>
      <c r="D19284" s="17" t="s">
        <v>9161</v>
      </c>
      <c r="E19284" s="16"/>
      <c r="F19284" s="18">
        <f>ROUND((G19277+G19278+G19283)*(1+G2/100),2)</f>
        <v>137.26</v>
      </c>
      <c r="G19284" s="16"/>
    </row>
    <row r="19285" ht="57.75" customHeight="1">
      <c r="A19285" s="19" t="s">
        <v>9163</v>
      </c>
      <c r="B19285" s="20" t="s">
        <v>18</v>
      </c>
      <c r="C19285" s="20" t="s">
        <v>19</v>
      </c>
      <c r="D19285" s="20" t="s">
        <v>9164</v>
      </c>
      <c r="E19285" s="21"/>
      <c r="F19285" s="22">
        <f>F19296</f>
        <v>28.6</v>
      </c>
      <c r="G19285" s="21"/>
    </row>
    <row r="19286" ht="21.0" customHeight="1">
      <c r="A19286" s="11"/>
      <c r="B19286" s="11"/>
      <c r="C19286" s="11"/>
      <c r="D19286" s="10" t="s">
        <v>9165</v>
      </c>
    </row>
    <row r="19287" ht="24.0" customHeight="1">
      <c r="A19287" s="10" t="s">
        <v>1281</v>
      </c>
      <c r="B19287" s="10" t="s">
        <v>42</v>
      </c>
      <c r="C19287" s="10" t="s">
        <v>43</v>
      </c>
      <c r="D19287" s="10" t="s">
        <v>1282</v>
      </c>
      <c r="E19287" s="14">
        <v>0.0</v>
      </c>
      <c r="F19287" s="15">
        <f>ROUND(29.06,3)</f>
        <v>29.06</v>
      </c>
      <c r="G19287" s="12">
        <f t="shared" ref="G19287:G19294" si="2483">ROUND(E19287*F19287,2)</f>
        <v>0</v>
      </c>
    </row>
    <row r="19288" ht="39.75" customHeight="1">
      <c r="A19288" s="10" t="s">
        <v>7589</v>
      </c>
      <c r="B19288" s="10" t="s">
        <v>42</v>
      </c>
      <c r="C19288" s="10" t="s">
        <v>184</v>
      </c>
      <c r="D19288" s="10" t="s">
        <v>7590</v>
      </c>
      <c r="E19288" s="14">
        <v>0.26</v>
      </c>
      <c r="F19288" s="15">
        <f>ROUND(38.24,3)</f>
        <v>38.24</v>
      </c>
      <c r="G19288" s="12">
        <f t="shared" si="2483"/>
        <v>9.94</v>
      </c>
    </row>
    <row r="19289" ht="30.0" customHeight="1">
      <c r="A19289" s="10" t="s">
        <v>1227</v>
      </c>
      <c r="B19289" s="10" t="s">
        <v>42</v>
      </c>
      <c r="C19289" s="10" t="s">
        <v>226</v>
      </c>
      <c r="D19289" s="10" t="s">
        <v>1228</v>
      </c>
      <c r="E19289" s="14">
        <v>0.022</v>
      </c>
      <c r="F19289" s="15">
        <f>ROUND(27.5,3)</f>
        <v>27.5</v>
      </c>
      <c r="G19289" s="12">
        <f t="shared" si="2483"/>
        <v>0.61</v>
      </c>
    </row>
    <row r="19290" ht="21.0" customHeight="1">
      <c r="A19290" s="10" t="s">
        <v>22</v>
      </c>
      <c r="B19290" s="10" t="s">
        <v>18</v>
      </c>
      <c r="C19290" s="10" t="s">
        <v>23</v>
      </c>
      <c r="D19290" s="10" t="s">
        <v>24</v>
      </c>
      <c r="E19290" s="14">
        <v>0.4</v>
      </c>
      <c r="F19290" s="15">
        <f>F19294</f>
        <v>43.8</v>
      </c>
      <c r="G19290" s="12">
        <f t="shared" si="2483"/>
        <v>17.52</v>
      </c>
    </row>
    <row r="19291" ht="24.0" customHeight="1">
      <c r="A19291" s="10" t="s">
        <v>25</v>
      </c>
      <c r="B19291" s="10" t="s">
        <v>26</v>
      </c>
      <c r="C19291" s="10" t="s">
        <v>23</v>
      </c>
      <c r="D19291" s="10" t="s">
        <v>27</v>
      </c>
      <c r="E19291" s="14">
        <v>1.0</v>
      </c>
      <c r="F19291" s="15">
        <f>ROUND(21,3)</f>
        <v>21</v>
      </c>
      <c r="G19291" s="12">
        <f t="shared" si="2483"/>
        <v>21</v>
      </c>
    </row>
    <row r="19292" ht="24.0" customHeight="1">
      <c r="A19292" s="10" t="s">
        <v>28</v>
      </c>
      <c r="B19292" s="10" t="s">
        <v>26</v>
      </c>
      <c r="C19292" s="10" t="s">
        <v>23</v>
      </c>
      <c r="D19292" s="10" t="s">
        <v>29</v>
      </c>
      <c r="E19292" s="14">
        <v>1.0</v>
      </c>
      <c r="F19292" s="15">
        <f t="shared" ref="F19292:F19293" si="2484">ROUND(19,3)</f>
        <v>19</v>
      </c>
      <c r="G19292" s="12">
        <f t="shared" si="2483"/>
        <v>19</v>
      </c>
    </row>
    <row r="19293" ht="24.0" customHeight="1">
      <c r="A19293" s="10" t="s">
        <v>30</v>
      </c>
      <c r="B19293" s="10" t="s">
        <v>26</v>
      </c>
      <c r="C19293" s="10" t="s">
        <v>23</v>
      </c>
      <c r="D19293" s="10" t="s">
        <v>31</v>
      </c>
      <c r="E19293" s="14">
        <v>0.2</v>
      </c>
      <c r="F19293" s="15">
        <f t="shared" si="2484"/>
        <v>19</v>
      </c>
      <c r="G19293" s="12">
        <f t="shared" si="2483"/>
        <v>3.8</v>
      </c>
    </row>
    <row r="19294" ht="15.0" customHeight="1">
      <c r="A19294" s="11"/>
      <c r="B19294" s="11"/>
      <c r="C19294" s="11"/>
      <c r="D19294" s="10" t="s">
        <v>22</v>
      </c>
      <c r="E19294" s="14">
        <v>0.4</v>
      </c>
      <c r="F19294" s="15">
        <f>ROUND((G19291+G19292+G19293),3)</f>
        <v>43.8</v>
      </c>
      <c r="G19294" s="12">
        <f t="shared" si="2483"/>
        <v>17.52</v>
      </c>
    </row>
    <row r="19295" ht="15.0" customHeight="1">
      <c r="A19295" s="10" t="s">
        <v>32</v>
      </c>
      <c r="B19295" s="10"/>
      <c r="C19295" s="10" t="s">
        <v>33</v>
      </c>
      <c r="D19295" s="10" t="s">
        <v>34</v>
      </c>
      <c r="E19295" s="14">
        <v>3.0</v>
      </c>
      <c r="F19295" s="15">
        <f>ROUND(17.52,3)</f>
        <v>17.52</v>
      </c>
      <c r="G19295" s="12">
        <f>ROUND((E19295*F19295)/100,2)</f>
        <v>0.53</v>
      </c>
    </row>
    <row r="19296" ht="15.0" customHeight="1">
      <c r="A19296" s="16"/>
      <c r="B19296" s="16"/>
      <c r="C19296" s="16"/>
      <c r="D19296" s="17" t="s">
        <v>9163</v>
      </c>
      <c r="E19296" s="16"/>
      <c r="F19296" s="18">
        <f>ROUND((G19287+G19288+G19289+G19290+G19295)*(1+G2/100),2)</f>
        <v>28.6</v>
      </c>
      <c r="G19296" s="16"/>
    </row>
    <row r="19297" ht="24.75" customHeight="1">
      <c r="A19297" s="19" t="s">
        <v>9166</v>
      </c>
      <c r="B19297" s="20" t="s">
        <v>18</v>
      </c>
      <c r="C19297" s="20" t="s">
        <v>231</v>
      </c>
      <c r="D19297" s="20" t="s">
        <v>9167</v>
      </c>
      <c r="E19297" s="21"/>
      <c r="F19297" s="22">
        <f>F19307</f>
        <v>46.98</v>
      </c>
      <c r="G19297" s="21"/>
    </row>
    <row r="19298" ht="12.0" customHeight="1">
      <c r="A19298" s="11"/>
      <c r="B19298" s="11"/>
      <c r="C19298" s="11"/>
      <c r="D19298" s="10" t="s">
        <v>9167</v>
      </c>
    </row>
    <row r="19299" ht="21.0" customHeight="1">
      <c r="A19299" s="10" t="s">
        <v>230</v>
      </c>
      <c r="B19299" s="10" t="s">
        <v>42</v>
      </c>
      <c r="C19299" s="10" t="s">
        <v>231</v>
      </c>
      <c r="D19299" s="10" t="s">
        <v>232</v>
      </c>
      <c r="E19299" s="14">
        <v>0.5</v>
      </c>
      <c r="F19299" s="15">
        <f>ROUND(3.47,3)</f>
        <v>3.47</v>
      </c>
      <c r="G19299" s="12">
        <f t="shared" ref="G19299:G19305" si="2485">ROUND(E19299*F19299,2)</f>
        <v>1.74</v>
      </c>
    </row>
    <row r="19300" ht="21.0" customHeight="1">
      <c r="A19300" s="10" t="s">
        <v>242</v>
      </c>
      <c r="B19300" s="10" t="s">
        <v>42</v>
      </c>
      <c r="C19300" s="10" t="s">
        <v>226</v>
      </c>
      <c r="D19300" s="10" t="s">
        <v>243</v>
      </c>
      <c r="E19300" s="14">
        <v>0.1</v>
      </c>
      <c r="F19300" s="15">
        <f>ROUND(1.32,3)</f>
        <v>1.32</v>
      </c>
      <c r="G19300" s="12">
        <f t="shared" si="2485"/>
        <v>0.13</v>
      </c>
    </row>
    <row r="19301" ht="21.0" customHeight="1">
      <c r="A19301" s="10" t="s">
        <v>22</v>
      </c>
      <c r="B19301" s="10" t="s">
        <v>18</v>
      </c>
      <c r="C19301" s="10" t="s">
        <v>23</v>
      </c>
      <c r="D19301" s="10" t="s">
        <v>24</v>
      </c>
      <c r="E19301" s="14">
        <v>1.0</v>
      </c>
      <c r="F19301" s="15">
        <f>F19305</f>
        <v>43.8</v>
      </c>
      <c r="G19301" s="12">
        <f t="shared" si="2485"/>
        <v>43.8</v>
      </c>
    </row>
    <row r="19302" ht="24.0" customHeight="1">
      <c r="A19302" s="10" t="s">
        <v>25</v>
      </c>
      <c r="B19302" s="10" t="s">
        <v>26</v>
      </c>
      <c r="C19302" s="10" t="s">
        <v>23</v>
      </c>
      <c r="D19302" s="10" t="s">
        <v>27</v>
      </c>
      <c r="E19302" s="14">
        <v>1.0</v>
      </c>
      <c r="F19302" s="15">
        <f>ROUND(21,3)</f>
        <v>21</v>
      </c>
      <c r="G19302" s="12">
        <f t="shared" si="2485"/>
        <v>21</v>
      </c>
    </row>
    <row r="19303" ht="24.0" customHeight="1">
      <c r="A19303" s="10" t="s">
        <v>28</v>
      </c>
      <c r="B19303" s="10" t="s">
        <v>26</v>
      </c>
      <c r="C19303" s="10" t="s">
        <v>23</v>
      </c>
      <c r="D19303" s="10" t="s">
        <v>29</v>
      </c>
      <c r="E19303" s="14">
        <v>1.0</v>
      </c>
      <c r="F19303" s="15">
        <f t="shared" ref="F19303:F19304" si="2486">ROUND(19,3)</f>
        <v>19</v>
      </c>
      <c r="G19303" s="12">
        <f t="shared" si="2485"/>
        <v>19</v>
      </c>
    </row>
    <row r="19304" ht="24.0" customHeight="1">
      <c r="A19304" s="10" t="s">
        <v>30</v>
      </c>
      <c r="B19304" s="10" t="s">
        <v>26</v>
      </c>
      <c r="C19304" s="10" t="s">
        <v>23</v>
      </c>
      <c r="D19304" s="10" t="s">
        <v>31</v>
      </c>
      <c r="E19304" s="14">
        <v>0.2</v>
      </c>
      <c r="F19304" s="15">
        <f t="shared" si="2486"/>
        <v>19</v>
      </c>
      <c r="G19304" s="12">
        <f t="shared" si="2485"/>
        <v>3.8</v>
      </c>
    </row>
    <row r="19305" ht="15.0" customHeight="1">
      <c r="A19305" s="11"/>
      <c r="B19305" s="11"/>
      <c r="C19305" s="11"/>
      <c r="D19305" s="10" t="s">
        <v>22</v>
      </c>
      <c r="E19305" s="14">
        <v>1.0</v>
      </c>
      <c r="F19305" s="15">
        <f>ROUND((G19302+G19303+G19304),3)</f>
        <v>43.8</v>
      </c>
      <c r="G19305" s="12">
        <f t="shared" si="2485"/>
        <v>43.8</v>
      </c>
    </row>
    <row r="19306" ht="15.0" customHeight="1">
      <c r="A19306" s="10" t="s">
        <v>32</v>
      </c>
      <c r="B19306" s="10"/>
      <c r="C19306" s="10" t="s">
        <v>33</v>
      </c>
      <c r="D19306" s="10" t="s">
        <v>34</v>
      </c>
      <c r="E19306" s="14">
        <v>3.0</v>
      </c>
      <c r="F19306" s="15">
        <f>ROUND(43.8,3)</f>
        <v>43.8</v>
      </c>
      <c r="G19306" s="12">
        <f>ROUND((E19306*F19306)/100,2)</f>
        <v>1.31</v>
      </c>
    </row>
    <row r="19307" ht="15.0" customHeight="1">
      <c r="A19307" s="16"/>
      <c r="B19307" s="16"/>
      <c r="C19307" s="16"/>
      <c r="D19307" s="17" t="s">
        <v>9166</v>
      </c>
      <c r="E19307" s="16"/>
      <c r="F19307" s="18">
        <f>ROUND((G19299+G19300+G19301+G19306)*(1+G2/100),2)</f>
        <v>46.98</v>
      </c>
      <c r="G19307" s="16"/>
    </row>
    <row r="19308" ht="30.0" customHeight="1">
      <c r="A19308" s="19" t="s">
        <v>9168</v>
      </c>
      <c r="B19308" s="20" t="s">
        <v>18</v>
      </c>
      <c r="C19308" s="20" t="s">
        <v>1181</v>
      </c>
      <c r="D19308" s="20" t="s">
        <v>9169</v>
      </c>
      <c r="E19308" s="21"/>
      <c r="F19308" s="22">
        <f>F19318</f>
        <v>1538.28</v>
      </c>
      <c r="G19308" s="21"/>
    </row>
    <row r="19309" ht="39.75" customHeight="1">
      <c r="A19309" s="11"/>
      <c r="B19309" s="11"/>
      <c r="C19309" s="11"/>
      <c r="D19309" s="10" t="s">
        <v>9170</v>
      </c>
    </row>
    <row r="19310" ht="30.0" customHeight="1">
      <c r="A19310" s="10" t="s">
        <v>6188</v>
      </c>
      <c r="B19310" s="10" t="s">
        <v>42</v>
      </c>
      <c r="C19310" s="10" t="s">
        <v>184</v>
      </c>
      <c r="D19310" s="10" t="s">
        <v>6189</v>
      </c>
      <c r="E19310" s="14">
        <v>100.0</v>
      </c>
      <c r="F19310" s="15">
        <f>ROUND(13.25,3)</f>
        <v>13.25</v>
      </c>
      <c r="G19310" s="12">
        <f t="shared" ref="G19310:G19316" si="2487">ROUND(E19310*F19310,2)</f>
        <v>1325</v>
      </c>
    </row>
    <row r="19311" ht="30.0" customHeight="1">
      <c r="A19311" s="10" t="s">
        <v>6144</v>
      </c>
      <c r="B19311" s="10" t="s">
        <v>112</v>
      </c>
      <c r="C19311" s="10" t="s">
        <v>1181</v>
      </c>
      <c r="D19311" s="10" t="s">
        <v>6145</v>
      </c>
      <c r="E19311" s="14">
        <v>1.0</v>
      </c>
      <c r="F19311" s="15">
        <f>ROUND(20,3)</f>
        <v>20</v>
      </c>
      <c r="G19311" s="12">
        <f t="shared" si="2487"/>
        <v>20</v>
      </c>
    </row>
    <row r="19312" ht="30.0" customHeight="1">
      <c r="A19312" s="10" t="s">
        <v>1862</v>
      </c>
      <c r="B19312" s="10" t="s">
        <v>42</v>
      </c>
      <c r="C19312" s="10" t="s">
        <v>1245</v>
      </c>
      <c r="D19312" s="10" t="s">
        <v>1863</v>
      </c>
      <c r="E19312" s="14">
        <v>4.0</v>
      </c>
      <c r="F19312" s="15">
        <f>ROUND(6.32,3)</f>
        <v>6.32</v>
      </c>
      <c r="G19312" s="12">
        <f t="shared" si="2487"/>
        <v>25.28</v>
      </c>
    </row>
    <row r="19313" ht="21.0" customHeight="1">
      <c r="A19313" s="10" t="s">
        <v>1046</v>
      </c>
      <c r="B19313" s="10" t="s">
        <v>18</v>
      </c>
      <c r="C19313" s="10" t="s">
        <v>23</v>
      </c>
      <c r="D19313" s="10" t="s">
        <v>1047</v>
      </c>
      <c r="E19313" s="14">
        <v>4.0</v>
      </c>
      <c r="F19313" s="15">
        <f>F19316</f>
        <v>40</v>
      </c>
      <c r="G19313" s="12">
        <f t="shared" si="2487"/>
        <v>160</v>
      </c>
    </row>
    <row r="19314" ht="24.0" customHeight="1">
      <c r="A19314" s="10" t="s">
        <v>25</v>
      </c>
      <c r="B19314" s="10" t="s">
        <v>26</v>
      </c>
      <c r="C19314" s="10" t="s">
        <v>23</v>
      </c>
      <c r="D19314" s="10" t="s">
        <v>27</v>
      </c>
      <c r="E19314" s="14">
        <v>1.0</v>
      </c>
      <c r="F19314" s="15">
        <f>ROUND(21,3)</f>
        <v>21</v>
      </c>
      <c r="G19314" s="12">
        <f t="shared" si="2487"/>
        <v>21</v>
      </c>
    </row>
    <row r="19315" ht="24.0" customHeight="1">
      <c r="A19315" s="10" t="s">
        <v>28</v>
      </c>
      <c r="B19315" s="10" t="s">
        <v>26</v>
      </c>
      <c r="C19315" s="10" t="s">
        <v>23</v>
      </c>
      <c r="D19315" s="10" t="s">
        <v>29</v>
      </c>
      <c r="E19315" s="14">
        <v>1.0</v>
      </c>
      <c r="F19315" s="15">
        <f>ROUND(19,3)</f>
        <v>19</v>
      </c>
      <c r="G19315" s="12">
        <f t="shared" si="2487"/>
        <v>19</v>
      </c>
    </row>
    <row r="19316" ht="15.0" customHeight="1">
      <c r="A19316" s="11"/>
      <c r="B19316" s="11"/>
      <c r="C19316" s="11"/>
      <c r="D19316" s="10" t="s">
        <v>1046</v>
      </c>
      <c r="E19316" s="14">
        <v>4.0</v>
      </c>
      <c r="F19316" s="15">
        <f>ROUND((G19314+G19315),3)</f>
        <v>40</v>
      </c>
      <c r="G19316" s="12">
        <f t="shared" si="2487"/>
        <v>160</v>
      </c>
    </row>
    <row r="19317" ht="15.0" customHeight="1">
      <c r="A19317" s="10" t="s">
        <v>32</v>
      </c>
      <c r="B19317" s="10"/>
      <c r="C19317" s="10" t="s">
        <v>33</v>
      </c>
      <c r="D19317" s="10" t="s">
        <v>34</v>
      </c>
      <c r="E19317" s="14">
        <v>5.0</v>
      </c>
      <c r="F19317" s="15">
        <f>ROUND(160,3)</f>
        <v>160</v>
      </c>
      <c r="G19317" s="12">
        <f>ROUND((E19317*F19317)/100,2)</f>
        <v>8</v>
      </c>
    </row>
    <row r="19318" ht="15.0" customHeight="1">
      <c r="A19318" s="16"/>
      <c r="B19318" s="16"/>
      <c r="C19318" s="16"/>
      <c r="D19318" s="17" t="s">
        <v>9168</v>
      </c>
      <c r="E19318" s="16"/>
      <c r="F19318" s="18">
        <f>ROUND((G19310+G19311+G19312+G19313+G19317)*(1+G2/100),2)</f>
        <v>1538.28</v>
      </c>
      <c r="G19318" s="16"/>
    </row>
    <row r="19319" ht="34.5" customHeight="1">
      <c r="A19319" s="19" t="s">
        <v>9171</v>
      </c>
      <c r="B19319" s="20" t="s">
        <v>18</v>
      </c>
      <c r="C19319" s="20" t="s">
        <v>1357</v>
      </c>
      <c r="D19319" s="20" t="s">
        <v>9172</v>
      </c>
      <c r="E19319" s="21"/>
      <c r="F19319" s="22">
        <f>F19333</f>
        <v>132.38</v>
      </c>
      <c r="G19319" s="21"/>
    </row>
    <row r="19320" ht="113.25" customHeight="1">
      <c r="A19320" s="11"/>
      <c r="B19320" s="11"/>
      <c r="C19320" s="11"/>
      <c r="D19320" s="10" t="s">
        <v>9173</v>
      </c>
    </row>
    <row r="19321" ht="21.0" customHeight="1">
      <c r="A19321" s="10" t="s">
        <v>9174</v>
      </c>
      <c r="B19321" s="10" t="s">
        <v>42</v>
      </c>
      <c r="C19321" s="10" t="s">
        <v>1207</v>
      </c>
      <c r="D19321" s="10" t="s">
        <v>9175</v>
      </c>
      <c r="E19321" s="14">
        <v>1.1</v>
      </c>
      <c r="F19321" s="15">
        <f>ROUND(18,3)</f>
        <v>18</v>
      </c>
      <c r="G19321" s="12">
        <f t="shared" ref="G19321:G19331" si="2488">ROUND(E19321*F19321,2)</f>
        <v>19.8</v>
      </c>
    </row>
    <row r="19322" ht="30.0" customHeight="1">
      <c r="A19322" s="10" t="s">
        <v>7507</v>
      </c>
      <c r="B19322" s="10" t="s">
        <v>42</v>
      </c>
      <c r="C19322" s="10" t="s">
        <v>19</v>
      </c>
      <c r="D19322" s="10" t="s">
        <v>7508</v>
      </c>
      <c r="E19322" s="14">
        <v>0.0</v>
      </c>
      <c r="F19322" s="15">
        <f>ROUND(38.09,3)</f>
        <v>38.09</v>
      </c>
      <c r="G19322" s="12">
        <f t="shared" si="2488"/>
        <v>0</v>
      </c>
    </row>
    <row r="19323" ht="30.0" customHeight="1">
      <c r="A19323" s="10" t="s">
        <v>7498</v>
      </c>
      <c r="B19323" s="10" t="s">
        <v>42</v>
      </c>
      <c r="C19323" s="10" t="s">
        <v>19</v>
      </c>
      <c r="D19323" s="10" t="s">
        <v>7499</v>
      </c>
      <c r="E19323" s="14">
        <v>1.1</v>
      </c>
      <c r="F19323" s="15">
        <f>ROUND(45.99,3)</f>
        <v>45.99</v>
      </c>
      <c r="G19323" s="12">
        <f t="shared" si="2488"/>
        <v>50.59</v>
      </c>
    </row>
    <row r="19324" ht="21.0" customHeight="1">
      <c r="A19324" s="10" t="s">
        <v>9176</v>
      </c>
      <c r="B19324" s="10" t="s">
        <v>42</v>
      </c>
      <c r="C19324" s="10" t="s">
        <v>1357</v>
      </c>
      <c r="D19324" s="10" t="s">
        <v>9177</v>
      </c>
      <c r="E19324" s="14">
        <v>0.0</v>
      </c>
      <c r="F19324" s="15">
        <f>ROUND(11.57,3)</f>
        <v>11.57</v>
      </c>
      <c r="G19324" s="12">
        <f t="shared" si="2488"/>
        <v>0</v>
      </c>
    </row>
    <row r="19325" ht="21.0" customHeight="1">
      <c r="A19325" s="10" t="s">
        <v>9178</v>
      </c>
      <c r="B19325" s="10" t="s">
        <v>42</v>
      </c>
      <c r="C19325" s="10" t="s">
        <v>521</v>
      </c>
      <c r="D19325" s="10" t="s">
        <v>9179</v>
      </c>
      <c r="E19325" s="14">
        <v>0.9</v>
      </c>
      <c r="F19325" s="15">
        <f>ROUND(15,3)</f>
        <v>15</v>
      </c>
      <c r="G19325" s="12">
        <f t="shared" si="2488"/>
        <v>13.5</v>
      </c>
    </row>
    <row r="19326" ht="30.0" customHeight="1">
      <c r="A19326" s="10" t="s">
        <v>9180</v>
      </c>
      <c r="B19326" s="10" t="s">
        <v>112</v>
      </c>
      <c r="C19326" s="10" t="s">
        <v>23</v>
      </c>
      <c r="D19326" s="10" t="s">
        <v>9181</v>
      </c>
      <c r="E19326" s="14">
        <v>0.174</v>
      </c>
      <c r="F19326" s="15">
        <f>ROUND(4.76,3)</f>
        <v>4.76</v>
      </c>
      <c r="G19326" s="12">
        <f t="shared" si="2488"/>
        <v>0.83</v>
      </c>
    </row>
    <row r="19327" ht="21.0" customHeight="1">
      <c r="A19327" s="10" t="s">
        <v>22</v>
      </c>
      <c r="B19327" s="10" t="s">
        <v>18</v>
      </c>
      <c r="C19327" s="10" t="s">
        <v>23</v>
      </c>
      <c r="D19327" s="10" t="s">
        <v>24</v>
      </c>
      <c r="E19327" s="14">
        <v>1.0</v>
      </c>
      <c r="F19327" s="15">
        <f>F19331</f>
        <v>43.8</v>
      </c>
      <c r="G19327" s="12">
        <f t="shared" si="2488"/>
        <v>43.8</v>
      </c>
    </row>
    <row r="19328" ht="24.0" customHeight="1">
      <c r="A19328" s="10" t="s">
        <v>25</v>
      </c>
      <c r="B19328" s="10" t="s">
        <v>26</v>
      </c>
      <c r="C19328" s="10" t="s">
        <v>23</v>
      </c>
      <c r="D19328" s="10" t="s">
        <v>27</v>
      </c>
      <c r="E19328" s="14">
        <v>1.0</v>
      </c>
      <c r="F19328" s="15">
        <f>ROUND(21,3)</f>
        <v>21</v>
      </c>
      <c r="G19328" s="12">
        <f t="shared" si="2488"/>
        <v>21</v>
      </c>
    </row>
    <row r="19329" ht="24.0" customHeight="1">
      <c r="A19329" s="10" t="s">
        <v>28</v>
      </c>
      <c r="B19329" s="10" t="s">
        <v>26</v>
      </c>
      <c r="C19329" s="10" t="s">
        <v>23</v>
      </c>
      <c r="D19329" s="10" t="s">
        <v>29</v>
      </c>
      <c r="E19329" s="14">
        <v>1.0</v>
      </c>
      <c r="F19329" s="15">
        <f t="shared" ref="F19329:F19330" si="2489">ROUND(19,3)</f>
        <v>19</v>
      </c>
      <c r="G19329" s="12">
        <f t="shared" si="2488"/>
        <v>19</v>
      </c>
    </row>
    <row r="19330" ht="24.0" customHeight="1">
      <c r="A19330" s="10" t="s">
        <v>30</v>
      </c>
      <c r="B19330" s="10" t="s">
        <v>26</v>
      </c>
      <c r="C19330" s="10" t="s">
        <v>23</v>
      </c>
      <c r="D19330" s="10" t="s">
        <v>31</v>
      </c>
      <c r="E19330" s="14">
        <v>0.2</v>
      </c>
      <c r="F19330" s="15">
        <f t="shared" si="2489"/>
        <v>19</v>
      </c>
      <c r="G19330" s="12">
        <f t="shared" si="2488"/>
        <v>3.8</v>
      </c>
    </row>
    <row r="19331" ht="15.0" customHeight="1">
      <c r="A19331" s="11"/>
      <c r="B19331" s="11"/>
      <c r="C19331" s="11"/>
      <c r="D19331" s="10" t="s">
        <v>22</v>
      </c>
      <c r="E19331" s="14">
        <v>1.0</v>
      </c>
      <c r="F19331" s="15">
        <f>ROUND((G19328+G19329+G19330),3)</f>
        <v>43.8</v>
      </c>
      <c r="G19331" s="12">
        <f t="shared" si="2488"/>
        <v>43.8</v>
      </c>
    </row>
    <row r="19332" ht="15.0" customHeight="1">
      <c r="A19332" s="10" t="s">
        <v>33</v>
      </c>
      <c r="B19332" s="10"/>
      <c r="C19332" s="10" t="s">
        <v>33</v>
      </c>
      <c r="D19332" s="10" t="s">
        <v>424</v>
      </c>
      <c r="E19332" s="14">
        <v>3.0</v>
      </c>
      <c r="F19332" s="15">
        <f>ROUND(128.52,3)</f>
        <v>128.52</v>
      </c>
      <c r="G19332" s="12">
        <f>ROUND((E19332*F19332)/100,2)</f>
        <v>3.86</v>
      </c>
    </row>
    <row r="19333" ht="24.75" customHeight="1">
      <c r="A19333" s="16"/>
      <c r="B19333" s="16"/>
      <c r="C19333" s="16"/>
      <c r="D19333" s="17" t="s">
        <v>9171</v>
      </c>
      <c r="E19333" s="16"/>
      <c r="F19333" s="18">
        <f>ROUND((G19321+G19322+G19323+G19324+G19325+G19326+G19327+G19332)*(1+G2/100),2)</f>
        <v>132.38</v>
      </c>
      <c r="G19333" s="16"/>
    </row>
    <row r="19334" ht="48.75" customHeight="1">
      <c r="A19334" s="19" t="s">
        <v>9182</v>
      </c>
      <c r="B19334" s="20" t="s">
        <v>18</v>
      </c>
      <c r="C19334" s="20" t="s">
        <v>19</v>
      </c>
      <c r="D19334" s="20" t="s">
        <v>9183</v>
      </c>
      <c r="E19334" s="21"/>
      <c r="F19334" s="22">
        <f>F19344</f>
        <v>18.17</v>
      </c>
      <c r="G19334" s="21"/>
    </row>
    <row r="19335" ht="21.0" customHeight="1">
      <c r="A19335" s="11"/>
      <c r="B19335" s="11"/>
      <c r="C19335" s="11"/>
      <c r="D19335" s="10" t="s">
        <v>9183</v>
      </c>
    </row>
    <row r="19336" ht="39.75" customHeight="1">
      <c r="A19336" s="10" t="s">
        <v>5004</v>
      </c>
      <c r="B19336" s="10" t="s">
        <v>42</v>
      </c>
      <c r="C19336" s="10" t="s">
        <v>43</v>
      </c>
      <c r="D19336" s="10" t="s">
        <v>5005</v>
      </c>
      <c r="E19336" s="14">
        <v>0.014</v>
      </c>
      <c r="F19336" s="15">
        <f>ROUND(110.7,3)</f>
        <v>110.7</v>
      </c>
      <c r="G19336" s="12">
        <f t="shared" ref="G19336:G19342" si="2490">ROUND(E19336*F19336,2)</f>
        <v>1.55</v>
      </c>
    </row>
    <row r="19337" ht="48.75" customHeight="1">
      <c r="A19337" s="10" t="s">
        <v>9184</v>
      </c>
      <c r="B19337" s="10" t="s">
        <v>42</v>
      </c>
      <c r="C19337" s="10" t="s">
        <v>276</v>
      </c>
      <c r="D19337" s="10" t="s">
        <v>9185</v>
      </c>
      <c r="E19337" s="14">
        <v>0.037</v>
      </c>
      <c r="F19337" s="15">
        <f>ROUND(123.72,3)</f>
        <v>123.72</v>
      </c>
      <c r="G19337" s="12">
        <f t="shared" si="2490"/>
        <v>4.58</v>
      </c>
    </row>
    <row r="19338" ht="21.0" customHeight="1">
      <c r="A19338" s="10" t="s">
        <v>1416</v>
      </c>
      <c r="B19338" s="10" t="s">
        <v>18</v>
      </c>
      <c r="C19338" s="10" t="s">
        <v>23</v>
      </c>
      <c r="D19338" s="10" t="s">
        <v>1417</v>
      </c>
      <c r="E19338" s="14">
        <v>0.267</v>
      </c>
      <c r="F19338" s="15">
        <f>F19342</f>
        <v>43.8</v>
      </c>
      <c r="G19338" s="12">
        <f t="shared" si="2490"/>
        <v>11.69</v>
      </c>
    </row>
    <row r="19339" ht="24.0" customHeight="1">
      <c r="A19339" s="10" t="s">
        <v>1418</v>
      </c>
      <c r="B19339" s="10" t="s">
        <v>26</v>
      </c>
      <c r="C19339" s="10" t="s">
        <v>23</v>
      </c>
      <c r="D19339" s="10" t="s">
        <v>1419</v>
      </c>
      <c r="E19339" s="14">
        <v>1.0</v>
      </c>
      <c r="F19339" s="15">
        <f>ROUND(21,3)</f>
        <v>21</v>
      </c>
      <c r="G19339" s="12">
        <f t="shared" si="2490"/>
        <v>21</v>
      </c>
    </row>
    <row r="19340" ht="24.0" customHeight="1">
      <c r="A19340" s="10" t="s">
        <v>1420</v>
      </c>
      <c r="B19340" s="10" t="s">
        <v>26</v>
      </c>
      <c r="C19340" s="10" t="s">
        <v>23</v>
      </c>
      <c r="D19340" s="10" t="s">
        <v>1421</v>
      </c>
      <c r="E19340" s="14">
        <v>1.0</v>
      </c>
      <c r="F19340" s="15">
        <f t="shared" ref="F19340:F19341" si="2491">ROUND(19,3)</f>
        <v>19</v>
      </c>
      <c r="G19340" s="12">
        <f t="shared" si="2490"/>
        <v>19</v>
      </c>
    </row>
    <row r="19341" ht="24.0" customHeight="1">
      <c r="A19341" s="10" t="s">
        <v>30</v>
      </c>
      <c r="B19341" s="10" t="s">
        <v>26</v>
      </c>
      <c r="C19341" s="10" t="s">
        <v>23</v>
      </c>
      <c r="D19341" s="10" t="s">
        <v>31</v>
      </c>
      <c r="E19341" s="14">
        <v>0.2</v>
      </c>
      <c r="F19341" s="15">
        <f t="shared" si="2491"/>
        <v>19</v>
      </c>
      <c r="G19341" s="12">
        <f t="shared" si="2490"/>
        <v>3.8</v>
      </c>
    </row>
    <row r="19342" ht="15.0" customHeight="1">
      <c r="A19342" s="11"/>
      <c r="B19342" s="11"/>
      <c r="C19342" s="11"/>
      <c r="D19342" s="10" t="s">
        <v>1416</v>
      </c>
      <c r="E19342" s="14">
        <v>0.267</v>
      </c>
      <c r="F19342" s="15">
        <f>ROUND((G19339+G19340+G19341),3)</f>
        <v>43.8</v>
      </c>
      <c r="G19342" s="12">
        <f t="shared" si="2490"/>
        <v>11.69</v>
      </c>
    </row>
    <row r="19343" ht="15.0" customHeight="1">
      <c r="A19343" s="10" t="s">
        <v>32</v>
      </c>
      <c r="B19343" s="10"/>
      <c r="C19343" s="10" t="s">
        <v>33</v>
      </c>
      <c r="D19343" s="10" t="s">
        <v>34</v>
      </c>
      <c r="E19343" s="14">
        <v>3.0</v>
      </c>
      <c r="F19343" s="15">
        <f>ROUND(11.69,3)</f>
        <v>11.69</v>
      </c>
      <c r="G19343" s="12">
        <f>ROUND((E19343*F19343)/100,2)</f>
        <v>0.35</v>
      </c>
    </row>
    <row r="19344" ht="15.0" customHeight="1">
      <c r="A19344" s="16"/>
      <c r="B19344" s="16"/>
      <c r="C19344" s="16"/>
      <c r="D19344" s="17" t="s">
        <v>9182</v>
      </c>
      <c r="E19344" s="16"/>
      <c r="F19344" s="18">
        <f>ROUND((G19336+G19337+G19338+G19343)*(1+G2/100),2)</f>
        <v>18.17</v>
      </c>
      <c r="G19344" s="16"/>
    </row>
    <row r="19345" ht="48.75" customHeight="1">
      <c r="A19345" s="19" t="s">
        <v>9182</v>
      </c>
      <c r="B19345" s="20" t="s">
        <v>18</v>
      </c>
      <c r="C19345" s="20" t="s">
        <v>19</v>
      </c>
      <c r="D19345" s="20" t="s">
        <v>9183</v>
      </c>
      <c r="E19345" s="21"/>
      <c r="F19345" s="22">
        <f>F19355</f>
        <v>18.17</v>
      </c>
      <c r="G19345" s="21"/>
    </row>
    <row r="19346" ht="21.0" customHeight="1">
      <c r="A19346" s="11"/>
      <c r="B19346" s="11"/>
      <c r="C19346" s="11"/>
      <c r="D19346" s="10" t="s">
        <v>9183</v>
      </c>
    </row>
    <row r="19347" ht="39.75" customHeight="1">
      <c r="A19347" s="10" t="s">
        <v>5004</v>
      </c>
      <c r="B19347" s="10" t="s">
        <v>42</v>
      </c>
      <c r="C19347" s="10" t="s">
        <v>43</v>
      </c>
      <c r="D19347" s="10" t="s">
        <v>5005</v>
      </c>
      <c r="E19347" s="14">
        <v>0.014</v>
      </c>
      <c r="F19347" s="15">
        <f>ROUND(110.7,3)</f>
        <v>110.7</v>
      </c>
      <c r="G19347" s="12">
        <f t="shared" ref="G19347:G19353" si="2492">ROUND(E19347*F19347,2)</f>
        <v>1.55</v>
      </c>
    </row>
    <row r="19348" ht="48.75" customHeight="1">
      <c r="A19348" s="10" t="s">
        <v>9184</v>
      </c>
      <c r="B19348" s="10" t="s">
        <v>42</v>
      </c>
      <c r="C19348" s="10" t="s">
        <v>276</v>
      </c>
      <c r="D19348" s="10" t="s">
        <v>9185</v>
      </c>
      <c r="E19348" s="14">
        <v>0.037</v>
      </c>
      <c r="F19348" s="15">
        <f>ROUND(123.72,3)</f>
        <v>123.72</v>
      </c>
      <c r="G19348" s="12">
        <f t="shared" si="2492"/>
        <v>4.58</v>
      </c>
    </row>
    <row r="19349" ht="21.0" customHeight="1">
      <c r="A19349" s="10" t="s">
        <v>1416</v>
      </c>
      <c r="B19349" s="10" t="s">
        <v>18</v>
      </c>
      <c r="C19349" s="10" t="s">
        <v>23</v>
      </c>
      <c r="D19349" s="10" t="s">
        <v>1417</v>
      </c>
      <c r="E19349" s="14">
        <v>0.267</v>
      </c>
      <c r="F19349" s="15">
        <f>F19353</f>
        <v>43.8</v>
      </c>
      <c r="G19349" s="12">
        <f t="shared" si="2492"/>
        <v>11.69</v>
      </c>
    </row>
    <row r="19350" ht="24.0" customHeight="1">
      <c r="A19350" s="10" t="s">
        <v>1418</v>
      </c>
      <c r="B19350" s="10" t="s">
        <v>26</v>
      </c>
      <c r="C19350" s="10" t="s">
        <v>23</v>
      </c>
      <c r="D19350" s="10" t="s">
        <v>1419</v>
      </c>
      <c r="E19350" s="14">
        <v>1.0</v>
      </c>
      <c r="F19350" s="15">
        <f>ROUND(21,3)</f>
        <v>21</v>
      </c>
      <c r="G19350" s="12">
        <f t="shared" si="2492"/>
        <v>21</v>
      </c>
    </row>
    <row r="19351" ht="24.0" customHeight="1">
      <c r="A19351" s="10" t="s">
        <v>1420</v>
      </c>
      <c r="B19351" s="10" t="s">
        <v>26</v>
      </c>
      <c r="C19351" s="10" t="s">
        <v>23</v>
      </c>
      <c r="D19351" s="10" t="s">
        <v>1421</v>
      </c>
      <c r="E19351" s="14">
        <v>1.0</v>
      </c>
      <c r="F19351" s="15">
        <f t="shared" ref="F19351:F19352" si="2493">ROUND(19,3)</f>
        <v>19</v>
      </c>
      <c r="G19351" s="12">
        <f t="shared" si="2492"/>
        <v>19</v>
      </c>
    </row>
    <row r="19352" ht="24.0" customHeight="1">
      <c r="A19352" s="10" t="s">
        <v>30</v>
      </c>
      <c r="B19352" s="10" t="s">
        <v>26</v>
      </c>
      <c r="C19352" s="10" t="s">
        <v>23</v>
      </c>
      <c r="D19352" s="10" t="s">
        <v>31</v>
      </c>
      <c r="E19352" s="14">
        <v>0.2</v>
      </c>
      <c r="F19352" s="15">
        <f t="shared" si="2493"/>
        <v>19</v>
      </c>
      <c r="G19352" s="12">
        <f t="shared" si="2492"/>
        <v>3.8</v>
      </c>
    </row>
    <row r="19353" ht="15.0" customHeight="1">
      <c r="A19353" s="11"/>
      <c r="B19353" s="11"/>
      <c r="C19353" s="11"/>
      <c r="D19353" s="10" t="s">
        <v>1416</v>
      </c>
      <c r="E19353" s="14">
        <v>0.267</v>
      </c>
      <c r="F19353" s="15">
        <f>ROUND((G19350+G19351+G19352),3)</f>
        <v>43.8</v>
      </c>
      <c r="G19353" s="12">
        <f t="shared" si="2492"/>
        <v>11.69</v>
      </c>
    </row>
    <row r="19354" ht="15.0" customHeight="1">
      <c r="A19354" s="10" t="s">
        <v>32</v>
      </c>
      <c r="B19354" s="10"/>
      <c r="C19354" s="10" t="s">
        <v>33</v>
      </c>
      <c r="D19354" s="10" t="s">
        <v>34</v>
      </c>
      <c r="E19354" s="14">
        <v>3.0</v>
      </c>
      <c r="F19354" s="15">
        <f>ROUND(11.69,3)</f>
        <v>11.69</v>
      </c>
      <c r="G19354" s="12">
        <f>ROUND((E19354*F19354)/100,2)</f>
        <v>0.35</v>
      </c>
    </row>
    <row r="19355" ht="15.0" customHeight="1">
      <c r="A19355" s="16"/>
      <c r="B19355" s="16"/>
      <c r="C19355" s="16"/>
      <c r="D19355" s="17" t="s">
        <v>9182</v>
      </c>
      <c r="E19355" s="16"/>
      <c r="F19355" s="18">
        <f>ROUND((G19347+G19348+G19349+G19354)*(1+G2/100),2)</f>
        <v>18.17</v>
      </c>
      <c r="G19355" s="16"/>
    </row>
    <row r="19356" ht="48.75" customHeight="1">
      <c r="A19356" s="19" t="s">
        <v>9186</v>
      </c>
      <c r="B19356" s="20" t="s">
        <v>18</v>
      </c>
      <c r="C19356" s="20" t="s">
        <v>19</v>
      </c>
      <c r="D19356" s="20" t="s">
        <v>9187</v>
      </c>
      <c r="E19356" s="21"/>
      <c r="F19356" s="22">
        <f>F19366</f>
        <v>27.54</v>
      </c>
      <c r="G19356" s="21"/>
    </row>
    <row r="19357" ht="21.0" customHeight="1">
      <c r="A19357" s="11"/>
      <c r="B19357" s="11"/>
      <c r="C19357" s="11"/>
      <c r="D19357" s="10" t="s">
        <v>9187</v>
      </c>
    </row>
    <row r="19358" ht="39.75" customHeight="1">
      <c r="A19358" s="10" t="s">
        <v>5004</v>
      </c>
      <c r="B19358" s="10" t="s">
        <v>42</v>
      </c>
      <c r="C19358" s="10" t="s">
        <v>43</v>
      </c>
      <c r="D19358" s="10" t="s">
        <v>5005</v>
      </c>
      <c r="E19358" s="14">
        <v>0.014</v>
      </c>
      <c r="F19358" s="15">
        <f>ROUND(110.7,3)</f>
        <v>110.7</v>
      </c>
      <c r="G19358" s="12">
        <f t="shared" ref="G19358:G19364" si="2494">ROUND(E19358*F19358,2)</f>
        <v>1.55</v>
      </c>
    </row>
    <row r="19359" ht="48.75" customHeight="1">
      <c r="A19359" s="10" t="s">
        <v>9184</v>
      </c>
      <c r="B19359" s="10" t="s">
        <v>42</v>
      </c>
      <c r="C19359" s="10" t="s">
        <v>276</v>
      </c>
      <c r="D19359" s="10" t="s">
        <v>9185</v>
      </c>
      <c r="E19359" s="14">
        <v>0.037</v>
      </c>
      <c r="F19359" s="15">
        <f>ROUND(123.72,3)</f>
        <v>123.72</v>
      </c>
      <c r="G19359" s="12">
        <f t="shared" si="2494"/>
        <v>4.58</v>
      </c>
    </row>
    <row r="19360" ht="24.0" customHeight="1">
      <c r="A19360" s="10" t="s">
        <v>286</v>
      </c>
      <c r="B19360" s="10" t="s">
        <v>18</v>
      </c>
      <c r="C19360" s="10" t="s">
        <v>23</v>
      </c>
      <c r="D19360" s="10" t="s">
        <v>287</v>
      </c>
      <c r="E19360" s="14">
        <v>0.42</v>
      </c>
      <c r="F19360" s="15">
        <f>F19364</f>
        <v>49.5</v>
      </c>
      <c r="G19360" s="12">
        <f t="shared" si="2494"/>
        <v>20.79</v>
      </c>
    </row>
    <row r="19361" ht="24.0" customHeight="1">
      <c r="A19361" s="10" t="s">
        <v>288</v>
      </c>
      <c r="B19361" s="10" t="s">
        <v>26</v>
      </c>
      <c r="C19361" s="10" t="s">
        <v>23</v>
      </c>
      <c r="D19361" s="10" t="s">
        <v>289</v>
      </c>
      <c r="E19361" s="14">
        <v>1.0</v>
      </c>
      <c r="F19361" s="15">
        <f>ROUND(21,3)</f>
        <v>21</v>
      </c>
      <c r="G19361" s="12">
        <f t="shared" si="2494"/>
        <v>21</v>
      </c>
    </row>
    <row r="19362" ht="24.0" customHeight="1">
      <c r="A19362" s="10" t="s">
        <v>290</v>
      </c>
      <c r="B19362" s="10" t="s">
        <v>26</v>
      </c>
      <c r="C19362" s="10" t="s">
        <v>23</v>
      </c>
      <c r="D19362" s="10" t="s">
        <v>291</v>
      </c>
      <c r="E19362" s="14">
        <v>1.0</v>
      </c>
      <c r="F19362" s="15">
        <f t="shared" ref="F19362:F19363" si="2495">ROUND(19,3)</f>
        <v>19</v>
      </c>
      <c r="G19362" s="12">
        <f t="shared" si="2494"/>
        <v>19</v>
      </c>
    </row>
    <row r="19363" ht="24.0" customHeight="1">
      <c r="A19363" s="10" t="s">
        <v>292</v>
      </c>
      <c r="B19363" s="10" t="s">
        <v>26</v>
      </c>
      <c r="C19363" s="10" t="s">
        <v>23</v>
      </c>
      <c r="D19363" s="10" t="s">
        <v>293</v>
      </c>
      <c r="E19363" s="14">
        <v>0.5</v>
      </c>
      <c r="F19363" s="15">
        <f t="shared" si="2495"/>
        <v>19</v>
      </c>
      <c r="G19363" s="12">
        <f t="shared" si="2494"/>
        <v>9.5</v>
      </c>
    </row>
    <row r="19364" ht="15.0" customHeight="1">
      <c r="A19364" s="11"/>
      <c r="B19364" s="11"/>
      <c r="C19364" s="11"/>
      <c r="D19364" s="10" t="s">
        <v>286</v>
      </c>
      <c r="E19364" s="14">
        <v>0.42</v>
      </c>
      <c r="F19364" s="15">
        <f>ROUND((G19361+G19362+G19363),3)</f>
        <v>49.5</v>
      </c>
      <c r="G19364" s="12">
        <f t="shared" si="2494"/>
        <v>20.79</v>
      </c>
    </row>
    <row r="19365" ht="15.0" customHeight="1">
      <c r="A19365" s="10" t="s">
        <v>32</v>
      </c>
      <c r="B19365" s="10"/>
      <c r="C19365" s="10" t="s">
        <v>33</v>
      </c>
      <c r="D19365" s="10" t="s">
        <v>34</v>
      </c>
      <c r="E19365" s="14">
        <v>3.0</v>
      </c>
      <c r="F19365" s="15">
        <f>ROUND(20.79,3)</f>
        <v>20.79</v>
      </c>
      <c r="G19365" s="12">
        <f>ROUND((E19365*F19365)/100,2)</f>
        <v>0.62</v>
      </c>
    </row>
    <row r="19366" ht="15.0" customHeight="1">
      <c r="A19366" s="16"/>
      <c r="B19366" s="16"/>
      <c r="C19366" s="16"/>
      <c r="D19366" s="17" t="s">
        <v>9186</v>
      </c>
      <c r="E19366" s="16"/>
      <c r="F19366" s="18">
        <f>ROUND((G19358+G19359+G19360+G19365)*(1+G2/100),2)</f>
        <v>27.54</v>
      </c>
      <c r="G19366" s="16"/>
    </row>
    <row r="19367" ht="39.75" customHeight="1">
      <c r="A19367" s="19" t="s">
        <v>9188</v>
      </c>
      <c r="B19367" s="20" t="s">
        <v>18</v>
      </c>
      <c r="C19367" s="20" t="s">
        <v>19</v>
      </c>
      <c r="D19367" s="20" t="s">
        <v>9189</v>
      </c>
      <c r="E19367" s="21"/>
      <c r="F19367" s="22">
        <f>F19377</f>
        <v>21.18</v>
      </c>
      <c r="G19367" s="21"/>
    </row>
    <row r="19368" ht="21.0" customHeight="1">
      <c r="A19368" s="11"/>
      <c r="B19368" s="11"/>
      <c r="C19368" s="11"/>
      <c r="D19368" s="10" t="s">
        <v>9189</v>
      </c>
    </row>
    <row r="19369" ht="39.75" customHeight="1">
      <c r="A19369" s="10" t="s">
        <v>9190</v>
      </c>
      <c r="B19369" s="10" t="s">
        <v>42</v>
      </c>
      <c r="C19369" s="10" t="s">
        <v>43</v>
      </c>
      <c r="D19369" s="10" t="s">
        <v>9191</v>
      </c>
      <c r="E19369" s="14">
        <v>0.088</v>
      </c>
      <c r="F19369" s="15">
        <f>ROUND(46.24,3)</f>
        <v>46.24</v>
      </c>
      <c r="G19369" s="12">
        <f t="shared" ref="G19369:G19375" si="2496">ROUND(E19369*F19369,2)</f>
        <v>4.07</v>
      </c>
    </row>
    <row r="19370" ht="30.0" customHeight="1">
      <c r="A19370" s="10" t="s">
        <v>9192</v>
      </c>
      <c r="B19370" s="10" t="s">
        <v>42</v>
      </c>
      <c r="C19370" s="10" t="s">
        <v>43</v>
      </c>
      <c r="D19370" s="10" t="s">
        <v>9193</v>
      </c>
      <c r="E19370" s="14">
        <v>0.1</v>
      </c>
      <c r="F19370" s="15">
        <f>ROUND(8.67,3)</f>
        <v>8.67</v>
      </c>
      <c r="G19370" s="12">
        <f t="shared" si="2496"/>
        <v>0.87</v>
      </c>
    </row>
    <row r="19371" ht="21.0" customHeight="1">
      <c r="A19371" s="10" t="s">
        <v>1416</v>
      </c>
      <c r="B19371" s="10" t="s">
        <v>18</v>
      </c>
      <c r="C19371" s="10" t="s">
        <v>23</v>
      </c>
      <c r="D19371" s="10" t="s">
        <v>1417</v>
      </c>
      <c r="E19371" s="14">
        <v>0.36</v>
      </c>
      <c r="F19371" s="15">
        <f>F19375</f>
        <v>43.8</v>
      </c>
      <c r="G19371" s="12">
        <f t="shared" si="2496"/>
        <v>15.77</v>
      </c>
    </row>
    <row r="19372" ht="24.0" customHeight="1">
      <c r="A19372" s="10" t="s">
        <v>1418</v>
      </c>
      <c r="B19372" s="10" t="s">
        <v>26</v>
      </c>
      <c r="C19372" s="10" t="s">
        <v>23</v>
      </c>
      <c r="D19372" s="10" t="s">
        <v>1419</v>
      </c>
      <c r="E19372" s="14">
        <v>1.0</v>
      </c>
      <c r="F19372" s="15">
        <f>ROUND(21,3)</f>
        <v>21</v>
      </c>
      <c r="G19372" s="12">
        <f t="shared" si="2496"/>
        <v>21</v>
      </c>
    </row>
    <row r="19373" ht="24.0" customHeight="1">
      <c r="A19373" s="10" t="s">
        <v>1420</v>
      </c>
      <c r="B19373" s="10" t="s">
        <v>26</v>
      </c>
      <c r="C19373" s="10" t="s">
        <v>23</v>
      </c>
      <c r="D19373" s="10" t="s">
        <v>1421</v>
      </c>
      <c r="E19373" s="14">
        <v>1.0</v>
      </c>
      <c r="F19373" s="15">
        <f t="shared" ref="F19373:F19374" si="2497">ROUND(19,3)</f>
        <v>19</v>
      </c>
      <c r="G19373" s="12">
        <f t="shared" si="2496"/>
        <v>19</v>
      </c>
    </row>
    <row r="19374" ht="24.0" customHeight="1">
      <c r="A19374" s="10" t="s">
        <v>30</v>
      </c>
      <c r="B19374" s="10" t="s">
        <v>26</v>
      </c>
      <c r="C19374" s="10" t="s">
        <v>23</v>
      </c>
      <c r="D19374" s="10" t="s">
        <v>31</v>
      </c>
      <c r="E19374" s="14">
        <v>0.2</v>
      </c>
      <c r="F19374" s="15">
        <f t="shared" si="2497"/>
        <v>19</v>
      </c>
      <c r="G19374" s="12">
        <f t="shared" si="2496"/>
        <v>3.8</v>
      </c>
    </row>
    <row r="19375" ht="15.0" customHeight="1">
      <c r="A19375" s="11"/>
      <c r="B19375" s="11"/>
      <c r="C19375" s="11"/>
      <c r="D19375" s="10" t="s">
        <v>1416</v>
      </c>
      <c r="E19375" s="14">
        <v>0.36</v>
      </c>
      <c r="F19375" s="15">
        <f>ROUND((G19372+G19373+G19374),3)</f>
        <v>43.8</v>
      </c>
      <c r="G19375" s="12">
        <f t="shared" si="2496"/>
        <v>15.77</v>
      </c>
    </row>
    <row r="19376" ht="15.0" customHeight="1">
      <c r="A19376" s="10" t="s">
        <v>32</v>
      </c>
      <c r="B19376" s="10"/>
      <c r="C19376" s="10" t="s">
        <v>33</v>
      </c>
      <c r="D19376" s="10" t="s">
        <v>34</v>
      </c>
      <c r="E19376" s="14">
        <v>3.0</v>
      </c>
      <c r="F19376" s="15">
        <f>ROUND(15.77,3)</f>
        <v>15.77</v>
      </c>
      <c r="G19376" s="12">
        <f>ROUND((E19376*F19376)/100,2)</f>
        <v>0.47</v>
      </c>
    </row>
    <row r="19377" ht="15.0" customHeight="1">
      <c r="A19377" s="16"/>
      <c r="B19377" s="16"/>
      <c r="C19377" s="16"/>
      <c r="D19377" s="17" t="s">
        <v>9188</v>
      </c>
      <c r="E19377" s="16"/>
      <c r="F19377" s="18">
        <f>ROUND((G19369+G19370+G19371+G19376)*(1+G2/100),2)</f>
        <v>21.18</v>
      </c>
      <c r="G19377" s="16"/>
    </row>
    <row r="19378" ht="39.75" customHeight="1">
      <c r="A19378" s="19" t="s">
        <v>9194</v>
      </c>
      <c r="B19378" s="20" t="s">
        <v>18</v>
      </c>
      <c r="C19378" s="20" t="s">
        <v>351</v>
      </c>
      <c r="D19378" s="20" t="s">
        <v>9195</v>
      </c>
      <c r="E19378" s="21"/>
      <c r="F19378" s="22">
        <f>F19388</f>
        <v>29.41</v>
      </c>
      <c r="G19378" s="21"/>
    </row>
    <row r="19379" ht="21.0" customHeight="1">
      <c r="A19379" s="11"/>
      <c r="B19379" s="11"/>
      <c r="C19379" s="11"/>
      <c r="D19379" s="10" t="s">
        <v>9195</v>
      </c>
    </row>
    <row r="19380" ht="39.75" customHeight="1">
      <c r="A19380" s="10" t="s">
        <v>9190</v>
      </c>
      <c r="B19380" s="10" t="s">
        <v>42</v>
      </c>
      <c r="C19380" s="10" t="s">
        <v>43</v>
      </c>
      <c r="D19380" s="10" t="s">
        <v>9191</v>
      </c>
      <c r="E19380" s="14">
        <v>0.088</v>
      </c>
      <c r="F19380" s="15">
        <f>ROUND(46.24,3)</f>
        <v>46.24</v>
      </c>
      <c r="G19380" s="12">
        <f t="shared" ref="G19380:G19386" si="2498">ROUND(E19380*F19380,2)</f>
        <v>4.07</v>
      </c>
    </row>
    <row r="19381" ht="30.0" customHeight="1">
      <c r="A19381" s="10" t="s">
        <v>9192</v>
      </c>
      <c r="B19381" s="10" t="s">
        <v>42</v>
      </c>
      <c r="C19381" s="10" t="s">
        <v>43</v>
      </c>
      <c r="D19381" s="10" t="s">
        <v>9193</v>
      </c>
      <c r="E19381" s="14">
        <v>0.1</v>
      </c>
      <c r="F19381" s="15">
        <f>ROUND(8.67,3)</f>
        <v>8.67</v>
      </c>
      <c r="G19381" s="12">
        <f t="shared" si="2498"/>
        <v>0.87</v>
      </c>
    </row>
    <row r="19382" ht="24.0" customHeight="1">
      <c r="A19382" s="10" t="s">
        <v>286</v>
      </c>
      <c r="B19382" s="10" t="s">
        <v>18</v>
      </c>
      <c r="C19382" s="10" t="s">
        <v>23</v>
      </c>
      <c r="D19382" s="10" t="s">
        <v>287</v>
      </c>
      <c r="E19382" s="14">
        <v>0.48</v>
      </c>
      <c r="F19382" s="15">
        <f>F19386</f>
        <v>49.5</v>
      </c>
      <c r="G19382" s="12">
        <f t="shared" si="2498"/>
        <v>23.76</v>
      </c>
    </row>
    <row r="19383" ht="24.0" customHeight="1">
      <c r="A19383" s="10" t="s">
        <v>288</v>
      </c>
      <c r="B19383" s="10" t="s">
        <v>26</v>
      </c>
      <c r="C19383" s="10" t="s">
        <v>23</v>
      </c>
      <c r="D19383" s="10" t="s">
        <v>289</v>
      </c>
      <c r="E19383" s="14">
        <v>1.0</v>
      </c>
      <c r="F19383" s="15">
        <f>ROUND(21,3)</f>
        <v>21</v>
      </c>
      <c r="G19383" s="12">
        <f t="shared" si="2498"/>
        <v>21</v>
      </c>
    </row>
    <row r="19384" ht="24.0" customHeight="1">
      <c r="A19384" s="10" t="s">
        <v>290</v>
      </c>
      <c r="B19384" s="10" t="s">
        <v>26</v>
      </c>
      <c r="C19384" s="10" t="s">
        <v>23</v>
      </c>
      <c r="D19384" s="10" t="s">
        <v>291</v>
      </c>
      <c r="E19384" s="14">
        <v>1.0</v>
      </c>
      <c r="F19384" s="15">
        <f t="shared" ref="F19384:F19385" si="2499">ROUND(19,3)</f>
        <v>19</v>
      </c>
      <c r="G19384" s="12">
        <f t="shared" si="2498"/>
        <v>19</v>
      </c>
    </row>
    <row r="19385" ht="24.0" customHeight="1">
      <c r="A19385" s="10" t="s">
        <v>292</v>
      </c>
      <c r="B19385" s="10" t="s">
        <v>26</v>
      </c>
      <c r="C19385" s="10" t="s">
        <v>23</v>
      </c>
      <c r="D19385" s="10" t="s">
        <v>293</v>
      </c>
      <c r="E19385" s="14">
        <v>0.5</v>
      </c>
      <c r="F19385" s="15">
        <f t="shared" si="2499"/>
        <v>19</v>
      </c>
      <c r="G19385" s="12">
        <f t="shared" si="2498"/>
        <v>9.5</v>
      </c>
    </row>
    <row r="19386" ht="15.0" customHeight="1">
      <c r="A19386" s="11"/>
      <c r="B19386" s="11"/>
      <c r="C19386" s="11"/>
      <c r="D19386" s="10" t="s">
        <v>286</v>
      </c>
      <c r="E19386" s="14">
        <v>0.48</v>
      </c>
      <c r="F19386" s="15">
        <f>ROUND((G19383+G19384+G19385),3)</f>
        <v>49.5</v>
      </c>
      <c r="G19386" s="12">
        <f t="shared" si="2498"/>
        <v>23.76</v>
      </c>
    </row>
    <row r="19387" ht="15.0" customHeight="1">
      <c r="A19387" s="10" t="s">
        <v>32</v>
      </c>
      <c r="B19387" s="10"/>
      <c r="C19387" s="10" t="s">
        <v>33</v>
      </c>
      <c r="D19387" s="10" t="s">
        <v>34</v>
      </c>
      <c r="E19387" s="14">
        <v>3.0</v>
      </c>
      <c r="F19387" s="15">
        <f>ROUND(23.76,3)</f>
        <v>23.76</v>
      </c>
      <c r="G19387" s="12">
        <f>ROUND((E19387*F19387)/100,2)</f>
        <v>0.71</v>
      </c>
    </row>
    <row r="19388" ht="15.0" customHeight="1">
      <c r="A19388" s="16"/>
      <c r="B19388" s="16"/>
      <c r="C19388" s="16"/>
      <c r="D19388" s="17" t="s">
        <v>9194</v>
      </c>
      <c r="E19388" s="16"/>
      <c r="F19388" s="18">
        <f>ROUND((G19380+G19381+G19382+G19387)*(1+G2/100),2)</f>
        <v>29.41</v>
      </c>
      <c r="G19388" s="16"/>
    </row>
    <row r="19389" ht="39.75" customHeight="1">
      <c r="A19389" s="19" t="s">
        <v>9196</v>
      </c>
      <c r="B19389" s="20" t="s">
        <v>18</v>
      </c>
      <c r="C19389" s="20" t="s">
        <v>351</v>
      </c>
      <c r="D19389" s="20" t="s">
        <v>9197</v>
      </c>
      <c r="E19389" s="21"/>
      <c r="F19389" s="22">
        <f>F19399</f>
        <v>9.91</v>
      </c>
      <c r="G19389" s="21"/>
    </row>
    <row r="19390" ht="21.0" customHeight="1">
      <c r="A19390" s="11"/>
      <c r="B19390" s="11"/>
      <c r="C19390" s="11"/>
      <c r="D19390" s="10" t="s">
        <v>9197</v>
      </c>
    </row>
    <row r="19391" ht="39.75" customHeight="1">
      <c r="A19391" s="10" t="s">
        <v>9190</v>
      </c>
      <c r="B19391" s="10" t="s">
        <v>42</v>
      </c>
      <c r="C19391" s="10" t="s">
        <v>43</v>
      </c>
      <c r="D19391" s="10" t="s">
        <v>9191</v>
      </c>
      <c r="E19391" s="14">
        <v>0.02</v>
      </c>
      <c r="F19391" s="15">
        <f>ROUND(46.24,3)</f>
        <v>46.24</v>
      </c>
      <c r="G19391" s="12">
        <f t="shared" ref="G19391:G19397" si="2500">ROUND(E19391*F19391,2)</f>
        <v>0.92</v>
      </c>
    </row>
    <row r="19392" ht="30.0" customHeight="1">
      <c r="A19392" s="10" t="s">
        <v>9192</v>
      </c>
      <c r="B19392" s="10" t="s">
        <v>42</v>
      </c>
      <c r="C19392" s="10" t="s">
        <v>43</v>
      </c>
      <c r="D19392" s="10" t="s">
        <v>9193</v>
      </c>
      <c r="E19392" s="14">
        <v>0.1</v>
      </c>
      <c r="F19392" s="15">
        <f>ROUND(8.67,3)</f>
        <v>8.67</v>
      </c>
      <c r="G19392" s="12">
        <f t="shared" si="2500"/>
        <v>0.87</v>
      </c>
    </row>
    <row r="19393" ht="21.0" customHeight="1">
      <c r="A19393" s="10" t="s">
        <v>1416</v>
      </c>
      <c r="B19393" s="10" t="s">
        <v>18</v>
      </c>
      <c r="C19393" s="10" t="s">
        <v>23</v>
      </c>
      <c r="D19393" s="10" t="s">
        <v>1417</v>
      </c>
      <c r="E19393" s="14">
        <v>0.18</v>
      </c>
      <c r="F19393" s="15">
        <f>F19397</f>
        <v>43.8</v>
      </c>
      <c r="G19393" s="12">
        <f t="shared" si="2500"/>
        <v>7.88</v>
      </c>
    </row>
    <row r="19394" ht="24.0" customHeight="1">
      <c r="A19394" s="10" t="s">
        <v>1418</v>
      </c>
      <c r="B19394" s="10" t="s">
        <v>26</v>
      </c>
      <c r="C19394" s="10" t="s">
        <v>23</v>
      </c>
      <c r="D19394" s="10" t="s">
        <v>1419</v>
      </c>
      <c r="E19394" s="14">
        <v>1.0</v>
      </c>
      <c r="F19394" s="15">
        <f>ROUND(21,3)</f>
        <v>21</v>
      </c>
      <c r="G19394" s="12">
        <f t="shared" si="2500"/>
        <v>21</v>
      </c>
    </row>
    <row r="19395" ht="24.0" customHeight="1">
      <c r="A19395" s="10" t="s">
        <v>1420</v>
      </c>
      <c r="B19395" s="10" t="s">
        <v>26</v>
      </c>
      <c r="C19395" s="10" t="s">
        <v>23</v>
      </c>
      <c r="D19395" s="10" t="s">
        <v>1421</v>
      </c>
      <c r="E19395" s="14">
        <v>1.0</v>
      </c>
      <c r="F19395" s="15">
        <f t="shared" ref="F19395:F19396" si="2501">ROUND(19,3)</f>
        <v>19</v>
      </c>
      <c r="G19395" s="12">
        <f t="shared" si="2500"/>
        <v>19</v>
      </c>
    </row>
    <row r="19396" ht="24.0" customHeight="1">
      <c r="A19396" s="10" t="s">
        <v>30</v>
      </c>
      <c r="B19396" s="10" t="s">
        <v>26</v>
      </c>
      <c r="C19396" s="10" t="s">
        <v>23</v>
      </c>
      <c r="D19396" s="10" t="s">
        <v>31</v>
      </c>
      <c r="E19396" s="14">
        <v>0.2</v>
      </c>
      <c r="F19396" s="15">
        <f t="shared" si="2501"/>
        <v>19</v>
      </c>
      <c r="G19396" s="12">
        <f t="shared" si="2500"/>
        <v>3.8</v>
      </c>
    </row>
    <row r="19397" ht="15.0" customHeight="1">
      <c r="A19397" s="11"/>
      <c r="B19397" s="11"/>
      <c r="C19397" s="11"/>
      <c r="D19397" s="10" t="s">
        <v>1416</v>
      </c>
      <c r="E19397" s="14">
        <v>0.18</v>
      </c>
      <c r="F19397" s="15">
        <f>ROUND((G19394+G19395+G19396),3)</f>
        <v>43.8</v>
      </c>
      <c r="G19397" s="12">
        <f t="shared" si="2500"/>
        <v>7.88</v>
      </c>
    </row>
    <row r="19398" ht="15.0" customHeight="1">
      <c r="A19398" s="10" t="s">
        <v>32</v>
      </c>
      <c r="B19398" s="10"/>
      <c r="C19398" s="10" t="s">
        <v>33</v>
      </c>
      <c r="D19398" s="10" t="s">
        <v>34</v>
      </c>
      <c r="E19398" s="14">
        <v>3.0</v>
      </c>
      <c r="F19398" s="15">
        <f>ROUND(7.88,3)</f>
        <v>7.88</v>
      </c>
      <c r="G19398" s="12">
        <f>ROUND((E19398*F19398)/100,2)</f>
        <v>0.24</v>
      </c>
    </row>
    <row r="19399" ht="24.75" customHeight="1">
      <c r="A19399" s="16"/>
      <c r="B19399" s="16"/>
      <c r="C19399" s="16"/>
      <c r="D19399" s="17" t="s">
        <v>9196</v>
      </c>
      <c r="E19399" s="16"/>
      <c r="F19399" s="18">
        <f>ROUND((G19391+G19392+G19393+G19398)*(1+G2/100),2)</f>
        <v>9.91</v>
      </c>
      <c r="G19399" s="16"/>
    </row>
    <row r="19400" ht="48.75" customHeight="1">
      <c r="A19400" s="19" t="s">
        <v>9198</v>
      </c>
      <c r="B19400" s="20" t="s">
        <v>18</v>
      </c>
      <c r="C19400" s="20" t="s">
        <v>351</v>
      </c>
      <c r="D19400" s="20" t="s">
        <v>9199</v>
      </c>
      <c r="E19400" s="21"/>
      <c r="F19400" s="22">
        <f>F19410</f>
        <v>14.54</v>
      </c>
      <c r="G19400" s="21"/>
    </row>
    <row r="19401" ht="21.0" customHeight="1">
      <c r="A19401" s="11"/>
      <c r="B19401" s="11"/>
      <c r="C19401" s="11"/>
      <c r="D19401" s="10" t="s">
        <v>9199</v>
      </c>
    </row>
    <row r="19402" ht="39.75" customHeight="1">
      <c r="A19402" s="10" t="s">
        <v>9190</v>
      </c>
      <c r="B19402" s="10" t="s">
        <v>42</v>
      </c>
      <c r="C19402" s="10" t="s">
        <v>43</v>
      </c>
      <c r="D19402" s="10" t="s">
        <v>9191</v>
      </c>
      <c r="E19402" s="14">
        <v>0.02</v>
      </c>
      <c r="F19402" s="15">
        <f>ROUND(46.24,3)</f>
        <v>46.24</v>
      </c>
      <c r="G19402" s="12">
        <f t="shared" ref="G19402:G19408" si="2502">ROUND(E19402*F19402,2)</f>
        <v>0.92</v>
      </c>
    </row>
    <row r="19403" ht="30.0" customHeight="1">
      <c r="A19403" s="10" t="s">
        <v>9192</v>
      </c>
      <c r="B19403" s="10" t="s">
        <v>42</v>
      </c>
      <c r="C19403" s="10" t="s">
        <v>43</v>
      </c>
      <c r="D19403" s="10" t="s">
        <v>9193</v>
      </c>
      <c r="E19403" s="14">
        <v>0.1</v>
      </c>
      <c r="F19403" s="15">
        <f>ROUND(8.67,3)</f>
        <v>8.67</v>
      </c>
      <c r="G19403" s="12">
        <f t="shared" si="2502"/>
        <v>0.87</v>
      </c>
    </row>
    <row r="19404" ht="24.0" customHeight="1">
      <c r="A19404" s="10" t="s">
        <v>286</v>
      </c>
      <c r="B19404" s="10" t="s">
        <v>18</v>
      </c>
      <c r="C19404" s="10" t="s">
        <v>23</v>
      </c>
      <c r="D19404" s="10" t="s">
        <v>287</v>
      </c>
      <c r="E19404" s="14">
        <v>0.25</v>
      </c>
      <c r="F19404" s="15">
        <f>F19408</f>
        <v>49.5</v>
      </c>
      <c r="G19404" s="12">
        <f t="shared" si="2502"/>
        <v>12.38</v>
      </c>
    </row>
    <row r="19405" ht="24.0" customHeight="1">
      <c r="A19405" s="10" t="s">
        <v>288</v>
      </c>
      <c r="B19405" s="10" t="s">
        <v>26</v>
      </c>
      <c r="C19405" s="10" t="s">
        <v>23</v>
      </c>
      <c r="D19405" s="10" t="s">
        <v>289</v>
      </c>
      <c r="E19405" s="14">
        <v>1.0</v>
      </c>
      <c r="F19405" s="15">
        <f>ROUND(21,3)</f>
        <v>21</v>
      </c>
      <c r="G19405" s="12">
        <f t="shared" si="2502"/>
        <v>21</v>
      </c>
    </row>
    <row r="19406" ht="24.0" customHeight="1">
      <c r="A19406" s="10" t="s">
        <v>290</v>
      </c>
      <c r="B19406" s="10" t="s">
        <v>26</v>
      </c>
      <c r="C19406" s="10" t="s">
        <v>23</v>
      </c>
      <c r="D19406" s="10" t="s">
        <v>291</v>
      </c>
      <c r="E19406" s="14">
        <v>1.0</v>
      </c>
      <c r="F19406" s="15">
        <f t="shared" ref="F19406:F19407" si="2503">ROUND(19,3)</f>
        <v>19</v>
      </c>
      <c r="G19406" s="12">
        <f t="shared" si="2502"/>
        <v>19</v>
      </c>
    </row>
    <row r="19407" ht="24.0" customHeight="1">
      <c r="A19407" s="10" t="s">
        <v>292</v>
      </c>
      <c r="B19407" s="10" t="s">
        <v>26</v>
      </c>
      <c r="C19407" s="10" t="s">
        <v>23</v>
      </c>
      <c r="D19407" s="10" t="s">
        <v>293</v>
      </c>
      <c r="E19407" s="14">
        <v>0.5</v>
      </c>
      <c r="F19407" s="15">
        <f t="shared" si="2503"/>
        <v>19</v>
      </c>
      <c r="G19407" s="12">
        <f t="shared" si="2502"/>
        <v>9.5</v>
      </c>
    </row>
    <row r="19408" ht="15.0" customHeight="1">
      <c r="A19408" s="11"/>
      <c r="B19408" s="11"/>
      <c r="C19408" s="11"/>
      <c r="D19408" s="10" t="s">
        <v>286</v>
      </c>
      <c r="E19408" s="14">
        <v>0.25</v>
      </c>
      <c r="F19408" s="15">
        <f>ROUND((G19405+G19406+G19407),3)</f>
        <v>49.5</v>
      </c>
      <c r="G19408" s="12">
        <f t="shared" si="2502"/>
        <v>12.38</v>
      </c>
    </row>
    <row r="19409" ht="15.0" customHeight="1">
      <c r="A19409" s="10" t="s">
        <v>32</v>
      </c>
      <c r="B19409" s="10"/>
      <c r="C19409" s="10" t="s">
        <v>33</v>
      </c>
      <c r="D19409" s="10" t="s">
        <v>34</v>
      </c>
      <c r="E19409" s="14">
        <v>3.0</v>
      </c>
      <c r="F19409" s="15">
        <f>ROUND(12.38,3)</f>
        <v>12.38</v>
      </c>
      <c r="G19409" s="12">
        <f>ROUND((E19409*F19409)/100,2)</f>
        <v>0.37</v>
      </c>
    </row>
    <row r="19410" ht="24.75" customHeight="1">
      <c r="A19410" s="16"/>
      <c r="B19410" s="16"/>
      <c r="C19410" s="16"/>
      <c r="D19410" s="17" t="s">
        <v>9198</v>
      </c>
      <c r="E19410" s="16"/>
      <c r="F19410" s="18">
        <f>ROUND((G19402+G19403+G19404+G19409)*(1+G2/100),2)</f>
        <v>14.54</v>
      </c>
      <c r="G19410" s="16"/>
    </row>
    <row r="19411" ht="39.75" customHeight="1">
      <c r="A19411" s="19" t="s">
        <v>9200</v>
      </c>
      <c r="B19411" s="20" t="s">
        <v>18</v>
      </c>
      <c r="C19411" s="20" t="s">
        <v>351</v>
      </c>
      <c r="D19411" s="20" t="s">
        <v>9201</v>
      </c>
      <c r="E19411" s="21"/>
      <c r="F19411" s="22">
        <f>F19423</f>
        <v>120.64</v>
      </c>
      <c r="G19411" s="21"/>
    </row>
    <row r="19412" ht="30.0" customHeight="1">
      <c r="A19412" s="11"/>
      <c r="B19412" s="11"/>
      <c r="C19412" s="11"/>
      <c r="D19412" s="10" t="s">
        <v>9202</v>
      </c>
    </row>
    <row r="19413" ht="30.0" customHeight="1">
      <c r="A19413" s="10" t="s">
        <v>7266</v>
      </c>
      <c r="B19413" s="10" t="s">
        <v>42</v>
      </c>
      <c r="C19413" s="10" t="s">
        <v>1207</v>
      </c>
      <c r="D19413" s="10" t="s">
        <v>7267</v>
      </c>
      <c r="E19413" s="14">
        <v>11.44</v>
      </c>
      <c r="F19413" s="15">
        <f>ROUND(1.6,3)</f>
        <v>1.6</v>
      </c>
      <c r="G19413" s="12">
        <f t="shared" ref="G19413:G19421" si="2504">ROUND(E19413*F19413,2)</f>
        <v>18.3</v>
      </c>
    </row>
    <row r="19414" ht="39.75" customHeight="1">
      <c r="A19414" s="10" t="s">
        <v>5190</v>
      </c>
      <c r="B19414" s="10" t="s">
        <v>42</v>
      </c>
      <c r="C19414" s="10" t="s">
        <v>43</v>
      </c>
      <c r="D19414" s="10" t="s">
        <v>5191</v>
      </c>
      <c r="E19414" s="14">
        <v>0.013</v>
      </c>
      <c r="F19414" s="15">
        <f>ROUND(41.28,3)</f>
        <v>41.28</v>
      </c>
      <c r="G19414" s="12">
        <f t="shared" si="2504"/>
        <v>0.54</v>
      </c>
    </row>
    <row r="19415" ht="39.75" customHeight="1">
      <c r="A19415" s="10" t="s">
        <v>2640</v>
      </c>
      <c r="B19415" s="10" t="s">
        <v>42</v>
      </c>
      <c r="C19415" s="10" t="s">
        <v>184</v>
      </c>
      <c r="D19415" s="10" t="s">
        <v>2641</v>
      </c>
      <c r="E19415" s="14">
        <v>2.0</v>
      </c>
      <c r="F19415" s="15">
        <f>ROUND(2.6,3)</f>
        <v>2.6</v>
      </c>
      <c r="G19415" s="12">
        <f t="shared" si="2504"/>
        <v>5.2</v>
      </c>
    </row>
    <row r="19416" ht="30.0" customHeight="1">
      <c r="A19416" s="10" t="s">
        <v>822</v>
      </c>
      <c r="B19416" s="10" t="s">
        <v>112</v>
      </c>
      <c r="C19416" s="10" t="s">
        <v>23</v>
      </c>
      <c r="D19416" s="10" t="s">
        <v>823</v>
      </c>
      <c r="E19416" s="14">
        <v>1.0</v>
      </c>
      <c r="F19416" s="15">
        <f>ROUND(4.62,3)</f>
        <v>4.62</v>
      </c>
      <c r="G19416" s="12">
        <f t="shared" si="2504"/>
        <v>4.62</v>
      </c>
    </row>
    <row r="19417" ht="21.0" customHeight="1">
      <c r="A19417" s="10" t="s">
        <v>22</v>
      </c>
      <c r="B19417" s="10" t="s">
        <v>18</v>
      </c>
      <c r="C19417" s="10" t="s">
        <v>23</v>
      </c>
      <c r="D19417" s="10" t="s">
        <v>24</v>
      </c>
      <c r="E19417" s="14">
        <v>2.0</v>
      </c>
      <c r="F19417" s="15">
        <f>F19421</f>
        <v>43.8</v>
      </c>
      <c r="G19417" s="12">
        <f t="shared" si="2504"/>
        <v>87.6</v>
      </c>
    </row>
    <row r="19418" ht="24.0" customHeight="1">
      <c r="A19418" s="10" t="s">
        <v>25</v>
      </c>
      <c r="B19418" s="10" t="s">
        <v>26</v>
      </c>
      <c r="C19418" s="10" t="s">
        <v>23</v>
      </c>
      <c r="D19418" s="10" t="s">
        <v>27</v>
      </c>
      <c r="E19418" s="14">
        <v>1.0</v>
      </c>
      <c r="F19418" s="15">
        <f>ROUND(21,3)</f>
        <v>21</v>
      </c>
      <c r="G19418" s="12">
        <f t="shared" si="2504"/>
        <v>21</v>
      </c>
    </row>
    <row r="19419" ht="24.0" customHeight="1">
      <c r="A19419" s="10" t="s">
        <v>28</v>
      </c>
      <c r="B19419" s="10" t="s">
        <v>26</v>
      </c>
      <c r="C19419" s="10" t="s">
        <v>23</v>
      </c>
      <c r="D19419" s="10" t="s">
        <v>29</v>
      </c>
      <c r="E19419" s="14">
        <v>1.0</v>
      </c>
      <c r="F19419" s="15">
        <f t="shared" ref="F19419:F19420" si="2505">ROUND(19,3)</f>
        <v>19</v>
      </c>
      <c r="G19419" s="12">
        <f t="shared" si="2504"/>
        <v>19</v>
      </c>
    </row>
    <row r="19420" ht="24.0" customHeight="1">
      <c r="A19420" s="10" t="s">
        <v>30</v>
      </c>
      <c r="B19420" s="10" t="s">
        <v>26</v>
      </c>
      <c r="C19420" s="10" t="s">
        <v>23</v>
      </c>
      <c r="D19420" s="10" t="s">
        <v>31</v>
      </c>
      <c r="E19420" s="14">
        <v>0.2</v>
      </c>
      <c r="F19420" s="15">
        <f t="shared" si="2505"/>
        <v>19</v>
      </c>
      <c r="G19420" s="12">
        <f t="shared" si="2504"/>
        <v>3.8</v>
      </c>
    </row>
    <row r="19421" ht="15.0" customHeight="1">
      <c r="A19421" s="11"/>
      <c r="B19421" s="11"/>
      <c r="C19421" s="11"/>
      <c r="D19421" s="10" t="s">
        <v>22</v>
      </c>
      <c r="E19421" s="14">
        <v>2.0</v>
      </c>
      <c r="F19421" s="15">
        <f>ROUND((G19418+G19419+G19420),3)</f>
        <v>43.8</v>
      </c>
      <c r="G19421" s="12">
        <f t="shared" si="2504"/>
        <v>87.6</v>
      </c>
    </row>
    <row r="19422" ht="15.0" customHeight="1">
      <c r="A19422" s="10" t="s">
        <v>32</v>
      </c>
      <c r="B19422" s="10"/>
      <c r="C19422" s="10" t="s">
        <v>33</v>
      </c>
      <c r="D19422" s="10" t="s">
        <v>34</v>
      </c>
      <c r="E19422" s="14">
        <v>5.0</v>
      </c>
      <c r="F19422" s="15">
        <f>ROUND(87.6,3)</f>
        <v>87.6</v>
      </c>
      <c r="G19422" s="12">
        <f>ROUND((E19422*F19422)/100,2)</f>
        <v>4.38</v>
      </c>
    </row>
    <row r="19423" ht="15.0" customHeight="1">
      <c r="A19423" s="16"/>
      <c r="B19423" s="16"/>
      <c r="C19423" s="16"/>
      <c r="D19423" s="17" t="s">
        <v>9200</v>
      </c>
      <c r="E19423" s="16"/>
      <c r="F19423" s="18">
        <f>ROUND((G19413+G19414+G19415+G19416+G19417+G19422)*(1+G2/100),2)</f>
        <v>120.64</v>
      </c>
      <c r="G19423" s="16"/>
    </row>
    <row r="19424" ht="39.75" customHeight="1">
      <c r="A19424" s="19" t="s">
        <v>9203</v>
      </c>
      <c r="B19424" s="20" t="s">
        <v>18</v>
      </c>
      <c r="C19424" s="20" t="s">
        <v>255</v>
      </c>
      <c r="D19424" s="20" t="s">
        <v>9204</v>
      </c>
      <c r="E19424" s="21"/>
      <c r="F19424" s="22">
        <f>F19435</f>
        <v>18.36</v>
      </c>
      <c r="G19424" s="21"/>
    </row>
    <row r="19425" ht="21.0" customHeight="1">
      <c r="A19425" s="11"/>
      <c r="B19425" s="11"/>
      <c r="C19425" s="11"/>
      <c r="D19425" s="10" t="s">
        <v>9205</v>
      </c>
    </row>
    <row r="19426" ht="30.0" customHeight="1">
      <c r="A19426" s="10" t="s">
        <v>6200</v>
      </c>
      <c r="B19426" s="10" t="s">
        <v>42</v>
      </c>
      <c r="C19426" s="10" t="s">
        <v>231</v>
      </c>
      <c r="D19426" s="10" t="s">
        <v>6201</v>
      </c>
      <c r="E19426" s="14">
        <v>1.0</v>
      </c>
      <c r="F19426" s="15">
        <f>ROUND(10.51,3)</f>
        <v>10.51</v>
      </c>
      <c r="G19426" s="12">
        <f t="shared" ref="G19426:G19433" si="2506">ROUND(E19426*F19426,2)</f>
        <v>10.51</v>
      </c>
    </row>
    <row r="19427" ht="39.75" customHeight="1">
      <c r="A19427" s="10" t="s">
        <v>5190</v>
      </c>
      <c r="B19427" s="10" t="s">
        <v>42</v>
      </c>
      <c r="C19427" s="10" t="s">
        <v>43</v>
      </c>
      <c r="D19427" s="10" t="s">
        <v>5191</v>
      </c>
      <c r="E19427" s="14">
        <v>0.006</v>
      </c>
      <c r="F19427" s="15">
        <f>ROUND(41.28,3)</f>
        <v>41.28</v>
      </c>
      <c r="G19427" s="12">
        <f t="shared" si="2506"/>
        <v>0.25</v>
      </c>
    </row>
    <row r="19428" ht="21.0" customHeight="1">
      <c r="A19428" s="10" t="s">
        <v>969</v>
      </c>
      <c r="B19428" s="10" t="s">
        <v>112</v>
      </c>
      <c r="C19428" s="10" t="s">
        <v>23</v>
      </c>
      <c r="D19428" s="10" t="s">
        <v>970</v>
      </c>
      <c r="E19428" s="14">
        <v>0.1</v>
      </c>
      <c r="F19428" s="15">
        <f>ROUND(2,3)</f>
        <v>2</v>
      </c>
      <c r="G19428" s="12">
        <f t="shared" si="2506"/>
        <v>0.2</v>
      </c>
    </row>
    <row r="19429" ht="21.0" customHeight="1">
      <c r="A19429" s="10" t="s">
        <v>1344</v>
      </c>
      <c r="B19429" s="10" t="s">
        <v>42</v>
      </c>
      <c r="C19429" s="10" t="s">
        <v>231</v>
      </c>
      <c r="D19429" s="10" t="s">
        <v>1345</v>
      </c>
      <c r="E19429" s="14">
        <v>0.2</v>
      </c>
      <c r="F19429" s="15">
        <f>ROUND(5.52,3)</f>
        <v>5.52</v>
      </c>
      <c r="G19429" s="12">
        <f t="shared" si="2506"/>
        <v>1.1</v>
      </c>
    </row>
    <row r="19430" ht="21.0" customHeight="1">
      <c r="A19430" s="10" t="s">
        <v>1046</v>
      </c>
      <c r="B19430" s="10" t="s">
        <v>18</v>
      </c>
      <c r="C19430" s="10" t="s">
        <v>23</v>
      </c>
      <c r="D19430" s="10" t="s">
        <v>1047</v>
      </c>
      <c r="E19430" s="14">
        <v>0.15</v>
      </c>
      <c r="F19430" s="15">
        <f>F19433</f>
        <v>40</v>
      </c>
      <c r="G19430" s="12">
        <f t="shared" si="2506"/>
        <v>6</v>
      </c>
    </row>
    <row r="19431" ht="24.0" customHeight="1">
      <c r="A19431" s="10" t="s">
        <v>25</v>
      </c>
      <c r="B19431" s="10" t="s">
        <v>26</v>
      </c>
      <c r="C19431" s="10" t="s">
        <v>23</v>
      </c>
      <c r="D19431" s="10" t="s">
        <v>27</v>
      </c>
      <c r="E19431" s="14">
        <v>1.0</v>
      </c>
      <c r="F19431" s="15">
        <f>ROUND(21,3)</f>
        <v>21</v>
      </c>
      <c r="G19431" s="12">
        <f t="shared" si="2506"/>
        <v>21</v>
      </c>
    </row>
    <row r="19432" ht="24.0" customHeight="1">
      <c r="A19432" s="10" t="s">
        <v>28</v>
      </c>
      <c r="B19432" s="10" t="s">
        <v>26</v>
      </c>
      <c r="C19432" s="10" t="s">
        <v>23</v>
      </c>
      <c r="D19432" s="10" t="s">
        <v>29</v>
      </c>
      <c r="E19432" s="14">
        <v>1.0</v>
      </c>
      <c r="F19432" s="15">
        <f>ROUND(19,3)</f>
        <v>19</v>
      </c>
      <c r="G19432" s="12">
        <f t="shared" si="2506"/>
        <v>19</v>
      </c>
    </row>
    <row r="19433" ht="15.0" customHeight="1">
      <c r="A19433" s="11"/>
      <c r="B19433" s="11"/>
      <c r="C19433" s="11"/>
      <c r="D19433" s="10" t="s">
        <v>1046</v>
      </c>
      <c r="E19433" s="14">
        <v>0.15</v>
      </c>
      <c r="F19433" s="15">
        <f>ROUND((G19431+G19432),3)</f>
        <v>40</v>
      </c>
      <c r="G19433" s="12">
        <f t="shared" si="2506"/>
        <v>6</v>
      </c>
    </row>
    <row r="19434" ht="15.0" customHeight="1">
      <c r="A19434" s="10" t="s">
        <v>32</v>
      </c>
      <c r="B19434" s="10"/>
      <c r="C19434" s="10" t="s">
        <v>33</v>
      </c>
      <c r="D19434" s="10" t="s">
        <v>34</v>
      </c>
      <c r="E19434" s="14">
        <v>5.0</v>
      </c>
      <c r="F19434" s="15">
        <f>ROUND(6,3)</f>
        <v>6</v>
      </c>
      <c r="G19434" s="12">
        <f>ROUND((E19434*F19434)/100,2)</f>
        <v>0.3</v>
      </c>
    </row>
    <row r="19435" ht="15.0" customHeight="1">
      <c r="A19435" s="16"/>
      <c r="B19435" s="16"/>
      <c r="C19435" s="16"/>
      <c r="D19435" s="17" t="s">
        <v>9203</v>
      </c>
      <c r="E19435" s="16"/>
      <c r="F19435" s="18">
        <f>ROUND((G19426+G19427+G19428+G19429+G19430+G19434)*(1+G2/100),2)</f>
        <v>18.36</v>
      </c>
      <c r="G19435" s="16"/>
    </row>
    <row r="19436" ht="39.75" customHeight="1">
      <c r="A19436" s="19" t="s">
        <v>9206</v>
      </c>
      <c r="B19436" s="20" t="s">
        <v>18</v>
      </c>
      <c r="C19436" s="20" t="s">
        <v>231</v>
      </c>
      <c r="D19436" s="20" t="s">
        <v>9207</v>
      </c>
      <c r="E19436" s="21"/>
      <c r="F19436" s="22">
        <f>F19447</f>
        <v>25.85</v>
      </c>
      <c r="G19436" s="21"/>
    </row>
    <row r="19437" ht="21.0" customHeight="1">
      <c r="A19437" s="11"/>
      <c r="B19437" s="11"/>
      <c r="C19437" s="11"/>
      <c r="D19437" s="10" t="s">
        <v>9208</v>
      </c>
    </row>
    <row r="19438" ht="30.0" customHeight="1">
      <c r="A19438" s="10" t="s">
        <v>7301</v>
      </c>
      <c r="B19438" s="10" t="s">
        <v>42</v>
      </c>
      <c r="C19438" s="10" t="s">
        <v>231</v>
      </c>
      <c r="D19438" s="10" t="s">
        <v>7302</v>
      </c>
      <c r="E19438" s="14">
        <v>1.0</v>
      </c>
      <c r="F19438" s="15">
        <f>ROUND(18,3)</f>
        <v>18</v>
      </c>
      <c r="G19438" s="12">
        <f t="shared" ref="G19438:G19445" si="2507">ROUND(E19438*F19438,2)</f>
        <v>18</v>
      </c>
    </row>
    <row r="19439" ht="39.75" customHeight="1">
      <c r="A19439" s="10" t="s">
        <v>5190</v>
      </c>
      <c r="B19439" s="10" t="s">
        <v>42</v>
      </c>
      <c r="C19439" s="10" t="s">
        <v>43</v>
      </c>
      <c r="D19439" s="10" t="s">
        <v>5191</v>
      </c>
      <c r="E19439" s="14">
        <v>0.006</v>
      </c>
      <c r="F19439" s="15">
        <f>ROUND(41.28,3)</f>
        <v>41.28</v>
      </c>
      <c r="G19439" s="12">
        <f t="shared" si="2507"/>
        <v>0.25</v>
      </c>
    </row>
    <row r="19440" ht="21.0" customHeight="1">
      <c r="A19440" s="10" t="s">
        <v>969</v>
      </c>
      <c r="B19440" s="10" t="s">
        <v>112</v>
      </c>
      <c r="C19440" s="10" t="s">
        <v>23</v>
      </c>
      <c r="D19440" s="10" t="s">
        <v>970</v>
      </c>
      <c r="E19440" s="14">
        <v>0.1</v>
      </c>
      <c r="F19440" s="15">
        <f>ROUND(2,3)</f>
        <v>2</v>
      </c>
      <c r="G19440" s="12">
        <f t="shared" si="2507"/>
        <v>0.2</v>
      </c>
    </row>
    <row r="19441" ht="21.0" customHeight="1">
      <c r="A19441" s="10" t="s">
        <v>1344</v>
      </c>
      <c r="B19441" s="10" t="s">
        <v>42</v>
      </c>
      <c r="C19441" s="10" t="s">
        <v>231</v>
      </c>
      <c r="D19441" s="10" t="s">
        <v>1345</v>
      </c>
      <c r="E19441" s="14">
        <v>0.2</v>
      </c>
      <c r="F19441" s="15">
        <f>ROUND(5.52,3)</f>
        <v>5.52</v>
      </c>
      <c r="G19441" s="12">
        <f t="shared" si="2507"/>
        <v>1.1</v>
      </c>
    </row>
    <row r="19442" ht="21.0" customHeight="1">
      <c r="A19442" s="10" t="s">
        <v>1046</v>
      </c>
      <c r="B19442" s="10" t="s">
        <v>18</v>
      </c>
      <c r="C19442" s="10" t="s">
        <v>23</v>
      </c>
      <c r="D19442" s="10" t="s">
        <v>1047</v>
      </c>
      <c r="E19442" s="14">
        <v>0.15</v>
      </c>
      <c r="F19442" s="15">
        <f>F19445</f>
        <v>40</v>
      </c>
      <c r="G19442" s="12">
        <f t="shared" si="2507"/>
        <v>6</v>
      </c>
    </row>
    <row r="19443" ht="24.0" customHeight="1">
      <c r="A19443" s="10" t="s">
        <v>25</v>
      </c>
      <c r="B19443" s="10" t="s">
        <v>26</v>
      </c>
      <c r="C19443" s="10" t="s">
        <v>23</v>
      </c>
      <c r="D19443" s="10" t="s">
        <v>27</v>
      </c>
      <c r="E19443" s="14">
        <v>1.0</v>
      </c>
      <c r="F19443" s="15">
        <f>ROUND(21,3)</f>
        <v>21</v>
      </c>
      <c r="G19443" s="12">
        <f t="shared" si="2507"/>
        <v>21</v>
      </c>
    </row>
    <row r="19444" ht="24.0" customHeight="1">
      <c r="A19444" s="10" t="s">
        <v>28</v>
      </c>
      <c r="B19444" s="10" t="s">
        <v>26</v>
      </c>
      <c r="C19444" s="10" t="s">
        <v>23</v>
      </c>
      <c r="D19444" s="10" t="s">
        <v>29</v>
      </c>
      <c r="E19444" s="14">
        <v>1.0</v>
      </c>
      <c r="F19444" s="15">
        <f>ROUND(19,3)</f>
        <v>19</v>
      </c>
      <c r="G19444" s="12">
        <f t="shared" si="2507"/>
        <v>19</v>
      </c>
    </row>
    <row r="19445" ht="15.0" customHeight="1">
      <c r="A19445" s="11"/>
      <c r="B19445" s="11"/>
      <c r="C19445" s="11"/>
      <c r="D19445" s="10" t="s">
        <v>1046</v>
      </c>
      <c r="E19445" s="14">
        <v>0.15</v>
      </c>
      <c r="F19445" s="15">
        <f>ROUND((G19443+G19444),3)</f>
        <v>40</v>
      </c>
      <c r="G19445" s="12">
        <f t="shared" si="2507"/>
        <v>6</v>
      </c>
    </row>
    <row r="19446" ht="15.0" customHeight="1">
      <c r="A19446" s="10" t="s">
        <v>32</v>
      </c>
      <c r="B19446" s="10"/>
      <c r="C19446" s="10" t="s">
        <v>33</v>
      </c>
      <c r="D19446" s="10" t="s">
        <v>34</v>
      </c>
      <c r="E19446" s="14">
        <v>5.0</v>
      </c>
      <c r="F19446" s="15">
        <f>ROUND(6,3)</f>
        <v>6</v>
      </c>
      <c r="G19446" s="12">
        <f>ROUND((E19446*F19446)/100,2)</f>
        <v>0.3</v>
      </c>
    </row>
    <row r="19447" ht="15.0" customHeight="1">
      <c r="A19447" s="16"/>
      <c r="B19447" s="16"/>
      <c r="C19447" s="16"/>
      <c r="D19447" s="17" t="s">
        <v>9206</v>
      </c>
      <c r="E19447" s="16"/>
      <c r="F19447" s="18">
        <f>ROUND((G19438+G19439+G19440+G19441+G19442+G19446)*(1+G2/100),2)</f>
        <v>25.85</v>
      </c>
      <c r="G19447" s="16"/>
    </row>
    <row r="19448" ht="39.75" customHeight="1">
      <c r="A19448" s="19" t="s">
        <v>9209</v>
      </c>
      <c r="B19448" s="20" t="s">
        <v>18</v>
      </c>
      <c r="C19448" s="20" t="s">
        <v>537</v>
      </c>
      <c r="D19448" s="20" t="s">
        <v>9210</v>
      </c>
      <c r="E19448" s="21"/>
      <c r="F19448" s="22">
        <f>F19459</f>
        <v>23.73</v>
      </c>
      <c r="G19448" s="21"/>
    </row>
    <row r="19449" ht="21.0" customHeight="1">
      <c r="A19449" s="11"/>
      <c r="B19449" s="11"/>
      <c r="C19449" s="11"/>
      <c r="D19449" s="10" t="s">
        <v>9211</v>
      </c>
    </row>
    <row r="19450" ht="30.0" customHeight="1">
      <c r="A19450" s="10" t="s">
        <v>6214</v>
      </c>
      <c r="B19450" s="10" t="s">
        <v>42</v>
      </c>
      <c r="C19450" s="10" t="s">
        <v>231</v>
      </c>
      <c r="D19450" s="10" t="s">
        <v>6215</v>
      </c>
      <c r="E19450" s="14">
        <v>1.1</v>
      </c>
      <c r="F19450" s="15">
        <f>ROUND(14.4,3)</f>
        <v>14.4</v>
      </c>
      <c r="G19450" s="12">
        <f t="shared" ref="G19450:G19457" si="2508">ROUND(E19450*F19450,2)</f>
        <v>15.84</v>
      </c>
    </row>
    <row r="19451" ht="39.75" customHeight="1">
      <c r="A19451" s="10" t="s">
        <v>5190</v>
      </c>
      <c r="B19451" s="10" t="s">
        <v>42</v>
      </c>
      <c r="C19451" s="10" t="s">
        <v>43</v>
      </c>
      <c r="D19451" s="10" t="s">
        <v>5191</v>
      </c>
      <c r="E19451" s="14">
        <v>0.007</v>
      </c>
      <c r="F19451" s="15">
        <f>ROUND(41.28,3)</f>
        <v>41.28</v>
      </c>
      <c r="G19451" s="12">
        <f t="shared" si="2508"/>
        <v>0.29</v>
      </c>
    </row>
    <row r="19452" ht="21.0" customHeight="1">
      <c r="A19452" s="10" t="s">
        <v>969</v>
      </c>
      <c r="B19452" s="10" t="s">
        <v>112</v>
      </c>
      <c r="C19452" s="10" t="s">
        <v>23</v>
      </c>
      <c r="D19452" s="10" t="s">
        <v>970</v>
      </c>
      <c r="E19452" s="14">
        <v>0.1</v>
      </c>
      <c r="F19452" s="15">
        <f>ROUND(2,3)</f>
        <v>2</v>
      </c>
      <c r="G19452" s="12">
        <f t="shared" si="2508"/>
        <v>0.2</v>
      </c>
    </row>
    <row r="19453" ht="21.0" customHeight="1">
      <c r="A19453" s="10" t="s">
        <v>1344</v>
      </c>
      <c r="B19453" s="10" t="s">
        <v>42</v>
      </c>
      <c r="C19453" s="10" t="s">
        <v>231</v>
      </c>
      <c r="D19453" s="10" t="s">
        <v>1345</v>
      </c>
      <c r="E19453" s="14">
        <v>0.2</v>
      </c>
      <c r="F19453" s="15">
        <f>ROUND(5.52,3)</f>
        <v>5.52</v>
      </c>
      <c r="G19453" s="12">
        <f t="shared" si="2508"/>
        <v>1.1</v>
      </c>
    </row>
    <row r="19454" ht="21.0" customHeight="1">
      <c r="A19454" s="10" t="s">
        <v>1046</v>
      </c>
      <c r="B19454" s="10" t="s">
        <v>18</v>
      </c>
      <c r="C19454" s="10" t="s">
        <v>23</v>
      </c>
      <c r="D19454" s="10" t="s">
        <v>1047</v>
      </c>
      <c r="E19454" s="14">
        <v>0.15</v>
      </c>
      <c r="F19454" s="15">
        <f>F19457</f>
        <v>40</v>
      </c>
      <c r="G19454" s="12">
        <f t="shared" si="2508"/>
        <v>6</v>
      </c>
    </row>
    <row r="19455" ht="24.0" customHeight="1">
      <c r="A19455" s="10" t="s">
        <v>25</v>
      </c>
      <c r="B19455" s="10" t="s">
        <v>26</v>
      </c>
      <c r="C19455" s="10" t="s">
        <v>23</v>
      </c>
      <c r="D19455" s="10" t="s">
        <v>27</v>
      </c>
      <c r="E19455" s="14">
        <v>1.0</v>
      </c>
      <c r="F19455" s="15">
        <f>ROUND(21,3)</f>
        <v>21</v>
      </c>
      <c r="G19455" s="12">
        <f t="shared" si="2508"/>
        <v>21</v>
      </c>
    </row>
    <row r="19456" ht="24.0" customHeight="1">
      <c r="A19456" s="10" t="s">
        <v>28</v>
      </c>
      <c r="B19456" s="10" t="s">
        <v>26</v>
      </c>
      <c r="C19456" s="10" t="s">
        <v>23</v>
      </c>
      <c r="D19456" s="10" t="s">
        <v>29</v>
      </c>
      <c r="E19456" s="14">
        <v>1.0</v>
      </c>
      <c r="F19456" s="15">
        <f>ROUND(19,3)</f>
        <v>19</v>
      </c>
      <c r="G19456" s="12">
        <f t="shared" si="2508"/>
        <v>19</v>
      </c>
    </row>
    <row r="19457" ht="15.0" customHeight="1">
      <c r="A19457" s="11"/>
      <c r="B19457" s="11"/>
      <c r="C19457" s="11"/>
      <c r="D19457" s="10" t="s">
        <v>1046</v>
      </c>
      <c r="E19457" s="14">
        <v>0.15</v>
      </c>
      <c r="F19457" s="15">
        <f>ROUND((G19455+G19456),3)</f>
        <v>40</v>
      </c>
      <c r="G19457" s="12">
        <f t="shared" si="2508"/>
        <v>6</v>
      </c>
    </row>
    <row r="19458" ht="15.0" customHeight="1">
      <c r="A19458" s="10" t="s">
        <v>32</v>
      </c>
      <c r="B19458" s="10"/>
      <c r="C19458" s="10" t="s">
        <v>33</v>
      </c>
      <c r="D19458" s="10" t="s">
        <v>34</v>
      </c>
      <c r="E19458" s="14">
        <v>5.0</v>
      </c>
      <c r="F19458" s="15">
        <f>ROUND(6,3)</f>
        <v>6</v>
      </c>
      <c r="G19458" s="12">
        <f>ROUND((E19458*F19458)/100,2)</f>
        <v>0.3</v>
      </c>
    </row>
    <row r="19459" ht="15.0" customHeight="1">
      <c r="A19459" s="16"/>
      <c r="B19459" s="16"/>
      <c r="C19459" s="16"/>
      <c r="D19459" s="17" t="s">
        <v>9209</v>
      </c>
      <c r="E19459" s="16"/>
      <c r="F19459" s="18">
        <f>ROUND((G19450+G19451+G19452+G19453+G19454+G19458)*(1+G2/100),2)</f>
        <v>23.73</v>
      </c>
      <c r="G19459" s="16"/>
    </row>
    <row r="19460" ht="48.75" customHeight="1">
      <c r="A19460" s="19" t="s">
        <v>9212</v>
      </c>
      <c r="B19460" s="20" t="s">
        <v>18</v>
      </c>
      <c r="C19460" s="20" t="s">
        <v>231</v>
      </c>
      <c r="D19460" s="20" t="s">
        <v>9213</v>
      </c>
      <c r="E19460" s="21"/>
      <c r="F19460" s="22">
        <f>F19474</f>
        <v>49.98</v>
      </c>
      <c r="G19460" s="21"/>
    </row>
    <row r="19461" ht="21.0" customHeight="1">
      <c r="A19461" s="11"/>
      <c r="B19461" s="11"/>
      <c r="C19461" s="11"/>
      <c r="D19461" s="10" t="s">
        <v>9214</v>
      </c>
    </row>
    <row r="19462" ht="30.0" customHeight="1">
      <c r="A19462" s="10" t="s">
        <v>7301</v>
      </c>
      <c r="B19462" s="10" t="s">
        <v>42</v>
      </c>
      <c r="C19462" s="10" t="s">
        <v>231</v>
      </c>
      <c r="D19462" s="10" t="s">
        <v>7302</v>
      </c>
      <c r="E19462" s="14">
        <v>1.0</v>
      </c>
      <c r="F19462" s="15">
        <f>ROUND(18,3)</f>
        <v>18</v>
      </c>
      <c r="G19462" s="12">
        <f t="shared" ref="G19462:G19472" si="2509">ROUND(E19462*F19462,2)</f>
        <v>18</v>
      </c>
    </row>
    <row r="19463" ht="39.75" customHeight="1">
      <c r="A19463" s="10" t="s">
        <v>5190</v>
      </c>
      <c r="B19463" s="10" t="s">
        <v>42</v>
      </c>
      <c r="C19463" s="10" t="s">
        <v>43</v>
      </c>
      <c r="D19463" s="10" t="s">
        <v>5191</v>
      </c>
      <c r="E19463" s="14">
        <v>0.006</v>
      </c>
      <c r="F19463" s="15">
        <f>ROUND(41.28,3)</f>
        <v>41.28</v>
      </c>
      <c r="G19463" s="12">
        <f t="shared" si="2509"/>
        <v>0.25</v>
      </c>
    </row>
    <row r="19464" ht="39.75" customHeight="1">
      <c r="A19464" s="10" t="s">
        <v>2453</v>
      </c>
      <c r="B19464" s="10" t="s">
        <v>42</v>
      </c>
      <c r="C19464" s="10" t="s">
        <v>330</v>
      </c>
      <c r="D19464" s="10" t="s">
        <v>2454</v>
      </c>
      <c r="E19464" s="14">
        <v>0.5</v>
      </c>
      <c r="F19464" s="15">
        <f>ROUND(16.67,3)</f>
        <v>16.67</v>
      </c>
      <c r="G19464" s="12">
        <f t="shared" si="2509"/>
        <v>8.34</v>
      </c>
    </row>
    <row r="19465" ht="30.0" customHeight="1">
      <c r="A19465" s="10" t="s">
        <v>1378</v>
      </c>
      <c r="B19465" s="10" t="s">
        <v>42</v>
      </c>
      <c r="C19465" s="10" t="s">
        <v>330</v>
      </c>
      <c r="D19465" s="10" t="s">
        <v>1379</v>
      </c>
      <c r="E19465" s="14">
        <v>0.25</v>
      </c>
      <c r="F19465" s="15">
        <f>ROUND(6.14,3)</f>
        <v>6.14</v>
      </c>
      <c r="G19465" s="12">
        <f t="shared" si="2509"/>
        <v>1.54</v>
      </c>
    </row>
    <row r="19466" ht="30.0" customHeight="1">
      <c r="A19466" s="10" t="s">
        <v>1244</v>
      </c>
      <c r="B19466" s="10" t="s">
        <v>42</v>
      </c>
      <c r="C19466" s="10" t="s">
        <v>1245</v>
      </c>
      <c r="D19466" s="10" t="s">
        <v>1246</v>
      </c>
      <c r="E19466" s="14">
        <v>0.8</v>
      </c>
      <c r="F19466" s="15">
        <f>ROUND(12.31,3)</f>
        <v>12.31</v>
      </c>
      <c r="G19466" s="12">
        <f t="shared" si="2509"/>
        <v>9.85</v>
      </c>
    </row>
    <row r="19467" ht="21.0" customHeight="1">
      <c r="A19467" s="10" t="s">
        <v>969</v>
      </c>
      <c r="B19467" s="10" t="s">
        <v>112</v>
      </c>
      <c r="C19467" s="10" t="s">
        <v>23</v>
      </c>
      <c r="D19467" s="10" t="s">
        <v>970</v>
      </c>
      <c r="E19467" s="14">
        <v>0.1</v>
      </c>
      <c r="F19467" s="15">
        <f>ROUND(2,3)</f>
        <v>2</v>
      </c>
      <c r="G19467" s="12">
        <f t="shared" si="2509"/>
        <v>0.2</v>
      </c>
    </row>
    <row r="19468" ht="21.0" customHeight="1">
      <c r="A19468" s="10" t="s">
        <v>1344</v>
      </c>
      <c r="B19468" s="10" t="s">
        <v>42</v>
      </c>
      <c r="C19468" s="10" t="s">
        <v>231</v>
      </c>
      <c r="D19468" s="10" t="s">
        <v>1345</v>
      </c>
      <c r="E19468" s="14">
        <v>0.2</v>
      </c>
      <c r="F19468" s="15">
        <f>ROUND(5.52,3)</f>
        <v>5.52</v>
      </c>
      <c r="G19468" s="12">
        <f t="shared" si="2509"/>
        <v>1.1</v>
      </c>
    </row>
    <row r="19469" ht="21.0" customHeight="1">
      <c r="A19469" s="10" t="s">
        <v>1046</v>
      </c>
      <c r="B19469" s="10" t="s">
        <v>18</v>
      </c>
      <c r="C19469" s="10" t="s">
        <v>23</v>
      </c>
      <c r="D19469" s="10" t="s">
        <v>1047</v>
      </c>
      <c r="E19469" s="14">
        <v>0.25</v>
      </c>
      <c r="F19469" s="15">
        <f>F19472</f>
        <v>40</v>
      </c>
      <c r="G19469" s="12">
        <f t="shared" si="2509"/>
        <v>10</v>
      </c>
    </row>
    <row r="19470" ht="24.0" customHeight="1">
      <c r="A19470" s="10" t="s">
        <v>25</v>
      </c>
      <c r="B19470" s="10" t="s">
        <v>26</v>
      </c>
      <c r="C19470" s="10" t="s">
        <v>23</v>
      </c>
      <c r="D19470" s="10" t="s">
        <v>27</v>
      </c>
      <c r="E19470" s="14">
        <v>1.0</v>
      </c>
      <c r="F19470" s="15">
        <f>ROUND(21,3)</f>
        <v>21</v>
      </c>
      <c r="G19470" s="12">
        <f t="shared" si="2509"/>
        <v>21</v>
      </c>
    </row>
    <row r="19471" ht="24.0" customHeight="1">
      <c r="A19471" s="10" t="s">
        <v>28</v>
      </c>
      <c r="B19471" s="10" t="s">
        <v>26</v>
      </c>
      <c r="C19471" s="10" t="s">
        <v>23</v>
      </c>
      <c r="D19471" s="10" t="s">
        <v>29</v>
      </c>
      <c r="E19471" s="14">
        <v>1.0</v>
      </c>
      <c r="F19471" s="15">
        <f>ROUND(19,3)</f>
        <v>19</v>
      </c>
      <c r="G19471" s="12">
        <f t="shared" si="2509"/>
        <v>19</v>
      </c>
    </row>
    <row r="19472" ht="15.0" customHeight="1">
      <c r="A19472" s="11"/>
      <c r="B19472" s="11"/>
      <c r="C19472" s="11"/>
      <c r="D19472" s="10" t="s">
        <v>1046</v>
      </c>
      <c r="E19472" s="14">
        <v>0.25</v>
      </c>
      <c r="F19472" s="15">
        <f>ROUND((G19470+G19471),3)</f>
        <v>40</v>
      </c>
      <c r="G19472" s="12">
        <f t="shared" si="2509"/>
        <v>10</v>
      </c>
    </row>
    <row r="19473" ht="15.0" customHeight="1">
      <c r="A19473" s="10" t="s">
        <v>32</v>
      </c>
      <c r="B19473" s="10"/>
      <c r="C19473" s="10" t="s">
        <v>33</v>
      </c>
      <c r="D19473" s="10" t="s">
        <v>34</v>
      </c>
      <c r="E19473" s="14">
        <v>7.0</v>
      </c>
      <c r="F19473" s="15">
        <f>ROUND(10,3)</f>
        <v>10</v>
      </c>
      <c r="G19473" s="12">
        <f>ROUND((E19473*F19473)/100,2)</f>
        <v>0.7</v>
      </c>
    </row>
    <row r="19474" ht="15.0" customHeight="1">
      <c r="A19474" s="16"/>
      <c r="B19474" s="16"/>
      <c r="C19474" s="16"/>
      <c r="D19474" s="17" t="s">
        <v>9212</v>
      </c>
      <c r="E19474" s="16"/>
      <c r="F19474" s="18">
        <f>ROUND((G19462+G19463+G19464+G19465+G19466+G19467+G19468+G19469+G19473)*(1+G2/100),2)</f>
        <v>49.98</v>
      </c>
      <c r="G19474" s="16"/>
    </row>
    <row r="19475" ht="30.0" customHeight="1">
      <c r="A19475" s="19" t="s">
        <v>9215</v>
      </c>
      <c r="B19475" s="20" t="s">
        <v>18</v>
      </c>
      <c r="C19475" s="20" t="s">
        <v>255</v>
      </c>
      <c r="D19475" s="20" t="s">
        <v>9216</v>
      </c>
      <c r="E19475" s="21"/>
      <c r="F19475" s="22">
        <f>F19485</f>
        <v>7.24</v>
      </c>
      <c r="G19475" s="21"/>
    </row>
    <row r="19476" ht="21.0" customHeight="1">
      <c r="A19476" s="11"/>
      <c r="B19476" s="11"/>
      <c r="C19476" s="11"/>
      <c r="D19476" s="10" t="s">
        <v>4735</v>
      </c>
    </row>
    <row r="19477" ht="30.0" customHeight="1">
      <c r="A19477" s="10" t="s">
        <v>6771</v>
      </c>
      <c r="B19477" s="10" t="s">
        <v>42</v>
      </c>
      <c r="C19477" s="10" t="s">
        <v>344</v>
      </c>
      <c r="D19477" s="10" t="s">
        <v>6772</v>
      </c>
      <c r="E19477" s="14">
        <v>0.2</v>
      </c>
      <c r="F19477" s="15">
        <f>ROUND(3.08,3)</f>
        <v>3.08</v>
      </c>
      <c r="G19477" s="12">
        <f t="shared" ref="G19477:G19483" si="2510">ROUND(E19477*F19477,2)</f>
        <v>0.62</v>
      </c>
    </row>
    <row r="19478" ht="21.0" customHeight="1">
      <c r="A19478" s="10" t="s">
        <v>969</v>
      </c>
      <c r="B19478" s="10" t="s">
        <v>112</v>
      </c>
      <c r="C19478" s="10" t="s">
        <v>23</v>
      </c>
      <c r="D19478" s="10" t="s">
        <v>970</v>
      </c>
      <c r="E19478" s="14">
        <v>0.1</v>
      </c>
      <c r="F19478" s="15">
        <f>ROUND(2,3)</f>
        <v>2</v>
      </c>
      <c r="G19478" s="12">
        <f t="shared" si="2510"/>
        <v>0.2</v>
      </c>
    </row>
    <row r="19479" ht="30.0" customHeight="1">
      <c r="A19479" s="10" t="s">
        <v>971</v>
      </c>
      <c r="B19479" s="10" t="s">
        <v>42</v>
      </c>
      <c r="C19479" s="10" t="s">
        <v>231</v>
      </c>
      <c r="D19479" s="10" t="s">
        <v>972</v>
      </c>
      <c r="E19479" s="14">
        <v>0.025</v>
      </c>
      <c r="F19479" s="15">
        <f>ROUND(4.92,3)</f>
        <v>4.92</v>
      </c>
      <c r="G19479" s="12">
        <f t="shared" si="2510"/>
        <v>0.12</v>
      </c>
    </row>
    <row r="19480" ht="21.0" customHeight="1">
      <c r="A19480" s="10" t="s">
        <v>1046</v>
      </c>
      <c r="B19480" s="10" t="s">
        <v>18</v>
      </c>
      <c r="C19480" s="10" t="s">
        <v>23</v>
      </c>
      <c r="D19480" s="10" t="s">
        <v>1047</v>
      </c>
      <c r="E19480" s="14">
        <v>0.15</v>
      </c>
      <c r="F19480" s="15">
        <f>F19483</f>
        <v>40</v>
      </c>
      <c r="G19480" s="12">
        <f t="shared" si="2510"/>
        <v>6</v>
      </c>
    </row>
    <row r="19481" ht="24.0" customHeight="1">
      <c r="A19481" s="10" t="s">
        <v>25</v>
      </c>
      <c r="B19481" s="10" t="s">
        <v>26</v>
      </c>
      <c r="C19481" s="10" t="s">
        <v>23</v>
      </c>
      <c r="D19481" s="10" t="s">
        <v>27</v>
      </c>
      <c r="E19481" s="14">
        <v>1.0</v>
      </c>
      <c r="F19481" s="15">
        <f>ROUND(21,3)</f>
        <v>21</v>
      </c>
      <c r="G19481" s="12">
        <f t="shared" si="2510"/>
        <v>21</v>
      </c>
    </row>
    <row r="19482" ht="24.0" customHeight="1">
      <c r="A19482" s="10" t="s">
        <v>28</v>
      </c>
      <c r="B19482" s="10" t="s">
        <v>26</v>
      </c>
      <c r="C19482" s="10" t="s">
        <v>23</v>
      </c>
      <c r="D19482" s="10" t="s">
        <v>29</v>
      </c>
      <c r="E19482" s="14">
        <v>1.0</v>
      </c>
      <c r="F19482" s="15">
        <f>ROUND(19,3)</f>
        <v>19</v>
      </c>
      <c r="G19482" s="12">
        <f t="shared" si="2510"/>
        <v>19</v>
      </c>
    </row>
    <row r="19483" ht="15.0" customHeight="1">
      <c r="A19483" s="11"/>
      <c r="B19483" s="11"/>
      <c r="C19483" s="11"/>
      <c r="D19483" s="10" t="s">
        <v>1046</v>
      </c>
      <c r="E19483" s="14">
        <v>0.15</v>
      </c>
      <c r="F19483" s="15">
        <f>ROUND((G19481+G19482),3)</f>
        <v>40</v>
      </c>
      <c r="G19483" s="12">
        <f t="shared" si="2510"/>
        <v>6</v>
      </c>
    </row>
    <row r="19484" ht="15.0" customHeight="1">
      <c r="A19484" s="10" t="s">
        <v>32</v>
      </c>
      <c r="B19484" s="10"/>
      <c r="C19484" s="10" t="s">
        <v>33</v>
      </c>
      <c r="D19484" s="10" t="s">
        <v>34</v>
      </c>
      <c r="E19484" s="14">
        <v>5.0</v>
      </c>
      <c r="F19484" s="15">
        <f>ROUND(6,3)</f>
        <v>6</v>
      </c>
      <c r="G19484" s="12">
        <f>ROUND((E19484*F19484)/100,2)</f>
        <v>0.3</v>
      </c>
    </row>
    <row r="19485" ht="15.0" customHeight="1">
      <c r="A19485" s="16"/>
      <c r="B19485" s="16"/>
      <c r="C19485" s="16"/>
      <c r="D19485" s="17" t="s">
        <v>9215</v>
      </c>
      <c r="E19485" s="16"/>
      <c r="F19485" s="18">
        <f>ROUND((G19477+G19478+G19479+G19480+G19484)*(1+G2/100),2)</f>
        <v>7.24</v>
      </c>
      <c r="G19485" s="16"/>
    </row>
    <row r="19486" ht="30.0" customHeight="1">
      <c r="A19486" s="19" t="s">
        <v>9217</v>
      </c>
      <c r="B19486" s="20" t="s">
        <v>18</v>
      </c>
      <c r="C19486" s="20" t="s">
        <v>231</v>
      </c>
      <c r="D19486" s="20" t="s">
        <v>9218</v>
      </c>
      <c r="E19486" s="21"/>
      <c r="F19486" s="22">
        <f>F19495</f>
        <v>227.6</v>
      </c>
      <c r="G19486" s="21"/>
    </row>
    <row r="19487" ht="12.0" customHeight="1">
      <c r="A19487" s="11"/>
      <c r="B19487" s="11"/>
      <c r="C19487" s="11"/>
      <c r="D19487" s="10" t="s">
        <v>9218</v>
      </c>
    </row>
    <row r="19488" ht="15.0" customHeight="1">
      <c r="A19488" s="10" t="s">
        <v>512</v>
      </c>
      <c r="B19488" s="10" t="s">
        <v>42</v>
      </c>
      <c r="C19488" s="10" t="s">
        <v>222</v>
      </c>
      <c r="D19488" s="10" t="s">
        <v>513</v>
      </c>
      <c r="E19488" s="14">
        <v>0.5</v>
      </c>
      <c r="F19488" s="15">
        <f t="shared" ref="F19488:F19489" si="2511">ROUND(140,3)</f>
        <v>140</v>
      </c>
      <c r="G19488" s="12">
        <f t="shared" ref="G19488:G19494" si="2512">ROUND(E19488*F19488,2)</f>
        <v>70</v>
      </c>
    </row>
    <row r="19489" ht="15.0" customHeight="1">
      <c r="A19489" s="10" t="s">
        <v>514</v>
      </c>
      <c r="B19489" s="10" t="s">
        <v>42</v>
      </c>
      <c r="C19489" s="10" t="s">
        <v>222</v>
      </c>
      <c r="D19489" s="10" t="s">
        <v>515</v>
      </c>
      <c r="E19489" s="14">
        <v>0.5</v>
      </c>
      <c r="F19489" s="15">
        <f t="shared" si="2511"/>
        <v>140</v>
      </c>
      <c r="G19489" s="12">
        <f t="shared" si="2512"/>
        <v>70</v>
      </c>
    </row>
    <row r="19490" ht="21.0" customHeight="1">
      <c r="A19490" s="10" t="s">
        <v>22</v>
      </c>
      <c r="B19490" s="10" t="s">
        <v>18</v>
      </c>
      <c r="C19490" s="10" t="s">
        <v>23</v>
      </c>
      <c r="D19490" s="10" t="s">
        <v>24</v>
      </c>
      <c r="E19490" s="14">
        <v>2.0</v>
      </c>
      <c r="F19490" s="15">
        <f>F19494</f>
        <v>43.8</v>
      </c>
      <c r="G19490" s="12">
        <f t="shared" si="2512"/>
        <v>87.6</v>
      </c>
    </row>
    <row r="19491" ht="24.0" customHeight="1">
      <c r="A19491" s="10" t="s">
        <v>25</v>
      </c>
      <c r="B19491" s="10" t="s">
        <v>26</v>
      </c>
      <c r="C19491" s="10" t="s">
        <v>23</v>
      </c>
      <c r="D19491" s="10" t="s">
        <v>27</v>
      </c>
      <c r="E19491" s="14">
        <v>1.0</v>
      </c>
      <c r="F19491" s="15">
        <f>ROUND(21,3)</f>
        <v>21</v>
      </c>
      <c r="G19491" s="12">
        <f t="shared" si="2512"/>
        <v>21</v>
      </c>
    </row>
    <row r="19492" ht="24.0" customHeight="1">
      <c r="A19492" s="10" t="s">
        <v>28</v>
      </c>
      <c r="B19492" s="10" t="s">
        <v>26</v>
      </c>
      <c r="C19492" s="10" t="s">
        <v>23</v>
      </c>
      <c r="D19492" s="10" t="s">
        <v>29</v>
      </c>
      <c r="E19492" s="14">
        <v>1.0</v>
      </c>
      <c r="F19492" s="15">
        <f t="shared" ref="F19492:F19493" si="2513">ROUND(19,3)</f>
        <v>19</v>
      </c>
      <c r="G19492" s="12">
        <f t="shared" si="2512"/>
        <v>19</v>
      </c>
    </row>
    <row r="19493" ht="24.0" customHeight="1">
      <c r="A19493" s="10" t="s">
        <v>30</v>
      </c>
      <c r="B19493" s="10" t="s">
        <v>26</v>
      </c>
      <c r="C19493" s="10" t="s">
        <v>23</v>
      </c>
      <c r="D19493" s="10" t="s">
        <v>31</v>
      </c>
      <c r="E19493" s="14">
        <v>0.2</v>
      </c>
      <c r="F19493" s="15">
        <f t="shared" si="2513"/>
        <v>19</v>
      </c>
      <c r="G19493" s="12">
        <f t="shared" si="2512"/>
        <v>3.8</v>
      </c>
    </row>
    <row r="19494" ht="15.0" customHeight="1">
      <c r="A19494" s="11"/>
      <c r="B19494" s="11"/>
      <c r="C19494" s="11"/>
      <c r="D19494" s="10" t="s">
        <v>22</v>
      </c>
      <c r="E19494" s="14">
        <v>2.0</v>
      </c>
      <c r="F19494" s="15">
        <f>ROUND((G19491+G19492+G19493),3)</f>
        <v>43.8</v>
      </c>
      <c r="G19494" s="12">
        <f t="shared" si="2512"/>
        <v>87.6</v>
      </c>
    </row>
    <row r="19495" ht="15.0" customHeight="1">
      <c r="A19495" s="16"/>
      <c r="B19495" s="16"/>
      <c r="C19495" s="16"/>
      <c r="D19495" s="17" t="s">
        <v>9217</v>
      </c>
      <c r="E19495" s="16"/>
      <c r="F19495" s="18">
        <f>ROUND((G19488+G19489+G19490)*(1+G2/100),2)</f>
        <v>227.6</v>
      </c>
      <c r="G19495" s="16"/>
    </row>
    <row r="19496" ht="34.5" customHeight="1">
      <c r="A19496" s="19" t="s">
        <v>9219</v>
      </c>
      <c r="B19496" s="20" t="s">
        <v>18</v>
      </c>
      <c r="C19496" s="20" t="s">
        <v>1357</v>
      </c>
      <c r="D19496" s="20" t="s">
        <v>9220</v>
      </c>
      <c r="E19496" s="21"/>
      <c r="F19496" s="22">
        <f>F19514</f>
        <v>57.66</v>
      </c>
      <c r="G19496" s="21"/>
    </row>
    <row r="19497" ht="243.0" customHeight="1">
      <c r="A19497" s="11"/>
      <c r="B19497" s="11"/>
      <c r="C19497" s="11"/>
      <c r="D19497" s="10" t="s">
        <v>9221</v>
      </c>
    </row>
    <row r="19498" ht="30.0" customHeight="1">
      <c r="A19498" s="10" t="s">
        <v>9222</v>
      </c>
      <c r="B19498" s="10" t="s">
        <v>42</v>
      </c>
      <c r="C19498" s="10" t="s">
        <v>351</v>
      </c>
      <c r="D19498" s="10" t="s">
        <v>9223</v>
      </c>
      <c r="E19498" s="14">
        <v>0.95</v>
      </c>
      <c r="F19498" s="15">
        <f>ROUND(1.22,3)</f>
        <v>1.22</v>
      </c>
      <c r="G19498" s="12">
        <f t="shared" ref="G19498:G19512" si="2514">ROUND(E19498*F19498,2)</f>
        <v>1.16</v>
      </c>
    </row>
    <row r="19499" ht="39.75" customHeight="1">
      <c r="A19499" s="10" t="s">
        <v>9224</v>
      </c>
      <c r="B19499" s="10" t="s">
        <v>42</v>
      </c>
      <c r="C19499" s="10" t="s">
        <v>351</v>
      </c>
      <c r="D19499" s="10" t="s">
        <v>9225</v>
      </c>
      <c r="E19499" s="14">
        <v>3.5</v>
      </c>
      <c r="F19499" s="15">
        <f>ROUND(1.45,3)</f>
        <v>1.45</v>
      </c>
      <c r="G19499" s="12">
        <f t="shared" si="2514"/>
        <v>5.08</v>
      </c>
    </row>
    <row r="19500" ht="57.75" customHeight="1">
      <c r="A19500" s="10" t="s">
        <v>9226</v>
      </c>
      <c r="B19500" s="10" t="s">
        <v>42</v>
      </c>
      <c r="C19500" s="10" t="s">
        <v>351</v>
      </c>
      <c r="D19500" s="10" t="s">
        <v>9227</v>
      </c>
      <c r="E19500" s="14">
        <v>1.72</v>
      </c>
      <c r="F19500" s="15">
        <f>ROUND(0.22,3)</f>
        <v>0.22</v>
      </c>
      <c r="G19500" s="12">
        <f t="shared" si="2514"/>
        <v>0.38</v>
      </c>
    </row>
    <row r="19501" ht="57.75" customHeight="1">
      <c r="A19501" s="10" t="s">
        <v>9228</v>
      </c>
      <c r="B19501" s="10" t="s">
        <v>42</v>
      </c>
      <c r="C19501" s="10" t="s">
        <v>1357</v>
      </c>
      <c r="D19501" s="10" t="s">
        <v>9229</v>
      </c>
      <c r="E19501" s="14">
        <v>2.1</v>
      </c>
      <c r="F19501" s="15">
        <f>ROUND(12.5,3)</f>
        <v>12.5</v>
      </c>
      <c r="G19501" s="12">
        <f t="shared" si="2514"/>
        <v>26.25</v>
      </c>
    </row>
    <row r="19502" ht="48.75" customHeight="1">
      <c r="A19502" s="10" t="s">
        <v>9230</v>
      </c>
      <c r="B19502" s="10" t="s">
        <v>42</v>
      </c>
      <c r="C19502" s="10" t="s">
        <v>5</v>
      </c>
      <c r="D19502" s="10" t="s">
        <v>9231</v>
      </c>
      <c r="E19502" s="14">
        <v>3.0</v>
      </c>
      <c r="F19502" s="15">
        <f t="shared" ref="F19502:F19504" si="2515">ROUND(0.01,3)</f>
        <v>0.01</v>
      </c>
      <c r="G19502" s="12">
        <f t="shared" si="2514"/>
        <v>0.03</v>
      </c>
    </row>
    <row r="19503" ht="67.5" customHeight="1">
      <c r="A19503" s="10" t="s">
        <v>9232</v>
      </c>
      <c r="B19503" s="10" t="s">
        <v>42</v>
      </c>
      <c r="C19503" s="10" t="s">
        <v>5</v>
      </c>
      <c r="D19503" s="10" t="s">
        <v>9233</v>
      </c>
      <c r="E19503" s="14">
        <v>11.0</v>
      </c>
      <c r="F19503" s="15">
        <f t="shared" si="2515"/>
        <v>0.01</v>
      </c>
      <c r="G19503" s="12">
        <f t="shared" si="2514"/>
        <v>0.11</v>
      </c>
    </row>
    <row r="19504" ht="67.5" customHeight="1">
      <c r="A19504" s="10" t="s">
        <v>9234</v>
      </c>
      <c r="B19504" s="10" t="s">
        <v>42</v>
      </c>
      <c r="C19504" s="10" t="s">
        <v>5</v>
      </c>
      <c r="D19504" s="10" t="s">
        <v>9235</v>
      </c>
      <c r="E19504" s="14">
        <v>21.0</v>
      </c>
      <c r="F19504" s="15">
        <f t="shared" si="2515"/>
        <v>0.01</v>
      </c>
      <c r="G19504" s="12">
        <f t="shared" si="2514"/>
        <v>0.21</v>
      </c>
    </row>
    <row r="19505" ht="76.5" customHeight="1">
      <c r="A19505" s="10" t="s">
        <v>9236</v>
      </c>
      <c r="B19505" s="10" t="s">
        <v>42</v>
      </c>
      <c r="C19505" s="10" t="s">
        <v>1207</v>
      </c>
      <c r="D19505" s="10" t="s">
        <v>9237</v>
      </c>
      <c r="E19505" s="14">
        <v>0.792</v>
      </c>
      <c r="F19505" s="15">
        <f>ROUND(0.89,3)</f>
        <v>0.89</v>
      </c>
      <c r="G19505" s="12">
        <f t="shared" si="2514"/>
        <v>0.7</v>
      </c>
    </row>
    <row r="19506" ht="39.75" customHeight="1">
      <c r="A19506" s="10" t="s">
        <v>9238</v>
      </c>
      <c r="B19506" s="10" t="s">
        <v>42</v>
      </c>
      <c r="C19506" s="10" t="s">
        <v>351</v>
      </c>
      <c r="D19506" s="10" t="s">
        <v>9239</v>
      </c>
      <c r="E19506" s="14">
        <v>2.6</v>
      </c>
      <c r="F19506" s="15">
        <f>ROUND(0.04,3)</f>
        <v>0.04</v>
      </c>
      <c r="G19506" s="12">
        <f t="shared" si="2514"/>
        <v>0.1</v>
      </c>
    </row>
    <row r="19507" ht="39.75" customHeight="1">
      <c r="A19507" s="10" t="s">
        <v>9240</v>
      </c>
      <c r="B19507" s="10" t="s">
        <v>42</v>
      </c>
      <c r="C19507" s="10" t="s">
        <v>351</v>
      </c>
      <c r="D19507" s="10" t="s">
        <v>9241</v>
      </c>
      <c r="E19507" s="14">
        <v>0.15</v>
      </c>
      <c r="F19507" s="15">
        <f>ROUND(0.38,3)</f>
        <v>0.38</v>
      </c>
      <c r="G19507" s="12">
        <f t="shared" si="2514"/>
        <v>0.06</v>
      </c>
    </row>
    <row r="19508" ht="21.0" customHeight="1">
      <c r="A19508" s="10" t="s">
        <v>1416</v>
      </c>
      <c r="B19508" s="10" t="s">
        <v>18</v>
      </c>
      <c r="C19508" s="10" t="s">
        <v>23</v>
      </c>
      <c r="D19508" s="10" t="s">
        <v>1417</v>
      </c>
      <c r="E19508" s="14">
        <v>0.5</v>
      </c>
      <c r="F19508" s="15">
        <f>F19512</f>
        <v>43.8</v>
      </c>
      <c r="G19508" s="12">
        <f t="shared" si="2514"/>
        <v>21.9</v>
      </c>
    </row>
    <row r="19509" ht="24.0" customHeight="1">
      <c r="A19509" s="10" t="s">
        <v>1418</v>
      </c>
      <c r="B19509" s="10" t="s">
        <v>26</v>
      </c>
      <c r="C19509" s="10" t="s">
        <v>23</v>
      </c>
      <c r="D19509" s="10" t="s">
        <v>1419</v>
      </c>
      <c r="E19509" s="14">
        <v>1.0</v>
      </c>
      <c r="F19509" s="15">
        <f>ROUND(21,3)</f>
        <v>21</v>
      </c>
      <c r="G19509" s="12">
        <f t="shared" si="2514"/>
        <v>21</v>
      </c>
    </row>
    <row r="19510" ht="24.0" customHeight="1">
      <c r="A19510" s="10" t="s">
        <v>1420</v>
      </c>
      <c r="B19510" s="10" t="s">
        <v>26</v>
      </c>
      <c r="C19510" s="10" t="s">
        <v>23</v>
      </c>
      <c r="D19510" s="10" t="s">
        <v>1421</v>
      </c>
      <c r="E19510" s="14">
        <v>1.0</v>
      </c>
      <c r="F19510" s="15">
        <f t="shared" ref="F19510:F19511" si="2516">ROUND(19,3)</f>
        <v>19</v>
      </c>
      <c r="G19510" s="12">
        <f t="shared" si="2514"/>
        <v>19</v>
      </c>
    </row>
    <row r="19511" ht="24.0" customHeight="1">
      <c r="A19511" s="10" t="s">
        <v>30</v>
      </c>
      <c r="B19511" s="10" t="s">
        <v>26</v>
      </c>
      <c r="C19511" s="10" t="s">
        <v>23</v>
      </c>
      <c r="D19511" s="10" t="s">
        <v>31</v>
      </c>
      <c r="E19511" s="14">
        <v>0.2</v>
      </c>
      <c r="F19511" s="15">
        <f t="shared" si="2516"/>
        <v>19</v>
      </c>
      <c r="G19511" s="12">
        <f t="shared" si="2514"/>
        <v>3.8</v>
      </c>
    </row>
    <row r="19512" ht="15.0" customHeight="1">
      <c r="A19512" s="11"/>
      <c r="B19512" s="11"/>
      <c r="C19512" s="11"/>
      <c r="D19512" s="10" t="s">
        <v>1416</v>
      </c>
      <c r="E19512" s="14">
        <v>0.5</v>
      </c>
      <c r="F19512" s="15">
        <f>ROUND((G19509+G19510+G19511),3)</f>
        <v>43.8</v>
      </c>
      <c r="G19512" s="12">
        <f t="shared" si="2514"/>
        <v>21.9</v>
      </c>
    </row>
    <row r="19513" ht="15.0" customHeight="1">
      <c r="A19513" s="10" t="s">
        <v>33</v>
      </c>
      <c r="B19513" s="10"/>
      <c r="C19513" s="10" t="s">
        <v>33</v>
      </c>
      <c r="D19513" s="10" t="s">
        <v>424</v>
      </c>
      <c r="E19513" s="14">
        <v>3.0</v>
      </c>
      <c r="F19513" s="15">
        <f>ROUND(55.98,3)</f>
        <v>55.98</v>
      </c>
      <c r="G19513" s="12">
        <f>ROUND((E19513*F19513)/100,2)</f>
        <v>1.68</v>
      </c>
    </row>
    <row r="19514" ht="24.75" customHeight="1">
      <c r="A19514" s="16"/>
      <c r="B19514" s="16"/>
      <c r="C19514" s="16"/>
      <c r="D19514" s="17" t="s">
        <v>9219</v>
      </c>
      <c r="E19514" s="16"/>
      <c r="F19514" s="18">
        <f>ROUND((G19498+G19499+G19500+G19501+G19502+G19503+G19504+G19505+G19506+G19507+G19508+G19513)*(1+G2/100),2)</f>
        <v>57.66</v>
      </c>
      <c r="G19514" s="16"/>
    </row>
    <row r="19515" ht="39.75" customHeight="1">
      <c r="A19515" s="19" t="s">
        <v>9242</v>
      </c>
      <c r="B19515" s="20" t="s">
        <v>18</v>
      </c>
      <c r="C19515" s="20" t="s">
        <v>351</v>
      </c>
      <c r="D19515" s="20" t="s">
        <v>9243</v>
      </c>
      <c r="E19515" s="21"/>
      <c r="F19515" s="22">
        <f>F19526</f>
        <v>59.44</v>
      </c>
      <c r="G19515" s="21"/>
    </row>
    <row r="19516" ht="21.0" customHeight="1">
      <c r="A19516" s="11"/>
      <c r="B19516" s="11"/>
      <c r="C19516" s="11"/>
      <c r="D19516" s="10" t="s">
        <v>9244</v>
      </c>
    </row>
    <row r="19517" ht="30.0" customHeight="1">
      <c r="A19517" s="10" t="s">
        <v>7380</v>
      </c>
      <c r="B19517" s="10" t="s">
        <v>42</v>
      </c>
      <c r="C19517" s="10" t="s">
        <v>351</v>
      </c>
      <c r="D19517" s="10" t="s">
        <v>7381</v>
      </c>
      <c r="E19517" s="14">
        <v>1.1</v>
      </c>
      <c r="F19517" s="15">
        <f>ROUND(37.14,3)</f>
        <v>37.14</v>
      </c>
      <c r="G19517" s="12">
        <f t="shared" ref="G19517:G19524" si="2517">ROUND(E19517*F19517,2)</f>
        <v>40.85</v>
      </c>
    </row>
    <row r="19518" ht="30.0" customHeight="1">
      <c r="A19518" s="10" t="s">
        <v>1759</v>
      </c>
      <c r="B19518" s="10" t="s">
        <v>42</v>
      </c>
      <c r="C19518" s="10" t="s">
        <v>325</v>
      </c>
      <c r="D19518" s="10" t="s">
        <v>1760</v>
      </c>
      <c r="E19518" s="14">
        <v>0.06</v>
      </c>
      <c r="F19518" s="15">
        <f>ROUND(82.11,3)</f>
        <v>82.11</v>
      </c>
      <c r="G19518" s="12">
        <f t="shared" si="2517"/>
        <v>4.93</v>
      </c>
    </row>
    <row r="19519" ht="30.0" customHeight="1">
      <c r="A19519" s="10" t="s">
        <v>1862</v>
      </c>
      <c r="B19519" s="10" t="s">
        <v>42</v>
      </c>
      <c r="C19519" s="10" t="s">
        <v>1245</v>
      </c>
      <c r="D19519" s="10" t="s">
        <v>1863</v>
      </c>
      <c r="E19519" s="14">
        <v>0.125</v>
      </c>
      <c r="F19519" s="15">
        <f>ROUND(6.32,3)</f>
        <v>6.32</v>
      </c>
      <c r="G19519" s="12">
        <f t="shared" si="2517"/>
        <v>0.79</v>
      </c>
    </row>
    <row r="19520" ht="21.0" customHeight="1">
      <c r="A19520" s="10" t="s">
        <v>22</v>
      </c>
      <c r="B19520" s="10" t="s">
        <v>18</v>
      </c>
      <c r="C19520" s="10" t="s">
        <v>23</v>
      </c>
      <c r="D19520" s="10" t="s">
        <v>24</v>
      </c>
      <c r="E19520" s="14">
        <v>0.28</v>
      </c>
      <c r="F19520" s="15">
        <f>F19524</f>
        <v>43.8</v>
      </c>
      <c r="G19520" s="12">
        <f t="shared" si="2517"/>
        <v>12.26</v>
      </c>
    </row>
    <row r="19521" ht="24.0" customHeight="1">
      <c r="A19521" s="10" t="s">
        <v>25</v>
      </c>
      <c r="B19521" s="10" t="s">
        <v>26</v>
      </c>
      <c r="C19521" s="10" t="s">
        <v>23</v>
      </c>
      <c r="D19521" s="10" t="s">
        <v>27</v>
      </c>
      <c r="E19521" s="14">
        <v>1.0</v>
      </c>
      <c r="F19521" s="15">
        <f>ROUND(21,3)</f>
        <v>21</v>
      </c>
      <c r="G19521" s="12">
        <f t="shared" si="2517"/>
        <v>21</v>
      </c>
    </row>
    <row r="19522" ht="24.0" customHeight="1">
      <c r="A19522" s="10" t="s">
        <v>28</v>
      </c>
      <c r="B19522" s="10" t="s">
        <v>26</v>
      </c>
      <c r="C19522" s="10" t="s">
        <v>23</v>
      </c>
      <c r="D19522" s="10" t="s">
        <v>29</v>
      </c>
      <c r="E19522" s="14">
        <v>1.0</v>
      </c>
      <c r="F19522" s="15">
        <f t="shared" ref="F19522:F19523" si="2518">ROUND(19,3)</f>
        <v>19</v>
      </c>
      <c r="G19522" s="12">
        <f t="shared" si="2517"/>
        <v>19</v>
      </c>
    </row>
    <row r="19523" ht="24.0" customHeight="1">
      <c r="A19523" s="10" t="s">
        <v>30</v>
      </c>
      <c r="B19523" s="10" t="s">
        <v>26</v>
      </c>
      <c r="C19523" s="10" t="s">
        <v>23</v>
      </c>
      <c r="D19523" s="10" t="s">
        <v>31</v>
      </c>
      <c r="E19523" s="14">
        <v>0.2</v>
      </c>
      <c r="F19523" s="15">
        <f t="shared" si="2518"/>
        <v>19</v>
      </c>
      <c r="G19523" s="12">
        <f t="shared" si="2517"/>
        <v>3.8</v>
      </c>
    </row>
    <row r="19524" ht="15.0" customHeight="1">
      <c r="A19524" s="11"/>
      <c r="B19524" s="11"/>
      <c r="C19524" s="11"/>
      <c r="D19524" s="10" t="s">
        <v>22</v>
      </c>
      <c r="E19524" s="14">
        <v>0.28</v>
      </c>
      <c r="F19524" s="15">
        <f>ROUND((G19521+G19522+G19523),3)</f>
        <v>43.8</v>
      </c>
      <c r="G19524" s="12">
        <f t="shared" si="2517"/>
        <v>12.26</v>
      </c>
    </row>
    <row r="19525" ht="15.0" customHeight="1">
      <c r="A19525" s="10" t="s">
        <v>32</v>
      </c>
      <c r="B19525" s="10"/>
      <c r="C19525" s="10" t="s">
        <v>33</v>
      </c>
      <c r="D19525" s="10" t="s">
        <v>34</v>
      </c>
      <c r="E19525" s="14">
        <v>5.0</v>
      </c>
      <c r="F19525" s="15">
        <f>ROUND(12.26,3)</f>
        <v>12.26</v>
      </c>
      <c r="G19525" s="12">
        <f>ROUND((E19525*F19525)/100,2)</f>
        <v>0.61</v>
      </c>
    </row>
    <row r="19526" ht="15.0" customHeight="1">
      <c r="A19526" s="16"/>
      <c r="B19526" s="16"/>
      <c r="C19526" s="16"/>
      <c r="D19526" s="17" t="s">
        <v>9242</v>
      </c>
      <c r="E19526" s="16"/>
      <c r="F19526" s="18">
        <f>ROUND((G19517+G19518+G19519+G19520+G19525)*(1+G2/100),2)</f>
        <v>59.44</v>
      </c>
      <c r="G19526" s="16"/>
    </row>
    <row r="19527" ht="24.75" customHeight="1">
      <c r="A19527" s="19" t="s">
        <v>9245</v>
      </c>
      <c r="B19527" s="20" t="s">
        <v>18</v>
      </c>
      <c r="C19527" s="20" t="s">
        <v>351</v>
      </c>
      <c r="D19527" s="20" t="s">
        <v>9246</v>
      </c>
      <c r="E19527" s="21"/>
      <c r="F19527" s="22">
        <f>F19537</f>
        <v>5.72</v>
      </c>
      <c r="G19527" s="21"/>
    </row>
    <row r="19528" ht="85.5" customHeight="1">
      <c r="A19528" s="11"/>
      <c r="B19528" s="11"/>
      <c r="C19528" s="11"/>
      <c r="D19528" s="10" t="s">
        <v>9247</v>
      </c>
    </row>
    <row r="19529" ht="30.0" customHeight="1">
      <c r="A19529" s="10" t="s">
        <v>9248</v>
      </c>
      <c r="B19529" s="10" t="s">
        <v>42</v>
      </c>
      <c r="C19529" s="10" t="s">
        <v>351</v>
      </c>
      <c r="D19529" s="10" t="s">
        <v>9249</v>
      </c>
      <c r="E19529" s="14">
        <v>0.0</v>
      </c>
      <c r="F19529" s="15">
        <f>ROUND(5.15,3)</f>
        <v>5.15</v>
      </c>
      <c r="G19529" s="12">
        <f t="shared" ref="G19529:G19535" si="2519">ROUND(E19529*F19529,2)</f>
        <v>0</v>
      </c>
    </row>
    <row r="19530" ht="21.0" customHeight="1">
      <c r="A19530" s="10" t="s">
        <v>9250</v>
      </c>
      <c r="B19530" s="10" t="s">
        <v>42</v>
      </c>
      <c r="C19530" s="10" t="s">
        <v>521</v>
      </c>
      <c r="D19530" s="10" t="s">
        <v>4866</v>
      </c>
      <c r="E19530" s="14">
        <v>0.05</v>
      </c>
      <c r="F19530" s="15">
        <f>ROUND(7,3)</f>
        <v>7</v>
      </c>
      <c r="G19530" s="12">
        <f t="shared" si="2519"/>
        <v>0.35</v>
      </c>
    </row>
    <row r="19531" ht="21.0" customHeight="1">
      <c r="A19531" s="10" t="s">
        <v>22</v>
      </c>
      <c r="B19531" s="10" t="s">
        <v>18</v>
      </c>
      <c r="C19531" s="10" t="s">
        <v>23</v>
      </c>
      <c r="D19531" s="10" t="s">
        <v>24</v>
      </c>
      <c r="E19531" s="14">
        <v>0.12</v>
      </c>
      <c r="F19531" s="15">
        <f>F19535</f>
        <v>43.8</v>
      </c>
      <c r="G19531" s="12">
        <f t="shared" si="2519"/>
        <v>5.26</v>
      </c>
    </row>
    <row r="19532" ht="24.0" customHeight="1">
      <c r="A19532" s="10" t="s">
        <v>25</v>
      </c>
      <c r="B19532" s="10" t="s">
        <v>26</v>
      </c>
      <c r="C19532" s="10" t="s">
        <v>23</v>
      </c>
      <c r="D19532" s="10" t="s">
        <v>27</v>
      </c>
      <c r="E19532" s="14">
        <v>1.0</v>
      </c>
      <c r="F19532" s="15">
        <f>ROUND(21,3)</f>
        <v>21</v>
      </c>
      <c r="G19532" s="12">
        <f t="shared" si="2519"/>
        <v>21</v>
      </c>
    </row>
    <row r="19533" ht="24.0" customHeight="1">
      <c r="A19533" s="10" t="s">
        <v>28</v>
      </c>
      <c r="B19533" s="10" t="s">
        <v>26</v>
      </c>
      <c r="C19533" s="10" t="s">
        <v>23</v>
      </c>
      <c r="D19533" s="10" t="s">
        <v>29</v>
      </c>
      <c r="E19533" s="14">
        <v>1.0</v>
      </c>
      <c r="F19533" s="15">
        <f t="shared" ref="F19533:F19534" si="2520">ROUND(19,3)</f>
        <v>19</v>
      </c>
      <c r="G19533" s="12">
        <f t="shared" si="2519"/>
        <v>19</v>
      </c>
    </row>
    <row r="19534" ht="24.0" customHeight="1">
      <c r="A19534" s="10" t="s">
        <v>30</v>
      </c>
      <c r="B19534" s="10" t="s">
        <v>26</v>
      </c>
      <c r="C19534" s="10" t="s">
        <v>23</v>
      </c>
      <c r="D19534" s="10" t="s">
        <v>31</v>
      </c>
      <c r="E19534" s="14">
        <v>0.2</v>
      </c>
      <c r="F19534" s="15">
        <f t="shared" si="2520"/>
        <v>19</v>
      </c>
      <c r="G19534" s="12">
        <f t="shared" si="2519"/>
        <v>3.8</v>
      </c>
    </row>
    <row r="19535" ht="15.0" customHeight="1">
      <c r="A19535" s="11"/>
      <c r="B19535" s="11"/>
      <c r="C19535" s="11"/>
      <c r="D19535" s="10" t="s">
        <v>22</v>
      </c>
      <c r="E19535" s="14">
        <v>0.12</v>
      </c>
      <c r="F19535" s="15">
        <f>ROUND((G19532+G19533+G19534),3)</f>
        <v>43.8</v>
      </c>
      <c r="G19535" s="12">
        <f t="shared" si="2519"/>
        <v>5.26</v>
      </c>
    </row>
    <row r="19536" ht="15.0" customHeight="1">
      <c r="A19536" s="10" t="s">
        <v>33</v>
      </c>
      <c r="B19536" s="10"/>
      <c r="C19536" s="10" t="s">
        <v>33</v>
      </c>
      <c r="D19536" s="10" t="s">
        <v>424</v>
      </c>
      <c r="E19536" s="14">
        <v>2.0</v>
      </c>
      <c r="F19536" s="15">
        <f>ROUND(5.61,3)</f>
        <v>5.61</v>
      </c>
      <c r="G19536" s="12">
        <f>ROUND((E19536*F19536)/100,2)</f>
        <v>0.11</v>
      </c>
    </row>
    <row r="19537" ht="15.0" customHeight="1">
      <c r="A19537" s="16"/>
      <c r="B19537" s="16"/>
      <c r="C19537" s="16"/>
      <c r="D19537" s="17" t="s">
        <v>9245</v>
      </c>
      <c r="E19537" s="16"/>
      <c r="F19537" s="18">
        <f>ROUND((G19529+G19530+G19531+G19536)*(1+G2/100),2)</f>
        <v>5.72</v>
      </c>
      <c r="G19537" s="16"/>
    </row>
    <row r="19538" ht="15.0" customHeight="1">
      <c r="A19538" s="23"/>
      <c r="B19538" s="23"/>
      <c r="C19538" s="23"/>
      <c r="D19538" s="36" t="s">
        <v>8976</v>
      </c>
      <c r="E19538" s="37"/>
      <c r="F19538" s="37"/>
      <c r="G19538" s="37"/>
    </row>
    <row r="19539" ht="15.0" customHeight="1">
      <c r="A19539" s="38" t="s">
        <v>9251</v>
      </c>
      <c r="B19539" s="38" t="s">
        <v>10</v>
      </c>
      <c r="C19539" s="39"/>
      <c r="D19539" s="38" t="s">
        <v>8965</v>
      </c>
      <c r="E19539" s="39"/>
      <c r="F19539" s="39"/>
      <c r="G19539" s="39"/>
    </row>
    <row r="19540" ht="21.0" customHeight="1">
      <c r="A19540" s="13" t="s">
        <v>8966</v>
      </c>
      <c r="B19540" s="10" t="s">
        <v>18</v>
      </c>
      <c r="C19540" s="10" t="s">
        <v>295</v>
      </c>
      <c r="D19540" s="10" t="s">
        <v>8967</v>
      </c>
      <c r="E19540" s="11"/>
      <c r="F19540" s="12">
        <f>F19543</f>
        <v>0</v>
      </c>
      <c r="G19540" s="11"/>
    </row>
    <row r="19541" ht="30.0" customHeight="1">
      <c r="A19541" s="11"/>
      <c r="B19541" s="11"/>
      <c r="C19541" s="11"/>
      <c r="D19541" s="10" t="s">
        <v>8968</v>
      </c>
    </row>
    <row r="19542" ht="15.0" customHeight="1">
      <c r="A19542" s="10" t="s">
        <v>8969</v>
      </c>
      <c r="B19542" s="10" t="s">
        <v>42</v>
      </c>
      <c r="C19542" s="10" t="s">
        <v>304</v>
      </c>
      <c r="D19542" s="10" t="s">
        <v>8970</v>
      </c>
      <c r="E19542" s="14">
        <v>0.015</v>
      </c>
      <c r="F19542" s="15">
        <f>ROUND(0,3)</f>
        <v>0</v>
      </c>
      <c r="G19542" s="12">
        <f>ROUND(E19542*F19542,2)</f>
        <v>0</v>
      </c>
    </row>
    <row r="19543" ht="15.0" customHeight="1">
      <c r="A19543" s="16"/>
      <c r="B19543" s="16"/>
      <c r="C19543" s="16"/>
      <c r="D19543" s="17" t="s">
        <v>8966</v>
      </c>
      <c r="E19543" s="16"/>
      <c r="F19543" s="18">
        <f>ROUND((G19542)*(1+G2/100),2)</f>
        <v>0</v>
      </c>
      <c r="G19543" s="16"/>
    </row>
    <row r="19544" ht="21.0" customHeight="1">
      <c r="A19544" s="19" t="s">
        <v>8971</v>
      </c>
      <c r="B19544" s="20" t="s">
        <v>18</v>
      </c>
      <c r="C19544" s="20" t="s">
        <v>295</v>
      </c>
      <c r="D19544" s="20" t="s">
        <v>8972</v>
      </c>
      <c r="E19544" s="21"/>
      <c r="F19544" s="22">
        <f>F19547</f>
        <v>300</v>
      </c>
      <c r="G19544" s="21"/>
    </row>
    <row r="19545" ht="21.0" customHeight="1">
      <c r="A19545" s="11"/>
      <c r="B19545" s="11"/>
      <c r="C19545" s="11"/>
      <c r="D19545" s="10" t="s">
        <v>8973</v>
      </c>
    </row>
    <row r="19546" ht="21.0" customHeight="1">
      <c r="A19546" s="10" t="s">
        <v>8974</v>
      </c>
      <c r="B19546" s="10" t="s">
        <v>42</v>
      </c>
      <c r="C19546" s="10" t="s">
        <v>304</v>
      </c>
      <c r="D19546" s="10" t="s">
        <v>8975</v>
      </c>
      <c r="E19546" s="14">
        <v>1.0</v>
      </c>
      <c r="F19546" s="15">
        <f>ROUND(300,3)</f>
        <v>300</v>
      </c>
      <c r="G19546" s="12">
        <f>ROUND(E19546*F19546,2)</f>
        <v>300</v>
      </c>
    </row>
    <row r="19547" ht="15.0" customHeight="1">
      <c r="A19547" s="16"/>
      <c r="B19547" s="16"/>
      <c r="C19547" s="16"/>
      <c r="D19547" s="17" t="s">
        <v>8971</v>
      </c>
      <c r="E19547" s="16"/>
      <c r="F19547" s="18">
        <f>ROUND((G19546)*(1+G2/100),2)</f>
        <v>300</v>
      </c>
      <c r="G19547" s="16"/>
    </row>
    <row r="19548" ht="15.0" customHeight="1">
      <c r="A19548" s="19" t="s">
        <v>9252</v>
      </c>
      <c r="B19548" s="20" t="s">
        <v>18</v>
      </c>
      <c r="C19548" s="20" t="s">
        <v>321</v>
      </c>
      <c r="D19548" s="20" t="s">
        <v>9253</v>
      </c>
      <c r="E19548" s="21"/>
      <c r="F19548" s="22">
        <f>F19557</f>
        <v>134.2</v>
      </c>
      <c r="G19548" s="21"/>
    </row>
    <row r="19549" ht="48.75" customHeight="1">
      <c r="A19549" s="11"/>
      <c r="B19549" s="11"/>
      <c r="C19549" s="11"/>
      <c r="D19549" s="10" t="s">
        <v>9254</v>
      </c>
    </row>
    <row r="19550" ht="113.25" customHeight="1">
      <c r="A19550" s="10" t="s">
        <v>9255</v>
      </c>
      <c r="B19550" s="10" t="s">
        <v>42</v>
      </c>
      <c r="C19550" s="10" t="s">
        <v>5</v>
      </c>
      <c r="D19550" s="10" t="s">
        <v>9256</v>
      </c>
      <c r="E19550" s="14">
        <v>1.0</v>
      </c>
      <c r="F19550" s="15">
        <f>ROUND(125,3)</f>
        <v>125</v>
      </c>
      <c r="G19550" s="12">
        <f t="shared" ref="G19550:G19555" si="2521">ROUND(E19550*F19550,2)</f>
        <v>125</v>
      </c>
    </row>
    <row r="19551" ht="21.0" customHeight="1">
      <c r="A19551" s="10" t="s">
        <v>22</v>
      </c>
      <c r="B19551" s="10" t="s">
        <v>18</v>
      </c>
      <c r="C19551" s="10" t="s">
        <v>23</v>
      </c>
      <c r="D19551" s="10" t="s">
        <v>24</v>
      </c>
      <c r="E19551" s="14">
        <v>0.15</v>
      </c>
      <c r="F19551" s="15">
        <f>F19555</f>
        <v>43.8</v>
      </c>
      <c r="G19551" s="12">
        <f t="shared" si="2521"/>
        <v>6.57</v>
      </c>
    </row>
    <row r="19552" ht="24.0" customHeight="1">
      <c r="A19552" s="10" t="s">
        <v>25</v>
      </c>
      <c r="B19552" s="10" t="s">
        <v>26</v>
      </c>
      <c r="C19552" s="10" t="s">
        <v>23</v>
      </c>
      <c r="D19552" s="10" t="s">
        <v>27</v>
      </c>
      <c r="E19552" s="14">
        <v>1.0</v>
      </c>
      <c r="F19552" s="15">
        <f>ROUND(21,3)</f>
        <v>21</v>
      </c>
      <c r="G19552" s="12">
        <f t="shared" si="2521"/>
        <v>21</v>
      </c>
    </row>
    <row r="19553" ht="24.0" customHeight="1">
      <c r="A19553" s="10" t="s">
        <v>28</v>
      </c>
      <c r="B19553" s="10" t="s">
        <v>26</v>
      </c>
      <c r="C19553" s="10" t="s">
        <v>23</v>
      </c>
      <c r="D19553" s="10" t="s">
        <v>29</v>
      </c>
      <c r="E19553" s="14">
        <v>1.0</v>
      </c>
      <c r="F19553" s="15">
        <f t="shared" ref="F19553:F19554" si="2522">ROUND(19,3)</f>
        <v>19</v>
      </c>
      <c r="G19553" s="12">
        <f t="shared" si="2521"/>
        <v>19</v>
      </c>
    </row>
    <row r="19554" ht="24.0" customHeight="1">
      <c r="A19554" s="10" t="s">
        <v>30</v>
      </c>
      <c r="B19554" s="10" t="s">
        <v>26</v>
      </c>
      <c r="C19554" s="10" t="s">
        <v>23</v>
      </c>
      <c r="D19554" s="10" t="s">
        <v>31</v>
      </c>
      <c r="E19554" s="14">
        <v>0.2</v>
      </c>
      <c r="F19554" s="15">
        <f t="shared" si="2522"/>
        <v>19</v>
      </c>
      <c r="G19554" s="12">
        <f t="shared" si="2521"/>
        <v>3.8</v>
      </c>
    </row>
    <row r="19555" ht="15.0" customHeight="1">
      <c r="A19555" s="11"/>
      <c r="B19555" s="11"/>
      <c r="C19555" s="11"/>
      <c r="D19555" s="10" t="s">
        <v>22</v>
      </c>
      <c r="E19555" s="14">
        <v>0.15</v>
      </c>
      <c r="F19555" s="15">
        <f>ROUND((G19552+G19553+G19554),3)</f>
        <v>43.8</v>
      </c>
      <c r="G19555" s="12">
        <f t="shared" si="2521"/>
        <v>6.57</v>
      </c>
    </row>
    <row r="19556" ht="15.0" customHeight="1">
      <c r="A19556" s="10" t="s">
        <v>33</v>
      </c>
      <c r="B19556" s="10"/>
      <c r="C19556" s="10" t="s">
        <v>33</v>
      </c>
      <c r="D19556" s="10" t="s">
        <v>424</v>
      </c>
      <c r="E19556" s="14">
        <v>2.0</v>
      </c>
      <c r="F19556" s="15">
        <f>ROUND(131.57,3)</f>
        <v>131.57</v>
      </c>
      <c r="G19556" s="12">
        <f>ROUND((E19556*F19556)/100,2)</f>
        <v>2.63</v>
      </c>
    </row>
    <row r="19557" ht="15.0" customHeight="1">
      <c r="A19557" s="16"/>
      <c r="B19557" s="16"/>
      <c r="C19557" s="16"/>
      <c r="D19557" s="17" t="s">
        <v>9252</v>
      </c>
      <c r="E19557" s="16"/>
      <c r="F19557" s="18">
        <f>ROUND((G19550+G19551+G19556)*(1+G2/100),2)</f>
        <v>134.2</v>
      </c>
      <c r="G19557" s="16"/>
    </row>
    <row r="19558" ht="15.0" customHeight="1">
      <c r="A19558" s="23"/>
      <c r="B19558" s="23"/>
      <c r="C19558" s="23"/>
      <c r="D19558" s="36" t="s">
        <v>9251</v>
      </c>
      <c r="E19558" s="37"/>
      <c r="F19558" s="37"/>
      <c r="G19558" s="37"/>
    </row>
    <row r="19559" ht="15.0" customHeight="1">
      <c r="A19559" s="23"/>
      <c r="B19559" s="23"/>
      <c r="C19559" s="23"/>
      <c r="D19559" s="67" t="s">
        <v>1</v>
      </c>
      <c r="E19559" s="68"/>
      <c r="F19559" s="68"/>
      <c r="G19559" s="68"/>
    </row>
  </sheetData>
  <mergeCells count="2807">
    <mergeCell ref="D15928:G15928"/>
    <mergeCell ref="D15930:G15930"/>
    <mergeCell ref="D15932:G15932"/>
    <mergeCell ref="D15934:G15934"/>
    <mergeCell ref="D15936:G15936"/>
    <mergeCell ref="D15938:G15938"/>
    <mergeCell ref="D15940:G15940"/>
    <mergeCell ref="D15942:G15942"/>
    <mergeCell ref="D15944:G15944"/>
    <mergeCell ref="D15946:G15946"/>
    <mergeCell ref="D15948:G15948"/>
    <mergeCell ref="D15950:G15950"/>
    <mergeCell ref="D15952:G15952"/>
    <mergeCell ref="D15954:G15954"/>
    <mergeCell ref="D15956:G15956"/>
    <mergeCell ref="D15958:G15958"/>
    <mergeCell ref="D15960:G15960"/>
    <mergeCell ref="D15962:G15962"/>
    <mergeCell ref="D15964:G15964"/>
    <mergeCell ref="D15966:G15966"/>
    <mergeCell ref="D15968:G15968"/>
    <mergeCell ref="D15970:G15970"/>
    <mergeCell ref="D15972:G15972"/>
    <mergeCell ref="D15977:G15977"/>
    <mergeCell ref="D15979:G15979"/>
    <mergeCell ref="D15981:G15981"/>
    <mergeCell ref="D15983:G15983"/>
    <mergeCell ref="D15985:G15985"/>
    <mergeCell ref="D15987:G15987"/>
    <mergeCell ref="D15989:G15989"/>
    <mergeCell ref="D15991:G15991"/>
    <mergeCell ref="D15993:G15993"/>
    <mergeCell ref="D15995:G15995"/>
    <mergeCell ref="D15997:G15997"/>
    <mergeCell ref="D15999:G15999"/>
    <mergeCell ref="D16001:G16001"/>
    <mergeCell ref="D16003:G16003"/>
    <mergeCell ref="D16005:G16005"/>
    <mergeCell ref="D16007:G16007"/>
    <mergeCell ref="D16009:G16009"/>
    <mergeCell ref="D16011:G16011"/>
    <mergeCell ref="D16013:G16013"/>
    <mergeCell ref="D16015:G16015"/>
    <mergeCell ref="D16017:G16017"/>
    <mergeCell ref="D16019:G16019"/>
    <mergeCell ref="D16021:G16021"/>
    <mergeCell ref="D16023:G16023"/>
    <mergeCell ref="D16025:G16025"/>
    <mergeCell ref="D16027:G16027"/>
    <mergeCell ref="D16029:G16029"/>
    <mergeCell ref="D16031:G16031"/>
    <mergeCell ref="D16033:G16033"/>
    <mergeCell ref="D16035:G16035"/>
    <mergeCell ref="D16037:G16037"/>
    <mergeCell ref="D16039:G16039"/>
    <mergeCell ref="D16041:G16041"/>
    <mergeCell ref="D16043:G16043"/>
    <mergeCell ref="D16045:G16045"/>
    <mergeCell ref="D16047:G16047"/>
    <mergeCell ref="D16049:G16049"/>
    <mergeCell ref="D16051:G16051"/>
    <mergeCell ref="D16053:G16053"/>
    <mergeCell ref="D16055:G16055"/>
    <mergeCell ref="D16057:G16057"/>
    <mergeCell ref="D16059:G16059"/>
    <mergeCell ref="D16061:G16061"/>
    <mergeCell ref="D16063:G16063"/>
    <mergeCell ref="D16065:G16065"/>
    <mergeCell ref="D16067:G16067"/>
    <mergeCell ref="D16069:G16069"/>
    <mergeCell ref="D16071:G16071"/>
    <mergeCell ref="D16073:G16073"/>
    <mergeCell ref="D16076:G16076"/>
    <mergeCell ref="D16078:G16078"/>
    <mergeCell ref="D16080:G16080"/>
    <mergeCell ref="D16082:G16082"/>
    <mergeCell ref="D16084:G16084"/>
    <mergeCell ref="D16086:G16086"/>
    <mergeCell ref="D16088:G16088"/>
    <mergeCell ref="D16090:G16090"/>
    <mergeCell ref="D16092:G16092"/>
    <mergeCell ref="D16094:G16094"/>
    <mergeCell ref="D16096:G16096"/>
    <mergeCell ref="D16098:G16098"/>
    <mergeCell ref="D16100:G16100"/>
    <mergeCell ref="D16102:G16102"/>
    <mergeCell ref="D16104:G16104"/>
    <mergeCell ref="D16106:G16106"/>
    <mergeCell ref="D16108:G16108"/>
    <mergeCell ref="D16110:G16110"/>
    <mergeCell ref="D16112:G16112"/>
    <mergeCell ref="D16114:G16114"/>
    <mergeCell ref="D16116:G16116"/>
    <mergeCell ref="D16118:G16118"/>
    <mergeCell ref="D16120:G16120"/>
    <mergeCell ref="D16122:G16122"/>
    <mergeCell ref="D16124:G16124"/>
    <mergeCell ref="D16126:G16126"/>
    <mergeCell ref="D16128:G16128"/>
    <mergeCell ref="D16130:G16130"/>
    <mergeCell ref="D16132:G16132"/>
    <mergeCell ref="D16134:G16134"/>
    <mergeCell ref="D16136:G16136"/>
    <mergeCell ref="D16138:G16138"/>
    <mergeCell ref="D16140:G16140"/>
    <mergeCell ref="D16142:G16142"/>
    <mergeCell ref="D16144:G16144"/>
    <mergeCell ref="D16146:G16146"/>
    <mergeCell ref="D16148:G16148"/>
    <mergeCell ref="D16150:G16150"/>
    <mergeCell ref="D16152:G16152"/>
    <mergeCell ref="D16154:G16154"/>
    <mergeCell ref="D16156:G16156"/>
    <mergeCell ref="D16158:G16158"/>
    <mergeCell ref="D16160:G16160"/>
    <mergeCell ref="D16162:G16162"/>
    <mergeCell ref="D16164:G16164"/>
    <mergeCell ref="D16166:G16166"/>
    <mergeCell ref="D16168:G16168"/>
    <mergeCell ref="D16170:G16170"/>
    <mergeCell ref="D16172:G16172"/>
    <mergeCell ref="D16174:G16174"/>
    <mergeCell ref="D16176:G16176"/>
    <mergeCell ref="D16178:G16178"/>
    <mergeCell ref="D16180:G16180"/>
    <mergeCell ref="D16182:G16182"/>
    <mergeCell ref="D16184:G16184"/>
    <mergeCell ref="D16186:G16186"/>
    <mergeCell ref="D16188:G16188"/>
    <mergeCell ref="D16190:G16190"/>
    <mergeCell ref="D16192:G16192"/>
    <mergeCell ref="D16194:G16194"/>
    <mergeCell ref="D16196:G16196"/>
    <mergeCell ref="D16198:G16198"/>
    <mergeCell ref="D16200:G16200"/>
    <mergeCell ref="D16202:G16202"/>
    <mergeCell ref="D16204:G16204"/>
    <mergeCell ref="D16206:G16206"/>
    <mergeCell ref="D16208:G16208"/>
    <mergeCell ref="D16210:G16210"/>
    <mergeCell ref="D16212:G16212"/>
    <mergeCell ref="D16214:G16214"/>
    <mergeCell ref="D16216:G16216"/>
    <mergeCell ref="D16218:G16218"/>
    <mergeCell ref="D16220:G16220"/>
    <mergeCell ref="D16222:G16222"/>
    <mergeCell ref="D16224:G16224"/>
    <mergeCell ref="D16226:G16226"/>
    <mergeCell ref="D16228:G16228"/>
    <mergeCell ref="D16230:G16230"/>
    <mergeCell ref="D16232:G16232"/>
    <mergeCell ref="D16234:G16234"/>
    <mergeCell ref="D16236:G16236"/>
    <mergeCell ref="D16238:G16238"/>
    <mergeCell ref="D16240:G16240"/>
    <mergeCell ref="D16242:G16242"/>
    <mergeCell ref="D16244:G16244"/>
    <mergeCell ref="D16246:G16246"/>
    <mergeCell ref="D16248:G16248"/>
    <mergeCell ref="D16250:G16250"/>
    <mergeCell ref="D16252:G16252"/>
    <mergeCell ref="D16254:G16254"/>
    <mergeCell ref="D16256:G16256"/>
    <mergeCell ref="D16258:G16258"/>
    <mergeCell ref="D16260:G16260"/>
    <mergeCell ref="D16262:G16262"/>
    <mergeCell ref="D16264:G16264"/>
    <mergeCell ref="D16266:G16266"/>
    <mergeCell ref="D16268:G16268"/>
    <mergeCell ref="D16270:G16270"/>
    <mergeCell ref="D16272:G16272"/>
    <mergeCell ref="D16274:G16274"/>
    <mergeCell ref="D16276:G16276"/>
    <mergeCell ref="D16278:G16278"/>
    <mergeCell ref="D16280:G16280"/>
    <mergeCell ref="D16282:G16282"/>
    <mergeCell ref="D16284:G16284"/>
    <mergeCell ref="D16286:G16286"/>
    <mergeCell ref="D16288:G16288"/>
    <mergeCell ref="D16290:G16290"/>
    <mergeCell ref="D16292:G16292"/>
    <mergeCell ref="D16294:G16294"/>
    <mergeCell ref="D16296:G16296"/>
    <mergeCell ref="D16298:G16298"/>
    <mergeCell ref="D16300:G16300"/>
    <mergeCell ref="D16302:G16302"/>
    <mergeCell ref="D16304:G16304"/>
    <mergeCell ref="D16306:G16306"/>
    <mergeCell ref="D16308:G16308"/>
    <mergeCell ref="D16310:G16310"/>
    <mergeCell ref="D16312:G16312"/>
    <mergeCell ref="D16314:G16314"/>
    <mergeCell ref="D16316:G16316"/>
    <mergeCell ref="D16318:G16318"/>
    <mergeCell ref="D16320:G16320"/>
    <mergeCell ref="D16322:G16322"/>
    <mergeCell ref="D16412:G16412"/>
    <mergeCell ref="D16414:G16414"/>
    <mergeCell ref="D16416:G16416"/>
    <mergeCell ref="D16418:G16418"/>
    <mergeCell ref="D16420:G16420"/>
    <mergeCell ref="D16422:G16422"/>
    <mergeCell ref="D16424:G16424"/>
    <mergeCell ref="D16426:G16426"/>
    <mergeCell ref="D16428:G16428"/>
    <mergeCell ref="D16430:G16430"/>
    <mergeCell ref="D16432:G16432"/>
    <mergeCell ref="D16434:G16434"/>
    <mergeCell ref="D16436:G16436"/>
    <mergeCell ref="D16438:G16438"/>
    <mergeCell ref="D16324:G16324"/>
    <mergeCell ref="D16326:G16326"/>
    <mergeCell ref="D16328:G16328"/>
    <mergeCell ref="D16330:G16330"/>
    <mergeCell ref="D16332:G16332"/>
    <mergeCell ref="D16334:G16334"/>
    <mergeCell ref="D16339:G16339"/>
    <mergeCell ref="D16341:G16341"/>
    <mergeCell ref="D16343:G16343"/>
    <mergeCell ref="D16345:G16345"/>
    <mergeCell ref="D16347:G16347"/>
    <mergeCell ref="D16349:G16349"/>
    <mergeCell ref="D16351:G16351"/>
    <mergeCell ref="D16353:G16353"/>
    <mergeCell ref="D16355:G16355"/>
    <mergeCell ref="D16357:G16357"/>
    <mergeCell ref="D16359:G16359"/>
    <mergeCell ref="D16361:G16361"/>
    <mergeCell ref="D16363:G16363"/>
    <mergeCell ref="D16366:G16366"/>
    <mergeCell ref="D16368:G16368"/>
    <mergeCell ref="D16370:G16370"/>
    <mergeCell ref="D16372:G16372"/>
    <mergeCell ref="D16374:G16374"/>
    <mergeCell ref="D16376:G16376"/>
    <mergeCell ref="D16378:G16378"/>
    <mergeCell ref="D16380:G16380"/>
    <mergeCell ref="D16382:G16382"/>
    <mergeCell ref="D16384:G16384"/>
    <mergeCell ref="D16386:G16386"/>
    <mergeCell ref="D16388:G16388"/>
    <mergeCell ref="D16390:G16390"/>
    <mergeCell ref="D16392:G16392"/>
    <mergeCell ref="D16394:G16394"/>
    <mergeCell ref="D16396:G16396"/>
    <mergeCell ref="D16398:G16398"/>
    <mergeCell ref="D16400:G16400"/>
    <mergeCell ref="D16402:G16402"/>
    <mergeCell ref="D16404:G16404"/>
    <mergeCell ref="D16406:G16406"/>
    <mergeCell ref="D16408:G16408"/>
    <mergeCell ref="D16410:G16410"/>
    <mergeCell ref="D16442:G16442"/>
    <mergeCell ref="D16444:G16444"/>
    <mergeCell ref="D16446:G16446"/>
    <mergeCell ref="D16448:G16448"/>
    <mergeCell ref="D16450:G16450"/>
    <mergeCell ref="D16452:G16452"/>
    <mergeCell ref="D16454:G16454"/>
    <mergeCell ref="D16456:G16456"/>
    <mergeCell ref="D16459:G16459"/>
    <mergeCell ref="D16462:G16462"/>
    <mergeCell ref="D16464:G16464"/>
    <mergeCell ref="D16466:G16466"/>
    <mergeCell ref="D16468:G16468"/>
    <mergeCell ref="D16470:G16470"/>
    <mergeCell ref="D16472:G16472"/>
    <mergeCell ref="D16474:G16474"/>
    <mergeCell ref="D16476:G16476"/>
    <mergeCell ref="D16478:G16478"/>
    <mergeCell ref="D16480:G16480"/>
    <mergeCell ref="D16482:G16482"/>
    <mergeCell ref="D16484:G16484"/>
    <mergeCell ref="D16486:G16486"/>
    <mergeCell ref="D16488:G16488"/>
    <mergeCell ref="D16490:G16490"/>
    <mergeCell ref="D16492:G16492"/>
    <mergeCell ref="D16494:G16494"/>
    <mergeCell ref="D16496:G16496"/>
    <mergeCell ref="D16498:G16498"/>
    <mergeCell ref="D16500:G16500"/>
    <mergeCell ref="D16502:G16502"/>
    <mergeCell ref="D16504:G16504"/>
    <mergeCell ref="D16506:G16506"/>
    <mergeCell ref="D16508:G16508"/>
    <mergeCell ref="D16510:G16510"/>
    <mergeCell ref="D16512:G16512"/>
    <mergeCell ref="D16514:G16514"/>
    <mergeCell ref="D16516:G16516"/>
    <mergeCell ref="D16518:G16518"/>
    <mergeCell ref="D16520:G16520"/>
    <mergeCell ref="D16522:G16522"/>
    <mergeCell ref="D16524:G16524"/>
    <mergeCell ref="D16526:G16526"/>
    <mergeCell ref="D16528:G16528"/>
    <mergeCell ref="D16530:G16530"/>
    <mergeCell ref="D16532:G16532"/>
    <mergeCell ref="D16534:G16534"/>
    <mergeCell ref="D16536:G16536"/>
    <mergeCell ref="D16538:G16538"/>
    <mergeCell ref="D16540:G16540"/>
    <mergeCell ref="D16542:G16542"/>
    <mergeCell ref="D16544:G16544"/>
    <mergeCell ref="D16546:G16546"/>
    <mergeCell ref="D16548:G16548"/>
    <mergeCell ref="D16550:G16550"/>
    <mergeCell ref="D16552:G16552"/>
    <mergeCell ref="D16554:G16554"/>
    <mergeCell ref="D16556:G16556"/>
    <mergeCell ref="D16558:G16558"/>
    <mergeCell ref="D16560:G16560"/>
    <mergeCell ref="D16562:G16562"/>
    <mergeCell ref="D16564:G16564"/>
    <mergeCell ref="D16566:G16566"/>
    <mergeCell ref="D16568:G16568"/>
    <mergeCell ref="D16570:G16570"/>
    <mergeCell ref="D16572:G16572"/>
    <mergeCell ref="D16574:G16574"/>
    <mergeCell ref="D16576:G16576"/>
    <mergeCell ref="D16578:G16578"/>
    <mergeCell ref="D16580:G16580"/>
    <mergeCell ref="D16582:G16582"/>
    <mergeCell ref="D16586:G16586"/>
    <mergeCell ref="D16588:G16588"/>
    <mergeCell ref="D16590:G16590"/>
    <mergeCell ref="D16592:G16592"/>
    <mergeCell ref="D16594:G16594"/>
    <mergeCell ref="D16596:G16596"/>
    <mergeCell ref="D16598:G16598"/>
    <mergeCell ref="D16600:G16600"/>
    <mergeCell ref="D16602:G16602"/>
    <mergeCell ref="D16604:G16604"/>
    <mergeCell ref="D16606:G16606"/>
    <mergeCell ref="D16608:G16608"/>
    <mergeCell ref="D16610:G16610"/>
    <mergeCell ref="D16612:G16612"/>
    <mergeCell ref="D16614:G16614"/>
    <mergeCell ref="D16616:G16616"/>
    <mergeCell ref="D16618:G16618"/>
    <mergeCell ref="D16620:G16620"/>
    <mergeCell ref="D16622:G16622"/>
    <mergeCell ref="D16624:G16624"/>
    <mergeCell ref="D16626:G16626"/>
    <mergeCell ref="D16628:G16628"/>
    <mergeCell ref="D16630:G16630"/>
    <mergeCell ref="D16632:G16632"/>
    <mergeCell ref="D16634:G16634"/>
    <mergeCell ref="D16636:G16636"/>
    <mergeCell ref="D16638:G16638"/>
    <mergeCell ref="D16640:G16640"/>
    <mergeCell ref="D16644:G16644"/>
    <mergeCell ref="D16646:G16646"/>
    <mergeCell ref="D16648:G16648"/>
    <mergeCell ref="D16650:G16650"/>
    <mergeCell ref="D16652:G16652"/>
    <mergeCell ref="D16654:G16654"/>
    <mergeCell ref="D16656:G16656"/>
    <mergeCell ref="D16658:G16658"/>
    <mergeCell ref="D16660:G16660"/>
    <mergeCell ref="D16662:G16662"/>
    <mergeCell ref="D16664:G16664"/>
    <mergeCell ref="D16666:G16666"/>
    <mergeCell ref="D16668:G16668"/>
    <mergeCell ref="D16670:G16670"/>
    <mergeCell ref="D16672:G16672"/>
    <mergeCell ref="D16674:G16674"/>
    <mergeCell ref="D16676:G16676"/>
    <mergeCell ref="D16678:G16678"/>
    <mergeCell ref="D16680:G16680"/>
    <mergeCell ref="D16682:G16682"/>
    <mergeCell ref="D16684:G16684"/>
    <mergeCell ref="D16686:G16686"/>
    <mergeCell ref="D16688:G16688"/>
    <mergeCell ref="D16690:G16690"/>
    <mergeCell ref="D16694:G16694"/>
    <mergeCell ref="D16696:G16696"/>
    <mergeCell ref="D16698:G16698"/>
    <mergeCell ref="D16700:G16700"/>
    <mergeCell ref="D16702:G16702"/>
    <mergeCell ref="D16704:G16704"/>
    <mergeCell ref="D16706:G16706"/>
    <mergeCell ref="D16708:G16708"/>
    <mergeCell ref="D16710:G16710"/>
    <mergeCell ref="D16712:G16712"/>
    <mergeCell ref="D16714:G16714"/>
    <mergeCell ref="D16716:G16716"/>
    <mergeCell ref="D16718:G16718"/>
    <mergeCell ref="D16720:G16720"/>
    <mergeCell ref="D16722:G16722"/>
    <mergeCell ref="D16726:G16726"/>
    <mergeCell ref="D16728:G16728"/>
    <mergeCell ref="D16730:G16730"/>
    <mergeCell ref="D16732:G16732"/>
    <mergeCell ref="D16734:G16734"/>
    <mergeCell ref="D16736:G16736"/>
    <mergeCell ref="D16738:G16738"/>
    <mergeCell ref="D16740:G16740"/>
    <mergeCell ref="D16742:G16742"/>
    <mergeCell ref="D16744:G16744"/>
    <mergeCell ref="D16746:G16746"/>
    <mergeCell ref="D16748:G16748"/>
    <mergeCell ref="D16750:G16750"/>
    <mergeCell ref="D16752:G16752"/>
    <mergeCell ref="D16754:G16754"/>
    <mergeCell ref="D16756:G16756"/>
    <mergeCell ref="D16758:G16758"/>
    <mergeCell ref="D16760:G16760"/>
    <mergeCell ref="D16762:G16762"/>
    <mergeCell ref="D16765:G16765"/>
    <mergeCell ref="D16768:G16768"/>
    <mergeCell ref="D16770:G16770"/>
    <mergeCell ref="D16772:G16772"/>
    <mergeCell ref="D16774:G16774"/>
    <mergeCell ref="D16776:G16776"/>
    <mergeCell ref="D16778:G16778"/>
    <mergeCell ref="D16780:G16780"/>
    <mergeCell ref="D16782:G16782"/>
    <mergeCell ref="D16784:G16784"/>
    <mergeCell ref="D16786:G16786"/>
    <mergeCell ref="D16788:G16788"/>
    <mergeCell ref="D16790:G16790"/>
    <mergeCell ref="D16792:G16792"/>
    <mergeCell ref="D16794:G16794"/>
    <mergeCell ref="D16796:G16796"/>
    <mergeCell ref="D16798:G16798"/>
    <mergeCell ref="D16800:G16800"/>
    <mergeCell ref="D16802:G16802"/>
    <mergeCell ref="D16804:G16804"/>
    <mergeCell ref="D16806:G16806"/>
    <mergeCell ref="D16808:G16808"/>
    <mergeCell ref="D16810:G16810"/>
    <mergeCell ref="D16812:G16812"/>
    <mergeCell ref="D16814:G16814"/>
    <mergeCell ref="D16816:G16816"/>
    <mergeCell ref="D16818:G16818"/>
    <mergeCell ref="D16820:G16820"/>
    <mergeCell ref="D16822:G16822"/>
    <mergeCell ref="D16824:G16824"/>
    <mergeCell ref="D16826:G16826"/>
    <mergeCell ref="D16828:G16828"/>
    <mergeCell ref="D16830:G16830"/>
    <mergeCell ref="D16832:G16832"/>
    <mergeCell ref="D16834:G16834"/>
    <mergeCell ref="D16836:G16836"/>
    <mergeCell ref="D16838:G16838"/>
    <mergeCell ref="D16840:G16840"/>
    <mergeCell ref="D16842:G16842"/>
    <mergeCell ref="D16844:G16844"/>
    <mergeCell ref="D16846:G16846"/>
    <mergeCell ref="D16848:G16848"/>
    <mergeCell ref="D16850:G16850"/>
    <mergeCell ref="D16852:G16852"/>
    <mergeCell ref="D16854:G16854"/>
    <mergeCell ref="D16856:G16856"/>
    <mergeCell ref="D16858:G16858"/>
    <mergeCell ref="D16860:G16860"/>
    <mergeCell ref="D16862:G16862"/>
    <mergeCell ref="D16864:G16864"/>
    <mergeCell ref="D16866:G16866"/>
    <mergeCell ref="D16868:G16868"/>
    <mergeCell ref="D16870:G16870"/>
    <mergeCell ref="D16872:G16872"/>
    <mergeCell ref="D16874:G16874"/>
    <mergeCell ref="D16876:G16876"/>
    <mergeCell ref="D16878:G16878"/>
    <mergeCell ref="D16880:G16880"/>
    <mergeCell ref="D16882:G16882"/>
    <mergeCell ref="D16884:G16884"/>
    <mergeCell ref="D16886:G16886"/>
    <mergeCell ref="D16888:G16888"/>
    <mergeCell ref="D16890:G16890"/>
    <mergeCell ref="D16892:G16892"/>
    <mergeCell ref="D16894:G16894"/>
    <mergeCell ref="D16896:G16896"/>
    <mergeCell ref="D16898:G16898"/>
    <mergeCell ref="D16900:G16900"/>
    <mergeCell ref="D16902:G16902"/>
    <mergeCell ref="D16904:G16904"/>
    <mergeCell ref="D16906:G16906"/>
    <mergeCell ref="D16908:G16908"/>
    <mergeCell ref="D16910:G16910"/>
    <mergeCell ref="D16912:G16912"/>
    <mergeCell ref="D16914:G16914"/>
    <mergeCell ref="D16916:G16916"/>
    <mergeCell ref="D16918:G16918"/>
    <mergeCell ref="D16920:G16920"/>
    <mergeCell ref="D16922:G16922"/>
    <mergeCell ref="D16924:G16924"/>
    <mergeCell ref="D16926:G16926"/>
    <mergeCell ref="D16928:G16928"/>
    <mergeCell ref="D16930:G16930"/>
    <mergeCell ref="D16932:G16932"/>
    <mergeCell ref="D16934:G16934"/>
    <mergeCell ref="D16936:G16936"/>
    <mergeCell ref="D16938:G16938"/>
    <mergeCell ref="D16940:G16940"/>
    <mergeCell ref="D16942:G16942"/>
    <mergeCell ref="D16944:G16944"/>
    <mergeCell ref="D16946:G16946"/>
    <mergeCell ref="D16948:G16948"/>
    <mergeCell ref="D16950:G16950"/>
    <mergeCell ref="D16952:G16952"/>
    <mergeCell ref="D16954:G16954"/>
    <mergeCell ref="D16956:G16956"/>
    <mergeCell ref="D16958:G16958"/>
    <mergeCell ref="D16960:G16960"/>
    <mergeCell ref="D16962:G16962"/>
    <mergeCell ref="D16964:G16964"/>
    <mergeCell ref="D16966:G16966"/>
    <mergeCell ref="D16968:G16968"/>
    <mergeCell ref="D16970:G16970"/>
    <mergeCell ref="D16972:G16972"/>
    <mergeCell ref="D16974:G16974"/>
    <mergeCell ref="D16976:G16976"/>
    <mergeCell ref="D16978:G16978"/>
    <mergeCell ref="D16981:G16981"/>
    <mergeCell ref="D16983:G16983"/>
    <mergeCell ref="D16986:G16986"/>
    <mergeCell ref="D16988:G16988"/>
    <mergeCell ref="D16990:G16990"/>
    <mergeCell ref="D16992:G16992"/>
    <mergeCell ref="D16994:G16994"/>
    <mergeCell ref="D16996:G16996"/>
    <mergeCell ref="D16998:G16998"/>
    <mergeCell ref="D17000:G17000"/>
    <mergeCell ref="D17002:G17002"/>
    <mergeCell ref="D17004:G17004"/>
    <mergeCell ref="D17006:G17006"/>
    <mergeCell ref="D17008:G17008"/>
    <mergeCell ref="D17010:G17010"/>
    <mergeCell ref="D17012:G17012"/>
    <mergeCell ref="D17014:G17014"/>
    <mergeCell ref="D17016:G17016"/>
    <mergeCell ref="D17018:G17018"/>
    <mergeCell ref="D17020:G17020"/>
    <mergeCell ref="D17022:G17022"/>
    <mergeCell ref="D17024:G17024"/>
    <mergeCell ref="D17026:G17026"/>
    <mergeCell ref="D17028:G17028"/>
    <mergeCell ref="D17030:G17030"/>
    <mergeCell ref="D17032:G17032"/>
    <mergeCell ref="D17034:G17034"/>
    <mergeCell ref="D17036:G17036"/>
    <mergeCell ref="D17038:G17038"/>
    <mergeCell ref="D17040:G17040"/>
    <mergeCell ref="D17042:G17042"/>
    <mergeCell ref="D17044:G17044"/>
    <mergeCell ref="D17046:G17046"/>
    <mergeCell ref="D17048:G17048"/>
    <mergeCell ref="D17050:G17050"/>
    <mergeCell ref="D17052:G17052"/>
    <mergeCell ref="D17054:G17054"/>
    <mergeCell ref="D17056:G17056"/>
    <mergeCell ref="D17058:G17058"/>
    <mergeCell ref="D17060:G17060"/>
    <mergeCell ref="D17062:G17062"/>
    <mergeCell ref="D17064:G17064"/>
    <mergeCell ref="D17066:G17066"/>
    <mergeCell ref="D17068:G17068"/>
    <mergeCell ref="D17070:G17070"/>
    <mergeCell ref="D17072:G17072"/>
    <mergeCell ref="D17074:G17074"/>
    <mergeCell ref="D17076:G17076"/>
    <mergeCell ref="D17078:G17078"/>
    <mergeCell ref="D17080:G17080"/>
    <mergeCell ref="D17082:G17082"/>
    <mergeCell ref="D17084:G17084"/>
    <mergeCell ref="D17086:G17086"/>
    <mergeCell ref="D17088:G17088"/>
    <mergeCell ref="D17090:G17090"/>
    <mergeCell ref="D17092:G17092"/>
    <mergeCell ref="D17094:G17094"/>
    <mergeCell ref="D17096:G17096"/>
    <mergeCell ref="D17098:G17098"/>
    <mergeCell ref="D17100:G17100"/>
    <mergeCell ref="D17102:G17102"/>
    <mergeCell ref="D17104:G17104"/>
    <mergeCell ref="D17106:G17106"/>
    <mergeCell ref="D17108:G17108"/>
    <mergeCell ref="D17110:G17110"/>
    <mergeCell ref="D17112:G17112"/>
    <mergeCell ref="D17114:G17114"/>
    <mergeCell ref="D17116:G17116"/>
    <mergeCell ref="D17118:G17118"/>
    <mergeCell ref="D17120:G17120"/>
    <mergeCell ref="D17122:G17122"/>
    <mergeCell ref="D17124:G17124"/>
    <mergeCell ref="D17126:G17126"/>
    <mergeCell ref="D17128:G17128"/>
    <mergeCell ref="D17130:G17130"/>
    <mergeCell ref="D17132:G17132"/>
    <mergeCell ref="D17134:G17134"/>
    <mergeCell ref="D17136:G17136"/>
    <mergeCell ref="D17138:G17138"/>
    <mergeCell ref="D17140:G17140"/>
    <mergeCell ref="D17142:G17142"/>
    <mergeCell ref="D17144:G17144"/>
    <mergeCell ref="D17146:G17146"/>
    <mergeCell ref="D17148:G17148"/>
    <mergeCell ref="D17150:G17150"/>
    <mergeCell ref="D17152:G17152"/>
    <mergeCell ref="D17154:G17154"/>
    <mergeCell ref="D17156:G17156"/>
    <mergeCell ref="D17158:G17158"/>
    <mergeCell ref="D17160:G17160"/>
    <mergeCell ref="D17162:G17162"/>
    <mergeCell ref="D17164:G17164"/>
    <mergeCell ref="D17166:G17166"/>
    <mergeCell ref="D17168:G17168"/>
    <mergeCell ref="D17170:G17170"/>
    <mergeCell ref="D17172:G17172"/>
    <mergeCell ref="D17174:G17174"/>
    <mergeCell ref="D17176:G17176"/>
    <mergeCell ref="D17178:G17178"/>
    <mergeCell ref="D17180:G17180"/>
    <mergeCell ref="D17182:G17182"/>
    <mergeCell ref="D17184:G17184"/>
    <mergeCell ref="D17186:G17186"/>
    <mergeCell ref="D17188:G17188"/>
    <mergeCell ref="D17190:G17190"/>
    <mergeCell ref="D17192:G17192"/>
    <mergeCell ref="D17194:G17194"/>
    <mergeCell ref="D17196:G17196"/>
    <mergeCell ref="D17198:G17198"/>
    <mergeCell ref="D17200:G17200"/>
    <mergeCell ref="D17202:G17202"/>
    <mergeCell ref="D17204:G17204"/>
    <mergeCell ref="D17206:G17206"/>
    <mergeCell ref="D17208:G17208"/>
    <mergeCell ref="D17210:G17210"/>
    <mergeCell ref="D17214:G17214"/>
    <mergeCell ref="D17216:G17216"/>
    <mergeCell ref="D17218:G17218"/>
    <mergeCell ref="D17220:G17220"/>
    <mergeCell ref="D17222:G17222"/>
    <mergeCell ref="D17224:G17224"/>
    <mergeCell ref="D17226:G17226"/>
    <mergeCell ref="D17228:G17228"/>
    <mergeCell ref="D17230:G17230"/>
    <mergeCell ref="D17232:G17232"/>
    <mergeCell ref="D17234:G17234"/>
    <mergeCell ref="D17236:G17236"/>
    <mergeCell ref="D17238:G17238"/>
    <mergeCell ref="D17240:G17240"/>
    <mergeCell ref="D17242:G17242"/>
    <mergeCell ref="D17244:G17244"/>
    <mergeCell ref="D17246:G17246"/>
    <mergeCell ref="D17248:G17248"/>
    <mergeCell ref="D17250:G17250"/>
    <mergeCell ref="D17252:G17252"/>
    <mergeCell ref="D17254:G17254"/>
    <mergeCell ref="D17968:G17968"/>
    <mergeCell ref="D17970:G17970"/>
    <mergeCell ref="D17972:G17972"/>
    <mergeCell ref="D17974:G17974"/>
    <mergeCell ref="D17976:G17976"/>
    <mergeCell ref="D17978:G17978"/>
    <mergeCell ref="D17980:G17980"/>
    <mergeCell ref="D17982:G17982"/>
    <mergeCell ref="D17984:G17984"/>
    <mergeCell ref="D17986:G17986"/>
    <mergeCell ref="D17988:G17988"/>
    <mergeCell ref="D17990:G17990"/>
    <mergeCell ref="D17993:G17993"/>
    <mergeCell ref="D17995:G17995"/>
    <mergeCell ref="D17997:G17997"/>
    <mergeCell ref="D17999:G17999"/>
    <mergeCell ref="D18001:G18001"/>
    <mergeCell ref="D18003:G18003"/>
    <mergeCell ref="D18005:G18005"/>
    <mergeCell ref="D18007:G18007"/>
    <mergeCell ref="D18009:G18009"/>
    <mergeCell ref="D18011:G18011"/>
    <mergeCell ref="D18013:G18013"/>
    <mergeCell ref="D18015:G18015"/>
    <mergeCell ref="D18017:G18017"/>
    <mergeCell ref="D18019:G18019"/>
    <mergeCell ref="D18021:G18021"/>
    <mergeCell ref="D18023:G18023"/>
    <mergeCell ref="D18025:G18025"/>
    <mergeCell ref="D18027:G18027"/>
    <mergeCell ref="D18029:G18029"/>
    <mergeCell ref="D18031:G18031"/>
    <mergeCell ref="D18033:G18033"/>
    <mergeCell ref="D18035:G18035"/>
    <mergeCell ref="D18037:G18037"/>
    <mergeCell ref="D18039:G18039"/>
    <mergeCell ref="D18041:G18041"/>
    <mergeCell ref="D18043:G18043"/>
    <mergeCell ref="D18045:G18045"/>
    <mergeCell ref="D18047:G18047"/>
    <mergeCell ref="D18049:G18049"/>
    <mergeCell ref="D18051:G18051"/>
    <mergeCell ref="D18053:G18053"/>
    <mergeCell ref="D18055:G18055"/>
    <mergeCell ref="D18057:G18057"/>
    <mergeCell ref="D18059:G18059"/>
    <mergeCell ref="D18061:G18061"/>
    <mergeCell ref="D18063:G18063"/>
    <mergeCell ref="D18065:G18065"/>
    <mergeCell ref="D18067:G18067"/>
    <mergeCell ref="D18069:G18069"/>
    <mergeCell ref="D18071:G18071"/>
    <mergeCell ref="D18073:G18073"/>
    <mergeCell ref="D18075:G18075"/>
    <mergeCell ref="D18077:G18077"/>
    <mergeCell ref="D18079:G18079"/>
    <mergeCell ref="D18081:G18081"/>
    <mergeCell ref="D18083:G18083"/>
    <mergeCell ref="D18085:G18085"/>
    <mergeCell ref="D18087:G18087"/>
    <mergeCell ref="D18089:G18089"/>
    <mergeCell ref="D18091:G18091"/>
    <mergeCell ref="D18093:G18093"/>
    <mergeCell ref="D18095:G18095"/>
    <mergeCell ref="D18097:G18097"/>
    <mergeCell ref="D18099:G18099"/>
    <mergeCell ref="D18101:G18101"/>
    <mergeCell ref="D18103:G18103"/>
    <mergeCell ref="D18105:G18105"/>
    <mergeCell ref="D18107:G18107"/>
    <mergeCell ref="D18109:G18109"/>
    <mergeCell ref="D18111:G18111"/>
    <mergeCell ref="D18113:G18113"/>
    <mergeCell ref="D18115:G18115"/>
    <mergeCell ref="D18117:G18117"/>
    <mergeCell ref="D18119:G18119"/>
    <mergeCell ref="D18121:G18121"/>
    <mergeCell ref="D18123:G18123"/>
    <mergeCell ref="D18125:G18125"/>
    <mergeCell ref="D18127:G18127"/>
    <mergeCell ref="D18129:G18129"/>
    <mergeCell ref="D18131:G18131"/>
    <mergeCell ref="D18133:G18133"/>
    <mergeCell ref="D18135:G18135"/>
    <mergeCell ref="D18137:G18137"/>
    <mergeCell ref="D18139:G18139"/>
    <mergeCell ref="D18141:G18141"/>
    <mergeCell ref="D18143:G18143"/>
    <mergeCell ref="D18145:G18145"/>
    <mergeCell ref="D18147:G18147"/>
    <mergeCell ref="D18149:G18149"/>
    <mergeCell ref="D18151:G18151"/>
    <mergeCell ref="D18153:G18153"/>
    <mergeCell ref="D18155:G18155"/>
    <mergeCell ref="D18157:G18157"/>
    <mergeCell ref="D18159:G18159"/>
    <mergeCell ref="D18161:G18161"/>
    <mergeCell ref="D18163:G18163"/>
    <mergeCell ref="D18165:G18165"/>
    <mergeCell ref="D18167:G18167"/>
    <mergeCell ref="D18169:G18169"/>
    <mergeCell ref="D18176:G18176"/>
    <mergeCell ref="D18178:G18178"/>
    <mergeCell ref="D18180:G18180"/>
    <mergeCell ref="D18182:G18182"/>
    <mergeCell ref="D18184:G18184"/>
    <mergeCell ref="D18186:G18186"/>
    <mergeCell ref="D18188:G18188"/>
    <mergeCell ref="D18190:G18190"/>
    <mergeCell ref="D18192:G18192"/>
    <mergeCell ref="D18194:G18194"/>
    <mergeCell ref="D18196:G18196"/>
    <mergeCell ref="D18198:G18198"/>
    <mergeCell ref="D18200:G18200"/>
    <mergeCell ref="D18202:G18202"/>
    <mergeCell ref="D18204:G18204"/>
    <mergeCell ref="D18206:G18206"/>
    <mergeCell ref="D18208:G18208"/>
    <mergeCell ref="D18210:G18210"/>
    <mergeCell ref="D18212:G18212"/>
    <mergeCell ref="D18214:G18214"/>
    <mergeCell ref="D18216:G18216"/>
    <mergeCell ref="D18218:G18218"/>
    <mergeCell ref="D18222:G18222"/>
    <mergeCell ref="D18227:G18227"/>
    <mergeCell ref="D18232:G18232"/>
    <mergeCell ref="D18237:G18237"/>
    <mergeCell ref="D18242:G18242"/>
    <mergeCell ref="D18248:G18248"/>
    <mergeCell ref="D18254:G18254"/>
    <mergeCell ref="D18257:G18257"/>
    <mergeCell ref="D18262:G18262"/>
    <mergeCell ref="D18267:G18267"/>
    <mergeCell ref="D18277:G18277"/>
    <mergeCell ref="D18291:G18291"/>
    <mergeCell ref="D18305:G18305"/>
    <mergeCell ref="D18320:G18320"/>
    <mergeCell ref="D18335:G18335"/>
    <mergeCell ref="D18347:G18347"/>
    <mergeCell ref="D18359:G18359"/>
    <mergeCell ref="D18372:G18372"/>
    <mergeCell ref="D18385:G18385"/>
    <mergeCell ref="D18398:G18398"/>
    <mergeCell ref="D18416:G18416"/>
    <mergeCell ref="D18427:G18427"/>
    <mergeCell ref="D18443:G18443"/>
    <mergeCell ref="D18461:G18461"/>
    <mergeCell ref="D18817:G18817"/>
    <mergeCell ref="D18829:G18829"/>
    <mergeCell ref="D18842:G18842"/>
    <mergeCell ref="D18851:G18851"/>
    <mergeCell ref="D18862:G18862"/>
    <mergeCell ref="D18875:G18875"/>
    <mergeCell ref="D18888:G18888"/>
    <mergeCell ref="D18896:G18896"/>
    <mergeCell ref="D18905:G18905"/>
    <mergeCell ref="D18914:G18914"/>
    <mergeCell ref="D18934:G18934"/>
    <mergeCell ref="D18949:G18949"/>
    <mergeCell ref="D18958:G18958"/>
    <mergeCell ref="D18970:G18970"/>
    <mergeCell ref="D19073:G19073"/>
    <mergeCell ref="D19087:G19087"/>
    <mergeCell ref="D19101:G19101"/>
    <mergeCell ref="D19118:G19118"/>
    <mergeCell ref="D19129:G19129"/>
    <mergeCell ref="D19140:G19140"/>
    <mergeCell ref="D19151:G19151"/>
    <mergeCell ref="D19159:G19159"/>
    <mergeCell ref="D19171:G19171"/>
    <mergeCell ref="D19182:G19182"/>
    <mergeCell ref="D19193:G19193"/>
    <mergeCell ref="D19204:G19204"/>
    <mergeCell ref="D19217:G19217"/>
    <mergeCell ref="D19230:G19230"/>
    <mergeCell ref="D19242:G19242"/>
    <mergeCell ref="D19251:G19251"/>
    <mergeCell ref="D19266:G19266"/>
    <mergeCell ref="D19276:G19276"/>
    <mergeCell ref="D19286:G19286"/>
    <mergeCell ref="D19298:G19298"/>
    <mergeCell ref="D19309:G19309"/>
    <mergeCell ref="D19320:G19320"/>
    <mergeCell ref="D19335:G19335"/>
    <mergeCell ref="D19346:G19346"/>
    <mergeCell ref="D19357:G19357"/>
    <mergeCell ref="D19368:G19368"/>
    <mergeCell ref="D19379:G19379"/>
    <mergeCell ref="D19390:G19390"/>
    <mergeCell ref="D19487:G19487"/>
    <mergeCell ref="D19497:G19497"/>
    <mergeCell ref="D19516:G19516"/>
    <mergeCell ref="D19528:G19528"/>
    <mergeCell ref="D19541:G19541"/>
    <mergeCell ref="D19545:G19545"/>
    <mergeCell ref="D19549:G19549"/>
    <mergeCell ref="D19401:G19401"/>
    <mergeCell ref="D19412:G19412"/>
    <mergeCell ref="D19425:G19425"/>
    <mergeCell ref="D19437:G19437"/>
    <mergeCell ref="D19449:G19449"/>
    <mergeCell ref="D19461:G19461"/>
    <mergeCell ref="D19476:G19476"/>
    <mergeCell ref="D18472:G18472"/>
    <mergeCell ref="D18484:G18484"/>
    <mergeCell ref="D18493:G18493"/>
    <mergeCell ref="D18505:G18505"/>
    <mergeCell ref="D18515:G18515"/>
    <mergeCell ref="D18525:G18525"/>
    <mergeCell ref="D18542:G18542"/>
    <mergeCell ref="D18544:G18544"/>
    <mergeCell ref="D18546:G18546"/>
    <mergeCell ref="D18548:G18548"/>
    <mergeCell ref="D18550:G18550"/>
    <mergeCell ref="D18552:G18552"/>
    <mergeCell ref="D18554:G18554"/>
    <mergeCell ref="D18558:G18558"/>
    <mergeCell ref="D18560:G18560"/>
    <mergeCell ref="D18562:G18562"/>
    <mergeCell ref="D18564:G18564"/>
    <mergeCell ref="D18566:G18566"/>
    <mergeCell ref="D18568:G18568"/>
    <mergeCell ref="D18570:G18570"/>
    <mergeCell ref="D18572:G18572"/>
    <mergeCell ref="D18577:G18577"/>
    <mergeCell ref="D18581:G18581"/>
    <mergeCell ref="D18587:G18587"/>
    <mergeCell ref="D18600:G18600"/>
    <mergeCell ref="D18613:G18613"/>
    <mergeCell ref="D18626:G18626"/>
    <mergeCell ref="D18639:G18639"/>
    <mergeCell ref="D18650:G18650"/>
    <mergeCell ref="D18659:G18659"/>
    <mergeCell ref="D18672:G18672"/>
    <mergeCell ref="D18685:G18685"/>
    <mergeCell ref="D18697:G18697"/>
    <mergeCell ref="D18707:G18707"/>
    <mergeCell ref="D18719:G18719"/>
    <mergeCell ref="D18734:G18734"/>
    <mergeCell ref="D18749:G18749"/>
    <mergeCell ref="D18761:G18761"/>
    <mergeCell ref="D18771:G18771"/>
    <mergeCell ref="D18783:G18783"/>
    <mergeCell ref="D18798:G18798"/>
    <mergeCell ref="D18809:G18809"/>
    <mergeCell ref="D18980:G18980"/>
    <mergeCell ref="D18991:G18991"/>
    <mergeCell ref="D19002:G19002"/>
    <mergeCell ref="D19010:G19010"/>
    <mergeCell ref="D19034:G19034"/>
    <mergeCell ref="D19043:G19043"/>
    <mergeCell ref="D19054:G19054"/>
    <mergeCell ref="D17256:G17256"/>
    <mergeCell ref="D17258:G17258"/>
    <mergeCell ref="D17260:G17260"/>
    <mergeCell ref="D17262:G17262"/>
    <mergeCell ref="D17264:G17264"/>
    <mergeCell ref="D17266:G17266"/>
    <mergeCell ref="D17268:G17268"/>
    <mergeCell ref="D17270:G17270"/>
    <mergeCell ref="D17272:G17272"/>
    <mergeCell ref="D17274:G17274"/>
    <mergeCell ref="D17276:G17276"/>
    <mergeCell ref="D17278:G17278"/>
    <mergeCell ref="D17280:G17280"/>
    <mergeCell ref="D17282:G17282"/>
    <mergeCell ref="D17284:G17284"/>
    <mergeCell ref="D17286:G17286"/>
    <mergeCell ref="D17288:G17288"/>
    <mergeCell ref="D17290:G17290"/>
    <mergeCell ref="D17292:G17292"/>
    <mergeCell ref="D17294:G17294"/>
    <mergeCell ref="D17296:G17296"/>
    <mergeCell ref="D17298:G17298"/>
    <mergeCell ref="D17300:G17300"/>
    <mergeCell ref="D17302:G17302"/>
    <mergeCell ref="D17309:G17309"/>
    <mergeCell ref="D17311:G17311"/>
    <mergeCell ref="D17313:G17313"/>
    <mergeCell ref="D17315:G17315"/>
    <mergeCell ref="D17317:G17317"/>
    <mergeCell ref="D17319:G17319"/>
    <mergeCell ref="D17321:G17321"/>
    <mergeCell ref="D17323:G17323"/>
    <mergeCell ref="D17327:G17327"/>
    <mergeCell ref="D17329:G17329"/>
    <mergeCell ref="D17331:G17331"/>
    <mergeCell ref="D17333:G17333"/>
    <mergeCell ref="D17335:G17335"/>
    <mergeCell ref="D17337:G17337"/>
    <mergeCell ref="D17339:G17339"/>
    <mergeCell ref="D17341:G17341"/>
    <mergeCell ref="D17343:G17343"/>
    <mergeCell ref="D17345:G17345"/>
    <mergeCell ref="D17347:G17347"/>
    <mergeCell ref="D17349:G17349"/>
    <mergeCell ref="D17351:G17351"/>
    <mergeCell ref="D17354:G17354"/>
    <mergeCell ref="D17356:G17356"/>
    <mergeCell ref="D17358:G17358"/>
    <mergeCell ref="D17360:G17360"/>
    <mergeCell ref="D17362:G17362"/>
    <mergeCell ref="D17364:G17364"/>
    <mergeCell ref="D17366:G17366"/>
    <mergeCell ref="D17368:G17368"/>
    <mergeCell ref="D17370:G17370"/>
    <mergeCell ref="D17372:G17372"/>
    <mergeCell ref="D17374:G17374"/>
    <mergeCell ref="D17376:G17376"/>
    <mergeCell ref="D17378:G17378"/>
    <mergeCell ref="D17380:G17380"/>
    <mergeCell ref="D17382:G17382"/>
    <mergeCell ref="D17384:G17384"/>
    <mergeCell ref="D17386:G17386"/>
    <mergeCell ref="D17388:G17388"/>
    <mergeCell ref="D17390:G17390"/>
    <mergeCell ref="D17392:G17392"/>
    <mergeCell ref="D17394:G17394"/>
    <mergeCell ref="D17396:G17396"/>
    <mergeCell ref="D17398:G17398"/>
    <mergeCell ref="D17400:G17400"/>
    <mergeCell ref="D17402:G17402"/>
    <mergeCell ref="D17404:G17404"/>
    <mergeCell ref="D17406:G17406"/>
    <mergeCell ref="D17408:G17408"/>
    <mergeCell ref="D17410:G17410"/>
    <mergeCell ref="D17412:G17412"/>
    <mergeCell ref="D17414:G17414"/>
    <mergeCell ref="D17416:G17416"/>
    <mergeCell ref="D17418:G17418"/>
    <mergeCell ref="D17420:G17420"/>
    <mergeCell ref="D17422:G17422"/>
    <mergeCell ref="D17424:G17424"/>
    <mergeCell ref="D17426:G17426"/>
    <mergeCell ref="D17428:G17428"/>
    <mergeCell ref="D17430:G17430"/>
    <mergeCell ref="D17432:G17432"/>
    <mergeCell ref="D17434:G17434"/>
    <mergeCell ref="D17436:G17436"/>
    <mergeCell ref="D17438:G17438"/>
    <mergeCell ref="D17440:G17440"/>
    <mergeCell ref="D17442:G17442"/>
    <mergeCell ref="D17444:G17444"/>
    <mergeCell ref="D17449:G17449"/>
    <mergeCell ref="D17451:G17451"/>
    <mergeCell ref="D17453:G17453"/>
    <mergeCell ref="D17455:G17455"/>
    <mergeCell ref="D17457:G17457"/>
    <mergeCell ref="D17459:G17459"/>
    <mergeCell ref="D17463:G17463"/>
    <mergeCell ref="D17465:G17465"/>
    <mergeCell ref="D17467:G17467"/>
    <mergeCell ref="D17469:G17469"/>
    <mergeCell ref="D17471:G17471"/>
    <mergeCell ref="D17473:G17473"/>
    <mergeCell ref="D17475:G17475"/>
    <mergeCell ref="D17477:G17477"/>
    <mergeCell ref="D17479:G17479"/>
    <mergeCell ref="D17481:G17481"/>
    <mergeCell ref="D17483:G17483"/>
    <mergeCell ref="D17485:G17485"/>
    <mergeCell ref="D17487:G17487"/>
    <mergeCell ref="D17489:G17489"/>
    <mergeCell ref="D17491:G17491"/>
    <mergeCell ref="D17493:G17493"/>
    <mergeCell ref="D17495:G17495"/>
    <mergeCell ref="D17497:G17497"/>
    <mergeCell ref="D17499:G17499"/>
    <mergeCell ref="D17501:G17501"/>
    <mergeCell ref="D17503:G17503"/>
    <mergeCell ref="D17505:G17505"/>
    <mergeCell ref="D17507:G17507"/>
    <mergeCell ref="D17509:G17509"/>
    <mergeCell ref="D17511:G17511"/>
    <mergeCell ref="D17513:G17513"/>
    <mergeCell ref="D17515:G17515"/>
    <mergeCell ref="D17517:G17517"/>
    <mergeCell ref="D17519:G17519"/>
    <mergeCell ref="D17521:G17521"/>
    <mergeCell ref="D17523:G17523"/>
    <mergeCell ref="D17527:G17527"/>
    <mergeCell ref="D17529:G17529"/>
    <mergeCell ref="D17531:G17531"/>
    <mergeCell ref="D17533:G17533"/>
    <mergeCell ref="D17535:G17535"/>
    <mergeCell ref="D17537:G17537"/>
    <mergeCell ref="D17539:G17539"/>
    <mergeCell ref="D17541:G17541"/>
    <mergeCell ref="D17543:G17543"/>
    <mergeCell ref="D17545:G17545"/>
    <mergeCell ref="D17547:G17547"/>
    <mergeCell ref="D17549:G17549"/>
    <mergeCell ref="D17551:G17551"/>
    <mergeCell ref="D17553:G17553"/>
    <mergeCell ref="D17555:G17555"/>
    <mergeCell ref="D17557:G17557"/>
    <mergeCell ref="D17559:G17559"/>
    <mergeCell ref="D17561:G17561"/>
    <mergeCell ref="D17563:G17563"/>
    <mergeCell ref="D17565:G17565"/>
    <mergeCell ref="D17567:G17567"/>
    <mergeCell ref="D17569:G17569"/>
    <mergeCell ref="D17571:G17571"/>
    <mergeCell ref="D17573:G17573"/>
    <mergeCell ref="D17575:G17575"/>
    <mergeCell ref="D17579:G17579"/>
    <mergeCell ref="D17581:G17581"/>
    <mergeCell ref="D17583:G17583"/>
    <mergeCell ref="D17585:G17585"/>
    <mergeCell ref="D17587:G17587"/>
    <mergeCell ref="D17589:G17589"/>
    <mergeCell ref="D17591:G17591"/>
    <mergeCell ref="D17593:G17593"/>
    <mergeCell ref="D17595:G17595"/>
    <mergeCell ref="D17597:G17597"/>
    <mergeCell ref="D17599:G17599"/>
    <mergeCell ref="D17601:G17601"/>
    <mergeCell ref="D17603:G17603"/>
    <mergeCell ref="D17605:G17605"/>
    <mergeCell ref="D17607:G17607"/>
    <mergeCell ref="D17609:G17609"/>
    <mergeCell ref="D17611:G17611"/>
    <mergeCell ref="D17613:G17613"/>
    <mergeCell ref="D17615:G17615"/>
    <mergeCell ref="D17617:G17617"/>
    <mergeCell ref="D17619:G17619"/>
    <mergeCell ref="D17621:G17621"/>
    <mergeCell ref="D17623:G17623"/>
    <mergeCell ref="D17625:G17625"/>
    <mergeCell ref="D17627:G17627"/>
    <mergeCell ref="D17629:G17629"/>
    <mergeCell ref="D17631:G17631"/>
    <mergeCell ref="D17633:G17633"/>
    <mergeCell ref="D17635:G17635"/>
    <mergeCell ref="D17637:G17637"/>
    <mergeCell ref="D17639:G17639"/>
    <mergeCell ref="D17641:G17641"/>
    <mergeCell ref="D17643:G17643"/>
    <mergeCell ref="D17646:G17646"/>
    <mergeCell ref="D17648:G17648"/>
    <mergeCell ref="D17650:G17650"/>
    <mergeCell ref="D17652:G17652"/>
    <mergeCell ref="D17654:G17654"/>
    <mergeCell ref="D17656:G17656"/>
    <mergeCell ref="D17658:G17658"/>
    <mergeCell ref="D17660:G17660"/>
    <mergeCell ref="D17662:G17662"/>
    <mergeCell ref="D17664:G17664"/>
    <mergeCell ref="D17666:G17666"/>
    <mergeCell ref="D17668:G17668"/>
    <mergeCell ref="D17670:G17670"/>
    <mergeCell ref="D17672:G17672"/>
    <mergeCell ref="D17674:G17674"/>
    <mergeCell ref="D17676:G17676"/>
    <mergeCell ref="D17678:G17678"/>
    <mergeCell ref="D17680:G17680"/>
    <mergeCell ref="D17682:G17682"/>
    <mergeCell ref="D17684:G17684"/>
    <mergeCell ref="D17686:G17686"/>
    <mergeCell ref="D17688:G17688"/>
    <mergeCell ref="D17690:G17690"/>
    <mergeCell ref="D17692:G17692"/>
    <mergeCell ref="D17694:G17694"/>
    <mergeCell ref="D17696:G17696"/>
    <mergeCell ref="D17698:G17698"/>
    <mergeCell ref="D17700:G17700"/>
    <mergeCell ref="D17704:G17704"/>
    <mergeCell ref="D17706:G17706"/>
    <mergeCell ref="D17708:G17708"/>
    <mergeCell ref="D17712:G17712"/>
    <mergeCell ref="D17714:G17714"/>
    <mergeCell ref="D17716:G17716"/>
    <mergeCell ref="D17718:G17718"/>
    <mergeCell ref="D17720:G17720"/>
    <mergeCell ref="D17722:G17722"/>
    <mergeCell ref="D17724:G17724"/>
    <mergeCell ref="D17726:G17726"/>
    <mergeCell ref="D17728:G17728"/>
    <mergeCell ref="D17730:G17730"/>
    <mergeCell ref="D17732:G17732"/>
    <mergeCell ref="D17734:G17734"/>
    <mergeCell ref="D17736:G17736"/>
    <mergeCell ref="D17738:G17738"/>
    <mergeCell ref="D17740:G17740"/>
    <mergeCell ref="D17742:G17742"/>
    <mergeCell ref="D17744:G17744"/>
    <mergeCell ref="D17746:G17746"/>
    <mergeCell ref="D17748:G17748"/>
    <mergeCell ref="D17750:G17750"/>
    <mergeCell ref="D17752:G17752"/>
    <mergeCell ref="D17754:G17754"/>
    <mergeCell ref="D17756:G17756"/>
    <mergeCell ref="D17758:G17758"/>
    <mergeCell ref="D17760:G17760"/>
    <mergeCell ref="D17762:G17762"/>
    <mergeCell ref="D17764:G17764"/>
    <mergeCell ref="D17766:G17766"/>
    <mergeCell ref="D17768:G17768"/>
    <mergeCell ref="D17770:G17770"/>
    <mergeCell ref="D17772:G17772"/>
    <mergeCell ref="D17774:G17774"/>
    <mergeCell ref="D17776:G17776"/>
    <mergeCell ref="D17780:G17780"/>
    <mergeCell ref="D17782:G17782"/>
    <mergeCell ref="D17784:G17784"/>
    <mergeCell ref="D17786:G17786"/>
    <mergeCell ref="D17788:G17788"/>
    <mergeCell ref="D17790:G17790"/>
    <mergeCell ref="D17792:G17792"/>
    <mergeCell ref="D17794:G17794"/>
    <mergeCell ref="D17796:G17796"/>
    <mergeCell ref="D17798:G17798"/>
    <mergeCell ref="D17800:G17800"/>
    <mergeCell ref="D17802:G17802"/>
    <mergeCell ref="D17804:G17804"/>
    <mergeCell ref="D17806:G17806"/>
    <mergeCell ref="D17808:G17808"/>
    <mergeCell ref="D17810:G17810"/>
    <mergeCell ref="D17812:G17812"/>
    <mergeCell ref="D17814:G17814"/>
    <mergeCell ref="D17816:G17816"/>
    <mergeCell ref="D17818:G17818"/>
    <mergeCell ref="D17820:G17820"/>
    <mergeCell ref="D17822:G17822"/>
    <mergeCell ref="D17824:G17824"/>
    <mergeCell ref="D17826:G17826"/>
    <mergeCell ref="D17828:G17828"/>
    <mergeCell ref="D17830:G17830"/>
    <mergeCell ref="D17832:G17832"/>
    <mergeCell ref="D17834:G17834"/>
    <mergeCell ref="D17836:G17836"/>
    <mergeCell ref="D17838:G17838"/>
    <mergeCell ref="D17840:G17840"/>
    <mergeCell ref="D17842:G17842"/>
    <mergeCell ref="D17844:G17844"/>
    <mergeCell ref="D17846:G17846"/>
    <mergeCell ref="D17848:G17848"/>
    <mergeCell ref="D17850:G17850"/>
    <mergeCell ref="D17852:G17852"/>
    <mergeCell ref="D17856:G17856"/>
    <mergeCell ref="D17858:G17858"/>
    <mergeCell ref="D17860:G17860"/>
    <mergeCell ref="D17862:G17862"/>
    <mergeCell ref="D17864:G17864"/>
    <mergeCell ref="D17866:G17866"/>
    <mergeCell ref="D17868:G17868"/>
    <mergeCell ref="D17870:G17870"/>
    <mergeCell ref="D17872:G17872"/>
    <mergeCell ref="D17874:G17874"/>
    <mergeCell ref="D17876:G17876"/>
    <mergeCell ref="D17878:G17878"/>
    <mergeCell ref="D17880:G17880"/>
    <mergeCell ref="D17882:G17882"/>
    <mergeCell ref="D17884:G17884"/>
    <mergeCell ref="D17886:G17886"/>
    <mergeCell ref="D17888:G17888"/>
    <mergeCell ref="D17890:G17890"/>
    <mergeCell ref="D17892:G17892"/>
    <mergeCell ref="D17894:G17894"/>
    <mergeCell ref="D17896:G17896"/>
    <mergeCell ref="D17898:G17898"/>
    <mergeCell ref="D17900:G17900"/>
    <mergeCell ref="D17902:G17902"/>
    <mergeCell ref="D17904:G17904"/>
    <mergeCell ref="D17906:G17906"/>
    <mergeCell ref="D17908:G17908"/>
    <mergeCell ref="D17910:G17910"/>
    <mergeCell ref="D17912:G17912"/>
    <mergeCell ref="D17914:G17914"/>
    <mergeCell ref="D17916:G17916"/>
    <mergeCell ref="D17918:G17918"/>
    <mergeCell ref="D17920:G17920"/>
    <mergeCell ref="D17922:G17922"/>
    <mergeCell ref="D17924:G17924"/>
    <mergeCell ref="D17926:G17926"/>
    <mergeCell ref="D17928:G17928"/>
    <mergeCell ref="D17930:G17930"/>
    <mergeCell ref="D17932:G17932"/>
    <mergeCell ref="D17934:G17934"/>
    <mergeCell ref="D17936:G17936"/>
    <mergeCell ref="D17938:G17938"/>
    <mergeCell ref="D17940:G17940"/>
    <mergeCell ref="D17942:G17942"/>
    <mergeCell ref="D17944:G17944"/>
    <mergeCell ref="D17946:G17946"/>
    <mergeCell ref="D17948:G17948"/>
    <mergeCell ref="D17950:G17950"/>
    <mergeCell ref="D17952:G17952"/>
    <mergeCell ref="D17954:G17954"/>
    <mergeCell ref="D17956:G17956"/>
    <mergeCell ref="D17958:G17958"/>
    <mergeCell ref="D17960:G17960"/>
    <mergeCell ref="D17962:G17962"/>
    <mergeCell ref="D17964:G17964"/>
    <mergeCell ref="D17966:G17966"/>
    <mergeCell ref="D2703:G2703"/>
    <mergeCell ref="D2713:G2713"/>
    <mergeCell ref="D2723:G2723"/>
    <mergeCell ref="D2734:G2734"/>
    <mergeCell ref="D2745:G2745"/>
    <mergeCell ref="D2756:G2756"/>
    <mergeCell ref="D2768:G2768"/>
    <mergeCell ref="D2778:G2778"/>
    <mergeCell ref="D2788:G2788"/>
    <mergeCell ref="D2798:G2798"/>
    <mergeCell ref="D2808:G2808"/>
    <mergeCell ref="D2819:G2819"/>
    <mergeCell ref="D2830:G2830"/>
    <mergeCell ref="D2841:G2841"/>
    <mergeCell ref="D2229:G2229"/>
    <mergeCell ref="D2239:G2239"/>
    <mergeCell ref="D2250:G2250"/>
    <mergeCell ref="D2261:G2261"/>
    <mergeCell ref="D2272:G2272"/>
    <mergeCell ref="D2283:G2283"/>
    <mergeCell ref="D2294:G2294"/>
    <mergeCell ref="D2305:G2305"/>
    <mergeCell ref="D2315:G2315"/>
    <mergeCell ref="D2325:G2325"/>
    <mergeCell ref="D2336:G2336"/>
    <mergeCell ref="D2347:G2347"/>
    <mergeCell ref="D2358:G2358"/>
    <mergeCell ref="D2369:G2369"/>
    <mergeCell ref="D2380:G2380"/>
    <mergeCell ref="D2391:G2391"/>
    <mergeCell ref="D2402:G2402"/>
    <mergeCell ref="D2413:G2413"/>
    <mergeCell ref="D2424:G2424"/>
    <mergeCell ref="D2435:G2435"/>
    <mergeCell ref="D2447:G2447"/>
    <mergeCell ref="D2459:G2459"/>
    <mergeCell ref="D2474:G2474"/>
    <mergeCell ref="D2487:G2487"/>
    <mergeCell ref="D2497:G2497"/>
    <mergeCell ref="D2510:G2510"/>
    <mergeCell ref="D2524:G2524"/>
    <mergeCell ref="D2535:G2535"/>
    <mergeCell ref="D2541:G2541"/>
    <mergeCell ref="D2550:G2550"/>
    <mergeCell ref="D2562:G2562"/>
    <mergeCell ref="D2571:G2571"/>
    <mergeCell ref="D2583:G2583"/>
    <mergeCell ref="D2595:G2595"/>
    <mergeCell ref="D2601:G2601"/>
    <mergeCell ref="D2609:G2609"/>
    <mergeCell ref="D2616:G2616"/>
    <mergeCell ref="D2624:G2624"/>
    <mergeCell ref="D2639:G2639"/>
    <mergeCell ref="D2654:G2654"/>
    <mergeCell ref="D2669:G2669"/>
    <mergeCell ref="D2686:G2686"/>
    <mergeCell ref="D2853:G2853"/>
    <mergeCell ref="D2865:G2865"/>
    <mergeCell ref="D2875:G2875"/>
    <mergeCell ref="D2880:G2880"/>
    <mergeCell ref="D2895:G2895"/>
    <mergeCell ref="D2908:G2908"/>
    <mergeCell ref="D2918:G2918"/>
    <mergeCell ref="D411:G411"/>
    <mergeCell ref="D422:G422"/>
    <mergeCell ref="D433:G433"/>
    <mergeCell ref="D443:G443"/>
    <mergeCell ref="D453:G453"/>
    <mergeCell ref="D464:G464"/>
    <mergeCell ref="D475:G475"/>
    <mergeCell ref="D486:G486"/>
    <mergeCell ref="D497:G497"/>
    <mergeCell ref="D509:G509"/>
    <mergeCell ref="D521:G521"/>
    <mergeCell ref="D535:G535"/>
    <mergeCell ref="D549:G549"/>
    <mergeCell ref="D560:G560"/>
    <mergeCell ref="B1:G1"/>
    <mergeCell ref="A2:D2"/>
    <mergeCell ref="D9:G9"/>
    <mergeCell ref="D18:G18"/>
    <mergeCell ref="D27:G27"/>
    <mergeCell ref="D37:G37"/>
    <mergeCell ref="D47:G47"/>
    <mergeCell ref="D57:G57"/>
    <mergeCell ref="D67:G67"/>
    <mergeCell ref="D76:G76"/>
    <mergeCell ref="D85:G85"/>
    <mergeCell ref="D95:G95"/>
    <mergeCell ref="D105:G105"/>
    <mergeCell ref="D115:G115"/>
    <mergeCell ref="D125:G125"/>
    <mergeCell ref="D134:G134"/>
    <mergeCell ref="D143:G143"/>
    <mergeCell ref="D153:G153"/>
    <mergeCell ref="D163:G163"/>
    <mergeCell ref="D173:G173"/>
    <mergeCell ref="D183:G183"/>
    <mergeCell ref="D192:G192"/>
    <mergeCell ref="D201:G201"/>
    <mergeCell ref="D211:G211"/>
    <mergeCell ref="D221:G221"/>
    <mergeCell ref="D231:G231"/>
    <mergeCell ref="D241:G241"/>
    <mergeCell ref="D251:G251"/>
    <mergeCell ref="D261:G261"/>
    <mergeCell ref="D272:G272"/>
    <mergeCell ref="D283:G283"/>
    <mergeCell ref="D294:G294"/>
    <mergeCell ref="D305:G305"/>
    <mergeCell ref="D315:G315"/>
    <mergeCell ref="D325:G325"/>
    <mergeCell ref="D336:G336"/>
    <mergeCell ref="D347:G347"/>
    <mergeCell ref="D358:G358"/>
    <mergeCell ref="D369:G369"/>
    <mergeCell ref="D379:G379"/>
    <mergeCell ref="D389:G389"/>
    <mergeCell ref="D400:G400"/>
    <mergeCell ref="D575:G575"/>
    <mergeCell ref="D577:G577"/>
    <mergeCell ref="D579:G579"/>
    <mergeCell ref="D594:G594"/>
    <mergeCell ref="D607:G607"/>
    <mergeCell ref="D616:G616"/>
    <mergeCell ref="D629:G629"/>
    <mergeCell ref="D1030:G1030"/>
    <mergeCell ref="D1034:G1034"/>
    <mergeCell ref="D1047:G1047"/>
    <mergeCell ref="D1055:G1055"/>
    <mergeCell ref="D1060:G1060"/>
    <mergeCell ref="D1065:G1065"/>
    <mergeCell ref="D1074:G1074"/>
    <mergeCell ref="D1082:G1082"/>
    <mergeCell ref="D1090:G1090"/>
    <mergeCell ref="D1096:G1096"/>
    <mergeCell ref="D1100:G1100"/>
    <mergeCell ref="D1104:G1104"/>
    <mergeCell ref="D1115:G1115"/>
    <mergeCell ref="D1126:G1126"/>
    <mergeCell ref="D641:G641"/>
    <mergeCell ref="D651:G651"/>
    <mergeCell ref="D662:G662"/>
    <mergeCell ref="D672:G672"/>
    <mergeCell ref="D682:G682"/>
    <mergeCell ref="D694:G694"/>
    <mergeCell ref="D706:G706"/>
    <mergeCell ref="D717:G717"/>
    <mergeCell ref="D727:G727"/>
    <mergeCell ref="D737:G737"/>
    <mergeCell ref="D747:G747"/>
    <mergeCell ref="D758:G758"/>
    <mergeCell ref="D766:G766"/>
    <mergeCell ref="D783:G783"/>
    <mergeCell ref="D795:G795"/>
    <mergeCell ref="D801:G801"/>
    <mergeCell ref="D818:G818"/>
    <mergeCell ref="D826:G826"/>
    <mergeCell ref="D837:G837"/>
    <mergeCell ref="D847:G847"/>
    <mergeCell ref="D857:G857"/>
    <mergeCell ref="D871:G871"/>
    <mergeCell ref="D882:G882"/>
    <mergeCell ref="D892:G892"/>
    <mergeCell ref="D900:G900"/>
    <mergeCell ref="D904:G904"/>
    <mergeCell ref="D908:G908"/>
    <mergeCell ref="D913:G913"/>
    <mergeCell ref="D919:G919"/>
    <mergeCell ref="D927:G927"/>
    <mergeCell ref="D935:G935"/>
    <mergeCell ref="D939:G939"/>
    <mergeCell ref="D943:G943"/>
    <mergeCell ref="D953:G953"/>
    <mergeCell ref="D969:G969"/>
    <mergeCell ref="D973:G973"/>
    <mergeCell ref="D982:G982"/>
    <mergeCell ref="D987:G987"/>
    <mergeCell ref="D993:G993"/>
    <mergeCell ref="D1002:G1002"/>
    <mergeCell ref="D1014:G1014"/>
    <mergeCell ref="D1025:G1025"/>
    <mergeCell ref="D1137:G1137"/>
    <mergeCell ref="D1148:G1148"/>
    <mergeCell ref="D1159:G1159"/>
    <mergeCell ref="D1168:G1168"/>
    <mergeCell ref="D1177:G1177"/>
    <mergeCell ref="D1186:G1186"/>
    <mergeCell ref="D1195:G1195"/>
    <mergeCell ref="D1207:G1207"/>
    <mergeCell ref="D1219:G1219"/>
    <mergeCell ref="D1231:G1231"/>
    <mergeCell ref="D1240:G1240"/>
    <mergeCell ref="D1260:G1260"/>
    <mergeCell ref="D1269:G1269"/>
    <mergeCell ref="D1278:G1278"/>
    <mergeCell ref="D1290:G1290"/>
    <mergeCell ref="D1302:G1302"/>
    <mergeCell ref="D1314:G1314"/>
    <mergeCell ref="D1328:G1328"/>
    <mergeCell ref="D1337:G1337"/>
    <mergeCell ref="D1346:G1346"/>
    <mergeCell ref="D1358:G1358"/>
    <mergeCell ref="D1370:G1370"/>
    <mergeCell ref="D1379:G1379"/>
    <mergeCell ref="D1388:G1388"/>
    <mergeCell ref="D1400:G1400"/>
    <mergeCell ref="D1416:G1416"/>
    <mergeCell ref="D1425:G1425"/>
    <mergeCell ref="D1434:G1434"/>
    <mergeCell ref="D1443:G1443"/>
    <mergeCell ref="D1458:G1458"/>
    <mergeCell ref="D1470:G1470"/>
    <mergeCell ref="D1472:G1472"/>
    <mergeCell ref="D1474:G1474"/>
    <mergeCell ref="D1476:G1476"/>
    <mergeCell ref="D1480:G1480"/>
    <mergeCell ref="D1494:G1494"/>
    <mergeCell ref="D1518:G1518"/>
    <mergeCell ref="D1527:G1527"/>
    <mergeCell ref="D1536:G1536"/>
    <mergeCell ref="D1545:G1545"/>
    <mergeCell ref="D1554:G1554"/>
    <mergeCell ref="D1563:G1563"/>
    <mergeCell ref="D1572:G1572"/>
    <mergeCell ref="D1580:G1580"/>
    <mergeCell ref="D1589:G1589"/>
    <mergeCell ref="D1598:G1598"/>
    <mergeCell ref="D1608:G1608"/>
    <mergeCell ref="D1618:G1618"/>
    <mergeCell ref="D1627:G1627"/>
    <mergeCell ref="D1636:G1636"/>
    <mergeCell ref="D1645:G1645"/>
    <mergeCell ref="D1654:G1654"/>
    <mergeCell ref="D1662:G1662"/>
    <mergeCell ref="D1670:G1670"/>
    <mergeCell ref="D1678:G1678"/>
    <mergeCell ref="D1686:G1686"/>
    <mergeCell ref="D1698:G1698"/>
    <mergeCell ref="D1708:G1708"/>
    <mergeCell ref="D1720:G1720"/>
    <mergeCell ref="D1733:G1733"/>
    <mergeCell ref="D1745:G1745"/>
    <mergeCell ref="D1755:G1755"/>
    <mergeCell ref="D1764:G1764"/>
    <mergeCell ref="D1773:G1773"/>
    <mergeCell ref="D1782:G1782"/>
    <mergeCell ref="D1792:G1792"/>
    <mergeCell ref="D1805:G1805"/>
    <mergeCell ref="D1816:G1816"/>
    <mergeCell ref="D1825:G1825"/>
    <mergeCell ref="D1837:G1837"/>
    <mergeCell ref="D1845:G1845"/>
    <mergeCell ref="D1853:G1853"/>
    <mergeCell ref="D1861:G1861"/>
    <mergeCell ref="D1870:G1870"/>
    <mergeCell ref="D1881:G1881"/>
    <mergeCell ref="D1892:G1892"/>
    <mergeCell ref="D1903:G1903"/>
    <mergeCell ref="D1914:G1914"/>
    <mergeCell ref="D1925:G1925"/>
    <mergeCell ref="D1934:G1934"/>
    <mergeCell ref="D1943:G1943"/>
    <mergeCell ref="D1952:G1952"/>
    <mergeCell ref="D1961:G1961"/>
    <mergeCell ref="D1973:G1973"/>
    <mergeCell ref="D1982:G1982"/>
    <mergeCell ref="D1995:G1995"/>
    <mergeCell ref="D2006:G2006"/>
    <mergeCell ref="D2015:G2015"/>
    <mergeCell ref="D2029:G2029"/>
    <mergeCell ref="D2043:G2043"/>
    <mergeCell ref="D2052:G2052"/>
    <mergeCell ref="D2063:G2063"/>
    <mergeCell ref="D2072:G2072"/>
    <mergeCell ref="D2082:G2082"/>
    <mergeCell ref="D2092:G2092"/>
    <mergeCell ref="D2104:G2104"/>
    <mergeCell ref="D2115:G2115"/>
    <mergeCell ref="D2131:G2131"/>
    <mergeCell ref="D2142:G2142"/>
    <mergeCell ref="D2153:G2153"/>
    <mergeCell ref="D2164:G2164"/>
    <mergeCell ref="D2178:G2178"/>
    <mergeCell ref="D2191:G2191"/>
    <mergeCell ref="D2202:G2202"/>
    <mergeCell ref="D2215:G2215"/>
    <mergeCell ref="D2930:G2930"/>
    <mergeCell ref="D2943:G2943"/>
    <mergeCell ref="D2965:G2965"/>
    <mergeCell ref="D2984:G2984"/>
    <mergeCell ref="D2989:G2989"/>
    <mergeCell ref="D2998:G2998"/>
    <mergeCell ref="D3002:G3002"/>
    <mergeCell ref="D3014:G3014"/>
    <mergeCell ref="D3018:G3018"/>
    <mergeCell ref="D3028:G3028"/>
    <mergeCell ref="D3042:G3042"/>
    <mergeCell ref="D3052:G3052"/>
    <mergeCell ref="D3064:G3064"/>
    <mergeCell ref="D3076:G3076"/>
    <mergeCell ref="D3088:G3088"/>
    <mergeCell ref="D3103:G3103"/>
    <mergeCell ref="D3118:G3118"/>
    <mergeCell ref="D3133:G3133"/>
    <mergeCell ref="D3145:G3145"/>
    <mergeCell ref="D3156:G3156"/>
    <mergeCell ref="D3171:G3171"/>
    <mergeCell ref="D3186:G3186"/>
    <mergeCell ref="D3201:G3201"/>
    <mergeCell ref="D3215:G3215"/>
    <mergeCell ref="D3229:G3229"/>
    <mergeCell ref="D3243:G3243"/>
    <mergeCell ref="D3261:G3261"/>
    <mergeCell ref="D3279:G3279"/>
    <mergeCell ref="D3289:G3289"/>
    <mergeCell ref="D3307:G3307"/>
    <mergeCell ref="D3325:G3325"/>
    <mergeCell ref="D3344:G3344"/>
    <mergeCell ref="D3363:G3363"/>
    <mergeCell ref="D3382:G3382"/>
    <mergeCell ref="D3401:G3401"/>
    <mergeCell ref="D3420:G3420"/>
    <mergeCell ref="D3439:G3439"/>
    <mergeCell ref="D3458:G3458"/>
    <mergeCell ref="D3477:G3477"/>
    <mergeCell ref="D3488:G3488"/>
    <mergeCell ref="D3499:G3499"/>
    <mergeCell ref="D3512:G3512"/>
    <mergeCell ref="D3556:G3556"/>
    <mergeCell ref="D3585:G3585"/>
    <mergeCell ref="D3593:G3593"/>
    <mergeCell ref="D3610:G3610"/>
    <mergeCell ref="D3630:G3630"/>
    <mergeCell ref="D3635:G3635"/>
    <mergeCell ref="D3705:G3705"/>
    <mergeCell ref="D4369:G4369"/>
    <mergeCell ref="D4380:G4380"/>
    <mergeCell ref="D4391:G4391"/>
    <mergeCell ref="D4402:G4402"/>
    <mergeCell ref="D4417:G4417"/>
    <mergeCell ref="D4428:G4428"/>
    <mergeCell ref="D4439:G4439"/>
    <mergeCell ref="D4450:G4450"/>
    <mergeCell ref="D4461:G4461"/>
    <mergeCell ref="D4472:G4472"/>
    <mergeCell ref="D4483:G4483"/>
    <mergeCell ref="D4494:G4494"/>
    <mergeCell ref="D4511:G4511"/>
    <mergeCell ref="D4528:G4528"/>
    <mergeCell ref="D4542:G4542"/>
    <mergeCell ref="D4556:G4556"/>
    <mergeCell ref="D4572:G4572"/>
    <mergeCell ref="D4590:G4590"/>
    <mergeCell ref="D4603:G4603"/>
    <mergeCell ref="D4618:G4618"/>
    <mergeCell ref="D4631:G4631"/>
    <mergeCell ref="D4644:G4644"/>
    <mergeCell ref="D4657:G4657"/>
    <mergeCell ref="D4672:G4672"/>
    <mergeCell ref="D4684:G4684"/>
    <mergeCell ref="D4696:G4696"/>
    <mergeCell ref="D4710:G4710"/>
    <mergeCell ref="D4727:G4727"/>
    <mergeCell ref="D4741:G4741"/>
    <mergeCell ref="D4758:G4758"/>
    <mergeCell ref="D4774:G4774"/>
    <mergeCell ref="D4792:G4792"/>
    <mergeCell ref="D4814:G4814"/>
    <mergeCell ref="D4836:G4836"/>
    <mergeCell ref="D4848:G4848"/>
    <mergeCell ref="D4865:G4865"/>
    <mergeCell ref="D4883:G4883"/>
    <mergeCell ref="D4905:G4905"/>
    <mergeCell ref="D4933:G4933"/>
    <mergeCell ref="D4961:G4961"/>
    <mergeCell ref="D4987:G4987"/>
    <mergeCell ref="D5010:G5010"/>
    <mergeCell ref="D5037:G5037"/>
    <mergeCell ref="D5046:G5046"/>
    <mergeCell ref="D5056:G5056"/>
    <mergeCell ref="D5073:G5073"/>
    <mergeCell ref="D5090:G5090"/>
    <mergeCell ref="D5102:G5102"/>
    <mergeCell ref="D5111:G5111"/>
    <mergeCell ref="D5120:G5120"/>
    <mergeCell ref="D5129:G5129"/>
    <mergeCell ref="D5134:G5134"/>
    <mergeCell ref="D5139:G5139"/>
    <mergeCell ref="D5144:G5144"/>
    <mergeCell ref="D5150:G5150"/>
    <mergeCell ref="D5157:G5157"/>
    <mergeCell ref="D5179:G5179"/>
    <mergeCell ref="D5194:G5194"/>
    <mergeCell ref="D5216:G5216"/>
    <mergeCell ref="D5231:G5231"/>
    <mergeCell ref="D5253:G5253"/>
    <mergeCell ref="D5270:G5270"/>
    <mergeCell ref="D5290:G5290"/>
    <mergeCell ref="D5306:G5306"/>
    <mergeCell ref="D5326:G5326"/>
    <mergeCell ref="D5342:G5342"/>
    <mergeCell ref="D5364:G5364"/>
    <mergeCell ref="D5379:G5379"/>
    <mergeCell ref="D5397:G5397"/>
    <mergeCell ref="D5406:G5406"/>
    <mergeCell ref="D3766:G3766"/>
    <mergeCell ref="D3778:G3778"/>
    <mergeCell ref="D3788:G3788"/>
    <mergeCell ref="D3817:G3817"/>
    <mergeCell ref="D3831:G3831"/>
    <mergeCell ref="D3844:G3844"/>
    <mergeCell ref="D3857:G3857"/>
    <mergeCell ref="D3870:G3870"/>
    <mergeCell ref="D3883:G3883"/>
    <mergeCell ref="D3896:G3896"/>
    <mergeCell ref="D3909:G3909"/>
    <mergeCell ref="D3926:G3926"/>
    <mergeCell ref="D3937:G3937"/>
    <mergeCell ref="D3950:G3950"/>
    <mergeCell ref="D3960:G3960"/>
    <mergeCell ref="D3980:G3980"/>
    <mergeCell ref="D4000:G4000"/>
    <mergeCell ref="D4019:G4019"/>
    <mergeCell ref="D4044:G4044"/>
    <mergeCell ref="D4069:G4069"/>
    <mergeCell ref="D4094:G4094"/>
    <mergeCell ref="D4119:G4119"/>
    <mergeCell ref="D4142:G4142"/>
    <mergeCell ref="D4155:G4155"/>
    <mergeCell ref="D4161:G4161"/>
    <mergeCell ref="D4172:G4172"/>
    <mergeCell ref="D4183:G4183"/>
    <mergeCell ref="D4195:G4195"/>
    <mergeCell ref="D4207:G4207"/>
    <mergeCell ref="D4226:G4226"/>
    <mergeCell ref="D4237:G4237"/>
    <mergeCell ref="D4248:G4248"/>
    <mergeCell ref="D4260:G4260"/>
    <mergeCell ref="D4271:G4271"/>
    <mergeCell ref="D4282:G4282"/>
    <mergeCell ref="D4294:G4294"/>
    <mergeCell ref="D4307:G4307"/>
    <mergeCell ref="D4317:G4317"/>
    <mergeCell ref="D4328:G4328"/>
    <mergeCell ref="D4340:G4340"/>
    <mergeCell ref="D4350:G4350"/>
    <mergeCell ref="D4359:G4359"/>
    <mergeCell ref="D5428:G5428"/>
    <mergeCell ref="D5450:G5450"/>
    <mergeCell ref="D5462:G5462"/>
    <mergeCell ref="D5474:G5474"/>
    <mergeCell ref="D5487:G5487"/>
    <mergeCell ref="D5506:G5506"/>
    <mergeCell ref="D5516:G5516"/>
    <mergeCell ref="D5527:G5527"/>
    <mergeCell ref="D5546:G5546"/>
    <mergeCell ref="D5566:G5566"/>
    <mergeCell ref="D5577:G5577"/>
    <mergeCell ref="D5588:G5588"/>
    <mergeCell ref="D5602:G5602"/>
    <mergeCell ref="D5606:G5606"/>
    <mergeCell ref="D5610:G5610"/>
    <mergeCell ref="D5614:G5614"/>
    <mergeCell ref="D5623:G5623"/>
    <mergeCell ref="D5632:G5632"/>
    <mergeCell ref="D5642:G5642"/>
    <mergeCell ref="D5652:G5652"/>
    <mergeCell ref="D5664:G5664"/>
    <mergeCell ref="D5679:G5679"/>
    <mergeCell ref="D5692:G5692"/>
    <mergeCell ref="D5702:G5702"/>
    <mergeCell ref="D5715:G5715"/>
    <mergeCell ref="D5728:G5728"/>
    <mergeCell ref="D5738:G5738"/>
    <mergeCell ref="D5749:G5749"/>
    <mergeCell ref="D5760:G5760"/>
    <mergeCell ref="D5765:G5765"/>
    <mergeCell ref="D5770:G5770"/>
    <mergeCell ref="D5776:G5776"/>
    <mergeCell ref="D5786:G5786"/>
    <mergeCell ref="D5796:G5796"/>
    <mergeCell ref="D5800:G5800"/>
    <mergeCell ref="D5807:G5807"/>
    <mergeCell ref="D5828:G5828"/>
    <mergeCell ref="D5839:G5839"/>
    <mergeCell ref="D5850:G5850"/>
    <mergeCell ref="D5862:G5862"/>
    <mergeCell ref="D5875:G5875"/>
    <mergeCell ref="D5888:G5888"/>
    <mergeCell ref="D5901:G5901"/>
    <mergeCell ref="D5917:G5917"/>
    <mergeCell ref="D5927:G5927"/>
    <mergeCell ref="D5937:G5937"/>
    <mergeCell ref="D5949:G5949"/>
    <mergeCell ref="D5961:G5961"/>
    <mergeCell ref="D5973:G5973"/>
    <mergeCell ref="D5985:G5985"/>
    <mergeCell ref="D5997:G5997"/>
    <mergeCell ref="D6009:G6009"/>
    <mergeCell ref="D6021:G6021"/>
    <mergeCell ref="D6035:G6035"/>
    <mergeCell ref="D6049:G6049"/>
    <mergeCell ref="D6061:G6061"/>
    <mergeCell ref="D6073:G6073"/>
    <mergeCell ref="D6085:G6085"/>
    <mergeCell ref="D6097:G6097"/>
    <mergeCell ref="D6111:G6111"/>
    <mergeCell ref="D6125:G6125"/>
    <mergeCell ref="D6137:G6137"/>
    <mergeCell ref="D6151:G6151"/>
    <mergeCell ref="D6163:G6163"/>
    <mergeCell ref="D6175:G6175"/>
    <mergeCell ref="D6187:G6187"/>
    <mergeCell ref="D6199:G6199"/>
    <mergeCell ref="D6211:G6211"/>
    <mergeCell ref="D6227:G6227"/>
    <mergeCell ref="D6239:G6239"/>
    <mergeCell ref="D6251:G6251"/>
    <mergeCell ref="D6263:G6263"/>
    <mergeCell ref="D6275:G6275"/>
    <mergeCell ref="D6287:G6287"/>
    <mergeCell ref="D6299:G6299"/>
    <mergeCell ref="D6313:G6313"/>
    <mergeCell ref="D6327:G6327"/>
    <mergeCell ref="D6341:G6341"/>
    <mergeCell ref="D6355:G6355"/>
    <mergeCell ref="D6367:G6367"/>
    <mergeCell ref="D6379:G6379"/>
    <mergeCell ref="D6391:G6391"/>
    <mergeCell ref="D6403:G6403"/>
    <mergeCell ref="D6417:G6417"/>
    <mergeCell ref="D6429:G6429"/>
    <mergeCell ref="D6441:G6441"/>
    <mergeCell ref="D6453:G6453"/>
    <mergeCell ref="D6465:G6465"/>
    <mergeCell ref="D6478:G6478"/>
    <mergeCell ref="D6491:G6491"/>
    <mergeCell ref="D6503:G6503"/>
    <mergeCell ref="D6515:G6515"/>
    <mergeCell ref="D6528:G6528"/>
    <mergeCell ref="D6541:G6541"/>
    <mergeCell ref="D6554:G6554"/>
    <mergeCell ref="D6568:G6568"/>
    <mergeCell ref="D6580:G6580"/>
    <mergeCell ref="D6592:G6592"/>
    <mergeCell ref="D6606:G6606"/>
    <mergeCell ref="D6618:G6618"/>
    <mergeCell ref="D6630:G6630"/>
    <mergeCell ref="D6642:G6642"/>
    <mergeCell ref="D6654:G6654"/>
    <mergeCell ref="D6666:G6666"/>
    <mergeCell ref="D6678:G6678"/>
    <mergeCell ref="D7224:G7224"/>
    <mergeCell ref="D7234:G7234"/>
    <mergeCell ref="D7242:G7242"/>
    <mergeCell ref="D7253:G7253"/>
    <mergeCell ref="D7263:G7263"/>
    <mergeCell ref="D7271:G7271"/>
    <mergeCell ref="D7280:G7280"/>
    <mergeCell ref="D7288:G7288"/>
    <mergeCell ref="D7296:G7296"/>
    <mergeCell ref="D7307:G7307"/>
    <mergeCell ref="D7316:G7316"/>
    <mergeCell ref="D7328:G7328"/>
    <mergeCell ref="D7342:G7342"/>
    <mergeCell ref="D7356:G7356"/>
    <mergeCell ref="D6690:G6690"/>
    <mergeCell ref="D6702:G6702"/>
    <mergeCell ref="D6714:G6714"/>
    <mergeCell ref="D6726:G6726"/>
    <mergeCell ref="D6738:G6738"/>
    <mergeCell ref="D6750:G6750"/>
    <mergeCell ref="D6762:G6762"/>
    <mergeCell ref="D6774:G6774"/>
    <mergeCell ref="D6787:G6787"/>
    <mergeCell ref="D6800:G6800"/>
    <mergeCell ref="D6812:G6812"/>
    <mergeCell ref="D6826:G6826"/>
    <mergeCell ref="D6838:G6838"/>
    <mergeCell ref="D6849:G6849"/>
    <mergeCell ref="D6861:G6861"/>
    <mergeCell ref="D6873:G6873"/>
    <mergeCell ref="D6885:G6885"/>
    <mergeCell ref="D6900:G6900"/>
    <mergeCell ref="D6912:G6912"/>
    <mergeCell ref="D6923:G6923"/>
    <mergeCell ref="D6934:G6934"/>
    <mergeCell ref="D6945:G6945"/>
    <mergeCell ref="D6954:G6954"/>
    <mergeCell ref="D6963:G6963"/>
    <mergeCell ref="D6974:G6974"/>
    <mergeCell ref="D6985:G6985"/>
    <mergeCell ref="D6994:G6994"/>
    <mergeCell ref="D7003:G7003"/>
    <mergeCell ref="D7012:G7012"/>
    <mergeCell ref="D7023:G7023"/>
    <mergeCell ref="D7033:G7033"/>
    <mergeCell ref="D7057:G7057"/>
    <mergeCell ref="D7081:G7081"/>
    <mergeCell ref="D7100:G7100"/>
    <mergeCell ref="D7119:G7119"/>
    <mergeCell ref="D7132:G7132"/>
    <mergeCell ref="D7145:G7145"/>
    <mergeCell ref="D7160:G7160"/>
    <mergeCell ref="D7173:G7173"/>
    <mergeCell ref="D7186:G7186"/>
    <mergeCell ref="D7200:G7200"/>
    <mergeCell ref="D7214:G7214"/>
    <mergeCell ref="D7370:G7370"/>
    <mergeCell ref="D7384:G7384"/>
    <mergeCell ref="D7395:G7395"/>
    <mergeCell ref="D7405:G7405"/>
    <mergeCell ref="D7417:G7417"/>
    <mergeCell ref="D7433:G7433"/>
    <mergeCell ref="D7448:G7448"/>
    <mergeCell ref="D7452:G7452"/>
    <mergeCell ref="D7456:G7456"/>
    <mergeCell ref="D7460:G7460"/>
    <mergeCell ref="D7464:G7464"/>
    <mergeCell ref="D7468:G7468"/>
    <mergeCell ref="D7472:G7472"/>
    <mergeCell ref="D7476:G7476"/>
    <mergeCell ref="D7480:G7480"/>
    <mergeCell ref="D7484:G7484"/>
    <mergeCell ref="D7492:G7492"/>
    <mergeCell ref="D7505:G7505"/>
    <mergeCell ref="D7522:G7522"/>
    <mergeCell ref="D7543:G7543"/>
    <mergeCell ref="D7547:G7547"/>
    <mergeCell ref="D7552:G7552"/>
    <mergeCell ref="D7560:G7560"/>
    <mergeCell ref="D7567:G7567"/>
    <mergeCell ref="D7571:G7571"/>
    <mergeCell ref="D7580:G7580"/>
    <mergeCell ref="D7596:G7596"/>
    <mergeCell ref="D7601:G7601"/>
    <mergeCell ref="D7608:G7608"/>
    <mergeCell ref="D7621:G7621"/>
    <mergeCell ref="D7629:G7629"/>
    <mergeCell ref="D7639:G7639"/>
    <mergeCell ref="D7648:G7648"/>
    <mergeCell ref="D7656:G7656"/>
    <mergeCell ref="D7661:G7661"/>
    <mergeCell ref="D7665:G7665"/>
    <mergeCell ref="D7672:G7672"/>
    <mergeCell ref="D7680:G7680"/>
    <mergeCell ref="D7684:G7684"/>
    <mergeCell ref="D7696:G7696"/>
    <mergeCell ref="D7702:G7702"/>
    <mergeCell ref="D7708:G7708"/>
    <mergeCell ref="D7714:G7714"/>
    <mergeCell ref="D7723:G7723"/>
    <mergeCell ref="D7732:G7732"/>
    <mergeCell ref="D7741:G7741"/>
    <mergeCell ref="D7761:G7761"/>
    <mergeCell ref="D7781:G7781"/>
    <mergeCell ref="D7801:G7801"/>
    <mergeCell ref="D7821:G7821"/>
    <mergeCell ref="D7845:G7845"/>
    <mergeCell ref="D7869:G7869"/>
    <mergeCell ref="D7893:G7893"/>
    <mergeCell ref="D7905:G7905"/>
    <mergeCell ref="D7917:G7917"/>
    <mergeCell ref="D7928:G7928"/>
    <mergeCell ref="D8529:G8529"/>
    <mergeCell ref="D8543:G8543"/>
    <mergeCell ref="D8555:G8555"/>
    <mergeCell ref="D8557:G8557"/>
    <mergeCell ref="D8581:G8581"/>
    <mergeCell ref="D8605:G8605"/>
    <mergeCell ref="D8627:G8627"/>
    <mergeCell ref="D8649:G8649"/>
    <mergeCell ref="D8671:G8671"/>
    <mergeCell ref="D8695:G8695"/>
    <mergeCell ref="D8719:G8719"/>
    <mergeCell ref="D8741:G8741"/>
    <mergeCell ref="D8761:G8761"/>
    <mergeCell ref="D8781:G8781"/>
    <mergeCell ref="D7947:G7947"/>
    <mergeCell ref="D7957:G7957"/>
    <mergeCell ref="D7966:G7966"/>
    <mergeCell ref="D7992:G7992"/>
    <mergeCell ref="D8018:G8018"/>
    <mergeCell ref="D8031:G8031"/>
    <mergeCell ref="D8043:G8043"/>
    <mergeCell ref="D8053:G8053"/>
    <mergeCell ref="D8059:G8059"/>
    <mergeCell ref="D8064:G8064"/>
    <mergeCell ref="D8070:G8070"/>
    <mergeCell ref="D8078:G8078"/>
    <mergeCell ref="D8093:G8093"/>
    <mergeCell ref="D8104:G8104"/>
    <mergeCell ref="D8114:G8114"/>
    <mergeCell ref="D8136:G8136"/>
    <mergeCell ref="D8159:G8159"/>
    <mergeCell ref="D8194:G8194"/>
    <mergeCell ref="D8227:G8227"/>
    <mergeCell ref="D8239:G8239"/>
    <mergeCell ref="D8249:G8249"/>
    <mergeCell ref="D8258:G8258"/>
    <mergeCell ref="D8267:G8267"/>
    <mergeCell ref="D8276:G8276"/>
    <mergeCell ref="D8296:G8296"/>
    <mergeCell ref="D8316:G8316"/>
    <mergeCell ref="D8336:G8336"/>
    <mergeCell ref="D8352:G8352"/>
    <mergeCell ref="D8368:G8368"/>
    <mergeCell ref="D8384:G8384"/>
    <mergeCell ref="D8396:G8396"/>
    <mergeCell ref="D8407:G8407"/>
    <mergeCell ref="D8418:G8418"/>
    <mergeCell ref="D8428:G8428"/>
    <mergeCell ref="D8438:G8438"/>
    <mergeCell ref="D8451:G8451"/>
    <mergeCell ref="D8461:G8461"/>
    <mergeCell ref="D8473:G8473"/>
    <mergeCell ref="D8486:G8486"/>
    <mergeCell ref="D8499:G8499"/>
    <mergeCell ref="D8512:G8512"/>
    <mergeCell ref="D8525:G8525"/>
    <mergeCell ref="D8813:G8813"/>
    <mergeCell ref="D8829:G8829"/>
    <mergeCell ref="D8842:G8842"/>
    <mergeCell ref="D8860:G8860"/>
    <mergeCell ref="D8870:G8870"/>
    <mergeCell ref="D8881:G8881"/>
    <mergeCell ref="D8892:G8892"/>
    <mergeCell ref="D8903:G8903"/>
    <mergeCell ref="D8913:G8913"/>
    <mergeCell ref="D8918:G8918"/>
    <mergeCell ref="D8923:G8923"/>
    <mergeCell ref="D8929:G8929"/>
    <mergeCell ref="D8939:G8939"/>
    <mergeCell ref="D8945:G8945"/>
    <mergeCell ref="D8951:G8951"/>
    <mergeCell ref="D8962:G8962"/>
    <mergeCell ref="D8967:G8967"/>
    <mergeCell ref="D8978:G8978"/>
    <mergeCell ref="D8987:G8987"/>
    <mergeCell ref="D8998:G8998"/>
    <mergeCell ref="D9009:G9009"/>
    <mergeCell ref="D9020:G9020"/>
    <mergeCell ref="D9030:G9030"/>
    <mergeCell ref="D9036:G9036"/>
    <mergeCell ref="D9047:G9047"/>
    <mergeCell ref="D9060:G9060"/>
    <mergeCell ref="D9071:G9071"/>
    <mergeCell ref="D9080:G9080"/>
    <mergeCell ref="D9091:G9091"/>
    <mergeCell ref="D9101:G9101"/>
    <mergeCell ref="D9112:G9112"/>
    <mergeCell ref="D9122:G9122"/>
    <mergeCell ref="D9134:G9134"/>
    <mergeCell ref="D9149:G9149"/>
    <mergeCell ref="D9161:G9161"/>
    <mergeCell ref="D9173:G9173"/>
    <mergeCell ref="D9184:G9184"/>
    <mergeCell ref="D9195:G9195"/>
    <mergeCell ref="D9206:G9206"/>
    <mergeCell ref="D9217:G9217"/>
    <mergeCell ref="D9228:G9228"/>
    <mergeCell ref="D9238:G9238"/>
    <mergeCell ref="D9249:G9249"/>
    <mergeCell ref="D9260:G9260"/>
    <mergeCell ref="D9273:G9273"/>
    <mergeCell ref="D9285:G9285"/>
    <mergeCell ref="D9296:G9296"/>
    <mergeCell ref="D9307:G9307"/>
    <mergeCell ref="D9318:G9318"/>
    <mergeCell ref="D9329:G9329"/>
    <mergeCell ref="D9340:G9340"/>
    <mergeCell ref="D9351:G9351"/>
    <mergeCell ref="D9363:G9363"/>
    <mergeCell ref="D9375:G9375"/>
    <mergeCell ref="D9385:G9385"/>
    <mergeCell ref="D9396:G9396"/>
    <mergeCell ref="D10016:G10016"/>
    <mergeCell ref="D10020:G10020"/>
    <mergeCell ref="D10033:G10033"/>
    <mergeCell ref="D10047:G10047"/>
    <mergeCell ref="D10058:G10058"/>
    <mergeCell ref="D10069:G10069"/>
    <mergeCell ref="D10080:G10080"/>
    <mergeCell ref="D10091:G10091"/>
    <mergeCell ref="D10102:G10102"/>
    <mergeCell ref="D10113:G10113"/>
    <mergeCell ref="D10124:G10124"/>
    <mergeCell ref="D10137:G10137"/>
    <mergeCell ref="D10149:G10149"/>
    <mergeCell ref="D10161:G10161"/>
    <mergeCell ref="D9407:G9407"/>
    <mergeCell ref="D9418:G9418"/>
    <mergeCell ref="D9429:G9429"/>
    <mergeCell ref="D9440:G9440"/>
    <mergeCell ref="D9465:G9465"/>
    <mergeCell ref="D9478:G9478"/>
    <mergeCell ref="D9489:G9489"/>
    <mergeCell ref="D9500:G9500"/>
    <mergeCell ref="D9518:G9518"/>
    <mergeCell ref="D9536:G9536"/>
    <mergeCell ref="D9554:G9554"/>
    <mergeCell ref="D9567:G9567"/>
    <mergeCell ref="D9579:G9579"/>
    <mergeCell ref="D9589:G9589"/>
    <mergeCell ref="D9600:G9600"/>
    <mergeCell ref="D9611:G9611"/>
    <mergeCell ref="D9622:G9622"/>
    <mergeCell ref="D9656:G9656"/>
    <mergeCell ref="D9676:G9676"/>
    <mergeCell ref="D9688:G9688"/>
    <mergeCell ref="D9700:G9700"/>
    <mergeCell ref="D9712:G9712"/>
    <mergeCell ref="D9724:G9724"/>
    <mergeCell ref="D9736:G9736"/>
    <mergeCell ref="D9748:G9748"/>
    <mergeCell ref="D9766:G9766"/>
    <mergeCell ref="D9825:G9825"/>
    <mergeCell ref="D9836:G9836"/>
    <mergeCell ref="D9850:G9850"/>
    <mergeCell ref="D9860:G9860"/>
    <mergeCell ref="D9870:G9870"/>
    <mergeCell ref="D9882:G9882"/>
    <mergeCell ref="D9893:G9893"/>
    <mergeCell ref="D9904:G9904"/>
    <mergeCell ref="D9914:G9914"/>
    <mergeCell ref="D9924:G9924"/>
    <mergeCell ref="D9948:G9948"/>
    <mergeCell ref="D9960:G9960"/>
    <mergeCell ref="D9971:G9971"/>
    <mergeCell ref="D9982:G9982"/>
    <mergeCell ref="D9993:G9993"/>
    <mergeCell ref="D10004:G10004"/>
    <mergeCell ref="D10173:G10173"/>
    <mergeCell ref="D10185:G10185"/>
    <mergeCell ref="D10197:G10197"/>
    <mergeCell ref="D10209:G10209"/>
    <mergeCell ref="D10219:G10219"/>
    <mergeCell ref="D10230:G10230"/>
    <mergeCell ref="D10240:G10240"/>
    <mergeCell ref="D10253:G10253"/>
    <mergeCell ref="D10266:G10266"/>
    <mergeCell ref="D10279:G10279"/>
    <mergeCell ref="D10292:G10292"/>
    <mergeCell ref="D10303:G10303"/>
    <mergeCell ref="D10314:G10314"/>
    <mergeCell ref="D10325:G10325"/>
    <mergeCell ref="D10336:G10336"/>
    <mergeCell ref="D10347:G10347"/>
    <mergeCell ref="D10358:G10358"/>
    <mergeCell ref="D10369:G10369"/>
    <mergeCell ref="D10380:G10380"/>
    <mergeCell ref="D10391:G10391"/>
    <mergeCell ref="D10402:G10402"/>
    <mergeCell ref="D10413:G10413"/>
    <mergeCell ref="D10424:G10424"/>
    <mergeCell ref="D10442:G10442"/>
    <mergeCell ref="D10455:G10455"/>
    <mergeCell ref="D10470:G10470"/>
    <mergeCell ref="D10484:G10484"/>
    <mergeCell ref="D10498:G10498"/>
    <mergeCell ref="D10510:G10510"/>
    <mergeCell ref="D10524:G10524"/>
    <mergeCell ref="D10535:G10535"/>
    <mergeCell ref="D10546:G10546"/>
    <mergeCell ref="D10557:G10557"/>
    <mergeCell ref="D10568:G10568"/>
    <mergeCell ref="D10579:G10579"/>
    <mergeCell ref="D10590:G10590"/>
    <mergeCell ref="D10601:G10601"/>
    <mergeCell ref="D10613:G10613"/>
    <mergeCell ref="D10627:G10627"/>
    <mergeCell ref="D10640:G10640"/>
    <mergeCell ref="D10650:G10650"/>
    <mergeCell ref="D10663:G10663"/>
    <mergeCell ref="D10673:G10673"/>
    <mergeCell ref="D10702:G10702"/>
    <mergeCell ref="D10715:G10715"/>
    <mergeCell ref="D10720:G10720"/>
    <mergeCell ref="D10726:G10726"/>
    <mergeCell ref="D10760:G10760"/>
    <mergeCell ref="D10771:G10771"/>
    <mergeCell ref="D10785:G10785"/>
    <mergeCell ref="D10796:G10796"/>
    <mergeCell ref="D10809:G10809"/>
    <mergeCell ref="D10821:G10821"/>
    <mergeCell ref="D10833:G10833"/>
    <mergeCell ref="D10845:G10845"/>
    <mergeCell ref="D10857:G10857"/>
    <mergeCell ref="D10869:G10869"/>
    <mergeCell ref="D10881:G10881"/>
    <mergeCell ref="D10893:G10893"/>
    <mergeCell ref="D10905:G10905"/>
    <mergeCell ref="D10917:G10917"/>
    <mergeCell ref="D10927:G10927"/>
    <mergeCell ref="D10939:G10939"/>
    <mergeCell ref="D10951:G10951"/>
    <mergeCell ref="D10963:G10963"/>
    <mergeCell ref="D10975:G10975"/>
    <mergeCell ref="D10983:G10983"/>
    <mergeCell ref="D10991:G10991"/>
    <mergeCell ref="D11003:G11003"/>
    <mergeCell ref="D11010:G11010"/>
    <mergeCell ref="D11017:G11017"/>
    <mergeCell ref="D11024:G11024"/>
    <mergeCell ref="D11032:G11032"/>
    <mergeCell ref="D11039:G11039"/>
    <mergeCell ref="D11051:G11051"/>
    <mergeCell ref="D11063:G11063"/>
    <mergeCell ref="D11075:G11075"/>
    <mergeCell ref="D11087:G11087"/>
    <mergeCell ref="D11099:G11099"/>
    <mergeCell ref="D11115:G11115"/>
    <mergeCell ref="D11126:G11126"/>
    <mergeCell ref="D11137:G11137"/>
    <mergeCell ref="D11148:G11148"/>
    <mergeCell ref="D11159:G11159"/>
    <mergeCell ref="D11170:G11170"/>
    <mergeCell ref="D11180:G11180"/>
    <mergeCell ref="D11190:G11190"/>
    <mergeCell ref="D11200:G11200"/>
    <mergeCell ref="D11209:G11209"/>
    <mergeCell ref="D11224:G11224"/>
    <mergeCell ref="D11239:G11239"/>
    <mergeCell ref="D11254:G11254"/>
    <mergeCell ref="D11269:G11269"/>
    <mergeCell ref="D11284:G11284"/>
    <mergeCell ref="D11299:G11299"/>
    <mergeCell ref="D11314:G11314"/>
    <mergeCell ref="D11329:G11329"/>
    <mergeCell ref="D11344:G11344"/>
    <mergeCell ref="D11358:G11358"/>
    <mergeCell ref="D11369:G11369"/>
    <mergeCell ref="D11380:G11380"/>
    <mergeCell ref="D11391:G11391"/>
    <mergeCell ref="D11402:G11402"/>
    <mergeCell ref="D11413:G11413"/>
    <mergeCell ref="D11424:G11424"/>
    <mergeCell ref="D11435:G11435"/>
    <mergeCell ref="D11446:G11446"/>
    <mergeCell ref="D11456:G11456"/>
    <mergeCell ref="D11467:G11467"/>
    <mergeCell ref="D11478:G11478"/>
    <mergeCell ref="D11489:G11489"/>
    <mergeCell ref="D11500:G11500"/>
    <mergeCell ref="D11511:G11511"/>
    <mergeCell ref="D11521:G11521"/>
    <mergeCell ref="D11531:G11531"/>
    <mergeCell ref="D11541:G11541"/>
    <mergeCell ref="D11555:G11555"/>
    <mergeCell ref="D11569:G11569"/>
    <mergeCell ref="D11580:G11580"/>
    <mergeCell ref="D11591:G11591"/>
    <mergeCell ref="D11602:G11602"/>
    <mergeCell ref="D11613:G11613"/>
    <mergeCell ref="D11624:G11624"/>
    <mergeCell ref="D11635:G11635"/>
    <mergeCell ref="D11650:G11650"/>
    <mergeCell ref="D11660:G11660"/>
    <mergeCell ref="D11670:G11670"/>
    <mergeCell ref="D11680:G11680"/>
    <mergeCell ref="D11690:G11690"/>
    <mergeCell ref="D11700:G11700"/>
    <mergeCell ref="D11710:G11710"/>
    <mergeCell ref="D11720:G11720"/>
    <mergeCell ref="D11730:G11730"/>
    <mergeCell ref="D11740:G11740"/>
    <mergeCell ref="D11750:G11750"/>
    <mergeCell ref="D11760:G11760"/>
    <mergeCell ref="D11770:G11770"/>
    <mergeCell ref="D11780:G11780"/>
    <mergeCell ref="D11792:G11792"/>
    <mergeCell ref="D11804:G11804"/>
    <mergeCell ref="D11815:G11815"/>
    <mergeCell ref="D11826:G11826"/>
    <mergeCell ref="D11837:G11837"/>
    <mergeCell ref="D11849:G11849"/>
    <mergeCell ref="D11860:G11860"/>
    <mergeCell ref="D11872:G11872"/>
    <mergeCell ref="D11883:G11883"/>
    <mergeCell ref="D11895:G11895"/>
    <mergeCell ref="D11907:G11907"/>
    <mergeCell ref="D11918:G11918"/>
    <mergeCell ref="D11929:G11929"/>
    <mergeCell ref="D11939:G11939"/>
    <mergeCell ref="D11949:G11949"/>
    <mergeCell ref="D11960:G11960"/>
    <mergeCell ref="D12406:G12406"/>
    <mergeCell ref="D12417:G12417"/>
    <mergeCell ref="D12428:G12428"/>
    <mergeCell ref="D12440:G12440"/>
    <mergeCell ref="D12452:G12452"/>
    <mergeCell ref="D12463:G12463"/>
    <mergeCell ref="D12474:G12474"/>
    <mergeCell ref="D12485:G12485"/>
    <mergeCell ref="D12496:G12496"/>
    <mergeCell ref="D12508:G12508"/>
    <mergeCell ref="D12520:G12520"/>
    <mergeCell ref="D12531:G12531"/>
    <mergeCell ref="D12541:G12541"/>
    <mergeCell ref="D12552:G12552"/>
    <mergeCell ref="D11971:G11971"/>
    <mergeCell ref="D11982:G11982"/>
    <mergeCell ref="D11993:G11993"/>
    <mergeCell ref="D12004:G12004"/>
    <mergeCell ref="D12015:G12015"/>
    <mergeCell ref="D12026:G12026"/>
    <mergeCell ref="D12037:G12037"/>
    <mergeCell ref="D12048:G12048"/>
    <mergeCell ref="D12059:G12059"/>
    <mergeCell ref="D12064:G12064"/>
    <mergeCell ref="D12069:G12069"/>
    <mergeCell ref="D12080:G12080"/>
    <mergeCell ref="D12091:G12091"/>
    <mergeCell ref="D12102:G12102"/>
    <mergeCell ref="D12113:G12113"/>
    <mergeCell ref="D12124:G12124"/>
    <mergeCell ref="D12135:G12135"/>
    <mergeCell ref="D12146:G12146"/>
    <mergeCell ref="D12156:G12156"/>
    <mergeCell ref="D12167:G12167"/>
    <mergeCell ref="D12178:G12178"/>
    <mergeCell ref="D12188:G12188"/>
    <mergeCell ref="D12198:G12198"/>
    <mergeCell ref="D12209:G12209"/>
    <mergeCell ref="D12220:G12220"/>
    <mergeCell ref="D12230:G12230"/>
    <mergeCell ref="D12241:G12241"/>
    <mergeCell ref="D12252:G12252"/>
    <mergeCell ref="D12263:G12263"/>
    <mergeCell ref="D12274:G12274"/>
    <mergeCell ref="D12280:G12280"/>
    <mergeCell ref="D12291:G12291"/>
    <mergeCell ref="D12302:G12302"/>
    <mergeCell ref="D12313:G12313"/>
    <mergeCell ref="D12324:G12324"/>
    <mergeCell ref="D12335:G12335"/>
    <mergeCell ref="D12346:G12346"/>
    <mergeCell ref="D12351:G12351"/>
    <mergeCell ref="D12361:G12361"/>
    <mergeCell ref="D12373:G12373"/>
    <mergeCell ref="D12384:G12384"/>
    <mergeCell ref="D12395:G12395"/>
    <mergeCell ref="D12564:G12564"/>
    <mergeCell ref="D12574:G12574"/>
    <mergeCell ref="D12584:G12584"/>
    <mergeCell ref="D12596:G12596"/>
    <mergeCell ref="D12609:G12609"/>
    <mergeCell ref="D12622:G12622"/>
    <mergeCell ref="D12634:G12634"/>
    <mergeCell ref="D13117:G13117"/>
    <mergeCell ref="D13133:G13133"/>
    <mergeCell ref="D13149:G13149"/>
    <mergeCell ref="D13166:G13166"/>
    <mergeCell ref="D13184:G13184"/>
    <mergeCell ref="D13195:G13195"/>
    <mergeCell ref="D13206:G13206"/>
    <mergeCell ref="D13219:G13219"/>
    <mergeCell ref="D13232:G13232"/>
    <mergeCell ref="D13245:G13245"/>
    <mergeCell ref="D13258:G13258"/>
    <mergeCell ref="D13273:G13273"/>
    <mergeCell ref="D13286:G13286"/>
    <mergeCell ref="D13299:G13299"/>
    <mergeCell ref="D12645:G12645"/>
    <mergeCell ref="D12656:G12656"/>
    <mergeCell ref="D12667:G12667"/>
    <mergeCell ref="D12678:G12678"/>
    <mergeCell ref="D12689:G12689"/>
    <mergeCell ref="D12700:G12700"/>
    <mergeCell ref="D12711:G12711"/>
    <mergeCell ref="D12722:G12722"/>
    <mergeCell ref="D12733:G12733"/>
    <mergeCell ref="D12744:G12744"/>
    <mergeCell ref="D12754:G12754"/>
    <mergeCell ref="D12764:G12764"/>
    <mergeCell ref="D12774:G12774"/>
    <mergeCell ref="D12784:G12784"/>
    <mergeCell ref="D12794:G12794"/>
    <mergeCell ref="D12804:G12804"/>
    <mergeCell ref="D12814:G12814"/>
    <mergeCell ref="D12824:G12824"/>
    <mergeCell ref="D12834:G12834"/>
    <mergeCell ref="D12845:G12845"/>
    <mergeCell ref="D12855:G12855"/>
    <mergeCell ref="D12865:G12865"/>
    <mergeCell ref="D12875:G12875"/>
    <mergeCell ref="D12885:G12885"/>
    <mergeCell ref="D12896:G12896"/>
    <mergeCell ref="D12907:G12907"/>
    <mergeCell ref="D12920:G12920"/>
    <mergeCell ref="D12932:G12932"/>
    <mergeCell ref="D12945:G12945"/>
    <mergeCell ref="D12957:G12957"/>
    <mergeCell ref="D12969:G12969"/>
    <mergeCell ref="D12981:G12981"/>
    <mergeCell ref="D12993:G12993"/>
    <mergeCell ref="D13005:G13005"/>
    <mergeCell ref="D13017:G13017"/>
    <mergeCell ref="D13029:G13029"/>
    <mergeCell ref="D13043:G13043"/>
    <mergeCell ref="D13056:G13056"/>
    <mergeCell ref="D13069:G13069"/>
    <mergeCell ref="D13080:G13080"/>
    <mergeCell ref="D13091:G13091"/>
    <mergeCell ref="D13102:G13102"/>
    <mergeCell ref="D13313:G13313"/>
    <mergeCell ref="D13327:G13327"/>
    <mergeCell ref="D13341:G13341"/>
    <mergeCell ref="D13354:G13354"/>
    <mergeCell ref="D13367:G13367"/>
    <mergeCell ref="D13382:G13382"/>
    <mergeCell ref="D13394:G13394"/>
    <mergeCell ref="D13914:G13914"/>
    <mergeCell ref="D13925:G13925"/>
    <mergeCell ref="D13936:G13936"/>
    <mergeCell ref="D13947:G13947"/>
    <mergeCell ref="D13959:G13959"/>
    <mergeCell ref="D13971:G13971"/>
    <mergeCell ref="D13983:G13983"/>
    <mergeCell ref="D13997:G13997"/>
    <mergeCell ref="D14010:G14010"/>
    <mergeCell ref="D14023:G14023"/>
    <mergeCell ref="D14036:G14036"/>
    <mergeCell ref="D14049:G14049"/>
    <mergeCell ref="D14064:G14064"/>
    <mergeCell ref="D14079:G14079"/>
    <mergeCell ref="D14094:G14094"/>
    <mergeCell ref="D14109:G14109"/>
    <mergeCell ref="D14124:G14124"/>
    <mergeCell ref="D14138:G14138"/>
    <mergeCell ref="D14153:G14153"/>
    <mergeCell ref="D14167:G14167"/>
    <mergeCell ref="D14181:G14181"/>
    <mergeCell ref="D14194:G14194"/>
    <mergeCell ref="D14209:G14209"/>
    <mergeCell ref="D14224:G14224"/>
    <mergeCell ref="D14239:G14239"/>
    <mergeCell ref="D14254:G14254"/>
    <mergeCell ref="D14267:G14267"/>
    <mergeCell ref="D14281:G14281"/>
    <mergeCell ref="D14295:G14295"/>
    <mergeCell ref="D14310:G14310"/>
    <mergeCell ref="D14325:G14325"/>
    <mergeCell ref="D14340:G14340"/>
    <mergeCell ref="D14355:G14355"/>
    <mergeCell ref="D14370:G14370"/>
    <mergeCell ref="D14384:G14384"/>
    <mergeCell ref="D14398:G14398"/>
    <mergeCell ref="D14414:G14414"/>
    <mergeCell ref="D14430:G14430"/>
    <mergeCell ref="D14446:G14446"/>
    <mergeCell ref="D14462:G14462"/>
    <mergeCell ref="D14478:G14478"/>
    <mergeCell ref="D14494:G14494"/>
    <mergeCell ref="D14510:G14510"/>
    <mergeCell ref="D14526:G14526"/>
    <mergeCell ref="D14541:G14541"/>
    <mergeCell ref="D14556:G14556"/>
    <mergeCell ref="D14572:G14572"/>
    <mergeCell ref="D14588:G14588"/>
    <mergeCell ref="D14604:G14604"/>
    <mergeCell ref="D14620:G14620"/>
    <mergeCell ref="D14636:G14636"/>
    <mergeCell ref="D14652:G14652"/>
    <mergeCell ref="D14668:G14668"/>
    <mergeCell ref="D14684:G14684"/>
    <mergeCell ref="D14699:G14699"/>
    <mergeCell ref="D14714:G14714"/>
    <mergeCell ref="D13408:G13408"/>
    <mergeCell ref="D13419:G13419"/>
    <mergeCell ref="D13431:G13431"/>
    <mergeCell ref="D13446:G13446"/>
    <mergeCell ref="D13458:G13458"/>
    <mergeCell ref="D13473:G13473"/>
    <mergeCell ref="D13484:G13484"/>
    <mergeCell ref="D13496:G13496"/>
    <mergeCell ref="D13508:G13508"/>
    <mergeCell ref="D13520:G13520"/>
    <mergeCell ref="D13532:G13532"/>
    <mergeCell ref="D13543:G13543"/>
    <mergeCell ref="D13554:G13554"/>
    <mergeCell ref="D13565:G13565"/>
    <mergeCell ref="D13577:G13577"/>
    <mergeCell ref="D13589:G13589"/>
    <mergeCell ref="D13601:G13601"/>
    <mergeCell ref="D13613:G13613"/>
    <mergeCell ref="D13625:G13625"/>
    <mergeCell ref="D13637:G13637"/>
    <mergeCell ref="D13650:G13650"/>
    <mergeCell ref="D13663:G13663"/>
    <mergeCell ref="D13676:G13676"/>
    <mergeCell ref="D13689:G13689"/>
    <mergeCell ref="D13701:G13701"/>
    <mergeCell ref="D13713:G13713"/>
    <mergeCell ref="D13725:G13725"/>
    <mergeCell ref="D13737:G13737"/>
    <mergeCell ref="D13749:G13749"/>
    <mergeCell ref="D13762:G13762"/>
    <mergeCell ref="D13775:G13775"/>
    <mergeCell ref="D13788:G13788"/>
    <mergeCell ref="D13801:G13801"/>
    <mergeCell ref="D13812:G13812"/>
    <mergeCell ref="D13823:G13823"/>
    <mergeCell ref="D13834:G13834"/>
    <mergeCell ref="D13845:G13845"/>
    <mergeCell ref="D13856:G13856"/>
    <mergeCell ref="D13868:G13868"/>
    <mergeCell ref="D13880:G13880"/>
    <mergeCell ref="D13892:G13892"/>
    <mergeCell ref="D13903:G13903"/>
    <mergeCell ref="D14731:G14731"/>
    <mergeCell ref="D14748:G14748"/>
    <mergeCell ref="D14765:G14765"/>
    <mergeCell ref="D14782:G14782"/>
    <mergeCell ref="D14799:G14799"/>
    <mergeCell ref="D14816:G14816"/>
    <mergeCell ref="D14833:G14833"/>
    <mergeCell ref="D14850:G14850"/>
    <mergeCell ref="D14866:G14866"/>
    <mergeCell ref="D14887:G14887"/>
    <mergeCell ref="D14903:G14903"/>
    <mergeCell ref="D14942:G14942"/>
    <mergeCell ref="D14951:G14951"/>
    <mergeCell ref="D14962:G14962"/>
    <mergeCell ref="D14968:G14968"/>
    <mergeCell ref="D14982:G14982"/>
    <mergeCell ref="D14994:G14994"/>
    <mergeCell ref="D14998:G14998"/>
    <mergeCell ref="D15025:G15025"/>
    <mergeCell ref="D15029:G15029"/>
    <mergeCell ref="D15035:G15035"/>
    <mergeCell ref="D15047:G15047"/>
    <mergeCell ref="D15058:G15058"/>
    <mergeCell ref="D15060:G15060"/>
    <mergeCell ref="D15075:G15075"/>
    <mergeCell ref="D15082:G15082"/>
    <mergeCell ref="D15094:G15094"/>
    <mergeCell ref="D15096:G15096"/>
    <mergeCell ref="D15098:G15098"/>
    <mergeCell ref="D15100:G15100"/>
    <mergeCell ref="D15102:G15102"/>
    <mergeCell ref="D15104:G15104"/>
    <mergeCell ref="D15106:G15106"/>
    <mergeCell ref="D15108:G15108"/>
    <mergeCell ref="D15110:G15110"/>
    <mergeCell ref="D15112:G15112"/>
    <mergeCell ref="D15114:G15114"/>
    <mergeCell ref="D15116:G15116"/>
    <mergeCell ref="D15118:G15118"/>
    <mergeCell ref="D15120:G15120"/>
    <mergeCell ref="D15122:G15122"/>
    <mergeCell ref="D15124:G15124"/>
    <mergeCell ref="D15128:G15128"/>
    <mergeCell ref="D15132:G15132"/>
    <mergeCell ref="D15134:G15134"/>
    <mergeCell ref="D15136:G15136"/>
    <mergeCell ref="D15138:G15138"/>
    <mergeCell ref="D15140:G15140"/>
    <mergeCell ref="D15142:G15142"/>
    <mergeCell ref="D15144:G15144"/>
    <mergeCell ref="D15146:G15146"/>
    <mergeCell ref="D15148:G15148"/>
    <mergeCell ref="D15150:G15150"/>
    <mergeCell ref="D15152:G15152"/>
    <mergeCell ref="D15154:G15154"/>
    <mergeCell ref="D15156:G15156"/>
    <mergeCell ref="D15158:G15158"/>
    <mergeCell ref="D15160:G15160"/>
    <mergeCell ref="D15162:G15162"/>
    <mergeCell ref="D15166:G15166"/>
    <mergeCell ref="D15168:G15168"/>
    <mergeCell ref="D15170:G15170"/>
    <mergeCell ref="D15172:G15172"/>
    <mergeCell ref="D15174:G15174"/>
    <mergeCell ref="D15178:G15178"/>
    <mergeCell ref="D15180:G15180"/>
    <mergeCell ref="D15182:G15182"/>
    <mergeCell ref="D15184:G15184"/>
    <mergeCell ref="D15189:G15189"/>
    <mergeCell ref="D15208:G15208"/>
    <mergeCell ref="D15227:G15227"/>
    <mergeCell ref="D15246:G15246"/>
    <mergeCell ref="D15264:G15264"/>
    <mergeCell ref="D15283:G15283"/>
    <mergeCell ref="D15301:G15301"/>
    <mergeCell ref="D15313:G15313"/>
    <mergeCell ref="D15325:G15325"/>
    <mergeCell ref="D15332:G15332"/>
    <mergeCell ref="D15339:G15339"/>
    <mergeCell ref="D15350:G15350"/>
    <mergeCell ref="D15365:G15365"/>
    <mergeCell ref="D15367:G15367"/>
    <mergeCell ref="D15369:G15369"/>
    <mergeCell ref="D15371:G15371"/>
    <mergeCell ref="D15376:G15376"/>
    <mergeCell ref="D15378:G15378"/>
    <mergeCell ref="D15380:G15380"/>
    <mergeCell ref="D15382:G15382"/>
    <mergeCell ref="D15384:G15384"/>
    <mergeCell ref="D15386:G15386"/>
    <mergeCell ref="D15388:G15388"/>
    <mergeCell ref="D15390:G15390"/>
    <mergeCell ref="D15392:G15392"/>
    <mergeCell ref="D15394:G15394"/>
    <mergeCell ref="D15396:G15396"/>
    <mergeCell ref="D15398:G15398"/>
    <mergeCell ref="D15400:G15400"/>
    <mergeCell ref="D15402:G15402"/>
    <mergeCell ref="D15404:G15404"/>
    <mergeCell ref="D15406:G15406"/>
    <mergeCell ref="D15408:G15408"/>
    <mergeCell ref="D15410:G15410"/>
    <mergeCell ref="D15412:G15412"/>
    <mergeCell ref="D15414:G15414"/>
    <mergeCell ref="D15416:G15416"/>
    <mergeCell ref="D15418:G15418"/>
    <mergeCell ref="D15420:G15420"/>
    <mergeCell ref="D15422:G15422"/>
    <mergeCell ref="D15424:G15424"/>
    <mergeCell ref="D15426:G15426"/>
    <mergeCell ref="D15428:G15428"/>
    <mergeCell ref="D15430:G15430"/>
    <mergeCell ref="D15432:G15432"/>
    <mergeCell ref="D15434:G15434"/>
    <mergeCell ref="D15436:G15436"/>
    <mergeCell ref="D15438:G15438"/>
    <mergeCell ref="D15440:G15440"/>
    <mergeCell ref="D15442:G15442"/>
    <mergeCell ref="D15444:G15444"/>
    <mergeCell ref="D15446:G15446"/>
    <mergeCell ref="D15448:G15448"/>
    <mergeCell ref="D15450:G15450"/>
    <mergeCell ref="D15452:G15452"/>
    <mergeCell ref="D15454:G15454"/>
    <mergeCell ref="D15458:G15458"/>
    <mergeCell ref="D15460:G15460"/>
    <mergeCell ref="D15462:G15462"/>
    <mergeCell ref="D15464:G15464"/>
    <mergeCell ref="D15466:G15466"/>
    <mergeCell ref="D15468:G15468"/>
    <mergeCell ref="D15470:G15470"/>
    <mergeCell ref="D15472:G15472"/>
    <mergeCell ref="D15474:G15474"/>
    <mergeCell ref="D15476:G15476"/>
    <mergeCell ref="D15478:G15478"/>
    <mergeCell ref="D15480:G15480"/>
    <mergeCell ref="D15482:G15482"/>
    <mergeCell ref="D15484:G15484"/>
    <mergeCell ref="D15486:G15486"/>
    <mergeCell ref="D15488:G15488"/>
    <mergeCell ref="D15490:G15490"/>
    <mergeCell ref="D15492:G15492"/>
    <mergeCell ref="D15494:G15494"/>
    <mergeCell ref="D15496:G15496"/>
    <mergeCell ref="D15498:G15498"/>
    <mergeCell ref="D15500:G15500"/>
    <mergeCell ref="D15502:G15502"/>
    <mergeCell ref="D15504:G15504"/>
    <mergeCell ref="D15506:G15506"/>
    <mergeCell ref="D15508:G15508"/>
    <mergeCell ref="D15512:G15512"/>
    <mergeCell ref="D15514:G15514"/>
    <mergeCell ref="D15516:G15516"/>
    <mergeCell ref="D15518:G15518"/>
    <mergeCell ref="D15520:G15520"/>
    <mergeCell ref="D15522:G15522"/>
    <mergeCell ref="D15524:G15524"/>
    <mergeCell ref="D15526:G15526"/>
    <mergeCell ref="D15528:G15528"/>
    <mergeCell ref="D15530:G15530"/>
    <mergeCell ref="D15532:G15532"/>
    <mergeCell ref="D15534:G15534"/>
    <mergeCell ref="D15536:G15536"/>
    <mergeCell ref="D15538:G15538"/>
    <mergeCell ref="D15540:G15540"/>
    <mergeCell ref="D15542:G15542"/>
    <mergeCell ref="D15544:G15544"/>
    <mergeCell ref="D15546:G15546"/>
    <mergeCell ref="D15548:G15548"/>
    <mergeCell ref="D15550:G15550"/>
    <mergeCell ref="D15552:G15552"/>
    <mergeCell ref="D15554:G15554"/>
    <mergeCell ref="D15556:G15556"/>
    <mergeCell ref="D15558:G15558"/>
    <mergeCell ref="D15560:G15560"/>
    <mergeCell ref="D15562:G15562"/>
    <mergeCell ref="D15564:G15564"/>
    <mergeCell ref="D15566:G15566"/>
    <mergeCell ref="D15570:G15570"/>
    <mergeCell ref="D15572:G15572"/>
    <mergeCell ref="D15574:G15574"/>
    <mergeCell ref="D15576:G15576"/>
    <mergeCell ref="D15578:G15578"/>
    <mergeCell ref="D15580:G15580"/>
    <mergeCell ref="D15582:G15582"/>
    <mergeCell ref="D15584:G15584"/>
    <mergeCell ref="D15586:G15586"/>
    <mergeCell ref="D15588:G15588"/>
    <mergeCell ref="D15590:G15590"/>
    <mergeCell ref="D15592:G15592"/>
    <mergeCell ref="D15594:G15594"/>
    <mergeCell ref="D15598:G15598"/>
    <mergeCell ref="D15600:G15600"/>
    <mergeCell ref="D15602:G15602"/>
    <mergeCell ref="D15604:G15604"/>
    <mergeCell ref="D15606:G15606"/>
    <mergeCell ref="D15610:G15610"/>
    <mergeCell ref="D15612:G15612"/>
    <mergeCell ref="D15614:G15614"/>
    <mergeCell ref="D15616:G15616"/>
    <mergeCell ref="D15618:G15618"/>
    <mergeCell ref="D15620:G15620"/>
    <mergeCell ref="D15622:G15622"/>
    <mergeCell ref="D15624:G15624"/>
    <mergeCell ref="D15626:G15626"/>
    <mergeCell ref="D15628:G15628"/>
    <mergeCell ref="D15630:G15630"/>
    <mergeCell ref="D15632:G15632"/>
    <mergeCell ref="D15634:G15634"/>
    <mergeCell ref="D15636:G15636"/>
    <mergeCell ref="D15638:G15638"/>
    <mergeCell ref="D15640:G15640"/>
    <mergeCell ref="D15642:G15642"/>
    <mergeCell ref="D15644:G15644"/>
    <mergeCell ref="D15646:G15646"/>
    <mergeCell ref="D15648:G15648"/>
    <mergeCell ref="D15650:G15650"/>
    <mergeCell ref="D15652:G15652"/>
    <mergeCell ref="D15654:G15654"/>
    <mergeCell ref="D15656:G15656"/>
    <mergeCell ref="D15658:G15658"/>
    <mergeCell ref="D15660:G15660"/>
    <mergeCell ref="D15662:G15662"/>
    <mergeCell ref="D15664:G15664"/>
    <mergeCell ref="D15666:G15666"/>
    <mergeCell ref="D15668:G15668"/>
    <mergeCell ref="D15670:G15670"/>
    <mergeCell ref="D15672:G15672"/>
    <mergeCell ref="D15674:G15674"/>
    <mergeCell ref="D15676:G15676"/>
    <mergeCell ref="D15678:G15678"/>
    <mergeCell ref="D15680:G15680"/>
    <mergeCell ref="D15682:G15682"/>
    <mergeCell ref="D15684:G15684"/>
    <mergeCell ref="D15686:G15686"/>
    <mergeCell ref="D15688:G15688"/>
    <mergeCell ref="D15690:G15690"/>
    <mergeCell ref="D15692:G15692"/>
    <mergeCell ref="D15694:G15694"/>
    <mergeCell ref="D15696:G15696"/>
    <mergeCell ref="D15698:G15698"/>
    <mergeCell ref="D15700:G15700"/>
    <mergeCell ref="D15702:G15702"/>
    <mergeCell ref="D15704:G15704"/>
    <mergeCell ref="D15706:G15706"/>
    <mergeCell ref="D15708:G15708"/>
    <mergeCell ref="D15710:G15710"/>
    <mergeCell ref="D15712:G15712"/>
    <mergeCell ref="D15714:G15714"/>
    <mergeCell ref="D15716:G15716"/>
    <mergeCell ref="D15718:G15718"/>
    <mergeCell ref="D15720:G15720"/>
    <mergeCell ref="D15722:G15722"/>
    <mergeCell ref="D15724:G15724"/>
    <mergeCell ref="D15726:G15726"/>
    <mergeCell ref="D15728:G15728"/>
    <mergeCell ref="D15730:G15730"/>
    <mergeCell ref="D15732:G15732"/>
    <mergeCell ref="D15734:G15734"/>
    <mergeCell ref="D15736:G15736"/>
    <mergeCell ref="D15738:G15738"/>
    <mergeCell ref="D15740:G15740"/>
    <mergeCell ref="D15742:G15742"/>
    <mergeCell ref="D15744:G15744"/>
    <mergeCell ref="D15746:G15746"/>
    <mergeCell ref="D15748:G15748"/>
    <mergeCell ref="D15750:G15750"/>
    <mergeCell ref="D15752:G15752"/>
    <mergeCell ref="D15754:G15754"/>
    <mergeCell ref="D15756:G15756"/>
    <mergeCell ref="D15758:G15758"/>
    <mergeCell ref="D15760:G15760"/>
    <mergeCell ref="D15762:G15762"/>
    <mergeCell ref="D15764:G15764"/>
    <mergeCell ref="D15766:G15766"/>
    <mergeCell ref="D15768:G15768"/>
    <mergeCell ref="D15770:G15770"/>
    <mergeCell ref="D15772:G15772"/>
    <mergeCell ref="D15774:G15774"/>
    <mergeCell ref="D15776:G15776"/>
    <mergeCell ref="D15778:G15778"/>
    <mergeCell ref="D15780:G15780"/>
    <mergeCell ref="D15782:G15782"/>
    <mergeCell ref="D15784:G15784"/>
    <mergeCell ref="D15786:G15786"/>
    <mergeCell ref="D15788:G15788"/>
    <mergeCell ref="D15790:G15790"/>
    <mergeCell ref="D15792:G15792"/>
    <mergeCell ref="D15794:G15794"/>
    <mergeCell ref="D15796:G15796"/>
    <mergeCell ref="D15798:G15798"/>
    <mergeCell ref="D15800:G15800"/>
    <mergeCell ref="D15804:G15804"/>
    <mergeCell ref="D15806:G15806"/>
    <mergeCell ref="D15808:G15808"/>
    <mergeCell ref="D15810:G15810"/>
    <mergeCell ref="D15814:G15814"/>
    <mergeCell ref="D15816:G15816"/>
    <mergeCell ref="D15818:G15818"/>
    <mergeCell ref="D15820:G15820"/>
    <mergeCell ref="D15824:G15824"/>
    <mergeCell ref="D15826:G15826"/>
    <mergeCell ref="D15828:G15828"/>
    <mergeCell ref="D15830:G15830"/>
    <mergeCell ref="D15832:G15832"/>
    <mergeCell ref="D15834:G15834"/>
    <mergeCell ref="D15836:G15836"/>
    <mergeCell ref="D15838:G15838"/>
    <mergeCell ref="D15840:G15840"/>
    <mergeCell ref="D15842:G15842"/>
    <mergeCell ref="D15844:G15844"/>
    <mergeCell ref="D15846:G15846"/>
    <mergeCell ref="D15848:G15848"/>
    <mergeCell ref="D15850:G15850"/>
    <mergeCell ref="D15852:G15852"/>
    <mergeCell ref="D15854:G15854"/>
    <mergeCell ref="D15856:G15856"/>
    <mergeCell ref="D15858:G15858"/>
    <mergeCell ref="D15860:G15860"/>
    <mergeCell ref="D15864:G15864"/>
    <mergeCell ref="D15866:G15866"/>
    <mergeCell ref="D15868:G15868"/>
    <mergeCell ref="D15870:G15870"/>
    <mergeCell ref="D15874:G15874"/>
    <mergeCell ref="D15876:G15876"/>
    <mergeCell ref="D15878:G15878"/>
    <mergeCell ref="D15880:G15880"/>
    <mergeCell ref="D15882:G15882"/>
    <mergeCell ref="D15884:G15884"/>
    <mergeCell ref="D15886:G15886"/>
    <mergeCell ref="D15888:G15888"/>
    <mergeCell ref="D15890:G15890"/>
    <mergeCell ref="D15892:G15892"/>
    <mergeCell ref="D15894:G15894"/>
    <mergeCell ref="D15896:G15896"/>
    <mergeCell ref="D15898:G15898"/>
    <mergeCell ref="D15900:G15900"/>
    <mergeCell ref="D15902:G15902"/>
    <mergeCell ref="D15904:G15904"/>
    <mergeCell ref="D15906:G15906"/>
    <mergeCell ref="D15908:G15908"/>
    <mergeCell ref="D15910:G15910"/>
    <mergeCell ref="D15912:G15912"/>
    <mergeCell ref="D15914:G15914"/>
    <mergeCell ref="D15916:G15916"/>
    <mergeCell ref="D15918:G15918"/>
    <mergeCell ref="D15920:G15920"/>
    <mergeCell ref="D15922:G15922"/>
    <mergeCell ref="D15924:G15924"/>
    <mergeCell ref="D15926:G15926"/>
  </mergeCells>
  <printOptions/>
  <pageMargins bottom="0.472441" footer="0.0" header="0.0" left="0.620079" right="0.472441" top="0.472441"/>
  <pageSetup paperSize="9" orientation="portrait"/>
  <drawing r:id="rId1"/>
</worksheet>
</file>